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" yWindow="345" windowWidth="12900" windowHeight="13410" tabRatio="725"/>
  </bookViews>
  <sheets>
    <sheet name="фин. план" sheetId="88" r:id="rId1"/>
    <sheet name="источники" sheetId="87" r:id="rId2"/>
    <sheet name="Утв. ИП 2014-2019" sheetId="1" state="hidden" r:id="rId3"/>
    <sheet name="У pril_7f " sheetId="34" state="hidden" r:id="rId4"/>
    <sheet name="У pril_8f  " sheetId="35" state="hidden" r:id="rId5"/>
    <sheet name="У pril_9f " sheetId="36" state="hidden" r:id="rId6"/>
    <sheet name="У pril_ 8" sheetId="31" state="hidden" r:id="rId7"/>
    <sheet name="У pril_9" sheetId="9" state="hidden" r:id="rId8"/>
    <sheet name="У pril_10" sheetId="37" state="hidden" r:id="rId9"/>
    <sheet name="У pril_11" sheetId="38" state="hidden" r:id="rId10"/>
    <sheet name="У pril_12" sheetId="39" state="hidden" r:id="rId11"/>
  </sheets>
  <externalReferences>
    <externalReference r:id="rId12"/>
    <externalReference r:id="rId13"/>
  </externalReferences>
  <definedNames>
    <definedName name="_xlnm._FilterDatabase" localSheetId="1" hidden="1">#REF!</definedName>
    <definedName name="_xlnm._FilterDatabase" localSheetId="6" hidden="1">'У pril_ 8'!$D$14:$J$1331</definedName>
    <definedName name="_xlnm._FilterDatabase" localSheetId="3" hidden="1">'У pril_7f '!$N$10:$X$127</definedName>
    <definedName name="_xlnm._FilterDatabase" localSheetId="4" hidden="1">'У pril_8f  '!$N$10:$W$130</definedName>
    <definedName name="_xlnm._FilterDatabase" localSheetId="7" hidden="1">'У pril_9'!$O$10:$P$120</definedName>
    <definedName name="_xlnm._FilterDatabase" localSheetId="5" hidden="1">'У pril_9f '!$N$10:$X$129</definedName>
    <definedName name="_xlnm._FilterDatabase" localSheetId="2" hidden="1">'Утв. ИП 2014-2019'!$A$16:$BM$1458</definedName>
    <definedName name="_xlnm._FilterDatabase" localSheetId="0" hidden="1">#REF!</definedName>
    <definedName name="_xlnm._FilterDatabase" hidden="1">#REF!</definedName>
    <definedName name="август" localSheetId="1">#REF!</definedName>
    <definedName name="август" localSheetId="0">#REF!</definedName>
    <definedName name="август">#REF!</definedName>
    <definedName name="апрель" localSheetId="1">#REF!</definedName>
    <definedName name="апрель" localSheetId="0">#REF!</definedName>
    <definedName name="апрель">#REF!</definedName>
    <definedName name="ВводПлан" localSheetId="1">#REF!</definedName>
    <definedName name="ВводПлан" localSheetId="0">#REF!</definedName>
    <definedName name="ВводПлан">#REF!</definedName>
    <definedName name="ВводПлан1" localSheetId="1">#REF!</definedName>
    <definedName name="ВводПлан1" localSheetId="0">#REF!</definedName>
    <definedName name="ВводПлан1">#REF!</definedName>
    <definedName name="ВводПлан2" localSheetId="1">#REF!</definedName>
    <definedName name="ВводПлан2" localSheetId="0">#REF!</definedName>
    <definedName name="ВводПлан2">#REF!</definedName>
    <definedName name="ВводПлан3" localSheetId="1">#REF!</definedName>
    <definedName name="ВводПлан3" localSheetId="0">#REF!</definedName>
    <definedName name="ВводПлан3">#REF!</definedName>
    <definedName name="ВводПлан4" localSheetId="1">#REF!</definedName>
    <definedName name="ВводПлан4" localSheetId="0">#REF!</definedName>
    <definedName name="ВводПлан4">#REF!</definedName>
    <definedName name="ВводУКС" localSheetId="1">#REF!</definedName>
    <definedName name="ВводУКС" localSheetId="0">#REF!</definedName>
    <definedName name="ВводУКС">#REF!</definedName>
    <definedName name="ВводФакт" localSheetId="1">#REF!</definedName>
    <definedName name="ВводФакт" localSheetId="0">#REF!</definedName>
    <definedName name="ВводФакт">#REF!</definedName>
    <definedName name="Вид" localSheetId="1">'[1]форма 7.1'!$D$163:$D$2183</definedName>
    <definedName name="Вид" localSheetId="0">'[1]форма 7.1'!$D$163:$D$2183</definedName>
    <definedName name="Вид">#REF!</definedName>
    <definedName name="Всего" localSheetId="1">#REF!</definedName>
    <definedName name="Всего" localSheetId="0">#REF!</definedName>
    <definedName name="Всего">#REF!</definedName>
    <definedName name="данные" localSheetId="0">#REF!</definedName>
    <definedName name="данные">#REF!</definedName>
    <definedName name="данные2" localSheetId="0">#REF!</definedName>
    <definedName name="данные2">#REF!</definedName>
    <definedName name="декабрь" localSheetId="1">#REF!</definedName>
    <definedName name="декабрь" localSheetId="0">#REF!</definedName>
    <definedName name="декабрь">#REF!</definedName>
    <definedName name="ДогДИТиС" localSheetId="1">#REF!</definedName>
    <definedName name="ДогДИТиС" localSheetId="0">#REF!</definedName>
    <definedName name="ДогДИТиС">#REF!</definedName>
    <definedName name="ДогЗакуп" localSheetId="1">#REF!</definedName>
    <definedName name="ДогЗакуп" localSheetId="0">#REF!</definedName>
    <definedName name="ДогЗакуп">#REF!</definedName>
    <definedName name="ДогКапСтрой" localSheetId="1">#REF!</definedName>
    <definedName name="ДогКапСтрой" localSheetId="0">#REF!</definedName>
    <definedName name="ДогКапСтрой">#REF!</definedName>
    <definedName name="ждло" localSheetId="1" hidden="1">#REF!</definedName>
    <definedName name="ждло" localSheetId="0" hidden="1">#REF!</definedName>
    <definedName name="ждло" hidden="1">#REF!</definedName>
    <definedName name="_xlnm.Print_Titles" localSheetId="6">'У pril_ 8'!$10:$12</definedName>
    <definedName name="_xlnm.Print_Titles" localSheetId="3">'У pril_7f '!$6:$8</definedName>
    <definedName name="_xlnm.Print_Titles" localSheetId="4">'У pril_8f  '!$6:$8</definedName>
    <definedName name="_xlnm.Print_Titles" localSheetId="7">'У pril_9'!$7:$9</definedName>
    <definedName name="_xlnm.Print_Titles" localSheetId="5">'У pril_9f '!$6:$8</definedName>
    <definedName name="_xlnm.Print_Titles" localSheetId="2">'Утв. ИП 2014-2019'!$11:$13</definedName>
    <definedName name="июль" localSheetId="0">#REF!</definedName>
    <definedName name="июль">#REF!</definedName>
    <definedName name="июнь" localSheetId="1">#REF!</definedName>
    <definedName name="июнь" localSheetId="0">#REF!</definedName>
    <definedName name="июнь">#REF!</definedName>
    <definedName name="квартал1" localSheetId="1">#REF!</definedName>
    <definedName name="квартал1" localSheetId="0">#REF!</definedName>
    <definedName name="квартал1">#REF!</definedName>
    <definedName name="квартал2" localSheetId="1">#REF!</definedName>
    <definedName name="квартал2" localSheetId="0">#REF!</definedName>
    <definedName name="квартал2">#REF!</definedName>
    <definedName name="квартал3" localSheetId="1">#REF!</definedName>
    <definedName name="квартал3" localSheetId="0">#REF!</definedName>
    <definedName name="квартал3">#REF!</definedName>
    <definedName name="квартал4" localSheetId="1">#REF!</definedName>
    <definedName name="квартал4" localSheetId="0">#REF!</definedName>
    <definedName name="квартал4">#REF!</definedName>
    <definedName name="коды" localSheetId="0">#REF!</definedName>
    <definedName name="коды">#REF!</definedName>
    <definedName name="коды2" localSheetId="0">#REF!</definedName>
    <definedName name="коды2">#REF!</definedName>
    <definedName name="КодыИП" localSheetId="1">#REF!</definedName>
    <definedName name="КодыИП" localSheetId="0">#REF!</definedName>
    <definedName name="КодыИП">#REF!</definedName>
    <definedName name="май" localSheetId="1">#REF!</definedName>
    <definedName name="май" localSheetId="0">#REF!</definedName>
    <definedName name="май">#REF!</definedName>
    <definedName name="март" localSheetId="1">#REF!</definedName>
    <definedName name="март" localSheetId="0">#REF!</definedName>
    <definedName name="март">#REF!</definedName>
    <definedName name="месяцев12" localSheetId="1">#REF!</definedName>
    <definedName name="месяцев12" localSheetId="0">#REF!</definedName>
    <definedName name="месяцев12">#REF!</definedName>
    <definedName name="месяцев6" localSheetId="1">#REF!</definedName>
    <definedName name="месяцев6" localSheetId="0">#REF!</definedName>
    <definedName name="месяцев6">#REF!</definedName>
    <definedName name="месяцев9" localSheetId="1">#REF!</definedName>
    <definedName name="месяцев9" localSheetId="0">#REF!</definedName>
    <definedName name="месяцев9">#REF!</definedName>
    <definedName name="Наличие" localSheetId="1">#REF!</definedName>
    <definedName name="Наличие" localSheetId="0">#REF!</definedName>
    <definedName name="Наличие">#REF!</definedName>
    <definedName name="НАПРАВЛЕНИЕ" localSheetId="1">#REF!</definedName>
    <definedName name="НАПРАВЛЕНИЕ" localSheetId="0">#REF!</definedName>
    <definedName name="НАПРАВЛЕНИЕ">#REF!</definedName>
    <definedName name="ноябрь" localSheetId="1">#REF!</definedName>
    <definedName name="ноябрь" localSheetId="0">#REF!</definedName>
    <definedName name="ноябрь">#REF!</definedName>
    <definedName name="_xlnm.Print_Area" localSheetId="1">источники!$A$1:$O$35</definedName>
    <definedName name="_xlnm.Print_Area" localSheetId="6">'У pril_ 8'!$B$1:$Q$1339</definedName>
    <definedName name="_xlnm.Print_Area" localSheetId="10">'У pril_12'!$A$1:$H$76</definedName>
    <definedName name="_xlnm.Print_Area" localSheetId="3">'У pril_7f '!$B$1:$AH$123</definedName>
    <definedName name="_xlnm.Print_Area" localSheetId="4">'У pril_8f  '!$B$1:$AH$126</definedName>
    <definedName name="_xlnm.Print_Area" localSheetId="7">'У pril_9'!$A$1:$AS$124</definedName>
    <definedName name="_xlnm.Print_Area" localSheetId="5">'У pril_9f '!$B$1:$AH$125</definedName>
    <definedName name="_xlnm.Print_Area" localSheetId="2">'Утв. ИП 2014-2019'!$B$1:$X$1476</definedName>
    <definedName name="_xlnm.Print_Area" localSheetId="0">'фин. план'!$A$1:$O$467</definedName>
    <definedName name="октябрь" localSheetId="0">#REF!</definedName>
    <definedName name="октябрь">#REF!</definedName>
    <definedName name="ОПЛАТА" localSheetId="1">#REF!</definedName>
    <definedName name="ОПЛАТА" localSheetId="0">#REF!</definedName>
    <definedName name="ОПЛАТА">#REF!</definedName>
    <definedName name="прмтмиато" localSheetId="1" hidden="1">#REF!</definedName>
    <definedName name="прмтмиато" localSheetId="0" hidden="1">#REF!</definedName>
    <definedName name="прмтмиато" hidden="1">#REF!</definedName>
    <definedName name="раздел" localSheetId="1">[2]pril_1!$B$103:$H$378</definedName>
    <definedName name="раздел">#REF!</definedName>
    <definedName name="сентябрь" localSheetId="1">#REF!</definedName>
    <definedName name="сентябрь" localSheetId="0">#REF!</definedName>
    <definedName name="сентябрь">#REF!</definedName>
    <definedName name="факт" localSheetId="1">'[1]форма 7.1'!$G$163:$G$2183</definedName>
    <definedName name="факт" localSheetId="0">'[1]форма 7.1'!$G$163:$G$2183</definedName>
    <definedName name="факт">#REF!</definedName>
    <definedName name="факт1" localSheetId="1">'[1]форма 7.1'!$I$163:$I$1561</definedName>
    <definedName name="факт1" localSheetId="0">'[1]форма 7.1'!$I$163:$I$1561</definedName>
    <definedName name="факт1">#REF!</definedName>
    <definedName name="факт2" localSheetId="1">'[1]форма 7.1'!$K$163:$K$1561</definedName>
    <definedName name="факт2" localSheetId="0">'[1]форма 7.1'!$K$163:$K$1561</definedName>
    <definedName name="факт2">#REF!</definedName>
    <definedName name="Факт3" localSheetId="1">'[1]форма 7.1'!$M$163:$M$1561</definedName>
    <definedName name="Факт3" localSheetId="0">'[1]форма 7.1'!$M$163:$M$1561</definedName>
    <definedName name="Факт3">#REF!</definedName>
    <definedName name="Факт4" localSheetId="1">'[1]форма 7.1'!$O$163:$O$1561</definedName>
    <definedName name="Факт4" localSheetId="0">'[1]форма 7.1'!$O$163:$O$1561</definedName>
    <definedName name="Факт4">#REF!</definedName>
    <definedName name="фантик">#REF!</definedName>
    <definedName name="февраль" localSheetId="1">#REF!</definedName>
    <definedName name="февраль" localSheetId="0">#REF!</definedName>
    <definedName name="февраль">#REF!</definedName>
    <definedName name="ФильтрБазы" localSheetId="1" hidden="1">#REF!</definedName>
    <definedName name="ФильтрБазы" localSheetId="0" hidden="1">#REF!</definedName>
    <definedName name="ФильтрБазы" hidden="1">#REF!</definedName>
    <definedName name="финик">#REF!</definedName>
    <definedName name="финти">#REF!</definedName>
    <definedName name="Январь" localSheetId="1">#REF!</definedName>
    <definedName name="Январь" localSheetId="0">#REF!</definedName>
    <definedName name="Январь">#REF!</definedName>
  </definedNames>
  <calcPr calcId="145621"/>
</workbook>
</file>

<file path=xl/calcChain.xml><?xml version="1.0" encoding="utf-8"?>
<calcChain xmlns="http://schemas.openxmlformats.org/spreadsheetml/2006/main">
  <c r="J16" i="87" l="1"/>
  <c r="J12" i="87"/>
  <c r="J9" i="87"/>
  <c r="J8" i="87"/>
  <c r="J32" i="87" s="1"/>
  <c r="D16" i="87" l="1"/>
  <c r="O427" i="88" l="1"/>
  <c r="O406" i="88"/>
  <c r="O399" i="88" s="1"/>
  <c r="O387" i="88"/>
  <c r="O384" i="88" s="1"/>
  <c r="O382" i="88"/>
  <c r="O344" i="88"/>
  <c r="O341" i="88"/>
  <c r="O340" i="88" s="1"/>
  <c r="O283" i="88"/>
  <c r="O254" i="88"/>
  <c r="O236" i="88"/>
  <c r="O235" i="88" s="1"/>
  <c r="O229" i="88"/>
  <c r="O222" i="88" s="1"/>
  <c r="O211" i="88"/>
  <c r="O210" i="88" s="1"/>
  <c r="O243" i="88" s="1"/>
  <c r="O244" i="88" s="1"/>
  <c r="O185" i="88"/>
  <c r="O167" i="88"/>
  <c r="O124" i="88"/>
  <c r="O108" i="88"/>
  <c r="O106" i="88"/>
  <c r="O104" i="88"/>
  <c r="O102" i="88"/>
  <c r="O99" i="88"/>
  <c r="O97" i="88"/>
  <c r="O87" i="88"/>
  <c r="O75" i="88"/>
  <c r="O73" i="88"/>
  <c r="O72" i="88"/>
  <c r="O71" i="88"/>
  <c r="O70" i="88" s="1"/>
  <c r="O69" i="88"/>
  <c r="O68" i="88"/>
  <c r="O67" i="88"/>
  <c r="O62" i="88" s="1"/>
  <c r="O61" i="88"/>
  <c r="O60" i="88"/>
  <c r="O57" i="88"/>
  <c r="O56" i="88" s="1"/>
  <c r="O55" i="88" s="1"/>
  <c r="O54" i="88"/>
  <c r="O52" i="88"/>
  <c r="O46" i="88"/>
  <c r="O44" i="88"/>
  <c r="O37" i="88"/>
  <c r="O31" i="88"/>
  <c r="O89" i="88" s="1"/>
  <c r="O29" i="88"/>
  <c r="O95" i="88" l="1"/>
  <c r="O53" i="88"/>
  <c r="O376" i="88"/>
  <c r="O375" i="88" s="1"/>
  <c r="O374" i="88" s="1"/>
  <c r="O373" i="88" s="1"/>
  <c r="O246" i="88"/>
  <c r="O38" i="88"/>
  <c r="O103" i="88"/>
  <c r="O242" i="88"/>
  <c r="O96" i="88"/>
  <c r="O23" i="88"/>
  <c r="O81" i="88" s="1"/>
  <c r="E382" i="88"/>
  <c r="E387" i="88"/>
  <c r="E406" i="88"/>
  <c r="E427" i="88"/>
  <c r="E344" i="88"/>
  <c r="E341" i="88"/>
  <c r="O250" i="88" l="1"/>
  <c r="O252" i="88" s="1"/>
  <c r="O109" i="88"/>
  <c r="E124" i="88"/>
  <c r="E108" i="88"/>
  <c r="E106" i="88"/>
  <c r="E104" i="88"/>
  <c r="E102" i="88"/>
  <c r="E99" i="88"/>
  <c r="O160" i="88" l="1"/>
  <c r="O139" i="88"/>
  <c r="E68" i="88"/>
  <c r="E75" i="88" l="1"/>
  <c r="E72" i="88" l="1"/>
  <c r="E71" i="88"/>
  <c r="E69" i="88"/>
  <c r="E67" i="88"/>
  <c r="E61" i="88"/>
  <c r="E60" i="88"/>
  <c r="E54" i="88"/>
  <c r="E57" i="88"/>
  <c r="E52" i="88"/>
  <c r="E46" i="88"/>
  <c r="E44" i="88"/>
  <c r="E37" i="88"/>
  <c r="E31" i="88"/>
  <c r="E29" i="88"/>
  <c r="L283" i="88" l="1"/>
  <c r="J283" i="88"/>
  <c r="H283" i="88"/>
  <c r="F283" i="88"/>
  <c r="E283" i="88"/>
  <c r="L254" i="88" l="1"/>
  <c r="J254" i="88"/>
  <c r="H254" i="88"/>
  <c r="F254" i="88"/>
  <c r="E254" i="88"/>
  <c r="L236" i="88"/>
  <c r="L235" i="88" s="1"/>
  <c r="L229" i="88"/>
  <c r="L222" i="88"/>
  <c r="L211" i="88"/>
  <c r="L210" i="88" s="1"/>
  <c r="L243" i="88" s="1"/>
  <c r="L244" i="88" s="1"/>
  <c r="L185" i="88"/>
  <c r="J236" i="88"/>
  <c r="J235" i="88" s="1"/>
  <c r="J229" i="88"/>
  <c r="J222" i="88" s="1"/>
  <c r="J211" i="88"/>
  <c r="J210" i="88" s="1"/>
  <c r="J243" i="88" s="1"/>
  <c r="J244" i="88" s="1"/>
  <c r="J185" i="88"/>
  <c r="H236" i="88"/>
  <c r="H235" i="88" s="1"/>
  <c r="H229" i="88"/>
  <c r="H222" i="88" s="1"/>
  <c r="H211" i="88"/>
  <c r="H210" i="88" s="1"/>
  <c r="H243" i="88" s="1"/>
  <c r="H244" i="88" s="1"/>
  <c r="H185" i="88"/>
  <c r="L167" i="88"/>
  <c r="J167" i="88"/>
  <c r="H167" i="88"/>
  <c r="F236" i="88"/>
  <c r="F235" i="88" s="1"/>
  <c r="F229" i="88"/>
  <c r="F222" i="88" s="1"/>
  <c r="F211" i="88"/>
  <c r="F210" i="88" s="1"/>
  <c r="F243" i="88" s="1"/>
  <c r="F244" i="88" s="1"/>
  <c r="F185" i="88"/>
  <c r="F167" i="88"/>
  <c r="E236" i="88"/>
  <c r="E235" i="88" s="1"/>
  <c r="E229" i="88"/>
  <c r="E222" i="88" s="1"/>
  <c r="E246" i="88" s="1"/>
  <c r="E211" i="88"/>
  <c r="H242" i="88" l="1"/>
  <c r="H250" i="88" s="1"/>
  <c r="H252" i="88" s="1"/>
  <c r="J242" i="88"/>
  <c r="L242" i="88"/>
  <c r="H246" i="88"/>
  <c r="L246" i="88"/>
  <c r="J246" i="88"/>
  <c r="F246" i="88"/>
  <c r="L250" i="88"/>
  <c r="L252" i="88" s="1"/>
  <c r="J250" i="88"/>
  <c r="J252" i="88" s="1"/>
  <c r="F242" i="88"/>
  <c r="F250" i="88" s="1"/>
  <c r="F252" i="88" s="1"/>
  <c r="E210" i="88" l="1"/>
  <c r="E243" i="88" s="1"/>
  <c r="E244" i="88" s="1"/>
  <c r="E185" i="88"/>
  <c r="E167" i="88"/>
  <c r="E242" i="88" l="1"/>
  <c r="E250" i="88" s="1"/>
  <c r="E252" i="88" s="1"/>
  <c r="D12" i="87"/>
  <c r="D9" i="87" s="1"/>
  <c r="D8" i="87" s="1"/>
  <c r="D32" i="87" s="1"/>
  <c r="E399" i="88" l="1"/>
  <c r="E384" i="88"/>
  <c r="E376" i="88" s="1"/>
  <c r="E375" i="88" s="1"/>
  <c r="E340" i="88"/>
  <c r="E374" i="88" l="1"/>
  <c r="E373" i="88" s="1"/>
  <c r="E103" i="88"/>
  <c r="E97" i="88" l="1"/>
  <c r="E95" i="88"/>
  <c r="E89" i="88"/>
  <c r="E87" i="88"/>
  <c r="E96" i="88" l="1"/>
  <c r="E73" i="88" l="1"/>
  <c r="E70" i="88"/>
  <c r="E62" i="88"/>
  <c r="E56" i="88" l="1"/>
  <c r="E55" i="88" s="1"/>
  <c r="E53" i="88" s="1"/>
  <c r="E38" i="88"/>
  <c r="E23" i="88"/>
  <c r="D29" i="88"/>
  <c r="D31" i="88"/>
  <c r="D37" i="88"/>
  <c r="E81" i="88" l="1"/>
  <c r="N344" i="88"/>
  <c r="N341" i="88"/>
  <c r="L340" i="88"/>
  <c r="J340" i="88"/>
  <c r="H340" i="88"/>
  <c r="F340" i="88"/>
  <c r="D340" i="88"/>
  <c r="N340" i="88" l="1"/>
  <c r="E109" i="88"/>
  <c r="E139" i="88" s="1"/>
  <c r="F29" i="88"/>
  <c r="H29" i="88" s="1"/>
  <c r="J29" i="88" s="1"/>
  <c r="L29" i="88" s="1"/>
  <c r="E160" i="88" l="1"/>
  <c r="H12" i="87"/>
  <c r="H9" i="87" s="1"/>
  <c r="H8" i="87" s="1"/>
  <c r="H32" i="87" s="1"/>
  <c r="G12" i="87"/>
  <c r="G9" i="87" s="1"/>
  <c r="G8" i="87" s="1"/>
  <c r="G32" i="87" s="1"/>
  <c r="F12" i="87"/>
  <c r="F9" i="87" s="1"/>
  <c r="F8" i="87" s="1"/>
  <c r="F32" i="87" s="1"/>
  <c r="H16" i="87"/>
  <c r="G16" i="87"/>
  <c r="F16" i="87"/>
  <c r="I10" i="87"/>
  <c r="I11" i="87"/>
  <c r="I13" i="87"/>
  <c r="I14" i="87"/>
  <c r="I15" i="87"/>
  <c r="I17" i="87"/>
  <c r="I18" i="87"/>
  <c r="I19" i="87"/>
  <c r="I20" i="87"/>
  <c r="I21" i="87"/>
  <c r="I22" i="87"/>
  <c r="I23" i="87"/>
  <c r="I24" i="87"/>
  <c r="I25" i="87"/>
  <c r="I26" i="87"/>
  <c r="I27" i="87"/>
  <c r="I28" i="87"/>
  <c r="I29" i="87"/>
  <c r="I30" i="87"/>
  <c r="I31" i="87"/>
  <c r="I33" i="87"/>
  <c r="I34" i="87"/>
  <c r="N427" i="88" l="1"/>
  <c r="N406" i="88"/>
  <c r="N387" i="88"/>
  <c r="L346" i="88"/>
  <c r="J346" i="88"/>
  <c r="H346" i="88"/>
  <c r="F346" i="88"/>
  <c r="D346" i="88" l="1"/>
  <c r="D399" i="88" l="1"/>
  <c r="F384" i="88"/>
  <c r="H384" i="88"/>
  <c r="J384" i="88"/>
  <c r="J376" i="88" s="1"/>
  <c r="J375" i="88" s="1"/>
  <c r="L384" i="88"/>
  <c r="L376" i="88" s="1"/>
  <c r="L375" i="88" s="1"/>
  <c r="D384" i="88"/>
  <c r="D376" i="88" l="1"/>
  <c r="D375" i="88" s="1"/>
  <c r="D374" i="88" s="1"/>
  <c r="D373" i="88" s="1"/>
  <c r="N384" i="88"/>
  <c r="N399" i="88"/>
  <c r="J374" i="88"/>
  <c r="J373" i="88" s="1"/>
  <c r="L374" i="88"/>
  <c r="L373" i="88" s="1"/>
  <c r="D139" i="88"/>
  <c r="F139" i="88" s="1"/>
  <c r="H139" i="88" s="1"/>
  <c r="J139" i="88" s="1"/>
  <c r="L139" i="88" s="1"/>
  <c r="D124" i="88"/>
  <c r="F124" i="88" s="1"/>
  <c r="H124" i="88" s="1"/>
  <c r="J124" i="88" s="1"/>
  <c r="L124" i="88" s="1"/>
  <c r="D108" i="88"/>
  <c r="F108" i="88" s="1"/>
  <c r="H108" i="88" s="1"/>
  <c r="J108" i="88" s="1"/>
  <c r="L108" i="88" s="1"/>
  <c r="D107" i="88"/>
  <c r="D105" i="88"/>
  <c r="F105" i="88" s="1"/>
  <c r="H105" i="88" s="1"/>
  <c r="J105" i="88" s="1"/>
  <c r="L105" i="88" s="1"/>
  <c r="D104" i="88"/>
  <c r="D102" i="88"/>
  <c r="F102" i="88" s="1"/>
  <c r="H102" i="88" s="1"/>
  <c r="J102" i="88" s="1"/>
  <c r="L102" i="88" s="1"/>
  <c r="D99" i="88"/>
  <c r="F99" i="88" s="1"/>
  <c r="H99" i="88" s="1"/>
  <c r="J99" i="88" s="1"/>
  <c r="L99" i="88" s="1"/>
  <c r="D75" i="88"/>
  <c r="D73" i="88" s="1"/>
  <c r="D72" i="88"/>
  <c r="F72" i="88" s="1"/>
  <c r="H72" i="88" s="1"/>
  <c r="J72" i="88" s="1"/>
  <c r="L72" i="88" s="1"/>
  <c r="D71" i="88"/>
  <c r="D69" i="88"/>
  <c r="F69" i="88" s="1"/>
  <c r="H69" i="88" s="1"/>
  <c r="J69" i="88" s="1"/>
  <c r="L69" i="88" s="1"/>
  <c r="D68" i="88"/>
  <c r="D67" i="88"/>
  <c r="D60" i="88"/>
  <c r="F60" i="88" s="1"/>
  <c r="H60" i="88" s="1"/>
  <c r="J60" i="88" s="1"/>
  <c r="L60" i="88" s="1"/>
  <c r="D57" i="88"/>
  <c r="D54" i="88"/>
  <c r="F54" i="88" s="1"/>
  <c r="H54" i="88" s="1"/>
  <c r="J54" i="88" s="1"/>
  <c r="L54" i="88" s="1"/>
  <c r="D52" i="88"/>
  <c r="F52" i="88" s="1"/>
  <c r="H52" i="88" s="1"/>
  <c r="J52" i="88" s="1"/>
  <c r="L52" i="88" s="1"/>
  <c r="D46" i="88"/>
  <c r="F46" i="88" s="1"/>
  <c r="H46" i="88" s="1"/>
  <c r="J46" i="88" s="1"/>
  <c r="L46" i="88" s="1"/>
  <c r="D44" i="88"/>
  <c r="F44" i="88" s="1"/>
  <c r="H44" i="88" s="1"/>
  <c r="J44" i="88" s="1"/>
  <c r="L44" i="88" s="1"/>
  <c r="F37" i="88"/>
  <c r="H37" i="88" s="1"/>
  <c r="J37" i="88" s="1"/>
  <c r="L37" i="88" s="1"/>
  <c r="F31" i="88"/>
  <c r="F104" i="88" l="1"/>
  <c r="H104" i="88" s="1"/>
  <c r="J104" i="88" s="1"/>
  <c r="L104" i="88" s="1"/>
  <c r="F107" i="88"/>
  <c r="H107" i="88" s="1"/>
  <c r="J107" i="88" s="1"/>
  <c r="L107" i="88" s="1"/>
  <c r="D106" i="88"/>
  <c r="F106" i="88" s="1"/>
  <c r="H106" i="88" s="1"/>
  <c r="D70" i="88"/>
  <c r="F71" i="88"/>
  <c r="H71" i="88" s="1"/>
  <c r="J71" i="88" s="1"/>
  <c r="L71" i="88" s="1"/>
  <c r="F67" i="88"/>
  <c r="H67" i="88" s="1"/>
  <c r="J67" i="88" s="1"/>
  <c r="L67" i="88" s="1"/>
  <c r="D62" i="88"/>
  <c r="F68" i="88"/>
  <c r="H68" i="88" s="1"/>
  <c r="J68" i="88" s="1"/>
  <c r="L68" i="88" s="1"/>
  <c r="F75" i="88"/>
  <c r="H75" i="88" s="1"/>
  <c r="J75" i="88" s="1"/>
  <c r="L75" i="88" s="1"/>
  <c r="D56" i="88"/>
  <c r="F57" i="88"/>
  <c r="H57" i="88" s="1"/>
  <c r="J57" i="88" s="1"/>
  <c r="L57" i="88" s="1"/>
  <c r="J106" i="88"/>
  <c r="L106" i="88" s="1"/>
  <c r="N106" i="88" s="1"/>
  <c r="N108" i="88"/>
  <c r="N102" i="88"/>
  <c r="N72" i="88"/>
  <c r="N69" i="88"/>
  <c r="N60" i="88"/>
  <c r="D89" i="88"/>
  <c r="D38" i="88"/>
  <c r="F97" i="88"/>
  <c r="D87" i="88"/>
  <c r="D95" i="88"/>
  <c r="D23" i="88"/>
  <c r="H31" i="88"/>
  <c r="J31" i="88" s="1"/>
  <c r="L31" i="88" s="1"/>
  <c r="D97" i="88"/>
  <c r="F103" i="88" l="1"/>
  <c r="N68" i="88"/>
  <c r="D103" i="88"/>
  <c r="F73" i="88"/>
  <c r="F62" i="88"/>
  <c r="D55" i="88"/>
  <c r="F56" i="88"/>
  <c r="H56" i="88" s="1"/>
  <c r="J56" i="88" s="1"/>
  <c r="L56" i="88" s="1"/>
  <c r="F70" i="88"/>
  <c r="N124" i="88"/>
  <c r="N107" i="88"/>
  <c r="N139" i="88"/>
  <c r="N105" i="88"/>
  <c r="N31" i="88"/>
  <c r="D81" i="88"/>
  <c r="F96" i="88"/>
  <c r="F38" i="88"/>
  <c r="H89" i="88"/>
  <c r="H38" i="88"/>
  <c r="F95" i="88"/>
  <c r="F89" i="88"/>
  <c r="F23" i="88"/>
  <c r="F87" i="88"/>
  <c r="H73" i="88"/>
  <c r="H103" i="88"/>
  <c r="J89" i="88"/>
  <c r="H62" i="88"/>
  <c r="N44" i="88"/>
  <c r="H97" i="88"/>
  <c r="D96" i="88"/>
  <c r="F81" i="88" l="1"/>
  <c r="D109" i="88"/>
  <c r="D160" i="88" s="1"/>
  <c r="F55" i="88"/>
  <c r="D61" i="88"/>
  <c r="N56" i="88"/>
  <c r="N57" i="88"/>
  <c r="F109" i="88"/>
  <c r="F160" i="88" s="1"/>
  <c r="H70" i="88"/>
  <c r="J38" i="88"/>
  <c r="N52" i="88"/>
  <c r="N46" i="88"/>
  <c r="H95" i="88"/>
  <c r="J70" i="88"/>
  <c r="H23" i="88"/>
  <c r="H81" i="88" s="1"/>
  <c r="H87" i="88"/>
  <c r="L103" i="88"/>
  <c r="J103" i="88"/>
  <c r="L73" i="88"/>
  <c r="J73" i="88"/>
  <c r="L89" i="88"/>
  <c r="N89" i="88" s="1"/>
  <c r="J97" i="88"/>
  <c r="L97" i="88"/>
  <c r="L38" i="88"/>
  <c r="L62" i="88"/>
  <c r="J62" i="88"/>
  <c r="H96" i="88"/>
  <c r="N62" i="88" l="1"/>
  <c r="F61" i="88"/>
  <c r="H61" i="88" s="1"/>
  <c r="J61" i="88" s="1"/>
  <c r="L61" i="88" s="1"/>
  <c r="D53" i="88"/>
  <c r="H55" i="88"/>
  <c r="N103" i="88"/>
  <c r="N99" i="88"/>
  <c r="N73" i="88"/>
  <c r="N67" i="88"/>
  <c r="N104" i="88"/>
  <c r="N97" i="88"/>
  <c r="N75" i="88"/>
  <c r="N54" i="88"/>
  <c r="N38" i="88"/>
  <c r="L95" i="88"/>
  <c r="J95" i="88"/>
  <c r="H109" i="88"/>
  <c r="L70" i="88"/>
  <c r="N70" i="88" s="1"/>
  <c r="N29" i="88"/>
  <c r="J87" i="88"/>
  <c r="J96" i="88"/>
  <c r="J23" i="88"/>
  <c r="J81" i="88" s="1"/>
  <c r="L96" i="88"/>
  <c r="F53" i="88" l="1"/>
  <c r="N61" i="88"/>
  <c r="J55" i="88"/>
  <c r="H53" i="88"/>
  <c r="N95" i="88"/>
  <c r="N96" i="88"/>
  <c r="N71" i="88"/>
  <c r="N37" i="88"/>
  <c r="H160" i="88"/>
  <c r="L87" i="88"/>
  <c r="N87" i="88" s="1"/>
  <c r="L23" i="88"/>
  <c r="J109" i="88"/>
  <c r="J160" i="88" s="1"/>
  <c r="L55" i="88" l="1"/>
  <c r="L53" i="88" s="1"/>
  <c r="J53" i="88"/>
  <c r="L81" i="88"/>
  <c r="N23" i="88"/>
  <c r="N53" i="88" l="1"/>
  <c r="N55" i="88"/>
  <c r="L109" i="88"/>
  <c r="N81" i="88"/>
  <c r="L160" i="88" l="1"/>
  <c r="N160" i="88" s="1"/>
  <c r="N109" i="88"/>
  <c r="C16" i="87" l="1"/>
  <c r="I16" i="87" s="1"/>
  <c r="C12" i="87"/>
  <c r="C9" i="87" l="1"/>
  <c r="I9" i="87" s="1"/>
  <c r="I12" i="87"/>
  <c r="C8" i="87" l="1"/>
  <c r="C32" i="87" s="1"/>
  <c r="I32" i="87" s="1"/>
  <c r="I8" i="87"/>
  <c r="AS122" i="1"/>
  <c r="H243" i="1" l="1"/>
  <c r="C69" i="39" l="1"/>
  <c r="H43" i="39"/>
  <c r="G43" i="39"/>
  <c r="F43" i="39"/>
  <c r="E43" i="39"/>
  <c r="D43" i="39"/>
  <c r="C43" i="39"/>
  <c r="H36" i="39"/>
  <c r="G36" i="39"/>
  <c r="F36" i="39"/>
  <c r="E36" i="39"/>
  <c r="D36" i="39"/>
  <c r="C36" i="39"/>
  <c r="AE32" i="39"/>
  <c r="X32" i="39"/>
  <c r="AI32" i="39" s="1"/>
  <c r="W32" i="39"/>
  <c r="AH32" i="39" s="1"/>
  <c r="V32" i="39"/>
  <c r="AG32" i="39" s="1"/>
  <c r="U32" i="39"/>
  <c r="AF32" i="39" s="1"/>
  <c r="H27" i="39"/>
  <c r="H46" i="39" s="1"/>
  <c r="G27" i="39"/>
  <c r="G46" i="39" s="1"/>
  <c r="F27" i="39"/>
  <c r="F46" i="39" s="1"/>
  <c r="E27" i="39"/>
  <c r="E46" i="39" s="1"/>
  <c r="D27" i="39"/>
  <c r="D46" i="39" s="1"/>
  <c r="C27" i="39"/>
  <c r="C46" i="39" s="1"/>
  <c r="C26" i="39"/>
  <c r="E24" i="39"/>
  <c r="F24" i="39" s="1"/>
  <c r="G24" i="39" s="1"/>
  <c r="H24" i="39" s="1"/>
  <c r="N19" i="39"/>
  <c r="O19" i="39" s="1"/>
  <c r="C14" i="39"/>
  <c r="C13" i="39"/>
  <c r="A11" i="39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N9" i="39"/>
  <c r="O9" i="39" s="1"/>
  <c r="P9" i="39" s="1"/>
  <c r="Q9" i="39" s="1"/>
  <c r="R9" i="39" s="1"/>
  <c r="J43" i="38"/>
  <c r="J42" i="38"/>
  <c r="J34" i="38"/>
  <c r="J33" i="38"/>
  <c r="J32" i="38"/>
  <c r="J31" i="38"/>
  <c r="J30" i="38"/>
  <c r="J29" i="38"/>
  <c r="J28" i="38"/>
  <c r="I27" i="38"/>
  <c r="H27" i="38"/>
  <c r="G27" i="38"/>
  <c r="F27" i="38"/>
  <c r="E27" i="38"/>
  <c r="D27" i="38"/>
  <c r="J26" i="38"/>
  <c r="J25" i="38"/>
  <c r="J24" i="38"/>
  <c r="J23" i="38"/>
  <c r="J22" i="38"/>
  <c r="J21" i="38"/>
  <c r="J20" i="38"/>
  <c r="I19" i="38"/>
  <c r="H19" i="38"/>
  <c r="G19" i="38"/>
  <c r="F19" i="38"/>
  <c r="E19" i="38"/>
  <c r="D19" i="38"/>
  <c r="E18" i="38"/>
  <c r="F18" i="38" s="1"/>
  <c r="G18" i="38" s="1"/>
  <c r="J17" i="38"/>
  <c r="D16" i="38"/>
  <c r="J15" i="38"/>
  <c r="I14" i="38"/>
  <c r="E14" i="38"/>
  <c r="D14" i="38"/>
  <c r="D13" i="38" s="1"/>
  <c r="F13" i="38"/>
  <c r="F12" i="38" s="1"/>
  <c r="A12" i="38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G68" i="37"/>
  <c r="G66" i="37" s="1"/>
  <c r="F57" i="39" s="1"/>
  <c r="F56" i="39" s="1"/>
  <c r="F68" i="37"/>
  <c r="E68" i="37"/>
  <c r="E66" i="37" s="1"/>
  <c r="D57" i="39" s="1"/>
  <c r="D56" i="39" s="1"/>
  <c r="D68" i="37"/>
  <c r="I66" i="37"/>
  <c r="H57" i="39" s="1"/>
  <c r="H56" i="39" s="1"/>
  <c r="H66" i="37"/>
  <c r="G57" i="39" s="1"/>
  <c r="G56" i="39" s="1"/>
  <c r="F66" i="37"/>
  <c r="E57" i="39" s="1"/>
  <c r="E56" i="39" s="1"/>
  <c r="D66" i="37"/>
  <c r="C57" i="39" s="1"/>
  <c r="C56" i="39" s="1"/>
  <c r="I61" i="37"/>
  <c r="H55" i="39" s="1"/>
  <c r="H53" i="39" s="1"/>
  <c r="H61" i="37"/>
  <c r="G55" i="39" s="1"/>
  <c r="G53" i="39" s="1"/>
  <c r="G59" i="39" s="1"/>
  <c r="G61" i="37"/>
  <c r="F55" i="39" s="1"/>
  <c r="F53" i="39" s="1"/>
  <c r="F61" i="37"/>
  <c r="E55" i="39" s="1"/>
  <c r="E53" i="39" s="1"/>
  <c r="E61" i="37"/>
  <c r="D61" i="37"/>
  <c r="C55" i="39" s="1"/>
  <c r="C53" i="39" s="1"/>
  <c r="C59" i="39" s="1"/>
  <c r="D60" i="37"/>
  <c r="D56" i="37"/>
  <c r="I47" i="37"/>
  <c r="H47" i="37"/>
  <c r="G47" i="37"/>
  <c r="F47" i="37"/>
  <c r="E47" i="37"/>
  <c r="D47" i="37"/>
  <c r="I41" i="37"/>
  <c r="H26" i="39" s="1"/>
  <c r="H41" i="37"/>
  <c r="G26" i="39" s="1"/>
  <c r="G41" i="37"/>
  <c r="F26" i="39" s="1"/>
  <c r="F41" i="37"/>
  <c r="E26" i="39" s="1"/>
  <c r="E41" i="37"/>
  <c r="D26" i="39" s="1"/>
  <c r="I37" i="37"/>
  <c r="H37" i="37"/>
  <c r="G37" i="37"/>
  <c r="F37" i="37"/>
  <c r="E37" i="37"/>
  <c r="D37" i="37"/>
  <c r="D36" i="37" s="1"/>
  <c r="E34" i="37"/>
  <c r="F34" i="37" s="1"/>
  <c r="G34" i="37" s="1"/>
  <c r="H34" i="37" s="1"/>
  <c r="I34" i="37" s="1"/>
  <c r="E33" i="37"/>
  <c r="F33" i="37" s="1"/>
  <c r="G33" i="37" s="1"/>
  <c r="H33" i="37" s="1"/>
  <c r="I33" i="37" s="1"/>
  <c r="E32" i="37"/>
  <c r="F32" i="37" s="1"/>
  <c r="D30" i="37"/>
  <c r="E29" i="37"/>
  <c r="F29" i="37" s="1"/>
  <c r="G29" i="37" s="1"/>
  <c r="H29" i="37" s="1"/>
  <c r="I29" i="37" s="1"/>
  <c r="E28" i="37"/>
  <c r="F28" i="37" s="1"/>
  <c r="G28" i="37" s="1"/>
  <c r="H28" i="37" s="1"/>
  <c r="I28" i="37" s="1"/>
  <c r="E27" i="37"/>
  <c r="F27" i="37" s="1"/>
  <c r="G27" i="37" s="1"/>
  <c r="H27" i="37" s="1"/>
  <c r="I27" i="37" s="1"/>
  <c r="D26" i="37"/>
  <c r="E26" i="37" s="1"/>
  <c r="F26" i="37" s="1"/>
  <c r="G26" i="37" s="1"/>
  <c r="H26" i="37" s="1"/>
  <c r="I26" i="37" s="1"/>
  <c r="P26" i="37" s="1"/>
  <c r="E25" i="37"/>
  <c r="F25" i="37" s="1"/>
  <c r="G25" i="37" s="1"/>
  <c r="H25" i="37" s="1"/>
  <c r="I25" i="37" s="1"/>
  <c r="E24" i="37"/>
  <c r="F24" i="37" s="1"/>
  <c r="G24" i="37" s="1"/>
  <c r="H24" i="37" s="1"/>
  <c r="I24" i="37" s="1"/>
  <c r="E23" i="37"/>
  <c r="F23" i="37" s="1"/>
  <c r="D21" i="37"/>
  <c r="D20" i="37" s="1"/>
  <c r="E19" i="37"/>
  <c r="F19" i="37" s="1"/>
  <c r="E18" i="37"/>
  <c r="D17" i="37"/>
  <c r="C16" i="39" s="1"/>
  <c r="C37" i="39" s="1"/>
  <c r="E16" i="37"/>
  <c r="D14" i="39" s="1"/>
  <c r="E15" i="37"/>
  <c r="D13" i="39" s="1"/>
  <c r="D14" i="37"/>
  <c r="C12" i="39" s="1"/>
  <c r="A11" i="37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P9" i="37"/>
  <c r="O9" i="37"/>
  <c r="N9" i="37"/>
  <c r="M9" i="37"/>
  <c r="L9" i="37"/>
  <c r="E17" i="37" l="1"/>
  <c r="D16" i="39" s="1"/>
  <c r="D37" i="39" s="1"/>
  <c r="F36" i="37"/>
  <c r="E59" i="39"/>
  <c r="H59" i="39"/>
  <c r="D13" i="37"/>
  <c r="D11" i="37" s="1"/>
  <c r="D78" i="37" s="1"/>
  <c r="F18" i="37"/>
  <c r="G18" i="37" s="1"/>
  <c r="F59" i="39"/>
  <c r="E14" i="37"/>
  <c r="D12" i="39" s="1"/>
  <c r="D33" i="39" s="1"/>
  <c r="H36" i="37"/>
  <c r="D12" i="38"/>
  <c r="E36" i="37"/>
  <c r="G36" i="37"/>
  <c r="I36" i="37"/>
  <c r="J14" i="38"/>
  <c r="N34" i="39"/>
  <c r="N35" i="39" s="1"/>
  <c r="C35" i="39" s="1"/>
  <c r="E13" i="38"/>
  <c r="E12" i="38" s="1"/>
  <c r="E35" i="38" s="1"/>
  <c r="J19" i="38"/>
  <c r="F35" i="38"/>
  <c r="F76" i="37" s="1"/>
  <c r="E50" i="39" s="1"/>
  <c r="E51" i="39" s="1"/>
  <c r="D35" i="38"/>
  <c r="D76" i="37" s="1"/>
  <c r="C50" i="39" s="1"/>
  <c r="C51" i="39" s="1"/>
  <c r="G19" i="37"/>
  <c r="H19" i="37" s="1"/>
  <c r="I19" i="37" s="1"/>
  <c r="F17" i="37"/>
  <c r="E16" i="39" s="1"/>
  <c r="E37" i="39" s="1"/>
  <c r="E30" i="37"/>
  <c r="H18" i="37"/>
  <c r="G23" i="37"/>
  <c r="F21" i="37"/>
  <c r="C5" i="39"/>
  <c r="G32" i="37"/>
  <c r="F30" i="37"/>
  <c r="D55" i="39"/>
  <c r="D53" i="39" s="1"/>
  <c r="D59" i="39" s="1"/>
  <c r="E84" i="37"/>
  <c r="F84" i="37" s="1"/>
  <c r="G84" i="37" s="1"/>
  <c r="H84" i="37" s="1"/>
  <c r="I84" i="37" s="1"/>
  <c r="H18" i="38"/>
  <c r="G16" i="38"/>
  <c r="D41" i="38"/>
  <c r="F46" i="38"/>
  <c r="F44" i="38"/>
  <c r="F41" i="38"/>
  <c r="D35" i="37"/>
  <c r="D44" i="37" s="1"/>
  <c r="C70" i="39"/>
  <c r="C11" i="39"/>
  <c r="C33" i="39"/>
  <c r="F14" i="37"/>
  <c r="F15" i="37"/>
  <c r="F16" i="37"/>
  <c r="E21" i="37"/>
  <c r="J27" i="38"/>
  <c r="N41" i="39"/>
  <c r="N42" i="39" s="1"/>
  <c r="E76" i="37" l="1"/>
  <c r="D50" i="39" s="1"/>
  <c r="D51" i="39" s="1"/>
  <c r="E44" i="38"/>
  <c r="E41" i="38"/>
  <c r="E46" i="38"/>
  <c r="E13" i="37"/>
  <c r="E11" i="37" s="1"/>
  <c r="E35" i="37" s="1"/>
  <c r="E44" i="37" s="1"/>
  <c r="D11" i="39"/>
  <c r="E20" i="37"/>
  <c r="M20" i="37" s="1"/>
  <c r="D46" i="38"/>
  <c r="C34" i="39"/>
  <c r="C32" i="39" s="1"/>
  <c r="D44" i="38"/>
  <c r="G17" i="37"/>
  <c r="F16" i="39" s="1"/>
  <c r="F37" i="39" s="1"/>
  <c r="D5" i="39"/>
  <c r="E58" i="37"/>
  <c r="E60" i="37" s="1"/>
  <c r="E13" i="39"/>
  <c r="G15" i="37"/>
  <c r="E78" i="37"/>
  <c r="M11" i="37"/>
  <c r="E54" i="37"/>
  <c r="E56" i="37" s="1"/>
  <c r="C74" i="39"/>
  <c r="D69" i="39"/>
  <c r="D70" i="39" s="1"/>
  <c r="D45" i="37"/>
  <c r="D79" i="37" s="1"/>
  <c r="D80" i="37" s="1"/>
  <c r="I18" i="38"/>
  <c r="H16" i="38"/>
  <c r="H13" i="38" s="1"/>
  <c r="H12" i="38" s="1"/>
  <c r="H35" i="38" s="1"/>
  <c r="N11" i="39"/>
  <c r="H32" i="37"/>
  <c r="G30" i="37"/>
  <c r="C21" i="39"/>
  <c r="C42" i="39" s="1"/>
  <c r="C19" i="39"/>
  <c r="C20" i="39"/>
  <c r="C41" i="39" s="1"/>
  <c r="H23" i="37"/>
  <c r="G21" i="37"/>
  <c r="E14" i="39"/>
  <c r="G16" i="37"/>
  <c r="E12" i="39"/>
  <c r="G14" i="37"/>
  <c r="F13" i="37"/>
  <c r="F11" i="37" s="1"/>
  <c r="G13" i="38"/>
  <c r="I18" i="37"/>
  <c r="I17" i="37" s="1"/>
  <c r="H16" i="39" s="1"/>
  <c r="H37" i="39" s="1"/>
  <c r="H17" i="37"/>
  <c r="G16" i="39" s="1"/>
  <c r="G37" i="39" s="1"/>
  <c r="F20" i="37"/>
  <c r="D46" i="37" l="1"/>
  <c r="D83" i="37" s="1"/>
  <c r="G20" i="37"/>
  <c r="G58" i="37" s="1"/>
  <c r="G60" i="37" s="1"/>
  <c r="E5" i="39"/>
  <c r="F58" i="37"/>
  <c r="F60" i="37" s="1"/>
  <c r="N20" i="37"/>
  <c r="F12" i="39"/>
  <c r="H14" i="37"/>
  <c r="G13" i="37"/>
  <c r="G11" i="37" s="1"/>
  <c r="F14" i="39"/>
  <c r="H16" i="37"/>
  <c r="N32" i="39"/>
  <c r="I23" i="37"/>
  <c r="I21" i="37" s="1"/>
  <c r="H21" i="37"/>
  <c r="C40" i="39"/>
  <c r="I32" i="37"/>
  <c r="I30" i="37" s="1"/>
  <c r="H30" i="37"/>
  <c r="I16" i="38"/>
  <c r="J18" i="38"/>
  <c r="D20" i="39"/>
  <c r="D41" i="39" s="1"/>
  <c r="D21" i="39"/>
  <c r="D42" i="39" s="1"/>
  <c r="D19" i="39"/>
  <c r="C23" i="39"/>
  <c r="C44" i="39" s="1"/>
  <c r="G12" i="38"/>
  <c r="G35" i="38" s="1"/>
  <c r="F54" i="37"/>
  <c r="F56" i="37" s="1"/>
  <c r="E34" i="39" s="1"/>
  <c r="N11" i="37"/>
  <c r="F35" i="37"/>
  <c r="F44" i="37" s="1"/>
  <c r="E11" i="39"/>
  <c r="E33" i="39"/>
  <c r="O20" i="37"/>
  <c r="H46" i="38"/>
  <c r="H44" i="38"/>
  <c r="H41" i="38"/>
  <c r="H76" i="37"/>
  <c r="G50" i="39" s="1"/>
  <c r="G51" i="39" s="1"/>
  <c r="N47" i="39"/>
  <c r="L46" i="37"/>
  <c r="D74" i="39"/>
  <c r="E69" i="39"/>
  <c r="E70" i="39" s="1"/>
  <c r="D35" i="39"/>
  <c r="D34" i="39"/>
  <c r="E45" i="37"/>
  <c r="E46" i="37" s="1"/>
  <c r="F13" i="39"/>
  <c r="H15" i="37"/>
  <c r="E79" i="37"/>
  <c r="E80" i="37" s="1"/>
  <c r="F5" i="39" l="1"/>
  <c r="E35" i="39"/>
  <c r="F78" i="37"/>
  <c r="O47" i="39"/>
  <c r="E83" i="37"/>
  <c r="M46" i="37"/>
  <c r="F45" i="37"/>
  <c r="F46" i="37" s="1"/>
  <c r="I13" i="38"/>
  <c r="J16" i="38"/>
  <c r="G14" i="39"/>
  <c r="I16" i="37"/>
  <c r="H14" i="39" s="1"/>
  <c r="G78" i="37"/>
  <c r="G35" i="37"/>
  <c r="G44" i="37" s="1"/>
  <c r="O11" i="37"/>
  <c r="G54" i="37"/>
  <c r="F33" i="39"/>
  <c r="F11" i="39"/>
  <c r="E21" i="39"/>
  <c r="E42" i="39" s="1"/>
  <c r="E19" i="39"/>
  <c r="E20" i="39"/>
  <c r="E41" i="39" s="1"/>
  <c r="E32" i="39"/>
  <c r="C39" i="39"/>
  <c r="I20" i="37"/>
  <c r="G13" i="39"/>
  <c r="I15" i="37"/>
  <c r="H13" i="39" s="1"/>
  <c r="E74" i="39"/>
  <c r="F69" i="39"/>
  <c r="F70" i="39" s="1"/>
  <c r="F20" i="39"/>
  <c r="F41" i="39" s="1"/>
  <c r="F21" i="39"/>
  <c r="F42" i="39" s="1"/>
  <c r="F19" i="39"/>
  <c r="O11" i="39"/>
  <c r="G46" i="38"/>
  <c r="G44" i="38"/>
  <c r="G41" i="38"/>
  <c r="G76" i="37"/>
  <c r="F50" i="39" s="1"/>
  <c r="F51" i="39" s="1"/>
  <c r="D40" i="39"/>
  <c r="N33" i="39"/>
  <c r="Y32" i="39"/>
  <c r="G12" i="39"/>
  <c r="I14" i="37"/>
  <c r="H13" i="37"/>
  <c r="H11" i="37" s="1"/>
  <c r="D32" i="39"/>
  <c r="D23" i="39"/>
  <c r="D44" i="39" s="1"/>
  <c r="C18" i="39"/>
  <c r="C17" i="39" s="1"/>
  <c r="C25" i="39" s="1"/>
  <c r="H20" i="37"/>
  <c r="F79" i="37" l="1"/>
  <c r="F80" i="37" s="1"/>
  <c r="G5" i="39"/>
  <c r="H58" i="37"/>
  <c r="H60" i="37" s="1"/>
  <c r="H54" i="37"/>
  <c r="H56" i="37" s="1"/>
  <c r="G34" i="39" s="1"/>
  <c r="H35" i="37"/>
  <c r="H44" i="37" s="1"/>
  <c r="G11" i="39"/>
  <c r="G33" i="39"/>
  <c r="F40" i="39"/>
  <c r="F74" i="39"/>
  <c r="G69" i="39"/>
  <c r="G70" i="39" s="1"/>
  <c r="H5" i="39"/>
  <c r="I58" i="37"/>
  <c r="I60" i="37" s="1"/>
  <c r="P20" i="37"/>
  <c r="P32" i="39"/>
  <c r="O31" i="39"/>
  <c r="P11" i="39"/>
  <c r="G56" i="37"/>
  <c r="G45" i="37"/>
  <c r="G46" i="37" s="1"/>
  <c r="P47" i="39"/>
  <c r="F83" i="37"/>
  <c r="N46" i="37"/>
  <c r="D18" i="39"/>
  <c r="D17" i="39" s="1"/>
  <c r="F23" i="39"/>
  <c r="F44" i="39" s="1"/>
  <c r="C28" i="39"/>
  <c r="C45" i="39" s="1"/>
  <c r="C38" i="39" s="1"/>
  <c r="O32" i="39"/>
  <c r="N31" i="39"/>
  <c r="H12" i="39"/>
  <c r="I13" i="37"/>
  <c r="I11" i="37" s="1"/>
  <c r="N38" i="39"/>
  <c r="N39" i="39" s="1"/>
  <c r="E40" i="39"/>
  <c r="I12" i="38"/>
  <c r="I35" i="38" s="1"/>
  <c r="J13" i="38"/>
  <c r="J12" i="38" s="1"/>
  <c r="D39" i="39"/>
  <c r="E23" i="39"/>
  <c r="E44" i="39" s="1"/>
  <c r="G35" i="39"/>
  <c r="H78" i="37" l="1"/>
  <c r="Q47" i="39"/>
  <c r="G83" i="37"/>
  <c r="O46" i="37"/>
  <c r="O38" i="39"/>
  <c r="O39" i="39" s="1"/>
  <c r="I76" i="37"/>
  <c r="H50" i="39" s="1"/>
  <c r="H51" i="39" s="1"/>
  <c r="J35" i="38"/>
  <c r="H33" i="39"/>
  <c r="H11" i="39"/>
  <c r="O33" i="39"/>
  <c r="Z32" i="39"/>
  <c r="N17" i="39"/>
  <c r="D25" i="39"/>
  <c r="H20" i="39"/>
  <c r="H41" i="39" s="1"/>
  <c r="H21" i="39"/>
  <c r="H42" i="39" s="1"/>
  <c r="H19" i="39"/>
  <c r="Q11" i="39"/>
  <c r="G21" i="39"/>
  <c r="G42" i="39" s="1"/>
  <c r="G19" i="39"/>
  <c r="G20" i="39"/>
  <c r="G41" i="39" s="1"/>
  <c r="E39" i="39"/>
  <c r="G79" i="37"/>
  <c r="G80" i="37" s="1"/>
  <c r="F18" i="39"/>
  <c r="F17" i="39" s="1"/>
  <c r="D68" i="39"/>
  <c r="C47" i="39"/>
  <c r="I78" i="37"/>
  <c r="I35" i="37"/>
  <c r="I44" i="37" s="1"/>
  <c r="P11" i="37"/>
  <c r="I54" i="37"/>
  <c r="F34" i="39"/>
  <c r="F35" i="39"/>
  <c r="P33" i="39"/>
  <c r="AA32" i="39"/>
  <c r="G74" i="39"/>
  <c r="H69" i="39"/>
  <c r="H70" i="39" s="1"/>
  <c r="H45" i="37"/>
  <c r="H46" i="37" s="1"/>
  <c r="E18" i="39"/>
  <c r="E17" i="39" s="1"/>
  <c r="C29" i="39"/>
  <c r="F39" i="39"/>
  <c r="G32" i="39"/>
  <c r="F32" i="39" l="1"/>
  <c r="H79" i="37"/>
  <c r="H80" i="37" s="1"/>
  <c r="R47" i="39"/>
  <c r="H83" i="37"/>
  <c r="Q38" i="39"/>
  <c r="Q39" i="39" s="1"/>
  <c r="N29" i="39"/>
  <c r="C30" i="39"/>
  <c r="I56" i="37"/>
  <c r="I45" i="37"/>
  <c r="I79" i="37" s="1"/>
  <c r="I80" i="37" s="1"/>
  <c r="C60" i="39"/>
  <c r="C66" i="39" s="1"/>
  <c r="C67" i="39" s="1"/>
  <c r="N48" i="39"/>
  <c r="H40" i="39"/>
  <c r="D28" i="39"/>
  <c r="D45" i="39" s="1"/>
  <c r="D38" i="39" s="1"/>
  <c r="R11" i="39"/>
  <c r="J46" i="38"/>
  <c r="J41" i="38"/>
  <c r="J44" i="38"/>
  <c r="H23" i="39"/>
  <c r="H44" i="39" s="1"/>
  <c r="R32" i="39"/>
  <c r="Q31" i="39"/>
  <c r="O17" i="39"/>
  <c r="E25" i="39"/>
  <c r="Q32" i="39"/>
  <c r="P31" i="39"/>
  <c r="P17" i="39"/>
  <c r="F25" i="39"/>
  <c r="P38" i="39"/>
  <c r="P39" i="39" s="1"/>
  <c r="G40" i="39"/>
  <c r="E68" i="39"/>
  <c r="G23" i="39"/>
  <c r="G44" i="39" s="1"/>
  <c r="I46" i="37" l="1"/>
  <c r="I83" i="37" s="1"/>
  <c r="F28" i="39"/>
  <c r="F45" i="39" s="1"/>
  <c r="F38" i="39" s="1"/>
  <c r="R33" i="39"/>
  <c r="AC32" i="39"/>
  <c r="N37" i="39"/>
  <c r="D47" i="39"/>
  <c r="S47" i="39"/>
  <c r="P46" i="37"/>
  <c r="H35" i="39"/>
  <c r="H34" i="39"/>
  <c r="G18" i="39"/>
  <c r="G17" i="39" s="1"/>
  <c r="H18" i="39"/>
  <c r="H17" i="39" s="1"/>
  <c r="Q33" i="39"/>
  <c r="AB32" i="39"/>
  <c r="E28" i="39"/>
  <c r="E45" i="39" s="1"/>
  <c r="E38" i="39" s="1"/>
  <c r="G39" i="39"/>
  <c r="D29" i="39"/>
  <c r="H39" i="39"/>
  <c r="H32" i="39" l="1"/>
  <c r="S32" i="39" s="1"/>
  <c r="D30" i="39"/>
  <c r="O29" i="39"/>
  <c r="O37" i="39"/>
  <c r="E47" i="39"/>
  <c r="Q17" i="39"/>
  <c r="G25" i="39"/>
  <c r="R31" i="39"/>
  <c r="P37" i="39"/>
  <c r="F47" i="39"/>
  <c r="S38" i="39"/>
  <c r="S39" i="39" s="1"/>
  <c r="R38" i="39"/>
  <c r="R39" i="39" s="1"/>
  <c r="R17" i="39"/>
  <c r="H25" i="39"/>
  <c r="D60" i="39"/>
  <c r="D66" i="39" s="1"/>
  <c r="D67" i="39" s="1"/>
  <c r="O48" i="39"/>
  <c r="E29" i="39"/>
  <c r="F68" i="39"/>
  <c r="G68" i="39" s="1"/>
  <c r="F29" i="39"/>
  <c r="S31" i="39" l="1"/>
  <c r="H28" i="39"/>
  <c r="H45" i="39" s="1"/>
  <c r="H38" i="39" s="1"/>
  <c r="F30" i="39"/>
  <c r="Q29" i="39"/>
  <c r="P29" i="39"/>
  <c r="E30" i="39"/>
  <c r="F60" i="39"/>
  <c r="F66" i="39" s="1"/>
  <c r="Q48" i="39"/>
  <c r="S33" i="39"/>
  <c r="AD32" i="39"/>
  <c r="G28" i="39"/>
  <c r="G45" i="39" s="1"/>
  <c r="G38" i="39" s="1"/>
  <c r="E60" i="39"/>
  <c r="E66" i="39" s="1"/>
  <c r="E67" i="39" s="1"/>
  <c r="P48" i="39"/>
  <c r="G29" i="39" l="1"/>
  <c r="G30" i="39" s="1"/>
  <c r="H29" i="39"/>
  <c r="Q37" i="39"/>
  <c r="G47" i="39"/>
  <c r="S37" i="39"/>
  <c r="R37" i="39"/>
  <c r="H47" i="39"/>
  <c r="H68" i="39"/>
  <c r="R29" i="39"/>
  <c r="H30" i="39"/>
  <c r="S29" i="39"/>
  <c r="F67" i="39"/>
  <c r="H60" i="39" l="1"/>
  <c r="H66" i="39" s="1"/>
  <c r="S48" i="39"/>
  <c r="G60" i="39"/>
  <c r="G66" i="39" s="1"/>
  <c r="G67" i="39" s="1"/>
  <c r="R48" i="39"/>
  <c r="H67" i="39" l="1"/>
  <c r="T169" i="1" l="1"/>
  <c r="R169" i="1"/>
  <c r="D160" i="31"/>
  <c r="Q238" i="31"/>
  <c r="Q239" i="31"/>
  <c r="Q237" i="31"/>
  <c r="Q236" i="31"/>
  <c r="Q235" i="31"/>
  <c r="Q233" i="31"/>
  <c r="Q231" i="31"/>
  <c r="Q230" i="31"/>
  <c r="Q228" i="31"/>
  <c r="Q226" i="31"/>
  <c r="Q223" i="31"/>
  <c r="Q217" i="31"/>
  <c r="Q215" i="31"/>
  <c r="E198" i="31" l="1"/>
  <c r="E228" i="31" l="1"/>
  <c r="D236" i="31"/>
  <c r="Q227" i="31"/>
  <c r="Q214" i="31"/>
  <c r="Q211" i="31"/>
  <c r="Q193" i="31"/>
  <c r="Q188" i="31"/>
  <c r="Q176" i="31"/>
  <c r="Q154" i="31"/>
  <c r="Q152" i="31"/>
  <c r="Q151" i="31"/>
  <c r="Q150" i="31"/>
  <c r="Q148" i="31"/>
  <c r="Q229" i="31"/>
  <c r="Q225" i="31"/>
  <c r="Q196" i="31"/>
  <c r="D154" i="31"/>
  <c r="U25" i="1"/>
  <c r="U31" i="1"/>
  <c r="N40" i="34"/>
  <c r="Q40" i="34" s="1"/>
  <c r="U64" i="1"/>
  <c r="I65" i="1"/>
  <c r="T65" i="1"/>
  <c r="U66" i="1"/>
  <c r="U67" i="1"/>
  <c r="X67" i="1" s="1"/>
  <c r="AB67" i="1" s="1"/>
  <c r="U68" i="1"/>
  <c r="U81" i="1"/>
  <c r="U82" i="1"/>
  <c r="U86" i="1"/>
  <c r="U83" i="1" s="1"/>
  <c r="N78" i="34" s="1"/>
  <c r="N82" i="34"/>
  <c r="P82" i="34" s="1"/>
  <c r="P78" i="34" s="1"/>
  <c r="N107" i="34"/>
  <c r="R107" i="34" s="1"/>
  <c r="U122" i="1"/>
  <c r="U121" i="1" s="1"/>
  <c r="N118" i="34"/>
  <c r="O118" i="34" s="1"/>
  <c r="N119" i="34"/>
  <c r="O119" i="34" s="1"/>
  <c r="P40" i="34"/>
  <c r="Q116" i="34"/>
  <c r="S40" i="34"/>
  <c r="T40" i="34" s="1"/>
  <c r="U40" i="34" s="1"/>
  <c r="S59" i="34"/>
  <c r="T59" i="34" s="1"/>
  <c r="U59" i="34" s="1"/>
  <c r="S61" i="34"/>
  <c r="T61" i="34" s="1"/>
  <c r="U61" i="34" s="1"/>
  <c r="S62" i="34"/>
  <c r="T62" i="34" s="1"/>
  <c r="U62" i="34" s="1"/>
  <c r="S63" i="34"/>
  <c r="T63" i="34" s="1"/>
  <c r="U63" i="34" s="1"/>
  <c r="S77" i="34"/>
  <c r="T77" i="34" s="1"/>
  <c r="S81" i="34"/>
  <c r="T81" i="34" s="1"/>
  <c r="U81" i="34" s="1"/>
  <c r="S82" i="34"/>
  <c r="T82" i="34" s="1"/>
  <c r="U82" i="34" s="1"/>
  <c r="S107" i="34"/>
  <c r="U107" i="34" s="1"/>
  <c r="S117" i="34"/>
  <c r="T117" i="34" s="1"/>
  <c r="S118" i="34"/>
  <c r="T118" i="34" s="1"/>
  <c r="U118" i="34" s="1"/>
  <c r="S119" i="34"/>
  <c r="T119" i="34" s="1"/>
  <c r="U119" i="34" s="1"/>
  <c r="AI25" i="1"/>
  <c r="AI18" i="1" s="1"/>
  <c r="V26" i="34"/>
  <c r="AI45" i="1"/>
  <c r="AI41" i="1" s="1"/>
  <c r="V36" i="34" s="1"/>
  <c r="V59" i="34"/>
  <c r="X59" i="34" s="1"/>
  <c r="AI65" i="1"/>
  <c r="AL65" i="1" s="1"/>
  <c r="AI66" i="1"/>
  <c r="AI67" i="1"/>
  <c r="AI50" i="1" s="1"/>
  <c r="V45" i="34" s="1"/>
  <c r="V63" i="34"/>
  <c r="X63" i="34" s="1"/>
  <c r="AI81" i="1"/>
  <c r="AI82" i="1"/>
  <c r="AI86" i="1"/>
  <c r="AI83" i="1" s="1"/>
  <c r="AI87" i="1"/>
  <c r="AI112" i="1"/>
  <c r="AI243" i="1"/>
  <c r="AI121" i="1" s="1"/>
  <c r="V116" i="34" s="1"/>
  <c r="V117" i="34"/>
  <c r="W117" i="34" s="1"/>
  <c r="V118" i="34"/>
  <c r="W118" i="34" s="1"/>
  <c r="X118" i="34" s="1"/>
  <c r="V119" i="34"/>
  <c r="W119" i="34" s="1"/>
  <c r="X119" i="34" s="1"/>
  <c r="X26" i="34"/>
  <c r="AG242" i="1"/>
  <c r="V122" i="1"/>
  <c r="V19" i="1"/>
  <c r="N14" i="35" s="1"/>
  <c r="O14" i="35" s="1"/>
  <c r="V7" i="1"/>
  <c r="W18" i="1"/>
  <c r="N13" i="36" s="1"/>
  <c r="J104" i="1"/>
  <c r="H104" i="1"/>
  <c r="W7" i="1"/>
  <c r="T122" i="1"/>
  <c r="S169" i="1"/>
  <c r="X72" i="1"/>
  <c r="AB72" i="1" s="1"/>
  <c r="AE72" i="1"/>
  <c r="AL72" i="1"/>
  <c r="AY72" i="1"/>
  <c r="AZ72" i="1"/>
  <c r="BL7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6" i="1"/>
  <c r="J237" i="1"/>
  <c r="J238" i="1"/>
  <c r="J239" i="1"/>
  <c r="J240" i="1"/>
  <c r="J241" i="1"/>
  <c r="J123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334" i="1"/>
  <c r="J1333" i="1" s="1"/>
  <c r="J244" i="1"/>
  <c r="H44" i="1"/>
  <c r="O40" i="9" s="1"/>
  <c r="P40" i="9" s="1"/>
  <c r="J631" i="1"/>
  <c r="R913" i="1"/>
  <c r="J913" i="1" s="1"/>
  <c r="J915" i="1" s="1"/>
  <c r="AA913" i="1" s="1"/>
  <c r="J1264" i="1"/>
  <c r="B77" i="31"/>
  <c r="I1197" i="1"/>
  <c r="H1197" i="1"/>
  <c r="Y1195" i="1" s="1"/>
  <c r="I1127" i="1"/>
  <c r="Z1126" i="1" s="1"/>
  <c r="H1127" i="1"/>
  <c r="Y1126" i="1" s="1"/>
  <c r="I1040" i="1"/>
  <c r="H1040" i="1"/>
  <c r="Y1039" i="1" s="1"/>
  <c r="I1037" i="1"/>
  <c r="Z1036" i="1" s="1"/>
  <c r="H1037" i="1"/>
  <c r="Y1036" i="1" s="1"/>
  <c r="I1031" i="1"/>
  <c r="H1031" i="1"/>
  <c r="Y1030" i="1" s="1"/>
  <c r="I996" i="1"/>
  <c r="Z994" i="1" s="1"/>
  <c r="H996" i="1"/>
  <c r="Y994" i="1" s="1"/>
  <c r="I810" i="1"/>
  <c r="H810" i="1"/>
  <c r="Y808" i="1" s="1"/>
  <c r="I434" i="1"/>
  <c r="H434" i="1"/>
  <c r="Y433" i="1" s="1"/>
  <c r="I432" i="1"/>
  <c r="H432" i="1"/>
  <c r="Y430" i="1" s="1"/>
  <c r="I429" i="1"/>
  <c r="Z427" i="1" s="1"/>
  <c r="H429" i="1"/>
  <c r="Y427" i="1" s="1"/>
  <c r="I422" i="1"/>
  <c r="H422" i="1"/>
  <c r="Y421" i="1" s="1"/>
  <c r="I414" i="1"/>
  <c r="Z412" i="1" s="1"/>
  <c r="H414" i="1"/>
  <c r="Y412" i="1" s="1"/>
  <c r="I333" i="1"/>
  <c r="H333" i="1"/>
  <c r="Y331" i="1" s="1"/>
  <c r="I1311" i="1"/>
  <c r="H1311" i="1"/>
  <c r="I1305" i="1"/>
  <c r="H1305" i="1"/>
  <c r="Y1303" i="1" s="1"/>
  <c r="I1299" i="1"/>
  <c r="Z1297" i="1" s="1"/>
  <c r="H1299" i="1"/>
  <c r="Y1297" i="1" s="1"/>
  <c r="I1290" i="1"/>
  <c r="H1290" i="1"/>
  <c r="Y1288" i="1" s="1"/>
  <c r="I1278" i="1"/>
  <c r="Z1276" i="1" s="1"/>
  <c r="H1278" i="1"/>
  <c r="Y1276" i="1" s="1"/>
  <c r="I1086" i="1"/>
  <c r="H1086" i="1"/>
  <c r="Y1084" i="1" s="1"/>
  <c r="I1065" i="1"/>
  <c r="H1065" i="1"/>
  <c r="Y1063" i="1" s="1"/>
  <c r="I1056" i="1"/>
  <c r="H1056" i="1"/>
  <c r="Y1054" i="1" s="1"/>
  <c r="I1047" i="1"/>
  <c r="Z1045" i="1" s="1"/>
  <c r="H1047" i="1"/>
  <c r="Y1045" i="1" s="1"/>
  <c r="I938" i="1"/>
  <c r="H938" i="1"/>
  <c r="Y937" i="1" s="1"/>
  <c r="I897" i="1"/>
  <c r="H897" i="1"/>
  <c r="Y895" i="1" s="1"/>
  <c r="I875" i="1"/>
  <c r="H875" i="1"/>
  <c r="Y874" i="1" s="1"/>
  <c r="I869" i="1"/>
  <c r="Z868" i="1" s="1"/>
  <c r="H869" i="1"/>
  <c r="Y868" i="1" s="1"/>
  <c r="I405" i="1"/>
  <c r="H405" i="1"/>
  <c r="Y403" i="1" s="1"/>
  <c r="I864" i="1"/>
  <c r="H864" i="1"/>
  <c r="Y862" i="1" s="1"/>
  <c r="I861" i="1"/>
  <c r="H861" i="1"/>
  <c r="Y859" i="1" s="1"/>
  <c r="I783" i="1"/>
  <c r="Z781" i="1" s="1"/>
  <c r="H783" i="1"/>
  <c r="Y781" i="1" s="1"/>
  <c r="I362" i="1"/>
  <c r="I363" i="1" s="1"/>
  <c r="Z361" i="1" s="1"/>
  <c r="H362" i="1"/>
  <c r="I345" i="1"/>
  <c r="Z343" i="1" s="1"/>
  <c r="H345" i="1"/>
  <c r="Y343" i="1" s="1"/>
  <c r="I342" i="1"/>
  <c r="H342" i="1"/>
  <c r="Y340" i="1" s="1"/>
  <c r="AB249" i="1"/>
  <c r="AB248" i="1"/>
  <c r="AB246" i="1"/>
  <c r="AB245" i="1"/>
  <c r="AB94" i="1"/>
  <c r="AB93" i="1"/>
  <c r="AB77" i="1"/>
  <c r="AB76" i="1"/>
  <c r="AB75" i="1"/>
  <c r="AB74" i="1"/>
  <c r="AB73" i="1"/>
  <c r="AB62" i="1"/>
  <c r="AB61" i="1"/>
  <c r="AB60" i="1"/>
  <c r="AB59" i="1"/>
  <c r="AB58" i="1"/>
  <c r="AB57" i="1"/>
  <c r="AB56" i="1"/>
  <c r="AB55" i="1"/>
  <c r="I1332" i="1"/>
  <c r="Z1330" i="1" s="1"/>
  <c r="H1332" i="1"/>
  <c r="Y1330" i="1" s="1"/>
  <c r="I1329" i="1"/>
  <c r="Z1327" i="1" s="1"/>
  <c r="H1329" i="1"/>
  <c r="I1326" i="1"/>
  <c r="Z1324" i="1" s="1"/>
  <c r="H1326" i="1"/>
  <c r="Y1324" i="1" s="1"/>
  <c r="I1314" i="1"/>
  <c r="Z1312" i="1" s="1"/>
  <c r="H1314" i="1"/>
  <c r="I1293" i="1"/>
  <c r="Z1291" i="1" s="1"/>
  <c r="H1293" i="1"/>
  <c r="Y1291" i="1" s="1"/>
  <c r="I1283" i="1"/>
  <c r="Z1282" i="1" s="1"/>
  <c r="H1283" i="1"/>
  <c r="I1280" i="1"/>
  <c r="Z1279" i="1" s="1"/>
  <c r="H1280" i="1"/>
  <c r="Y1279" i="1" s="1"/>
  <c r="I1107" i="1"/>
  <c r="H1107" i="1"/>
  <c r="Y1105" i="1" s="1"/>
  <c r="I1025" i="1"/>
  <c r="Z1024" i="1" s="1"/>
  <c r="H1025" i="1"/>
  <c r="Y1024" i="1" s="1"/>
  <c r="I975" i="1"/>
  <c r="H975" i="1"/>
  <c r="Y973" i="1" s="1"/>
  <c r="I954" i="1"/>
  <c r="Z952" i="1" s="1"/>
  <c r="H954" i="1"/>
  <c r="I948" i="1"/>
  <c r="Z946" i="1" s="1"/>
  <c r="I936" i="1"/>
  <c r="Z934" i="1" s="1"/>
  <c r="H948" i="1"/>
  <c r="Y946" i="1" s="1"/>
  <c r="H936" i="1"/>
  <c r="H933" i="1"/>
  <c r="Y931" i="1" s="1"/>
  <c r="H930" i="1"/>
  <c r="I912" i="1"/>
  <c r="Z910" i="1" s="1"/>
  <c r="H912" i="1"/>
  <c r="Y910" i="1" s="1"/>
  <c r="I891" i="1"/>
  <c r="Z889" i="1" s="1"/>
  <c r="H891" i="1"/>
  <c r="I888" i="1"/>
  <c r="Z886" i="1" s="1"/>
  <c r="H888" i="1"/>
  <c r="Y886" i="1" s="1"/>
  <c r="I879" i="1"/>
  <c r="Z877" i="1" s="1"/>
  <c r="H879" i="1"/>
  <c r="I866" i="1"/>
  <c r="Z865" i="1" s="1"/>
  <c r="H866" i="1"/>
  <c r="Y865" i="1" s="1"/>
  <c r="I855" i="1"/>
  <c r="Z853" i="1" s="1"/>
  <c r="H855" i="1"/>
  <c r="I852" i="1"/>
  <c r="Z850" i="1" s="1"/>
  <c r="H852" i="1"/>
  <c r="Y850" i="1" s="1"/>
  <c r="I836" i="1"/>
  <c r="H836" i="1"/>
  <c r="Y835" i="1" s="1"/>
  <c r="I834" i="1"/>
  <c r="Z832" i="1" s="1"/>
  <c r="H834" i="1"/>
  <c r="Y832" i="1" s="1"/>
  <c r="I828" i="1"/>
  <c r="Z826" i="1" s="1"/>
  <c r="H828" i="1"/>
  <c r="I777" i="1"/>
  <c r="Z775" i="1" s="1"/>
  <c r="H777" i="1"/>
  <c r="I759" i="1"/>
  <c r="H759" i="1"/>
  <c r="I756" i="1"/>
  <c r="Z754" i="1" s="1"/>
  <c r="H756" i="1"/>
  <c r="Y754" i="1" s="1"/>
  <c r="I729" i="1"/>
  <c r="Z727" i="1" s="1"/>
  <c r="H729" i="1"/>
  <c r="Y727" i="1" s="1"/>
  <c r="I725" i="1"/>
  <c r="Z724" i="1" s="1"/>
  <c r="H725" i="1"/>
  <c r="Y724" i="1" s="1"/>
  <c r="I720" i="1"/>
  <c r="H720" i="1"/>
  <c r="Y718" i="1" s="1"/>
  <c r="I713" i="1"/>
  <c r="Z712" i="1" s="1"/>
  <c r="H713" i="1"/>
  <c r="Y712" i="1" s="1"/>
  <c r="I705" i="1"/>
  <c r="Z703" i="1" s="1"/>
  <c r="H705" i="1"/>
  <c r="Y703" i="1" s="1"/>
  <c r="I699" i="1"/>
  <c r="Z697" i="1" s="1"/>
  <c r="H699" i="1"/>
  <c r="Y697" i="1" s="1"/>
  <c r="I696" i="1"/>
  <c r="Z694" i="1" s="1"/>
  <c r="H696" i="1"/>
  <c r="Y694" i="1" s="1"/>
  <c r="I692" i="1"/>
  <c r="Z691" i="1" s="1"/>
  <c r="H692" i="1"/>
  <c r="Y691" i="1" s="1"/>
  <c r="I677" i="1"/>
  <c r="H677" i="1"/>
  <c r="Y676" i="1" s="1"/>
  <c r="I672" i="1"/>
  <c r="Z670" i="1" s="1"/>
  <c r="H672" i="1"/>
  <c r="Y670" i="1" s="1"/>
  <c r="I669" i="1"/>
  <c r="Z667" i="1" s="1"/>
  <c r="H669" i="1"/>
  <c r="Y667" i="1" s="1"/>
  <c r="I632" i="1"/>
  <c r="Z631" i="1" s="1"/>
  <c r="J632" i="1"/>
  <c r="AA631" i="1" s="1"/>
  <c r="H632" i="1"/>
  <c r="Y631" i="1" s="1"/>
  <c r="I629" i="1"/>
  <c r="H629" i="1"/>
  <c r="Y628" i="1" s="1"/>
  <c r="I623" i="1"/>
  <c r="Z622" i="1" s="1"/>
  <c r="H623" i="1"/>
  <c r="Y622" i="1" s="1"/>
  <c r="I621" i="1"/>
  <c r="H621" i="1"/>
  <c r="Y619" i="1" s="1"/>
  <c r="I606" i="1"/>
  <c r="H606" i="1"/>
  <c r="Y604" i="1" s="1"/>
  <c r="I570" i="1"/>
  <c r="Z568" i="1" s="1"/>
  <c r="H570" i="1"/>
  <c r="Y568" i="1" s="1"/>
  <c r="I563" i="1"/>
  <c r="Z562" i="1" s="1"/>
  <c r="H563" i="1"/>
  <c r="Y562" i="1" s="1"/>
  <c r="I552" i="1"/>
  <c r="H552" i="1"/>
  <c r="Y550" i="1" s="1"/>
  <c r="I486" i="1"/>
  <c r="Z484" i="1" s="1"/>
  <c r="H486" i="1"/>
  <c r="I471" i="1"/>
  <c r="Z469" i="1" s="1"/>
  <c r="H471" i="1"/>
  <c r="Y469" i="1" s="1"/>
  <c r="I437" i="1"/>
  <c r="I402" i="1"/>
  <c r="H402" i="1"/>
  <c r="Y400" i="1" s="1"/>
  <c r="I393" i="1"/>
  <c r="Z391" i="1" s="1"/>
  <c r="H393" i="1"/>
  <c r="Y391" i="1" s="1"/>
  <c r="I384" i="1"/>
  <c r="H384" i="1"/>
  <c r="Y382" i="1" s="1"/>
  <c r="I324" i="1"/>
  <c r="Z322" i="1" s="1"/>
  <c r="H324" i="1"/>
  <c r="Y322" i="1" s="1"/>
  <c r="I321" i="1"/>
  <c r="Z319" i="1" s="1"/>
  <c r="H321" i="1"/>
  <c r="Y319" i="1" s="1"/>
  <c r="I312" i="1"/>
  <c r="Z310" i="1" s="1"/>
  <c r="H312" i="1"/>
  <c r="H309" i="1"/>
  <c r="Y307" i="1" s="1"/>
  <c r="I294" i="1"/>
  <c r="Z292" i="1" s="1"/>
  <c r="H294" i="1"/>
  <c r="Y292" i="1" s="1"/>
  <c r="I282" i="1"/>
  <c r="H282" i="1"/>
  <c r="Y280" i="1" s="1"/>
  <c r="I279" i="1"/>
  <c r="Z277" i="1" s="1"/>
  <c r="H279" i="1"/>
  <c r="Y277" i="1" s="1"/>
  <c r="I276" i="1"/>
  <c r="Z274" i="1" s="1"/>
  <c r="H276" i="1"/>
  <c r="Y274" i="1" s="1"/>
  <c r="H273" i="1"/>
  <c r="Y271" i="1" s="1"/>
  <c r="H258" i="1"/>
  <c r="Y256" i="1" s="1"/>
  <c r="H252" i="1"/>
  <c r="Y250" i="1" s="1"/>
  <c r="H246" i="1"/>
  <c r="Y244" i="1" s="1"/>
  <c r="I1307" i="1"/>
  <c r="Z1306" i="1" s="1"/>
  <c r="H1307" i="1"/>
  <c r="Y1306" i="1" s="1"/>
  <c r="I1131" i="1"/>
  <c r="Z1129" i="1" s="1"/>
  <c r="H1131" i="1"/>
  <c r="Y1129" i="1" s="1"/>
  <c r="I1092" i="1"/>
  <c r="Z1090" i="1" s="1"/>
  <c r="H1092" i="1"/>
  <c r="Y1090" i="1" s="1"/>
  <c r="I1067" i="1"/>
  <c r="Z1066" i="1" s="1"/>
  <c r="H1067" i="1"/>
  <c r="I1049" i="1"/>
  <c r="Z1048" i="1" s="1"/>
  <c r="H1049" i="1"/>
  <c r="Y1048" i="1" s="1"/>
  <c r="I1034" i="1"/>
  <c r="Z1033" i="1" s="1"/>
  <c r="H1034" i="1"/>
  <c r="Y1033" i="1" s="1"/>
  <c r="I915" i="1"/>
  <c r="Z913" i="1" s="1"/>
  <c r="H915" i="1"/>
  <c r="Y913" i="1" s="1"/>
  <c r="I656" i="1"/>
  <c r="Z655" i="1" s="1"/>
  <c r="H656" i="1"/>
  <c r="I645" i="1"/>
  <c r="Z643" i="1" s="1"/>
  <c r="H645" i="1"/>
  <c r="Y643" i="1" s="1"/>
  <c r="I602" i="1"/>
  <c r="Z601" i="1" s="1"/>
  <c r="H602" i="1"/>
  <c r="H591" i="1"/>
  <c r="Y589" i="1" s="1"/>
  <c r="I591" i="1"/>
  <c r="I480" i="1"/>
  <c r="Z478" i="1" s="1"/>
  <c r="H480" i="1"/>
  <c r="I465" i="1"/>
  <c r="Z463" i="1" s="1"/>
  <c r="H465" i="1"/>
  <c r="Y463" i="1" s="1"/>
  <c r="I453" i="1"/>
  <c r="H453" i="1"/>
  <c r="H437" i="1"/>
  <c r="Y436" i="1" s="1"/>
  <c r="I411" i="1"/>
  <c r="Z409" i="1" s="1"/>
  <c r="H411" i="1"/>
  <c r="Y409" i="1" s="1"/>
  <c r="I398" i="1"/>
  <c r="I354" i="1"/>
  <c r="Z352" i="1" s="1"/>
  <c r="H354" i="1"/>
  <c r="Y352" i="1" s="1"/>
  <c r="H339" i="1"/>
  <c r="Y337" i="1" s="1"/>
  <c r="I339" i="1"/>
  <c r="I300" i="1"/>
  <c r="Z298" i="1" s="1"/>
  <c r="H300" i="1"/>
  <c r="Y298" i="1" s="1"/>
  <c r="I297" i="1"/>
  <c r="Z295" i="1" s="1"/>
  <c r="H297" i="1"/>
  <c r="I255" i="1"/>
  <c r="Z253" i="1" s="1"/>
  <c r="Y1327" i="1"/>
  <c r="Z1321" i="1"/>
  <c r="Y1321" i="1"/>
  <c r="Z1318" i="1"/>
  <c r="Y1318" i="1"/>
  <c r="Z1315" i="1"/>
  <c r="Y1315" i="1"/>
  <c r="Y1312" i="1"/>
  <c r="Z1309" i="1"/>
  <c r="Y1309" i="1"/>
  <c r="Z1303" i="1"/>
  <c r="Z1300" i="1"/>
  <c r="Y1300" i="1"/>
  <c r="Z1294" i="1"/>
  <c r="Y1294" i="1"/>
  <c r="Z1288" i="1"/>
  <c r="Z1285" i="1"/>
  <c r="Y1285" i="1"/>
  <c r="Y1282" i="1"/>
  <c r="Z1273" i="1"/>
  <c r="Y1273" i="1"/>
  <c r="Z1270" i="1"/>
  <c r="Y1270" i="1"/>
  <c r="Z1267" i="1"/>
  <c r="Y1267" i="1"/>
  <c r="AA1264" i="1"/>
  <c r="Y1264" i="1"/>
  <c r="Y1261" i="1"/>
  <c r="Y1258" i="1"/>
  <c r="Y1255" i="1"/>
  <c r="Y1252" i="1"/>
  <c r="Y1249" i="1"/>
  <c r="Y1246" i="1"/>
  <c r="Y1243" i="1"/>
  <c r="Y1240" i="1"/>
  <c r="Y1237" i="1"/>
  <c r="Y1234" i="1"/>
  <c r="Y1231" i="1"/>
  <c r="Z1228" i="1"/>
  <c r="Y1228" i="1"/>
  <c r="Z1225" i="1"/>
  <c r="Y1225" i="1"/>
  <c r="Y1222" i="1"/>
  <c r="Y1219" i="1"/>
  <c r="Y1216" i="1"/>
  <c r="Z1213" i="1"/>
  <c r="Y1213" i="1"/>
  <c r="Z1210" i="1"/>
  <c r="Y1210" i="1"/>
  <c r="Y1207" i="1"/>
  <c r="Z1204" i="1"/>
  <c r="Y1204" i="1"/>
  <c r="Z1201" i="1"/>
  <c r="Y1201" i="1"/>
  <c r="Z1198" i="1"/>
  <c r="Y1198" i="1"/>
  <c r="Z1195" i="1"/>
  <c r="Z1192" i="1"/>
  <c r="Y1192" i="1"/>
  <c r="Z1189" i="1"/>
  <c r="Y1189" i="1"/>
  <c r="Z1186" i="1"/>
  <c r="Y1186" i="1"/>
  <c r="Z1183" i="1"/>
  <c r="Y1183" i="1"/>
  <c r="Y1180" i="1"/>
  <c r="Y1177" i="1"/>
  <c r="Z1174" i="1"/>
  <c r="Y1174" i="1"/>
  <c r="Z1171" i="1"/>
  <c r="Y1171" i="1"/>
  <c r="Z1168" i="1"/>
  <c r="Y1168" i="1"/>
  <c r="Y1165" i="1"/>
  <c r="Z1162" i="1"/>
  <c r="Y1162" i="1"/>
  <c r="Z1159" i="1"/>
  <c r="Y1159" i="1"/>
  <c r="Z1156" i="1"/>
  <c r="Y1156" i="1"/>
  <c r="Z1153" i="1"/>
  <c r="Y1153" i="1"/>
  <c r="Y1150" i="1"/>
  <c r="Y1147" i="1"/>
  <c r="Y1144" i="1"/>
  <c r="Y1141" i="1"/>
  <c r="Z1138" i="1"/>
  <c r="Y1138" i="1"/>
  <c r="Z1135" i="1"/>
  <c r="Y1135" i="1"/>
  <c r="Y1132" i="1"/>
  <c r="Z1123" i="1"/>
  <c r="Y1123" i="1"/>
  <c r="Z1120" i="1"/>
  <c r="Y1120" i="1"/>
  <c r="Z1117" i="1"/>
  <c r="Y1117" i="1"/>
  <c r="Z1114" i="1"/>
  <c r="Y1114" i="1"/>
  <c r="Y1111" i="1"/>
  <c r="Y1108" i="1"/>
  <c r="Z1105" i="1"/>
  <c r="Z1102" i="1"/>
  <c r="Y1102" i="1"/>
  <c r="Z1099" i="1"/>
  <c r="Y1099" i="1"/>
  <c r="Y1096" i="1"/>
  <c r="Y1093" i="1"/>
  <c r="Y1087" i="1"/>
  <c r="Z1084" i="1"/>
  <c r="Y1081" i="1"/>
  <c r="Y1078" i="1"/>
  <c r="Z1075" i="1"/>
  <c r="Y1075" i="1"/>
  <c r="Z1072" i="1"/>
  <c r="Y1072" i="1"/>
  <c r="Z1069" i="1"/>
  <c r="Y1069" i="1"/>
  <c r="Y1066" i="1"/>
  <c r="Z1063" i="1"/>
  <c r="Z1060" i="1"/>
  <c r="Y1060" i="1"/>
  <c r="Z1057" i="1"/>
  <c r="Y1057" i="1"/>
  <c r="Z1054" i="1"/>
  <c r="Y1051" i="1"/>
  <c r="Z1042" i="1"/>
  <c r="Y1042" i="1"/>
  <c r="Z1039" i="1"/>
  <c r="Z1030" i="1"/>
  <c r="Z1027" i="1"/>
  <c r="Y1027" i="1"/>
  <c r="Y1021" i="1"/>
  <c r="Y1018" i="1"/>
  <c r="Y1015" i="1"/>
  <c r="Y1012" i="1"/>
  <c r="Y1009" i="1"/>
  <c r="Z1006" i="1"/>
  <c r="Y1006" i="1"/>
  <c r="Y1003" i="1"/>
  <c r="Y1000" i="1"/>
  <c r="Z997" i="1"/>
  <c r="Y997" i="1"/>
  <c r="Z991" i="1"/>
  <c r="Y991" i="1"/>
  <c r="Z988" i="1"/>
  <c r="Y988" i="1"/>
  <c r="Z985" i="1"/>
  <c r="Y985" i="1"/>
  <c r="Z982" i="1"/>
  <c r="Y982" i="1"/>
  <c r="Y979" i="1"/>
  <c r="Y976" i="1"/>
  <c r="Y970" i="1"/>
  <c r="Z967" i="1"/>
  <c r="Y967" i="1"/>
  <c r="Z964" i="1"/>
  <c r="Y964" i="1"/>
  <c r="Z961" i="1"/>
  <c r="Y961" i="1"/>
  <c r="Y958" i="1"/>
  <c r="Z955" i="1"/>
  <c r="Y955" i="1"/>
  <c r="Y952" i="1"/>
  <c r="Z949" i="1"/>
  <c r="Y949" i="1"/>
  <c r="Z943" i="1"/>
  <c r="Y943" i="1"/>
  <c r="Z940" i="1"/>
  <c r="Y940" i="1"/>
  <c r="Z937" i="1"/>
  <c r="Y934" i="1"/>
  <c r="Z928" i="1"/>
  <c r="Y928" i="1"/>
  <c r="Z925" i="1"/>
  <c r="Y925" i="1"/>
  <c r="Z922" i="1"/>
  <c r="Y922" i="1"/>
  <c r="Z919" i="1"/>
  <c r="Y919" i="1"/>
  <c r="Z916" i="1"/>
  <c r="Y916" i="1"/>
  <c r="Z907" i="1"/>
  <c r="Y907" i="1"/>
  <c r="Z904" i="1"/>
  <c r="Y904" i="1"/>
  <c r="Z901" i="1"/>
  <c r="Y901" i="1"/>
  <c r="Z898" i="1"/>
  <c r="Y898" i="1"/>
  <c r="Z895" i="1"/>
  <c r="Y892" i="1"/>
  <c r="Y889" i="1"/>
  <c r="Z883" i="1"/>
  <c r="Y883" i="1"/>
  <c r="Z880" i="1"/>
  <c r="Y880" i="1"/>
  <c r="Y877" i="1"/>
  <c r="Z874" i="1"/>
  <c r="Y871" i="1"/>
  <c r="Z862" i="1"/>
  <c r="Z859" i="1"/>
  <c r="Z856" i="1"/>
  <c r="Y856" i="1"/>
  <c r="Y853" i="1"/>
  <c r="Y847" i="1"/>
  <c r="Y844" i="1"/>
  <c r="Y841" i="1"/>
  <c r="Z838" i="1"/>
  <c r="Y838" i="1"/>
  <c r="Y829" i="1"/>
  <c r="Y826" i="1"/>
  <c r="Z823" i="1"/>
  <c r="Y823" i="1"/>
  <c r="Y820" i="1"/>
  <c r="Z817" i="1"/>
  <c r="Y817" i="1"/>
  <c r="Z814" i="1"/>
  <c r="Y814" i="1"/>
  <c r="Z811" i="1"/>
  <c r="Y811" i="1"/>
  <c r="Z808" i="1"/>
  <c r="Y805" i="1"/>
  <c r="Y802" i="1"/>
  <c r="Y799" i="1"/>
  <c r="Z796" i="1"/>
  <c r="Y796" i="1"/>
  <c r="Z793" i="1"/>
  <c r="Y793" i="1"/>
  <c r="Y790" i="1"/>
  <c r="Y787" i="1"/>
  <c r="Y784" i="1"/>
  <c r="Z778" i="1"/>
  <c r="Y778" i="1"/>
  <c r="Y775" i="1"/>
  <c r="Z772" i="1"/>
  <c r="Y772" i="1"/>
  <c r="Y769" i="1"/>
  <c r="Y766" i="1"/>
  <c r="Z763" i="1"/>
  <c r="Y763" i="1"/>
  <c r="Y760" i="1"/>
  <c r="Y757" i="1"/>
  <c r="Y751" i="1"/>
  <c r="Z748" i="1"/>
  <c r="Y748" i="1"/>
  <c r="Z745" i="1"/>
  <c r="Y745" i="1"/>
  <c r="Z742" i="1"/>
  <c r="Y742" i="1"/>
  <c r="Y739" i="1"/>
  <c r="Z736" i="1"/>
  <c r="Y736" i="1"/>
  <c r="Z733" i="1"/>
  <c r="Y733" i="1"/>
  <c r="Z730" i="1"/>
  <c r="Y730" i="1"/>
  <c r="Z721" i="1"/>
  <c r="Y721" i="1"/>
  <c r="Z718" i="1"/>
  <c r="Z715" i="1"/>
  <c r="Y715" i="1"/>
  <c r="Y709" i="1"/>
  <c r="Z706" i="1"/>
  <c r="Y706" i="1"/>
  <c r="Z700" i="1"/>
  <c r="Y700" i="1"/>
  <c r="Z688" i="1"/>
  <c r="Y688" i="1"/>
  <c r="Z685" i="1"/>
  <c r="Y685" i="1"/>
  <c r="Z682" i="1"/>
  <c r="Y682" i="1"/>
  <c r="Z679" i="1"/>
  <c r="Y679" i="1"/>
  <c r="Z673" i="1"/>
  <c r="Y673" i="1"/>
  <c r="Z664" i="1"/>
  <c r="Y664" i="1"/>
  <c r="Z661" i="1"/>
  <c r="Y661" i="1"/>
  <c r="Z658" i="1"/>
  <c r="Y658" i="1"/>
  <c r="Y655" i="1"/>
  <c r="Z652" i="1"/>
  <c r="Y652" i="1"/>
  <c r="Z649" i="1"/>
  <c r="Y649" i="1"/>
  <c r="Z646" i="1"/>
  <c r="Y646" i="1"/>
  <c r="Z640" i="1"/>
  <c r="Y640" i="1"/>
  <c r="Z637" i="1"/>
  <c r="Y637" i="1"/>
  <c r="Z634" i="1"/>
  <c r="Y634" i="1"/>
  <c r="Z628" i="1"/>
  <c r="Z625" i="1"/>
  <c r="Y625" i="1"/>
  <c r="Z619" i="1"/>
  <c r="Z616" i="1"/>
  <c r="Y616" i="1"/>
  <c r="Z613" i="1"/>
  <c r="Y613" i="1"/>
  <c r="Z610" i="1"/>
  <c r="Y610" i="1"/>
  <c r="Z607" i="1"/>
  <c r="Y607" i="1"/>
  <c r="Z604" i="1"/>
  <c r="Y601" i="1"/>
  <c r="Z598" i="1"/>
  <c r="Y598" i="1"/>
  <c r="Z595" i="1"/>
  <c r="Y595" i="1"/>
  <c r="Z592" i="1"/>
  <c r="Y592" i="1"/>
  <c r="Z589" i="1"/>
  <c r="Z586" i="1"/>
  <c r="Y586" i="1"/>
  <c r="Z583" i="1"/>
  <c r="Y583" i="1"/>
  <c r="Z580" i="1"/>
  <c r="Y580" i="1"/>
  <c r="Z577" i="1"/>
  <c r="Y577" i="1"/>
  <c r="Z574" i="1"/>
  <c r="Y574" i="1"/>
  <c r="Z571" i="1"/>
  <c r="Y571" i="1"/>
  <c r="Z565" i="1"/>
  <c r="Y565" i="1"/>
  <c r="Z559" i="1"/>
  <c r="Y559" i="1"/>
  <c r="Z556" i="1"/>
  <c r="Y556" i="1"/>
  <c r="Z553" i="1"/>
  <c r="Y553" i="1"/>
  <c r="Z547" i="1"/>
  <c r="Y547" i="1"/>
  <c r="Z544" i="1"/>
  <c r="Y544" i="1"/>
  <c r="Z541" i="1"/>
  <c r="Y541" i="1"/>
  <c r="Z538" i="1"/>
  <c r="Y538" i="1"/>
  <c r="Z535" i="1"/>
  <c r="Y535" i="1"/>
  <c r="Z532" i="1"/>
  <c r="Y532" i="1"/>
  <c r="Z529" i="1"/>
  <c r="Y529" i="1"/>
  <c r="Z526" i="1"/>
  <c r="Y526" i="1"/>
  <c r="Z523" i="1"/>
  <c r="Y523" i="1"/>
  <c r="Z520" i="1"/>
  <c r="Y520" i="1"/>
  <c r="Z517" i="1"/>
  <c r="Y517" i="1"/>
  <c r="Z514" i="1"/>
  <c r="Y514" i="1"/>
  <c r="Z511" i="1"/>
  <c r="Y511" i="1"/>
  <c r="Y508" i="1"/>
  <c r="Y505" i="1"/>
  <c r="Z502" i="1"/>
  <c r="Y502" i="1"/>
  <c r="Z499" i="1"/>
  <c r="Y499" i="1"/>
  <c r="Y496" i="1"/>
  <c r="Z493" i="1"/>
  <c r="Y493" i="1"/>
  <c r="Y490" i="1"/>
  <c r="Z487" i="1"/>
  <c r="Y487" i="1"/>
  <c r="Z481" i="1"/>
  <c r="Y481" i="1"/>
  <c r="Y478" i="1"/>
  <c r="Z475" i="1"/>
  <c r="Y475" i="1"/>
  <c r="Z472" i="1"/>
  <c r="Y472" i="1"/>
  <c r="Z466" i="1"/>
  <c r="Y466" i="1"/>
  <c r="Z460" i="1"/>
  <c r="Y460" i="1"/>
  <c r="Z457" i="1"/>
  <c r="Y457" i="1"/>
  <c r="Z454" i="1"/>
  <c r="Y454" i="1"/>
  <c r="Z451" i="1"/>
  <c r="Y451" i="1"/>
  <c r="Z448" i="1"/>
  <c r="Y448" i="1"/>
  <c r="Z445" i="1"/>
  <c r="Y445" i="1"/>
  <c r="Z442" i="1"/>
  <c r="Y442" i="1"/>
  <c r="Z439" i="1"/>
  <c r="Y439" i="1"/>
  <c r="Z436" i="1"/>
  <c r="Z433" i="1"/>
  <c r="Z430" i="1"/>
  <c r="Z424" i="1"/>
  <c r="Y424" i="1"/>
  <c r="Z421" i="1"/>
  <c r="Y418" i="1"/>
  <c r="Z415" i="1"/>
  <c r="Y415" i="1"/>
  <c r="Z406" i="1"/>
  <c r="Y406" i="1"/>
  <c r="Z403" i="1"/>
  <c r="Z400" i="1"/>
  <c r="Z397" i="1"/>
  <c r="Y397" i="1"/>
  <c r="Z394" i="1"/>
  <c r="Y394" i="1"/>
  <c r="Z388" i="1"/>
  <c r="Y388" i="1"/>
  <c r="Z385" i="1"/>
  <c r="Y385" i="1"/>
  <c r="Z379" i="1"/>
  <c r="Y379" i="1"/>
  <c r="Z376" i="1"/>
  <c r="Y376" i="1"/>
  <c r="Z373" i="1"/>
  <c r="Y373" i="1"/>
  <c r="Z370" i="1"/>
  <c r="Y370" i="1"/>
  <c r="Z367" i="1"/>
  <c r="Y367" i="1"/>
  <c r="Z364" i="1"/>
  <c r="Y364" i="1"/>
  <c r="Z358" i="1"/>
  <c r="Y358" i="1"/>
  <c r="Z355" i="1"/>
  <c r="Y355" i="1"/>
  <c r="Z349" i="1"/>
  <c r="Y349" i="1"/>
  <c r="Z346" i="1"/>
  <c r="Y346" i="1"/>
  <c r="Z340" i="1"/>
  <c r="Z337" i="1"/>
  <c r="Z334" i="1"/>
  <c r="Y334" i="1"/>
  <c r="Z331" i="1"/>
  <c r="Z328" i="1"/>
  <c r="Y328" i="1"/>
  <c r="Y325" i="1"/>
  <c r="Z316" i="1"/>
  <c r="Y316" i="1"/>
  <c r="Z313" i="1"/>
  <c r="Y313" i="1"/>
  <c r="Y310" i="1"/>
  <c r="Z307" i="1"/>
  <c r="Z304" i="1"/>
  <c r="Y304" i="1"/>
  <c r="Z301" i="1"/>
  <c r="Y301" i="1"/>
  <c r="Y295" i="1"/>
  <c r="Z289" i="1"/>
  <c r="Y289" i="1"/>
  <c r="Y286" i="1"/>
  <c r="Y283" i="1"/>
  <c r="Z280" i="1"/>
  <c r="Y268" i="1"/>
  <c r="Y265" i="1"/>
  <c r="Y262" i="1"/>
  <c r="Y259" i="1"/>
  <c r="Y253" i="1"/>
  <c r="Z250" i="1"/>
  <c r="Z247" i="1"/>
  <c r="Y247" i="1"/>
  <c r="Z244" i="1"/>
  <c r="I243" i="1"/>
  <c r="I1266" i="1"/>
  <c r="Z1264" i="1" s="1"/>
  <c r="I1263" i="1"/>
  <c r="Z1261" i="1" s="1"/>
  <c r="I1260" i="1"/>
  <c r="Z1258" i="1" s="1"/>
  <c r="I1257" i="1"/>
  <c r="I1253" i="1"/>
  <c r="Z1252" i="1" s="1"/>
  <c r="I1251" i="1"/>
  <c r="Z1249" i="1" s="1"/>
  <c r="I1248" i="1"/>
  <c r="Z1246" i="1" s="1"/>
  <c r="I1244" i="1"/>
  <c r="I1242" i="1"/>
  <c r="Z1240" i="1" s="1"/>
  <c r="I1239" i="1"/>
  <c r="Z1237" i="1" s="1"/>
  <c r="I1235" i="1"/>
  <c r="Z1234" i="1" s="1"/>
  <c r="I1233" i="1"/>
  <c r="I1224" i="1"/>
  <c r="Z1222" i="1" s="1"/>
  <c r="I1220" i="1"/>
  <c r="Z1219" i="1" s="1"/>
  <c r="I1218" i="1"/>
  <c r="Z1216" i="1" s="1"/>
  <c r="I1209" i="1"/>
  <c r="Z1207" i="1" s="1"/>
  <c r="I1182" i="1"/>
  <c r="Z1180" i="1" s="1"/>
  <c r="I1179" i="1"/>
  <c r="Z1177" i="1" s="1"/>
  <c r="I1167" i="1"/>
  <c r="Z1165" i="1" s="1"/>
  <c r="I1151" i="1"/>
  <c r="Z1150" i="1" s="1"/>
  <c r="I1149" i="1"/>
  <c r="Z1147" i="1" s="1"/>
  <c r="I1146" i="1"/>
  <c r="Z1144" i="1" s="1"/>
  <c r="I1142" i="1"/>
  <c r="Z1141" i="1" s="1"/>
  <c r="I1133" i="1"/>
  <c r="Z1132" i="1" s="1"/>
  <c r="I1113" i="1"/>
  <c r="Z1111" i="1" s="1"/>
  <c r="I1110" i="1"/>
  <c r="Z1108" i="1" s="1"/>
  <c r="I1098" i="1"/>
  <c r="I1095" i="1"/>
  <c r="I1089" i="1"/>
  <c r="Z1087" i="1" s="1"/>
  <c r="I1083" i="1"/>
  <c r="Z1081" i="1" s="1"/>
  <c r="I1080" i="1"/>
  <c r="I1053" i="1"/>
  <c r="Z1051" i="1" s="1"/>
  <c r="I1023" i="1"/>
  <c r="Z1021" i="1" s="1"/>
  <c r="I1020" i="1"/>
  <c r="Z1018" i="1" s="1"/>
  <c r="I1017" i="1"/>
  <c r="I1013" i="1"/>
  <c r="Z1012" i="1" s="1"/>
  <c r="I1011" i="1"/>
  <c r="Z1009" i="1" s="1"/>
  <c r="I1005" i="1"/>
  <c r="Z1003" i="1" s="1"/>
  <c r="I1002" i="1"/>
  <c r="Z1000" i="1" s="1"/>
  <c r="I981" i="1"/>
  <c r="Z979" i="1" s="1"/>
  <c r="I978" i="1"/>
  <c r="Z976" i="1" s="1"/>
  <c r="Z973" i="1"/>
  <c r="I971" i="1"/>
  <c r="Z970" i="1" s="1"/>
  <c r="I960" i="1"/>
  <c r="Z958" i="1" s="1"/>
  <c r="I933" i="1"/>
  <c r="Z931" i="1" s="1"/>
  <c r="I894" i="1"/>
  <c r="I873" i="1"/>
  <c r="Z871" i="1" s="1"/>
  <c r="I849" i="1"/>
  <c r="I846" i="1"/>
  <c r="Z844" i="1" s="1"/>
  <c r="I842" i="1"/>
  <c r="Z835" i="1"/>
  <c r="I831" i="1"/>
  <c r="Z829" i="1" s="1"/>
  <c r="I821" i="1"/>
  <c r="Z820" i="1" s="1"/>
  <c r="I801" i="1"/>
  <c r="I807" i="1"/>
  <c r="Z805" i="1" s="1"/>
  <c r="I804" i="1"/>
  <c r="I791" i="1"/>
  <c r="Z790" i="1" s="1"/>
  <c r="I789" i="1"/>
  <c r="I786" i="1"/>
  <c r="Z784" i="1" s="1"/>
  <c r="I771" i="1"/>
  <c r="Z769" i="1" s="1"/>
  <c r="I768" i="1"/>
  <c r="Z766" i="1" s="1"/>
  <c r="I762" i="1"/>
  <c r="Z757" i="1"/>
  <c r="I753" i="1"/>
  <c r="Z751" i="1" s="1"/>
  <c r="I741" i="1"/>
  <c r="I711" i="1"/>
  <c r="Z709" i="1" s="1"/>
  <c r="Z676" i="1"/>
  <c r="Z550" i="1"/>
  <c r="I510" i="1"/>
  <c r="Z508" i="1" s="1"/>
  <c r="I507" i="1"/>
  <c r="I498" i="1"/>
  <c r="Z496" i="1" s="1"/>
  <c r="I492" i="1"/>
  <c r="Z490" i="1" s="1"/>
  <c r="Y484" i="1"/>
  <c r="I420" i="1"/>
  <c r="Z418" i="1" s="1"/>
  <c r="Z382" i="1"/>
  <c r="I327" i="1"/>
  <c r="Z325" i="1" s="1"/>
  <c r="I288" i="1"/>
  <c r="Z286" i="1" s="1"/>
  <c r="I263" i="1"/>
  <c r="Z262" i="1" s="1"/>
  <c r="I270" i="1"/>
  <c r="Z268" i="1" s="1"/>
  <c r="I267" i="1"/>
  <c r="Z265" i="1" s="1"/>
  <c r="I261" i="1"/>
  <c r="Z259" i="1" s="1"/>
  <c r="I258" i="1"/>
  <c r="I273" i="1"/>
  <c r="Z271" i="1" s="1"/>
  <c r="I285" i="1"/>
  <c r="Z283" i="1" s="1"/>
  <c r="Z739" i="1"/>
  <c r="Z760" i="1"/>
  <c r="Z787" i="1"/>
  <c r="Z802" i="1"/>
  <c r="Z799" i="1"/>
  <c r="Z841" i="1"/>
  <c r="Z847" i="1"/>
  <c r="Z892" i="1"/>
  <c r="Z1078" i="1"/>
  <c r="Z1096" i="1"/>
  <c r="Z256" i="1"/>
  <c r="Z505" i="1"/>
  <c r="Z1015" i="1"/>
  <c r="Z1093" i="1"/>
  <c r="Z1231" i="1"/>
  <c r="Z1243" i="1"/>
  <c r="Z1255" i="1"/>
  <c r="J262" i="1"/>
  <c r="AA262" i="1" s="1"/>
  <c r="J265" i="1"/>
  <c r="AA265" i="1" s="1"/>
  <c r="E101" i="9"/>
  <c r="I101" i="9"/>
  <c r="J101" i="9"/>
  <c r="O101" i="9"/>
  <c r="P101" i="9" s="1"/>
  <c r="Q101" i="9"/>
  <c r="S101" i="9"/>
  <c r="A102" i="31"/>
  <c r="A104" i="31"/>
  <c r="A101" i="9"/>
  <c r="B101" i="9"/>
  <c r="R105" i="31"/>
  <c r="AC94" i="31"/>
  <c r="AB94" i="31"/>
  <c r="AA94" i="31"/>
  <c r="Z94" i="31"/>
  <c r="Y94" i="31"/>
  <c r="X94" i="31"/>
  <c r="W94" i="31"/>
  <c r="V94" i="31"/>
  <c r="U94" i="31"/>
  <c r="AE94" i="31" s="1"/>
  <c r="T94" i="31"/>
  <c r="AD94" i="31" s="1"/>
  <c r="S94" i="31"/>
  <c r="R94" i="31"/>
  <c r="AE103" i="31"/>
  <c r="AD103" i="31"/>
  <c r="AE104" i="31"/>
  <c r="AD104" i="31"/>
  <c r="B104" i="31"/>
  <c r="C104" i="31"/>
  <c r="D104" i="31"/>
  <c r="B100" i="36"/>
  <c r="C100" i="36"/>
  <c r="N100" i="36"/>
  <c r="Q100" i="36" s="1"/>
  <c r="R100" i="36" s="1"/>
  <c r="S100" i="36"/>
  <c r="U100" i="36" s="1"/>
  <c r="V100" i="36"/>
  <c r="X100" i="36" s="1"/>
  <c r="AH100" i="36"/>
  <c r="B100" i="35"/>
  <c r="C100" i="35"/>
  <c r="N100" i="35"/>
  <c r="Q100" i="35" s="1"/>
  <c r="R100" i="35" s="1"/>
  <c r="S100" i="35"/>
  <c r="U100" i="35" s="1"/>
  <c r="V100" i="35"/>
  <c r="X100" i="35" s="1"/>
  <c r="AH100" i="35"/>
  <c r="B100" i="34"/>
  <c r="C100" i="34"/>
  <c r="N100" i="34"/>
  <c r="Q100" i="34" s="1"/>
  <c r="R100" i="34" s="1"/>
  <c r="S100" i="34"/>
  <c r="U100" i="34" s="1"/>
  <c r="V100" i="34"/>
  <c r="X100" i="34" s="1"/>
  <c r="AH100" i="34"/>
  <c r="AZ105" i="1"/>
  <c r="AY105" i="1"/>
  <c r="AF105" i="1"/>
  <c r="AE105" i="1"/>
  <c r="X105" i="1"/>
  <c r="AB105" i="1" s="1"/>
  <c r="Q105" i="1"/>
  <c r="J104" i="31" s="1"/>
  <c r="J105" i="1"/>
  <c r="U169" i="1"/>
  <c r="X169" i="1" s="1"/>
  <c r="AB169" i="1" s="1"/>
  <c r="T64" i="1"/>
  <c r="I64" i="1"/>
  <c r="R112" i="1"/>
  <c r="I112" i="1"/>
  <c r="H112" i="1"/>
  <c r="H106" i="1" s="1"/>
  <c r="Q102" i="9" s="1"/>
  <c r="J44" i="1"/>
  <c r="B30" i="9"/>
  <c r="AC29" i="31"/>
  <c r="C105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C81" i="31"/>
  <c r="C80" i="31"/>
  <c r="C79" i="31"/>
  <c r="C78" i="31"/>
  <c r="C77" i="31"/>
  <c r="C76" i="31"/>
  <c r="C75" i="31"/>
  <c r="C74" i="31"/>
  <c r="C73" i="31"/>
  <c r="C72" i="31"/>
  <c r="C71" i="31"/>
  <c r="C70" i="31"/>
  <c r="C69" i="31"/>
  <c r="C68" i="31"/>
  <c r="C67" i="31"/>
  <c r="C66" i="31"/>
  <c r="C65" i="31"/>
  <c r="C64" i="31"/>
  <c r="C63" i="31"/>
  <c r="C62" i="31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8" i="31"/>
  <c r="C27" i="31"/>
  <c r="C19" i="31"/>
  <c r="C20" i="31"/>
  <c r="C21" i="31"/>
  <c r="C22" i="31"/>
  <c r="C23" i="31"/>
  <c r="C24" i="31"/>
  <c r="C25" i="31"/>
  <c r="B111" i="9"/>
  <c r="R78" i="1"/>
  <c r="AX106" i="1"/>
  <c r="AW106" i="1"/>
  <c r="AV106" i="1"/>
  <c r="AU106" i="1"/>
  <c r="AT106" i="1"/>
  <c r="AS106" i="1"/>
  <c r="AR106" i="1"/>
  <c r="AQ106" i="1"/>
  <c r="AP106" i="1"/>
  <c r="AO106" i="1"/>
  <c r="AY106" i="1" s="1"/>
  <c r="AN106" i="1"/>
  <c r="AM106" i="1"/>
  <c r="AD106" i="1"/>
  <c r="AC106" i="1"/>
  <c r="W106" i="1"/>
  <c r="V106" i="1"/>
  <c r="U106" i="1"/>
  <c r="T106" i="1"/>
  <c r="S106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J95" i="1"/>
  <c r="AI95" i="1"/>
  <c r="AH95" i="1"/>
  <c r="AG95" i="1"/>
  <c r="AD95" i="1"/>
  <c r="AC95" i="1"/>
  <c r="W95" i="1"/>
  <c r="V95" i="1"/>
  <c r="U95" i="1"/>
  <c r="T95" i="1"/>
  <c r="S95" i="1"/>
  <c r="AX91" i="1"/>
  <c r="AW91" i="1"/>
  <c r="AV91" i="1"/>
  <c r="AU91" i="1"/>
  <c r="AT91" i="1"/>
  <c r="AS91" i="1"/>
  <c r="AR91" i="1"/>
  <c r="AP91" i="1"/>
  <c r="AO91" i="1"/>
  <c r="AN91" i="1"/>
  <c r="AM91" i="1"/>
  <c r="AK91" i="1"/>
  <c r="V86" i="36" s="1"/>
  <c r="AJ91" i="1"/>
  <c r="AI91" i="1"/>
  <c r="AG91" i="1"/>
  <c r="AF91" i="1"/>
  <c r="AD91" i="1"/>
  <c r="AC91" i="1"/>
  <c r="W91" i="1"/>
  <c r="V91" i="1"/>
  <c r="U91" i="1"/>
  <c r="S91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V85" i="36" s="1"/>
  <c r="AJ90" i="1"/>
  <c r="AI90" i="1"/>
  <c r="AH90" i="1"/>
  <c r="AG90" i="1"/>
  <c r="AF90" i="1"/>
  <c r="AE90" i="1"/>
  <c r="AD90" i="1"/>
  <c r="AC90" i="1"/>
  <c r="X90" i="1"/>
  <c r="AB90" i="1" s="1"/>
  <c r="W90" i="1"/>
  <c r="V90" i="1"/>
  <c r="U90" i="1"/>
  <c r="T90" i="1"/>
  <c r="S90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V84" i="36" s="1"/>
  <c r="AJ89" i="1"/>
  <c r="V84" i="35" s="1"/>
  <c r="AI89" i="1"/>
  <c r="AH89" i="1"/>
  <c r="AG89" i="1"/>
  <c r="AF89" i="1"/>
  <c r="AE89" i="1"/>
  <c r="AD89" i="1"/>
  <c r="AC89" i="1"/>
  <c r="X89" i="1"/>
  <c r="AB89" i="1" s="1"/>
  <c r="W89" i="1"/>
  <c r="V89" i="1"/>
  <c r="U89" i="1"/>
  <c r="N84" i="34" s="1"/>
  <c r="T89" i="1"/>
  <c r="S89" i="1"/>
  <c r="AX83" i="1"/>
  <c r="AW83" i="1"/>
  <c r="AV83" i="1"/>
  <c r="AU83" i="1"/>
  <c r="AS83" i="1"/>
  <c r="AR83" i="1"/>
  <c r="AQ83" i="1"/>
  <c r="AO83" i="1"/>
  <c r="AM83" i="1"/>
  <c r="AJ83" i="1"/>
  <c r="AH83" i="1"/>
  <c r="AD83" i="1"/>
  <c r="AC83" i="1"/>
  <c r="AC50" i="1"/>
  <c r="AC78" i="1"/>
  <c r="V83" i="1"/>
  <c r="T83" i="1"/>
  <c r="AY79" i="1"/>
  <c r="AG74" i="34" s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Y78" i="1" s="1"/>
  <c r="AK78" i="1"/>
  <c r="AJ78" i="1"/>
  <c r="AG78" i="1"/>
  <c r="AD78" i="1"/>
  <c r="W78" i="1"/>
  <c r="S73" i="36" s="1"/>
  <c r="V78" i="1"/>
  <c r="AX50" i="1"/>
  <c r="AW50" i="1"/>
  <c r="AW49" i="1" s="1"/>
  <c r="AW48" i="1" s="1"/>
  <c r="AV50" i="1"/>
  <c r="AT50" i="1"/>
  <c r="AS50" i="1"/>
  <c r="AR50" i="1"/>
  <c r="AR49" i="1" s="1"/>
  <c r="AR48" i="1" s="1"/>
  <c r="AP50" i="1"/>
  <c r="AO50" i="1"/>
  <c r="AD50" i="1"/>
  <c r="AX49" i="1"/>
  <c r="AX48" i="1" s="1"/>
  <c r="AV49" i="1"/>
  <c r="AY39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H41" i="1"/>
  <c r="AG41" i="1"/>
  <c r="AD41" i="1"/>
  <c r="AC41" i="1"/>
  <c r="W41" i="1"/>
  <c r="S36" i="36" s="1"/>
  <c r="V41" i="1"/>
  <c r="N36" i="35" s="1"/>
  <c r="U41" i="1"/>
  <c r="T41" i="1"/>
  <c r="S41" i="1"/>
  <c r="R41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K37" i="1"/>
  <c r="V32" i="36" s="1"/>
  <c r="AJ37" i="1"/>
  <c r="AI37" i="1"/>
  <c r="V32" i="34" s="1"/>
  <c r="AH37" i="1"/>
  <c r="AD37" i="1"/>
  <c r="AC37" i="1"/>
  <c r="W37" i="1"/>
  <c r="S32" i="36" s="1"/>
  <c r="V37" i="1"/>
  <c r="U37" i="1"/>
  <c r="T37" i="1"/>
  <c r="S37" i="1"/>
  <c r="AX30" i="1"/>
  <c r="AW30" i="1"/>
  <c r="AV30" i="1"/>
  <c r="AU30" i="1"/>
  <c r="AT30" i="1"/>
  <c r="AS30" i="1"/>
  <c r="AR30" i="1"/>
  <c r="AQ30" i="1"/>
  <c r="AO30" i="1"/>
  <c r="AO18" i="1"/>
  <c r="AO27" i="1"/>
  <c r="AN30" i="1"/>
  <c r="AM30" i="1"/>
  <c r="AM18" i="1"/>
  <c r="AM27" i="1"/>
  <c r="AJ30" i="1"/>
  <c r="V25" i="35" s="1"/>
  <c r="AI30" i="1"/>
  <c r="AH30" i="1"/>
  <c r="AF30" i="1"/>
  <c r="AD30" i="1"/>
  <c r="AC30" i="1"/>
  <c r="V30" i="1"/>
  <c r="T30" i="1"/>
  <c r="R30" i="1"/>
  <c r="AX27" i="1"/>
  <c r="AW27" i="1"/>
  <c r="AV27" i="1"/>
  <c r="AU27" i="1"/>
  <c r="AT27" i="1"/>
  <c r="AS27" i="1"/>
  <c r="AR27" i="1"/>
  <c r="AQ27" i="1"/>
  <c r="AP27" i="1"/>
  <c r="AN27" i="1"/>
  <c r="AK27" i="1"/>
  <c r="AJ27" i="1"/>
  <c r="V22" i="35" s="1"/>
  <c r="AI27" i="1"/>
  <c r="AH27" i="1"/>
  <c r="AF27" i="1"/>
  <c r="AD27" i="1"/>
  <c r="AC27" i="1"/>
  <c r="W27" i="1"/>
  <c r="V27" i="1"/>
  <c r="U27" i="1"/>
  <c r="T27" i="1"/>
  <c r="AX18" i="1"/>
  <c r="AW18" i="1"/>
  <c r="AV18" i="1"/>
  <c r="AU18" i="1"/>
  <c r="AT18" i="1"/>
  <c r="AS18" i="1"/>
  <c r="AR18" i="1"/>
  <c r="AP18" i="1"/>
  <c r="AN18" i="1"/>
  <c r="AK18" i="1"/>
  <c r="V13" i="36" s="1"/>
  <c r="AD18" i="1"/>
  <c r="AC18" i="1"/>
  <c r="S18" i="1"/>
  <c r="H30" i="1"/>
  <c r="Q26" i="9" s="1"/>
  <c r="I30" i="1"/>
  <c r="S26" i="9" s="1"/>
  <c r="D107" i="31"/>
  <c r="E108" i="31"/>
  <c r="D109" i="31"/>
  <c r="D110" i="31"/>
  <c r="E110" i="31"/>
  <c r="F110" i="31"/>
  <c r="D111" i="31"/>
  <c r="G111" i="31"/>
  <c r="D112" i="31"/>
  <c r="H113" i="31"/>
  <c r="I113" i="31"/>
  <c r="H114" i="31"/>
  <c r="I114" i="31"/>
  <c r="H115" i="31"/>
  <c r="I115" i="31"/>
  <c r="I116" i="31"/>
  <c r="I117" i="31"/>
  <c r="I118" i="31"/>
  <c r="I119" i="31"/>
  <c r="S147" i="1"/>
  <c r="C119" i="36"/>
  <c r="C118" i="36"/>
  <c r="C117" i="36"/>
  <c r="C116" i="36"/>
  <c r="B116" i="36"/>
  <c r="C115" i="36"/>
  <c r="B115" i="36"/>
  <c r="C114" i="36"/>
  <c r="B114" i="36"/>
  <c r="C113" i="36"/>
  <c r="B113" i="36"/>
  <c r="C112" i="36"/>
  <c r="B112" i="36"/>
  <c r="C111" i="36"/>
  <c r="B111" i="36"/>
  <c r="C110" i="36"/>
  <c r="B110" i="36"/>
  <c r="C109" i="36"/>
  <c r="B109" i="36"/>
  <c r="C108" i="36"/>
  <c r="B108" i="36"/>
  <c r="C107" i="36"/>
  <c r="B107" i="36"/>
  <c r="C106" i="36"/>
  <c r="B106" i="36"/>
  <c r="C105" i="36"/>
  <c r="B105" i="36"/>
  <c r="C104" i="36"/>
  <c r="B104" i="36"/>
  <c r="C103" i="36"/>
  <c r="B103" i="36"/>
  <c r="C102" i="36"/>
  <c r="B102" i="36"/>
  <c r="C101" i="36"/>
  <c r="B101" i="36"/>
  <c r="C99" i="36"/>
  <c r="B99" i="36"/>
  <c r="C98" i="36"/>
  <c r="B98" i="36"/>
  <c r="C97" i="36"/>
  <c r="B97" i="36"/>
  <c r="C96" i="36"/>
  <c r="B96" i="36"/>
  <c r="C95" i="36"/>
  <c r="B95" i="36"/>
  <c r="C94" i="36"/>
  <c r="B94" i="36"/>
  <c r="C93" i="36"/>
  <c r="B93" i="36"/>
  <c r="C92" i="36"/>
  <c r="B92" i="36"/>
  <c r="C91" i="36"/>
  <c r="B91" i="36"/>
  <c r="C90" i="36"/>
  <c r="B90" i="36"/>
  <c r="C89" i="36"/>
  <c r="C88" i="36"/>
  <c r="C87" i="36"/>
  <c r="B87" i="36"/>
  <c r="C86" i="36"/>
  <c r="B86" i="36"/>
  <c r="C85" i="36"/>
  <c r="B85" i="36"/>
  <c r="C84" i="36"/>
  <c r="B84" i="36"/>
  <c r="C83" i="36"/>
  <c r="B83" i="36"/>
  <c r="C82" i="36"/>
  <c r="B82" i="36"/>
  <c r="C81" i="36"/>
  <c r="B81" i="36"/>
  <c r="C80" i="36"/>
  <c r="B80" i="36"/>
  <c r="C79" i="36"/>
  <c r="B79" i="36"/>
  <c r="C78" i="36"/>
  <c r="B78" i="36"/>
  <c r="C77" i="36"/>
  <c r="B77" i="36"/>
  <c r="C76" i="36"/>
  <c r="B76" i="36"/>
  <c r="C75" i="36"/>
  <c r="B75" i="36"/>
  <c r="C74" i="36"/>
  <c r="B74" i="36"/>
  <c r="C73" i="36"/>
  <c r="B73" i="36"/>
  <c r="C72" i="36"/>
  <c r="C71" i="36"/>
  <c r="C70" i="36"/>
  <c r="C69" i="36"/>
  <c r="C68" i="36"/>
  <c r="C67" i="36"/>
  <c r="B67" i="36"/>
  <c r="C66" i="36"/>
  <c r="B66" i="36"/>
  <c r="C65" i="36"/>
  <c r="B65" i="36"/>
  <c r="C64" i="36"/>
  <c r="B64" i="36"/>
  <c r="C63" i="36"/>
  <c r="B63" i="36"/>
  <c r="C62" i="36"/>
  <c r="B62" i="36"/>
  <c r="C61" i="36"/>
  <c r="B61" i="36"/>
  <c r="C60" i="36"/>
  <c r="B60" i="36"/>
  <c r="C59" i="36"/>
  <c r="B59" i="36"/>
  <c r="C58" i="36"/>
  <c r="B58" i="36"/>
  <c r="C57" i="36"/>
  <c r="C56" i="36"/>
  <c r="C55" i="36"/>
  <c r="C54" i="36"/>
  <c r="C53" i="36"/>
  <c r="C52" i="36"/>
  <c r="C51" i="36"/>
  <c r="C50" i="36"/>
  <c r="C49" i="36"/>
  <c r="B49" i="36"/>
  <c r="C48" i="36"/>
  <c r="B48" i="36"/>
  <c r="C47" i="36"/>
  <c r="B47" i="36"/>
  <c r="C46" i="36"/>
  <c r="B46" i="36"/>
  <c r="C45" i="36"/>
  <c r="B45" i="36"/>
  <c r="C44" i="36"/>
  <c r="B44" i="36"/>
  <c r="C43" i="36"/>
  <c r="B43" i="36"/>
  <c r="C42" i="36"/>
  <c r="B42" i="36"/>
  <c r="C41" i="36"/>
  <c r="B41" i="36"/>
  <c r="C40" i="36"/>
  <c r="B40" i="36"/>
  <c r="C39" i="36"/>
  <c r="B39" i="36"/>
  <c r="C38" i="36"/>
  <c r="B38" i="36"/>
  <c r="C37" i="36"/>
  <c r="B37" i="36"/>
  <c r="C36" i="36"/>
  <c r="B36" i="36"/>
  <c r="C35" i="36"/>
  <c r="B35" i="36"/>
  <c r="C34" i="36"/>
  <c r="B34" i="36"/>
  <c r="C33" i="36"/>
  <c r="B33" i="36"/>
  <c r="C32" i="36"/>
  <c r="B32" i="36"/>
  <c r="C31" i="36"/>
  <c r="B31" i="36"/>
  <c r="C30" i="36"/>
  <c r="B30" i="36"/>
  <c r="C29" i="36"/>
  <c r="B29" i="36"/>
  <c r="C28" i="36"/>
  <c r="B28" i="36"/>
  <c r="C27" i="36"/>
  <c r="B27" i="36"/>
  <c r="C26" i="36"/>
  <c r="B26" i="36"/>
  <c r="C25" i="36"/>
  <c r="B25" i="36"/>
  <c r="C24" i="36"/>
  <c r="B24" i="36"/>
  <c r="C23" i="36"/>
  <c r="B23" i="36"/>
  <c r="C22" i="36"/>
  <c r="B22" i="36"/>
  <c r="C21" i="36"/>
  <c r="B21" i="36"/>
  <c r="C20" i="36"/>
  <c r="B20" i="36"/>
  <c r="C19" i="36"/>
  <c r="B19" i="36"/>
  <c r="C18" i="36"/>
  <c r="B18" i="36"/>
  <c r="C17" i="36"/>
  <c r="B17" i="36"/>
  <c r="C16" i="36"/>
  <c r="B16" i="36"/>
  <c r="C15" i="36"/>
  <c r="B15" i="36"/>
  <c r="C14" i="36"/>
  <c r="B14" i="36"/>
  <c r="C13" i="36"/>
  <c r="B13" i="36"/>
  <c r="C12" i="36"/>
  <c r="B12" i="36"/>
  <c r="C11" i="36"/>
  <c r="B11" i="36"/>
  <c r="C10" i="36"/>
  <c r="C119" i="35"/>
  <c r="C118" i="35"/>
  <c r="C117" i="35"/>
  <c r="C116" i="35"/>
  <c r="B116" i="35"/>
  <c r="C115" i="35"/>
  <c r="B115" i="35"/>
  <c r="C114" i="35"/>
  <c r="B114" i="35"/>
  <c r="C113" i="35"/>
  <c r="B113" i="35"/>
  <c r="C112" i="35"/>
  <c r="B112" i="35"/>
  <c r="C111" i="35"/>
  <c r="B111" i="35"/>
  <c r="C110" i="35"/>
  <c r="B110" i="35"/>
  <c r="C109" i="35"/>
  <c r="B109" i="35"/>
  <c r="C108" i="35"/>
  <c r="B108" i="35"/>
  <c r="C107" i="35"/>
  <c r="B107" i="35"/>
  <c r="C106" i="35"/>
  <c r="B106" i="35"/>
  <c r="C105" i="35"/>
  <c r="B105" i="35"/>
  <c r="C104" i="35"/>
  <c r="B104" i="35"/>
  <c r="C103" i="35"/>
  <c r="B103" i="35"/>
  <c r="C102" i="35"/>
  <c r="B102" i="35"/>
  <c r="C101" i="35"/>
  <c r="B101" i="35"/>
  <c r="C99" i="35"/>
  <c r="B99" i="35"/>
  <c r="C98" i="35"/>
  <c r="B98" i="35"/>
  <c r="C97" i="35"/>
  <c r="B97" i="35"/>
  <c r="C96" i="35"/>
  <c r="B96" i="35"/>
  <c r="C95" i="35"/>
  <c r="B95" i="35"/>
  <c r="C94" i="35"/>
  <c r="B94" i="35"/>
  <c r="C93" i="35"/>
  <c r="B93" i="35"/>
  <c r="C92" i="35"/>
  <c r="B92" i="35"/>
  <c r="C91" i="35"/>
  <c r="B91" i="35"/>
  <c r="C90" i="35"/>
  <c r="B90" i="35"/>
  <c r="C89" i="35"/>
  <c r="C88" i="35"/>
  <c r="C87" i="35"/>
  <c r="B87" i="35"/>
  <c r="C86" i="35"/>
  <c r="B86" i="35"/>
  <c r="C85" i="35"/>
  <c r="B85" i="35"/>
  <c r="C84" i="35"/>
  <c r="B84" i="35"/>
  <c r="C83" i="35"/>
  <c r="B83" i="35"/>
  <c r="C82" i="35"/>
  <c r="B82" i="35"/>
  <c r="C81" i="35"/>
  <c r="B81" i="35"/>
  <c r="C80" i="35"/>
  <c r="B80" i="35"/>
  <c r="C79" i="35"/>
  <c r="B79" i="35"/>
  <c r="C78" i="35"/>
  <c r="B78" i="35"/>
  <c r="C77" i="35"/>
  <c r="B77" i="35"/>
  <c r="C76" i="35"/>
  <c r="B76" i="35"/>
  <c r="C75" i="35"/>
  <c r="B75" i="35"/>
  <c r="C74" i="35"/>
  <c r="B74" i="35"/>
  <c r="C73" i="35"/>
  <c r="B73" i="35"/>
  <c r="C72" i="35"/>
  <c r="C71" i="35"/>
  <c r="C70" i="35"/>
  <c r="C69" i="35"/>
  <c r="C68" i="35"/>
  <c r="C67" i="35"/>
  <c r="B67" i="35"/>
  <c r="C66" i="35"/>
  <c r="B66" i="35"/>
  <c r="C65" i="35"/>
  <c r="B65" i="35"/>
  <c r="C64" i="35"/>
  <c r="B64" i="35"/>
  <c r="C63" i="35"/>
  <c r="B63" i="35"/>
  <c r="C62" i="35"/>
  <c r="B62" i="35"/>
  <c r="C61" i="35"/>
  <c r="B61" i="35"/>
  <c r="C60" i="35"/>
  <c r="B60" i="35"/>
  <c r="C59" i="35"/>
  <c r="B59" i="35"/>
  <c r="C58" i="35"/>
  <c r="B58" i="35"/>
  <c r="C57" i="35"/>
  <c r="C56" i="35"/>
  <c r="C55" i="35"/>
  <c r="C54" i="35"/>
  <c r="C53" i="35"/>
  <c r="C52" i="35"/>
  <c r="C51" i="35"/>
  <c r="C50" i="35"/>
  <c r="C49" i="35"/>
  <c r="B49" i="35"/>
  <c r="C48" i="35"/>
  <c r="B48" i="35"/>
  <c r="C47" i="35"/>
  <c r="B47" i="35"/>
  <c r="C46" i="35"/>
  <c r="B46" i="35"/>
  <c r="C45" i="35"/>
  <c r="B45" i="35"/>
  <c r="C44" i="35"/>
  <c r="B44" i="35"/>
  <c r="C43" i="35"/>
  <c r="B43" i="35"/>
  <c r="C42" i="35"/>
  <c r="B42" i="35"/>
  <c r="C41" i="35"/>
  <c r="B41" i="35"/>
  <c r="C40" i="35"/>
  <c r="B40" i="35"/>
  <c r="C39" i="35"/>
  <c r="B39" i="35"/>
  <c r="C38" i="35"/>
  <c r="B38" i="35"/>
  <c r="C37" i="35"/>
  <c r="B37" i="35"/>
  <c r="C36" i="35"/>
  <c r="B36" i="35"/>
  <c r="C35" i="35"/>
  <c r="B35" i="35"/>
  <c r="C34" i="35"/>
  <c r="B34" i="35"/>
  <c r="C33" i="35"/>
  <c r="B33" i="35"/>
  <c r="C32" i="35"/>
  <c r="B32" i="35"/>
  <c r="C31" i="35"/>
  <c r="B31" i="35"/>
  <c r="C30" i="35"/>
  <c r="B30" i="35"/>
  <c r="C29" i="35"/>
  <c r="B29" i="35"/>
  <c r="C28" i="35"/>
  <c r="B28" i="35"/>
  <c r="C27" i="35"/>
  <c r="B27" i="35"/>
  <c r="C26" i="35"/>
  <c r="B26" i="35"/>
  <c r="C25" i="35"/>
  <c r="B25" i="35"/>
  <c r="C24" i="35"/>
  <c r="B24" i="35"/>
  <c r="C23" i="35"/>
  <c r="B23" i="35"/>
  <c r="C22" i="35"/>
  <c r="B22" i="35"/>
  <c r="C21" i="35"/>
  <c r="B21" i="35"/>
  <c r="C20" i="35"/>
  <c r="B20" i="35"/>
  <c r="C19" i="35"/>
  <c r="B19" i="35"/>
  <c r="C18" i="35"/>
  <c r="B18" i="35"/>
  <c r="C17" i="35"/>
  <c r="B17" i="35"/>
  <c r="C16" i="35"/>
  <c r="B16" i="35"/>
  <c r="C15" i="35"/>
  <c r="B15" i="35"/>
  <c r="C14" i="35"/>
  <c r="B14" i="35"/>
  <c r="C13" i="35"/>
  <c r="B13" i="35"/>
  <c r="C12" i="35"/>
  <c r="B12" i="35"/>
  <c r="C11" i="35"/>
  <c r="B11" i="35"/>
  <c r="C10" i="35"/>
  <c r="C119" i="34"/>
  <c r="C118" i="34"/>
  <c r="C117" i="34"/>
  <c r="C116" i="34"/>
  <c r="B116" i="34"/>
  <c r="C115" i="34"/>
  <c r="B115" i="34"/>
  <c r="C114" i="34"/>
  <c r="B114" i="34"/>
  <c r="C113" i="34"/>
  <c r="B113" i="34"/>
  <c r="C112" i="34"/>
  <c r="B112" i="34"/>
  <c r="C111" i="34"/>
  <c r="B111" i="34"/>
  <c r="C110" i="34"/>
  <c r="B110" i="34"/>
  <c r="C109" i="34"/>
  <c r="B109" i="34"/>
  <c r="C108" i="34"/>
  <c r="B108" i="34"/>
  <c r="C107" i="34"/>
  <c r="B107" i="34"/>
  <c r="C106" i="34"/>
  <c r="B106" i="34"/>
  <c r="C105" i="34"/>
  <c r="B105" i="34"/>
  <c r="C104" i="34"/>
  <c r="B104" i="34"/>
  <c r="C103" i="34"/>
  <c r="B103" i="34"/>
  <c r="C102" i="34"/>
  <c r="B102" i="34"/>
  <c r="C101" i="34"/>
  <c r="B101" i="34"/>
  <c r="C99" i="34"/>
  <c r="B99" i="34"/>
  <c r="C98" i="34"/>
  <c r="B98" i="34"/>
  <c r="C97" i="34"/>
  <c r="B97" i="34"/>
  <c r="C96" i="34"/>
  <c r="B96" i="34"/>
  <c r="C95" i="34"/>
  <c r="B95" i="34"/>
  <c r="C94" i="34"/>
  <c r="B94" i="34"/>
  <c r="C93" i="34"/>
  <c r="B93" i="34"/>
  <c r="C92" i="34"/>
  <c r="B92" i="34"/>
  <c r="C91" i="34"/>
  <c r="B91" i="34"/>
  <c r="C90" i="34"/>
  <c r="B90" i="34"/>
  <c r="C89" i="34"/>
  <c r="C88" i="34"/>
  <c r="C87" i="34"/>
  <c r="B87" i="34"/>
  <c r="C86" i="34"/>
  <c r="B86" i="34"/>
  <c r="C85" i="34"/>
  <c r="B85" i="34"/>
  <c r="C84" i="34"/>
  <c r="B84" i="34"/>
  <c r="C83" i="34"/>
  <c r="B83" i="34"/>
  <c r="C82" i="34"/>
  <c r="B82" i="34"/>
  <c r="C81" i="34"/>
  <c r="B81" i="34"/>
  <c r="C80" i="34"/>
  <c r="B80" i="34"/>
  <c r="C79" i="34"/>
  <c r="B79" i="34"/>
  <c r="C78" i="34"/>
  <c r="B78" i="34"/>
  <c r="C77" i="34"/>
  <c r="B77" i="34"/>
  <c r="C76" i="34"/>
  <c r="B76" i="34"/>
  <c r="C75" i="34"/>
  <c r="B75" i="34"/>
  <c r="C74" i="34"/>
  <c r="B74" i="34"/>
  <c r="C73" i="34"/>
  <c r="B73" i="34"/>
  <c r="C72" i="34"/>
  <c r="C71" i="34"/>
  <c r="C70" i="34"/>
  <c r="C69" i="34"/>
  <c r="C68" i="34"/>
  <c r="C67" i="34"/>
  <c r="B67" i="34"/>
  <c r="C66" i="34"/>
  <c r="B66" i="34"/>
  <c r="C65" i="34"/>
  <c r="B65" i="34"/>
  <c r="C64" i="34"/>
  <c r="B64" i="34"/>
  <c r="C63" i="34"/>
  <c r="B63" i="34"/>
  <c r="C62" i="34"/>
  <c r="B62" i="34"/>
  <c r="C61" i="34"/>
  <c r="B61" i="34"/>
  <c r="C60" i="34"/>
  <c r="B60" i="34"/>
  <c r="C59" i="34"/>
  <c r="B59" i="34"/>
  <c r="C58" i="34"/>
  <c r="B58" i="34"/>
  <c r="C57" i="34"/>
  <c r="C56" i="34"/>
  <c r="C55" i="34"/>
  <c r="C54" i="34"/>
  <c r="C53" i="34"/>
  <c r="C52" i="34"/>
  <c r="C51" i="34"/>
  <c r="C50" i="34"/>
  <c r="C49" i="34"/>
  <c r="B49" i="34"/>
  <c r="C48" i="34"/>
  <c r="B48" i="34"/>
  <c r="C47" i="34"/>
  <c r="B47" i="34"/>
  <c r="C46" i="34"/>
  <c r="B46" i="34"/>
  <c r="C45" i="34"/>
  <c r="B45" i="34"/>
  <c r="C44" i="34"/>
  <c r="B44" i="34"/>
  <c r="C43" i="34"/>
  <c r="B43" i="34"/>
  <c r="C42" i="34"/>
  <c r="B42" i="34"/>
  <c r="C41" i="34"/>
  <c r="B41" i="34"/>
  <c r="C40" i="34"/>
  <c r="B40" i="34"/>
  <c r="C39" i="34"/>
  <c r="B39" i="34"/>
  <c r="C38" i="34"/>
  <c r="B38" i="34"/>
  <c r="C37" i="34"/>
  <c r="B37" i="34"/>
  <c r="C36" i="34"/>
  <c r="B36" i="34"/>
  <c r="C35" i="34"/>
  <c r="B35" i="34"/>
  <c r="C34" i="34"/>
  <c r="B34" i="34"/>
  <c r="C33" i="34"/>
  <c r="B33" i="34"/>
  <c r="C32" i="34"/>
  <c r="B32" i="34"/>
  <c r="C31" i="34"/>
  <c r="B31" i="34"/>
  <c r="C30" i="34"/>
  <c r="B30" i="34"/>
  <c r="C29" i="34"/>
  <c r="B29" i="34"/>
  <c r="C28" i="34"/>
  <c r="B28" i="34"/>
  <c r="C27" i="34"/>
  <c r="B27" i="34"/>
  <c r="C26" i="34"/>
  <c r="B26" i="34"/>
  <c r="C25" i="34"/>
  <c r="B25" i="34"/>
  <c r="C24" i="34"/>
  <c r="B24" i="34"/>
  <c r="C23" i="34"/>
  <c r="B23" i="34"/>
  <c r="C22" i="34"/>
  <c r="B22" i="34"/>
  <c r="C21" i="34"/>
  <c r="B21" i="34"/>
  <c r="C20" i="34"/>
  <c r="B20" i="34"/>
  <c r="C19" i="34"/>
  <c r="B19" i="34"/>
  <c r="C18" i="34"/>
  <c r="B18" i="34"/>
  <c r="C17" i="34"/>
  <c r="B17" i="34"/>
  <c r="C16" i="34"/>
  <c r="B16" i="34"/>
  <c r="C15" i="34"/>
  <c r="B15" i="34"/>
  <c r="C14" i="34"/>
  <c r="B14" i="34"/>
  <c r="C13" i="34"/>
  <c r="B13" i="34"/>
  <c r="C12" i="34"/>
  <c r="B12" i="34"/>
  <c r="C11" i="34"/>
  <c r="B11" i="34"/>
  <c r="C10" i="34"/>
  <c r="N99" i="36"/>
  <c r="Q99" i="36" s="1"/>
  <c r="R99" i="36" s="1"/>
  <c r="S99" i="36"/>
  <c r="U99" i="36" s="1"/>
  <c r="V99" i="36"/>
  <c r="X99" i="36" s="1"/>
  <c r="AH99" i="36"/>
  <c r="N99" i="35"/>
  <c r="Q99" i="35" s="1"/>
  <c r="R99" i="35" s="1"/>
  <c r="S99" i="35"/>
  <c r="U99" i="35" s="1"/>
  <c r="V99" i="35"/>
  <c r="X99" i="35" s="1"/>
  <c r="AH99" i="35"/>
  <c r="N99" i="34"/>
  <c r="Q99" i="34" s="1"/>
  <c r="R99" i="34" s="1"/>
  <c r="S99" i="34"/>
  <c r="U99" i="34" s="1"/>
  <c r="V99" i="34"/>
  <c r="X99" i="34" s="1"/>
  <c r="AH99" i="34"/>
  <c r="J80" i="1"/>
  <c r="R40" i="31"/>
  <c r="R36" i="31"/>
  <c r="R29" i="31"/>
  <c r="R26" i="31"/>
  <c r="AC17" i="31"/>
  <c r="AB17" i="31"/>
  <c r="AA17" i="31"/>
  <c r="Z17" i="31"/>
  <c r="Y17" i="31"/>
  <c r="X17" i="31"/>
  <c r="W17" i="31"/>
  <c r="AE17" i="31" s="1"/>
  <c r="U17" i="31"/>
  <c r="T17" i="31"/>
  <c r="S17" i="31"/>
  <c r="R17" i="31"/>
  <c r="R16" i="31" s="1"/>
  <c r="R15" i="31" s="1"/>
  <c r="AB29" i="31"/>
  <c r="AA29" i="31"/>
  <c r="Z29" i="31"/>
  <c r="Y29" i="31"/>
  <c r="X29" i="31"/>
  <c r="W29" i="31"/>
  <c r="V29" i="31"/>
  <c r="T29" i="31"/>
  <c r="S29" i="31"/>
  <c r="W25" i="36"/>
  <c r="W25" i="35"/>
  <c r="W25" i="34"/>
  <c r="S32" i="9"/>
  <c r="Q32" i="9"/>
  <c r="J78" i="31"/>
  <c r="J79" i="31"/>
  <c r="J80" i="31"/>
  <c r="J81" i="31"/>
  <c r="C1330" i="31"/>
  <c r="B1330" i="31"/>
  <c r="A1330" i="31"/>
  <c r="C1329" i="31"/>
  <c r="B1329" i="31"/>
  <c r="A1329" i="31"/>
  <c r="C1328" i="31"/>
  <c r="B1328" i="31"/>
  <c r="A1328" i="31"/>
  <c r="C1327" i="31"/>
  <c r="B1327" i="31"/>
  <c r="A1327" i="31"/>
  <c r="C1326" i="31"/>
  <c r="B1326" i="31"/>
  <c r="A1326" i="31"/>
  <c r="C1325" i="31"/>
  <c r="B1325" i="31"/>
  <c r="A1325" i="31"/>
  <c r="C1324" i="31"/>
  <c r="B1324" i="31"/>
  <c r="A1324" i="31"/>
  <c r="C1323" i="31"/>
  <c r="B1323" i="31"/>
  <c r="A1323" i="31"/>
  <c r="C1322" i="31"/>
  <c r="B1322" i="31"/>
  <c r="A1322" i="31"/>
  <c r="C1321" i="31"/>
  <c r="B1321" i="31"/>
  <c r="A1321" i="31"/>
  <c r="C1320" i="31"/>
  <c r="B1320" i="31"/>
  <c r="A1320" i="31"/>
  <c r="C1319" i="31"/>
  <c r="B1319" i="31"/>
  <c r="A1319" i="31"/>
  <c r="C1318" i="31"/>
  <c r="B1318" i="31"/>
  <c r="A1318" i="31"/>
  <c r="C1317" i="31"/>
  <c r="B1317" i="31"/>
  <c r="A1317" i="31"/>
  <c r="C1316" i="31"/>
  <c r="B1316" i="31"/>
  <c r="A1316" i="31"/>
  <c r="C1315" i="31"/>
  <c r="B1315" i="31"/>
  <c r="A1315" i="31"/>
  <c r="C1314" i="31"/>
  <c r="B1314" i="31"/>
  <c r="A1314" i="31"/>
  <c r="C1313" i="31"/>
  <c r="B1313" i="31"/>
  <c r="A1313" i="31"/>
  <c r="C1312" i="31"/>
  <c r="B1312" i="31"/>
  <c r="A1312" i="31"/>
  <c r="C1311" i="31"/>
  <c r="B1311" i="31"/>
  <c r="A1311" i="31"/>
  <c r="C1310" i="31"/>
  <c r="B1310" i="31"/>
  <c r="A1310" i="31"/>
  <c r="C1309" i="31"/>
  <c r="B1309" i="31"/>
  <c r="A1309" i="31"/>
  <c r="C1308" i="31"/>
  <c r="B1308" i="31"/>
  <c r="A1308" i="31"/>
  <c r="C1307" i="31"/>
  <c r="B1307" i="31"/>
  <c r="A1307" i="31"/>
  <c r="C1306" i="31"/>
  <c r="B1306" i="31"/>
  <c r="A1306" i="31"/>
  <c r="C1305" i="31"/>
  <c r="B1305" i="31"/>
  <c r="A1305" i="31"/>
  <c r="C1304" i="31"/>
  <c r="B1304" i="31"/>
  <c r="A1304" i="31"/>
  <c r="C1303" i="31"/>
  <c r="B1303" i="31"/>
  <c r="A1303" i="31"/>
  <c r="C1302" i="31"/>
  <c r="B1302" i="31"/>
  <c r="A1302" i="31"/>
  <c r="C1301" i="31"/>
  <c r="B1301" i="31"/>
  <c r="A1301" i="31"/>
  <c r="C1300" i="31"/>
  <c r="B1300" i="31"/>
  <c r="A1300" i="31"/>
  <c r="C1299" i="31"/>
  <c r="B1299" i="31"/>
  <c r="A1299" i="31"/>
  <c r="C1298" i="31"/>
  <c r="B1298" i="31"/>
  <c r="A1298" i="31"/>
  <c r="C1297" i="31"/>
  <c r="B1297" i="31"/>
  <c r="A1297" i="31"/>
  <c r="C1296" i="31"/>
  <c r="B1296" i="31"/>
  <c r="A1296" i="31"/>
  <c r="C1295" i="31"/>
  <c r="B1295" i="31"/>
  <c r="A1295" i="31"/>
  <c r="C1294" i="31"/>
  <c r="B1294" i="31"/>
  <c r="A1294" i="31"/>
  <c r="C1293" i="31"/>
  <c r="B1293" i="31"/>
  <c r="A1293" i="31"/>
  <c r="C1292" i="31"/>
  <c r="B1292" i="31"/>
  <c r="A1292" i="31"/>
  <c r="C1291" i="31"/>
  <c r="B1291" i="31"/>
  <c r="A1291" i="31"/>
  <c r="C1290" i="31"/>
  <c r="B1290" i="31"/>
  <c r="A1290" i="31"/>
  <c r="C1289" i="31"/>
  <c r="B1289" i="31"/>
  <c r="A1289" i="31"/>
  <c r="C1288" i="31"/>
  <c r="B1288" i="31"/>
  <c r="A1288" i="31"/>
  <c r="C1287" i="31"/>
  <c r="B1287" i="31"/>
  <c r="A1287" i="31"/>
  <c r="C1286" i="31"/>
  <c r="B1286" i="31"/>
  <c r="A1286" i="31"/>
  <c r="C1285" i="31"/>
  <c r="B1285" i="31"/>
  <c r="A1285" i="31"/>
  <c r="C1284" i="31"/>
  <c r="B1284" i="31"/>
  <c r="A1284" i="31"/>
  <c r="C1283" i="31"/>
  <c r="B1283" i="31"/>
  <c r="A1283" i="31"/>
  <c r="C1282" i="31"/>
  <c r="B1282" i="31"/>
  <c r="A1282" i="31"/>
  <c r="C1281" i="31"/>
  <c r="B1281" i="31"/>
  <c r="A1281" i="31"/>
  <c r="C1280" i="31"/>
  <c r="B1280" i="31"/>
  <c r="A1280" i="31"/>
  <c r="C1279" i="31"/>
  <c r="B1279" i="31"/>
  <c r="A1279" i="31"/>
  <c r="C1278" i="31"/>
  <c r="B1278" i="31"/>
  <c r="A1278" i="31"/>
  <c r="C1277" i="31"/>
  <c r="B1277" i="31"/>
  <c r="A1277" i="31"/>
  <c r="C1276" i="31"/>
  <c r="B1276" i="31"/>
  <c r="A1276" i="31"/>
  <c r="C1275" i="31"/>
  <c r="B1275" i="31"/>
  <c r="A1275" i="31"/>
  <c r="C1274" i="31"/>
  <c r="B1274" i="31"/>
  <c r="A1274" i="31"/>
  <c r="C1273" i="31"/>
  <c r="B1273" i="31"/>
  <c r="A1273" i="31"/>
  <c r="C1272" i="31"/>
  <c r="B1272" i="31"/>
  <c r="A1272" i="31"/>
  <c r="C1271" i="31"/>
  <c r="B1271" i="31"/>
  <c r="A1271" i="31"/>
  <c r="C1270" i="31"/>
  <c r="B1270" i="31"/>
  <c r="A1270" i="31"/>
  <c r="C1269" i="31"/>
  <c r="B1269" i="31"/>
  <c r="A1269" i="31"/>
  <c r="C1268" i="31"/>
  <c r="B1268" i="31"/>
  <c r="A1268" i="31"/>
  <c r="C1267" i="31"/>
  <c r="B1267" i="31"/>
  <c r="A1267" i="31"/>
  <c r="C1266" i="31"/>
  <c r="B1266" i="31"/>
  <c r="A1266" i="31"/>
  <c r="C1265" i="31"/>
  <c r="B1265" i="31"/>
  <c r="A1265" i="31"/>
  <c r="C1264" i="31"/>
  <c r="B1264" i="31"/>
  <c r="A1264" i="31"/>
  <c r="C1263" i="31"/>
  <c r="B1263" i="31"/>
  <c r="A1263" i="31"/>
  <c r="C1262" i="31"/>
  <c r="B1262" i="31"/>
  <c r="A1262" i="31"/>
  <c r="C1261" i="31"/>
  <c r="B1261" i="31"/>
  <c r="A1261" i="31"/>
  <c r="C1260" i="31"/>
  <c r="B1260" i="31"/>
  <c r="A1260" i="31"/>
  <c r="C1259" i="31"/>
  <c r="B1259" i="31"/>
  <c r="A1259" i="31"/>
  <c r="C1258" i="31"/>
  <c r="B1258" i="31"/>
  <c r="A1258" i="31"/>
  <c r="C1257" i="31"/>
  <c r="B1257" i="31"/>
  <c r="A1257" i="31"/>
  <c r="C1256" i="31"/>
  <c r="B1256" i="31"/>
  <c r="A1256" i="31"/>
  <c r="C1255" i="31"/>
  <c r="B1255" i="31"/>
  <c r="A1255" i="31"/>
  <c r="C1254" i="31"/>
  <c r="B1254" i="31"/>
  <c r="A1254" i="31"/>
  <c r="C1253" i="31"/>
  <c r="B1253" i="31"/>
  <c r="A1253" i="31"/>
  <c r="C1252" i="31"/>
  <c r="B1252" i="31"/>
  <c r="A1252" i="31"/>
  <c r="C1251" i="31"/>
  <c r="B1251" i="31"/>
  <c r="A1251" i="31"/>
  <c r="C1250" i="31"/>
  <c r="B1250" i="31"/>
  <c r="A1250" i="31"/>
  <c r="C1249" i="31"/>
  <c r="B1249" i="31"/>
  <c r="A1249" i="31"/>
  <c r="C1248" i="31"/>
  <c r="B1248" i="31"/>
  <c r="A1248" i="31"/>
  <c r="C1247" i="31"/>
  <c r="B1247" i="31"/>
  <c r="A1247" i="31"/>
  <c r="C1246" i="31"/>
  <c r="B1246" i="31"/>
  <c r="A1246" i="31"/>
  <c r="C1245" i="31"/>
  <c r="B1245" i="31"/>
  <c r="A1245" i="31"/>
  <c r="C1244" i="31"/>
  <c r="B1244" i="31"/>
  <c r="A1244" i="31"/>
  <c r="C1243" i="31"/>
  <c r="B1243" i="31"/>
  <c r="A1243" i="31"/>
  <c r="C1242" i="31"/>
  <c r="B1242" i="31"/>
  <c r="A1242" i="31"/>
  <c r="C1241" i="31"/>
  <c r="B1241" i="31"/>
  <c r="A1241" i="31"/>
  <c r="C1240" i="31"/>
  <c r="B1240" i="31"/>
  <c r="A1240" i="31"/>
  <c r="C1239" i="31"/>
  <c r="B1239" i="31"/>
  <c r="A1239" i="31"/>
  <c r="C1238" i="31"/>
  <c r="B1238" i="31"/>
  <c r="A1238" i="31"/>
  <c r="C1237" i="31"/>
  <c r="B1237" i="31"/>
  <c r="A1237" i="31"/>
  <c r="C1236" i="31"/>
  <c r="B1236" i="31"/>
  <c r="A1236" i="31"/>
  <c r="C1235" i="31"/>
  <c r="B1235" i="31"/>
  <c r="A1235" i="31"/>
  <c r="C1234" i="31"/>
  <c r="B1234" i="31"/>
  <c r="A1234" i="31"/>
  <c r="C1233" i="31"/>
  <c r="B1233" i="31"/>
  <c r="A1233" i="31"/>
  <c r="C1232" i="31"/>
  <c r="B1232" i="31"/>
  <c r="A1232" i="31"/>
  <c r="C1231" i="31"/>
  <c r="B1231" i="31"/>
  <c r="A1231" i="31"/>
  <c r="C1230" i="31"/>
  <c r="B1230" i="31"/>
  <c r="A1230" i="31"/>
  <c r="C1229" i="31"/>
  <c r="B1229" i="31"/>
  <c r="A1229" i="31"/>
  <c r="C1228" i="31"/>
  <c r="B1228" i="31"/>
  <c r="A1228" i="31"/>
  <c r="C1227" i="31"/>
  <c r="B1227" i="31"/>
  <c r="A1227" i="31"/>
  <c r="C1226" i="31"/>
  <c r="B1226" i="31"/>
  <c r="A1226" i="31"/>
  <c r="C1225" i="31"/>
  <c r="B1225" i="31"/>
  <c r="A1225" i="31"/>
  <c r="C1224" i="31"/>
  <c r="B1224" i="31"/>
  <c r="A1224" i="31"/>
  <c r="C1223" i="31"/>
  <c r="B1223" i="31"/>
  <c r="A1223" i="31"/>
  <c r="C1222" i="31"/>
  <c r="B1222" i="31"/>
  <c r="A1222" i="31"/>
  <c r="C1221" i="31"/>
  <c r="B1221" i="31"/>
  <c r="A1221" i="31"/>
  <c r="C1220" i="31"/>
  <c r="B1220" i="31"/>
  <c r="A1220" i="31"/>
  <c r="C1219" i="31"/>
  <c r="B1219" i="31"/>
  <c r="A1219" i="31"/>
  <c r="C1218" i="31"/>
  <c r="B1218" i="31"/>
  <c r="A1218" i="31"/>
  <c r="C1217" i="31"/>
  <c r="B1217" i="31"/>
  <c r="A1217" i="31"/>
  <c r="C1216" i="31"/>
  <c r="B1216" i="31"/>
  <c r="A1216" i="31"/>
  <c r="C1215" i="31"/>
  <c r="B1215" i="31"/>
  <c r="A1215" i="31"/>
  <c r="C1214" i="31"/>
  <c r="B1214" i="31"/>
  <c r="A1214" i="31"/>
  <c r="C1213" i="31"/>
  <c r="B1213" i="31"/>
  <c r="A1213" i="31"/>
  <c r="C1212" i="31"/>
  <c r="B1212" i="31"/>
  <c r="A1212" i="31"/>
  <c r="C1211" i="31"/>
  <c r="B1211" i="31"/>
  <c r="A1211" i="31"/>
  <c r="C1210" i="31"/>
  <c r="B1210" i="31"/>
  <c r="A1210" i="31"/>
  <c r="C1209" i="31"/>
  <c r="B1209" i="31"/>
  <c r="A1209" i="31"/>
  <c r="C1208" i="31"/>
  <c r="B1208" i="31"/>
  <c r="A1208" i="31"/>
  <c r="C1207" i="31"/>
  <c r="B1207" i="31"/>
  <c r="A1207" i="31"/>
  <c r="C1206" i="31"/>
  <c r="B1206" i="31"/>
  <c r="A1206" i="31"/>
  <c r="C1205" i="31"/>
  <c r="B1205" i="31"/>
  <c r="A1205" i="31"/>
  <c r="C1204" i="31"/>
  <c r="B1204" i="31"/>
  <c r="A1204" i="31"/>
  <c r="C1203" i="31"/>
  <c r="B1203" i="31"/>
  <c r="A1203" i="31"/>
  <c r="C1202" i="31"/>
  <c r="B1202" i="31"/>
  <c r="A1202" i="31"/>
  <c r="C1201" i="31"/>
  <c r="B1201" i="31"/>
  <c r="A1201" i="31"/>
  <c r="C1200" i="31"/>
  <c r="B1200" i="31"/>
  <c r="A1200" i="31"/>
  <c r="C1199" i="31"/>
  <c r="B1199" i="31"/>
  <c r="A1199" i="31"/>
  <c r="C1198" i="31"/>
  <c r="B1198" i="31"/>
  <c r="A1198" i="31"/>
  <c r="C1197" i="31"/>
  <c r="B1197" i="31"/>
  <c r="A1197" i="31"/>
  <c r="C1196" i="31"/>
  <c r="B1196" i="31"/>
  <c r="A1196" i="31"/>
  <c r="C1195" i="31"/>
  <c r="B1195" i="31"/>
  <c r="A1195" i="31"/>
  <c r="C1194" i="31"/>
  <c r="B1194" i="31"/>
  <c r="A1194" i="31"/>
  <c r="C1193" i="31"/>
  <c r="B1193" i="31"/>
  <c r="A1193" i="31"/>
  <c r="C1192" i="31"/>
  <c r="B1192" i="31"/>
  <c r="A1192" i="31"/>
  <c r="C1191" i="31"/>
  <c r="B1191" i="31"/>
  <c r="A1191" i="31"/>
  <c r="C1190" i="31"/>
  <c r="B1190" i="31"/>
  <c r="A1190" i="31"/>
  <c r="C1189" i="31"/>
  <c r="B1189" i="31"/>
  <c r="A1189" i="31"/>
  <c r="C1188" i="31"/>
  <c r="B1188" i="31"/>
  <c r="A1188" i="31"/>
  <c r="C1187" i="31"/>
  <c r="B1187" i="31"/>
  <c r="A1187" i="31"/>
  <c r="C1186" i="31"/>
  <c r="B1186" i="31"/>
  <c r="A1186" i="31"/>
  <c r="C1185" i="31"/>
  <c r="B1185" i="31"/>
  <c r="A1185" i="31"/>
  <c r="C1184" i="31"/>
  <c r="B1184" i="31"/>
  <c r="A1184" i="31"/>
  <c r="C1183" i="31"/>
  <c r="B1183" i="31"/>
  <c r="A1183" i="31"/>
  <c r="C1182" i="31"/>
  <c r="B1182" i="31"/>
  <c r="A1182" i="31"/>
  <c r="C1181" i="31"/>
  <c r="B1181" i="31"/>
  <c r="A1181" i="31"/>
  <c r="C1180" i="31"/>
  <c r="B1180" i="31"/>
  <c r="A1180" i="31"/>
  <c r="C1179" i="31"/>
  <c r="B1179" i="31"/>
  <c r="A1179" i="31"/>
  <c r="C1178" i="31"/>
  <c r="B1178" i="31"/>
  <c r="A1178" i="31"/>
  <c r="C1177" i="31"/>
  <c r="B1177" i="31"/>
  <c r="A1177" i="31"/>
  <c r="C1176" i="31"/>
  <c r="B1176" i="31"/>
  <c r="A1176" i="31"/>
  <c r="C1175" i="31"/>
  <c r="B1175" i="31"/>
  <c r="A1175" i="31"/>
  <c r="C1174" i="31"/>
  <c r="B1174" i="31"/>
  <c r="A1174" i="31"/>
  <c r="C1173" i="31"/>
  <c r="B1173" i="31"/>
  <c r="A1173" i="31"/>
  <c r="C1172" i="31"/>
  <c r="B1172" i="31"/>
  <c r="A1172" i="31"/>
  <c r="C1171" i="31"/>
  <c r="B1171" i="31"/>
  <c r="A1171" i="31"/>
  <c r="C1170" i="31"/>
  <c r="B1170" i="31"/>
  <c r="A1170" i="31"/>
  <c r="C1169" i="31"/>
  <c r="B1169" i="31"/>
  <c r="A1169" i="31"/>
  <c r="C1168" i="31"/>
  <c r="B1168" i="31"/>
  <c r="A1168" i="31"/>
  <c r="C1167" i="31"/>
  <c r="B1167" i="31"/>
  <c r="A1167" i="31"/>
  <c r="C1166" i="31"/>
  <c r="B1166" i="31"/>
  <c r="A1166" i="31"/>
  <c r="C1165" i="31"/>
  <c r="B1165" i="31"/>
  <c r="A1165" i="31"/>
  <c r="C1164" i="31"/>
  <c r="B1164" i="31"/>
  <c r="A1164" i="31"/>
  <c r="C1163" i="31"/>
  <c r="B1163" i="31"/>
  <c r="A1163" i="31"/>
  <c r="C1162" i="31"/>
  <c r="B1162" i="31"/>
  <c r="A1162" i="31"/>
  <c r="C1161" i="31"/>
  <c r="B1161" i="31"/>
  <c r="A1161" i="31"/>
  <c r="C1160" i="31"/>
  <c r="B1160" i="31"/>
  <c r="A1160" i="31"/>
  <c r="C1159" i="31"/>
  <c r="B1159" i="31"/>
  <c r="A1159" i="31"/>
  <c r="C1158" i="31"/>
  <c r="B1158" i="31"/>
  <c r="A1158" i="31"/>
  <c r="C1157" i="31"/>
  <c r="B1157" i="31"/>
  <c r="A1157" i="31"/>
  <c r="C1156" i="31"/>
  <c r="B1156" i="31"/>
  <c r="A1156" i="31"/>
  <c r="C1155" i="31"/>
  <c r="B1155" i="31"/>
  <c r="A1155" i="31"/>
  <c r="C1154" i="31"/>
  <c r="B1154" i="31"/>
  <c r="A1154" i="31"/>
  <c r="C1153" i="31"/>
  <c r="B1153" i="31"/>
  <c r="A1153" i="31"/>
  <c r="C1152" i="31"/>
  <c r="B1152" i="31"/>
  <c r="A1152" i="31"/>
  <c r="C1151" i="31"/>
  <c r="B1151" i="31"/>
  <c r="A1151" i="31"/>
  <c r="C1150" i="31"/>
  <c r="B1150" i="31"/>
  <c r="A1150" i="31"/>
  <c r="C1149" i="31"/>
  <c r="B1149" i="31"/>
  <c r="A1149" i="31"/>
  <c r="C1148" i="31"/>
  <c r="B1148" i="31"/>
  <c r="A1148" i="31"/>
  <c r="C1147" i="31"/>
  <c r="B1147" i="31"/>
  <c r="A1147" i="31"/>
  <c r="C1146" i="31"/>
  <c r="B1146" i="31"/>
  <c r="A1146" i="31"/>
  <c r="C1145" i="31"/>
  <c r="B1145" i="31"/>
  <c r="A1145" i="31"/>
  <c r="C1144" i="31"/>
  <c r="B1144" i="31"/>
  <c r="A1144" i="31"/>
  <c r="C1143" i="31"/>
  <c r="B1143" i="31"/>
  <c r="A1143" i="31"/>
  <c r="C1142" i="31"/>
  <c r="B1142" i="31"/>
  <c r="A1142" i="31"/>
  <c r="C1141" i="31"/>
  <c r="B1141" i="31"/>
  <c r="A1141" i="31"/>
  <c r="C1140" i="31"/>
  <c r="B1140" i="31"/>
  <c r="A1140" i="31"/>
  <c r="C1139" i="31"/>
  <c r="B1139" i="31"/>
  <c r="A1139" i="31"/>
  <c r="C1138" i="31"/>
  <c r="B1138" i="31"/>
  <c r="A1138" i="31"/>
  <c r="C1137" i="31"/>
  <c r="B1137" i="31"/>
  <c r="A1137" i="31"/>
  <c r="C1136" i="31"/>
  <c r="B1136" i="31"/>
  <c r="A1136" i="31"/>
  <c r="C1135" i="31"/>
  <c r="B1135" i="31"/>
  <c r="A1135" i="31"/>
  <c r="C1134" i="31"/>
  <c r="B1134" i="31"/>
  <c r="A1134" i="31"/>
  <c r="C1133" i="31"/>
  <c r="B1133" i="31"/>
  <c r="A1133" i="31"/>
  <c r="C1132" i="31"/>
  <c r="B1132" i="31"/>
  <c r="A1132" i="31"/>
  <c r="C1131" i="31"/>
  <c r="B1131" i="31"/>
  <c r="A1131" i="31"/>
  <c r="C1130" i="31"/>
  <c r="B1130" i="31"/>
  <c r="A1130" i="31"/>
  <c r="C1129" i="31"/>
  <c r="B1129" i="31"/>
  <c r="A1129" i="31"/>
  <c r="C1128" i="31"/>
  <c r="B1128" i="31"/>
  <c r="A1128" i="31"/>
  <c r="C1127" i="31"/>
  <c r="B1127" i="31"/>
  <c r="A1127" i="31"/>
  <c r="C1126" i="31"/>
  <c r="B1126" i="31"/>
  <c r="A1126" i="31"/>
  <c r="C1125" i="31"/>
  <c r="B1125" i="31"/>
  <c r="A1125" i="31"/>
  <c r="C1124" i="31"/>
  <c r="B1124" i="31"/>
  <c r="A1124" i="31"/>
  <c r="C1123" i="31"/>
  <c r="B1123" i="31"/>
  <c r="A1123" i="31"/>
  <c r="C1122" i="31"/>
  <c r="B1122" i="31"/>
  <c r="A1122" i="31"/>
  <c r="C1121" i="31"/>
  <c r="B1121" i="31"/>
  <c r="A1121" i="31"/>
  <c r="C1120" i="31"/>
  <c r="B1120" i="31"/>
  <c r="A1120" i="31"/>
  <c r="C1119" i="31"/>
  <c r="B1119" i="31"/>
  <c r="A1119" i="31"/>
  <c r="C1118" i="31"/>
  <c r="B1118" i="31"/>
  <c r="A1118" i="31"/>
  <c r="C1117" i="31"/>
  <c r="B1117" i="31"/>
  <c r="A1117" i="31"/>
  <c r="C1116" i="31"/>
  <c r="B1116" i="31"/>
  <c r="A1116" i="31"/>
  <c r="C1115" i="31"/>
  <c r="B1115" i="31"/>
  <c r="A1115" i="31"/>
  <c r="C1114" i="31"/>
  <c r="B1114" i="31"/>
  <c r="A1114" i="31"/>
  <c r="C1113" i="31"/>
  <c r="B1113" i="31"/>
  <c r="A1113" i="31"/>
  <c r="C1112" i="31"/>
  <c r="B1112" i="31"/>
  <c r="A1112" i="31"/>
  <c r="C1111" i="31"/>
  <c r="B1111" i="31"/>
  <c r="A1111" i="31"/>
  <c r="C1110" i="31"/>
  <c r="B1110" i="31"/>
  <c r="A1110" i="31"/>
  <c r="C1109" i="31"/>
  <c r="B1109" i="31"/>
  <c r="A1109" i="31"/>
  <c r="C1108" i="31"/>
  <c r="B1108" i="31"/>
  <c r="A1108" i="31"/>
  <c r="C1107" i="31"/>
  <c r="B1107" i="31"/>
  <c r="A1107" i="31"/>
  <c r="C1106" i="31"/>
  <c r="B1106" i="31"/>
  <c r="A1106" i="31"/>
  <c r="C1105" i="31"/>
  <c r="B1105" i="31"/>
  <c r="A1105" i="31"/>
  <c r="C1104" i="31"/>
  <c r="B1104" i="31"/>
  <c r="A1104" i="31"/>
  <c r="C1103" i="31"/>
  <c r="B1103" i="31"/>
  <c r="A1103" i="31"/>
  <c r="C1102" i="31"/>
  <c r="B1102" i="31"/>
  <c r="A1102" i="31"/>
  <c r="C1101" i="31"/>
  <c r="B1101" i="31"/>
  <c r="A1101" i="31"/>
  <c r="C1100" i="31"/>
  <c r="B1100" i="31"/>
  <c r="A1100" i="31"/>
  <c r="C1099" i="31"/>
  <c r="B1099" i="31"/>
  <c r="A1099" i="31"/>
  <c r="C1098" i="31"/>
  <c r="B1098" i="31"/>
  <c r="A1098" i="31"/>
  <c r="C1097" i="31"/>
  <c r="B1097" i="31"/>
  <c r="A1097" i="31"/>
  <c r="C1096" i="31"/>
  <c r="B1096" i="31"/>
  <c r="A1096" i="31"/>
  <c r="C1095" i="31"/>
  <c r="B1095" i="31"/>
  <c r="A1095" i="31"/>
  <c r="C1094" i="31"/>
  <c r="B1094" i="31"/>
  <c r="A1094" i="31"/>
  <c r="C1093" i="31"/>
  <c r="B1093" i="31"/>
  <c r="A1093" i="31"/>
  <c r="C1092" i="31"/>
  <c r="B1092" i="31"/>
  <c r="A1092" i="31"/>
  <c r="C1091" i="31"/>
  <c r="B1091" i="31"/>
  <c r="A1091" i="31"/>
  <c r="C1090" i="31"/>
  <c r="B1090" i="31"/>
  <c r="A1090" i="31"/>
  <c r="C1089" i="31"/>
  <c r="B1089" i="31"/>
  <c r="A1089" i="31"/>
  <c r="C1088" i="31"/>
  <c r="B1088" i="31"/>
  <c r="A1088" i="31"/>
  <c r="C1087" i="31"/>
  <c r="B1087" i="31"/>
  <c r="A1087" i="31"/>
  <c r="C1086" i="31"/>
  <c r="B1086" i="31"/>
  <c r="A1086" i="31"/>
  <c r="C1085" i="31"/>
  <c r="B1085" i="31"/>
  <c r="A1085" i="31"/>
  <c r="C1084" i="31"/>
  <c r="B1084" i="31"/>
  <c r="A1084" i="31"/>
  <c r="C1083" i="31"/>
  <c r="B1083" i="31"/>
  <c r="A1083" i="31"/>
  <c r="C1082" i="31"/>
  <c r="B1082" i="31"/>
  <c r="A1082" i="31"/>
  <c r="C1081" i="31"/>
  <c r="B1081" i="31"/>
  <c r="A1081" i="31"/>
  <c r="C1080" i="31"/>
  <c r="B1080" i="31"/>
  <c r="A1080" i="31"/>
  <c r="C1079" i="31"/>
  <c r="B1079" i="31"/>
  <c r="A1079" i="31"/>
  <c r="C1078" i="31"/>
  <c r="B1078" i="31"/>
  <c r="A1078" i="31"/>
  <c r="C1077" i="31"/>
  <c r="B1077" i="31"/>
  <c r="A1077" i="31"/>
  <c r="C1076" i="31"/>
  <c r="B1076" i="31"/>
  <c r="A1076" i="31"/>
  <c r="C1075" i="31"/>
  <c r="B1075" i="31"/>
  <c r="A1075" i="31"/>
  <c r="C1074" i="31"/>
  <c r="B1074" i="31"/>
  <c r="A1074" i="31"/>
  <c r="C1073" i="31"/>
  <c r="B1073" i="31"/>
  <c r="A1073" i="31"/>
  <c r="C1072" i="31"/>
  <c r="B1072" i="31"/>
  <c r="A1072" i="31"/>
  <c r="C1071" i="31"/>
  <c r="B1071" i="31"/>
  <c r="A1071" i="31"/>
  <c r="C1070" i="31"/>
  <c r="B1070" i="31"/>
  <c r="A1070" i="31"/>
  <c r="C1069" i="31"/>
  <c r="B1069" i="31"/>
  <c r="A1069" i="31"/>
  <c r="C1068" i="31"/>
  <c r="B1068" i="31"/>
  <c r="A1068" i="31"/>
  <c r="C1067" i="31"/>
  <c r="B1067" i="31"/>
  <c r="A1067" i="31"/>
  <c r="C1066" i="31"/>
  <c r="B1066" i="31"/>
  <c r="A1066" i="31"/>
  <c r="C1065" i="31"/>
  <c r="B1065" i="31"/>
  <c r="A1065" i="31"/>
  <c r="C1064" i="31"/>
  <c r="B1064" i="31"/>
  <c r="A1064" i="31"/>
  <c r="C1063" i="31"/>
  <c r="B1063" i="31"/>
  <c r="A1063" i="31"/>
  <c r="C1062" i="31"/>
  <c r="B1062" i="31"/>
  <c r="A1062" i="31"/>
  <c r="C1061" i="31"/>
  <c r="B1061" i="31"/>
  <c r="A1061" i="31"/>
  <c r="C1060" i="31"/>
  <c r="B1060" i="31"/>
  <c r="A1060" i="31"/>
  <c r="C1059" i="31"/>
  <c r="B1059" i="31"/>
  <c r="A1059" i="31"/>
  <c r="C1058" i="31"/>
  <c r="B1058" i="31"/>
  <c r="A1058" i="31"/>
  <c r="C1057" i="31"/>
  <c r="B1057" i="31"/>
  <c r="A1057" i="31"/>
  <c r="C1056" i="31"/>
  <c r="B1056" i="31"/>
  <c r="A1056" i="31"/>
  <c r="C1055" i="31"/>
  <c r="B1055" i="31"/>
  <c r="A1055" i="31"/>
  <c r="C1054" i="31"/>
  <c r="B1054" i="31"/>
  <c r="A1054" i="31"/>
  <c r="C1053" i="31"/>
  <c r="B1053" i="31"/>
  <c r="A1053" i="31"/>
  <c r="C1052" i="31"/>
  <c r="B1052" i="31"/>
  <c r="A1052" i="31"/>
  <c r="C1051" i="31"/>
  <c r="B1051" i="31"/>
  <c r="A1051" i="31"/>
  <c r="C1050" i="31"/>
  <c r="B1050" i="31"/>
  <c r="A1050" i="31"/>
  <c r="C1049" i="31"/>
  <c r="B1049" i="31"/>
  <c r="A1049" i="31"/>
  <c r="C1048" i="31"/>
  <c r="B1048" i="31"/>
  <c r="A1048" i="31"/>
  <c r="C1047" i="31"/>
  <c r="B1047" i="31"/>
  <c r="A1047" i="31"/>
  <c r="C1046" i="31"/>
  <c r="B1046" i="31"/>
  <c r="A1046" i="31"/>
  <c r="C1045" i="31"/>
  <c r="B1045" i="31"/>
  <c r="A1045" i="31"/>
  <c r="C1044" i="31"/>
  <c r="B1044" i="31"/>
  <c r="A1044" i="31"/>
  <c r="C1043" i="31"/>
  <c r="B1043" i="31"/>
  <c r="A1043" i="31"/>
  <c r="C1042" i="31"/>
  <c r="B1042" i="31"/>
  <c r="A1042" i="31"/>
  <c r="C1041" i="31"/>
  <c r="B1041" i="31"/>
  <c r="A1041" i="31"/>
  <c r="C1040" i="31"/>
  <c r="B1040" i="31"/>
  <c r="A1040" i="31"/>
  <c r="C1039" i="31"/>
  <c r="B1039" i="31"/>
  <c r="A1039" i="31"/>
  <c r="C1038" i="31"/>
  <c r="B1038" i="31"/>
  <c r="A1038" i="31"/>
  <c r="C1037" i="31"/>
  <c r="B1037" i="31"/>
  <c r="A1037" i="31"/>
  <c r="C1036" i="31"/>
  <c r="B1036" i="31"/>
  <c r="A1036" i="31"/>
  <c r="C1035" i="31"/>
  <c r="B1035" i="31"/>
  <c r="A1035" i="31"/>
  <c r="C1034" i="31"/>
  <c r="B1034" i="31"/>
  <c r="A1034" i="31"/>
  <c r="C1033" i="31"/>
  <c r="B1033" i="31"/>
  <c r="A1033" i="31"/>
  <c r="C1032" i="31"/>
  <c r="B1032" i="31"/>
  <c r="A1032" i="31"/>
  <c r="C1031" i="31"/>
  <c r="B1031" i="31"/>
  <c r="A1031" i="31"/>
  <c r="C1030" i="31"/>
  <c r="B1030" i="31"/>
  <c r="A1030" i="31"/>
  <c r="C1029" i="31"/>
  <c r="B1029" i="31"/>
  <c r="A1029" i="31"/>
  <c r="C1028" i="31"/>
  <c r="B1028" i="31"/>
  <c r="A1028" i="31"/>
  <c r="C1027" i="31"/>
  <c r="B1027" i="31"/>
  <c r="A1027" i="31"/>
  <c r="C1026" i="31"/>
  <c r="B1026" i="31"/>
  <c r="A1026" i="31"/>
  <c r="C1025" i="31"/>
  <c r="B1025" i="31"/>
  <c r="A1025" i="31"/>
  <c r="C1024" i="31"/>
  <c r="B1024" i="31"/>
  <c r="A1024" i="31"/>
  <c r="C1023" i="31"/>
  <c r="B1023" i="31"/>
  <c r="A1023" i="31"/>
  <c r="C1022" i="31"/>
  <c r="B1022" i="31"/>
  <c r="A1022" i="31"/>
  <c r="C1021" i="31"/>
  <c r="B1021" i="31"/>
  <c r="A1021" i="31"/>
  <c r="C1020" i="31"/>
  <c r="B1020" i="31"/>
  <c r="A1020" i="31"/>
  <c r="C1019" i="31"/>
  <c r="B1019" i="31"/>
  <c r="A1019" i="31"/>
  <c r="C1018" i="31"/>
  <c r="B1018" i="31"/>
  <c r="A1018" i="31"/>
  <c r="C1017" i="31"/>
  <c r="B1017" i="31"/>
  <c r="A1017" i="31"/>
  <c r="C1016" i="31"/>
  <c r="B1016" i="31"/>
  <c r="A1016" i="31"/>
  <c r="C1015" i="31"/>
  <c r="B1015" i="31"/>
  <c r="A1015" i="31"/>
  <c r="C1014" i="31"/>
  <c r="B1014" i="31"/>
  <c r="A1014" i="31"/>
  <c r="C1013" i="31"/>
  <c r="B1013" i="31"/>
  <c r="A1013" i="31"/>
  <c r="C1012" i="31"/>
  <c r="B1012" i="31"/>
  <c r="A1012" i="31"/>
  <c r="C1011" i="31"/>
  <c r="B1011" i="31"/>
  <c r="A1011" i="31"/>
  <c r="C1010" i="31"/>
  <c r="B1010" i="31"/>
  <c r="A1010" i="31"/>
  <c r="C1009" i="31"/>
  <c r="B1009" i="31"/>
  <c r="A1009" i="31"/>
  <c r="C1008" i="31"/>
  <c r="B1008" i="31"/>
  <c r="A1008" i="31"/>
  <c r="C1007" i="31"/>
  <c r="B1007" i="31"/>
  <c r="A1007" i="31"/>
  <c r="C1006" i="31"/>
  <c r="B1006" i="31"/>
  <c r="A1006" i="31"/>
  <c r="C1005" i="31"/>
  <c r="B1005" i="31"/>
  <c r="A1005" i="31"/>
  <c r="C1004" i="31"/>
  <c r="B1004" i="31"/>
  <c r="A1004" i="31"/>
  <c r="C1003" i="31"/>
  <c r="B1003" i="31"/>
  <c r="A1003" i="31"/>
  <c r="C1002" i="31"/>
  <c r="B1002" i="31"/>
  <c r="A1002" i="31"/>
  <c r="C1001" i="31"/>
  <c r="B1001" i="31"/>
  <c r="A1001" i="31"/>
  <c r="C1000" i="31"/>
  <c r="B1000" i="31"/>
  <c r="A1000" i="31"/>
  <c r="C999" i="31"/>
  <c r="B999" i="31"/>
  <c r="A999" i="31"/>
  <c r="C998" i="31"/>
  <c r="B998" i="31"/>
  <c r="A998" i="31"/>
  <c r="C997" i="31"/>
  <c r="B997" i="31"/>
  <c r="A997" i="31"/>
  <c r="C996" i="31"/>
  <c r="B996" i="31"/>
  <c r="A996" i="31"/>
  <c r="C995" i="31"/>
  <c r="B995" i="31"/>
  <c r="A995" i="31"/>
  <c r="C994" i="31"/>
  <c r="B994" i="31"/>
  <c r="A994" i="31"/>
  <c r="C993" i="31"/>
  <c r="B993" i="31"/>
  <c r="A993" i="31"/>
  <c r="C992" i="31"/>
  <c r="B992" i="31"/>
  <c r="A992" i="31"/>
  <c r="C991" i="31"/>
  <c r="B991" i="31"/>
  <c r="A991" i="31"/>
  <c r="C990" i="31"/>
  <c r="B990" i="31"/>
  <c r="A990" i="31"/>
  <c r="C989" i="31"/>
  <c r="B989" i="31"/>
  <c r="A989" i="31"/>
  <c r="C988" i="31"/>
  <c r="B988" i="31"/>
  <c r="A988" i="31"/>
  <c r="C987" i="31"/>
  <c r="B987" i="31"/>
  <c r="A987" i="31"/>
  <c r="C986" i="31"/>
  <c r="B986" i="31"/>
  <c r="A986" i="31"/>
  <c r="C985" i="31"/>
  <c r="B985" i="31"/>
  <c r="A985" i="31"/>
  <c r="C984" i="31"/>
  <c r="B984" i="31"/>
  <c r="A984" i="31"/>
  <c r="C983" i="31"/>
  <c r="B983" i="31"/>
  <c r="A983" i="31"/>
  <c r="C982" i="31"/>
  <c r="B982" i="31"/>
  <c r="A982" i="31"/>
  <c r="C981" i="31"/>
  <c r="B981" i="31"/>
  <c r="A981" i="31"/>
  <c r="C980" i="31"/>
  <c r="B980" i="31"/>
  <c r="A980" i="31"/>
  <c r="C979" i="31"/>
  <c r="B979" i="31"/>
  <c r="A979" i="31"/>
  <c r="C978" i="31"/>
  <c r="B978" i="31"/>
  <c r="A978" i="31"/>
  <c r="C977" i="31"/>
  <c r="B977" i="31"/>
  <c r="A977" i="31"/>
  <c r="C976" i="31"/>
  <c r="B976" i="31"/>
  <c r="A976" i="31"/>
  <c r="C975" i="31"/>
  <c r="B975" i="31"/>
  <c r="A975" i="31"/>
  <c r="C974" i="31"/>
  <c r="B974" i="31"/>
  <c r="A974" i="31"/>
  <c r="C973" i="31"/>
  <c r="B973" i="31"/>
  <c r="A973" i="31"/>
  <c r="C972" i="31"/>
  <c r="B972" i="31"/>
  <c r="A972" i="31"/>
  <c r="C971" i="31"/>
  <c r="B971" i="31"/>
  <c r="A971" i="31"/>
  <c r="C970" i="31"/>
  <c r="B970" i="31"/>
  <c r="A970" i="31"/>
  <c r="C969" i="31"/>
  <c r="B969" i="31"/>
  <c r="A969" i="31"/>
  <c r="C968" i="31"/>
  <c r="B968" i="31"/>
  <c r="A968" i="31"/>
  <c r="C967" i="31"/>
  <c r="B967" i="31"/>
  <c r="A967" i="31"/>
  <c r="C966" i="31"/>
  <c r="B966" i="31"/>
  <c r="A966" i="31"/>
  <c r="C965" i="31"/>
  <c r="B965" i="31"/>
  <c r="A965" i="31"/>
  <c r="C964" i="31"/>
  <c r="B964" i="31"/>
  <c r="A964" i="31"/>
  <c r="C963" i="31"/>
  <c r="B963" i="31"/>
  <c r="A963" i="31"/>
  <c r="C962" i="31"/>
  <c r="B962" i="31"/>
  <c r="A962" i="31"/>
  <c r="C961" i="31"/>
  <c r="B961" i="31"/>
  <c r="A961" i="31"/>
  <c r="C960" i="31"/>
  <c r="B960" i="31"/>
  <c r="A960" i="31"/>
  <c r="C959" i="31"/>
  <c r="B959" i="31"/>
  <c r="A959" i="31"/>
  <c r="C958" i="31"/>
  <c r="B958" i="31"/>
  <c r="A958" i="31"/>
  <c r="C957" i="31"/>
  <c r="B957" i="31"/>
  <c r="A957" i="31"/>
  <c r="C956" i="31"/>
  <c r="B956" i="31"/>
  <c r="A956" i="31"/>
  <c r="C955" i="31"/>
  <c r="B955" i="31"/>
  <c r="A955" i="31"/>
  <c r="C954" i="31"/>
  <c r="B954" i="31"/>
  <c r="A954" i="31"/>
  <c r="C953" i="31"/>
  <c r="B953" i="31"/>
  <c r="A953" i="31"/>
  <c r="C952" i="31"/>
  <c r="B952" i="31"/>
  <c r="A952" i="31"/>
  <c r="C951" i="31"/>
  <c r="B951" i="31"/>
  <c r="A951" i="31"/>
  <c r="C950" i="31"/>
  <c r="B950" i="31"/>
  <c r="A950" i="31"/>
  <c r="C949" i="31"/>
  <c r="B949" i="31"/>
  <c r="A949" i="31"/>
  <c r="C948" i="31"/>
  <c r="B948" i="31"/>
  <c r="A948" i="31"/>
  <c r="C947" i="31"/>
  <c r="B947" i="31"/>
  <c r="A947" i="31"/>
  <c r="C946" i="31"/>
  <c r="B946" i="31"/>
  <c r="A946" i="31"/>
  <c r="C945" i="31"/>
  <c r="B945" i="31"/>
  <c r="A945" i="31"/>
  <c r="C944" i="31"/>
  <c r="B944" i="31"/>
  <c r="A944" i="31"/>
  <c r="C943" i="31"/>
  <c r="B943" i="31"/>
  <c r="A943" i="31"/>
  <c r="C942" i="31"/>
  <c r="B942" i="31"/>
  <c r="A942" i="31"/>
  <c r="C941" i="31"/>
  <c r="B941" i="31"/>
  <c r="A941" i="31"/>
  <c r="C940" i="31"/>
  <c r="B940" i="31"/>
  <c r="A940" i="31"/>
  <c r="C939" i="31"/>
  <c r="B939" i="31"/>
  <c r="A939" i="31"/>
  <c r="C938" i="31"/>
  <c r="B938" i="31"/>
  <c r="A938" i="31"/>
  <c r="C937" i="31"/>
  <c r="B937" i="31"/>
  <c r="A937" i="31"/>
  <c r="C936" i="31"/>
  <c r="B936" i="31"/>
  <c r="A936" i="31"/>
  <c r="C935" i="31"/>
  <c r="B935" i="31"/>
  <c r="A935" i="31"/>
  <c r="C934" i="31"/>
  <c r="B934" i="31"/>
  <c r="A934" i="31"/>
  <c r="C933" i="31"/>
  <c r="B933" i="31"/>
  <c r="A933" i="31"/>
  <c r="C932" i="31"/>
  <c r="B932" i="31"/>
  <c r="A932" i="31"/>
  <c r="C931" i="31"/>
  <c r="B931" i="31"/>
  <c r="A931" i="31"/>
  <c r="C930" i="31"/>
  <c r="B930" i="31"/>
  <c r="A930" i="31"/>
  <c r="C929" i="31"/>
  <c r="B929" i="31"/>
  <c r="A929" i="31"/>
  <c r="C928" i="31"/>
  <c r="B928" i="31"/>
  <c r="A928" i="31"/>
  <c r="C927" i="31"/>
  <c r="B927" i="31"/>
  <c r="A927" i="31"/>
  <c r="C926" i="31"/>
  <c r="B926" i="31"/>
  <c r="A926" i="31"/>
  <c r="C925" i="31"/>
  <c r="B925" i="31"/>
  <c r="A925" i="31"/>
  <c r="C924" i="31"/>
  <c r="B924" i="31"/>
  <c r="A924" i="31"/>
  <c r="C923" i="31"/>
  <c r="B923" i="31"/>
  <c r="A923" i="31"/>
  <c r="C922" i="31"/>
  <c r="B922" i="31"/>
  <c r="A922" i="31"/>
  <c r="C921" i="31"/>
  <c r="B921" i="31"/>
  <c r="A921" i="31"/>
  <c r="C920" i="31"/>
  <c r="B920" i="31"/>
  <c r="A920" i="31"/>
  <c r="C919" i="31"/>
  <c r="B919" i="31"/>
  <c r="A919" i="31"/>
  <c r="C918" i="31"/>
  <c r="B918" i="31"/>
  <c r="A918" i="31"/>
  <c r="C917" i="31"/>
  <c r="B917" i="31"/>
  <c r="A917" i="31"/>
  <c r="C916" i="31"/>
  <c r="B916" i="31"/>
  <c r="A916" i="31"/>
  <c r="C915" i="31"/>
  <c r="B915" i="31"/>
  <c r="A915" i="31"/>
  <c r="C914" i="31"/>
  <c r="B914" i="31"/>
  <c r="A914" i="31"/>
  <c r="C913" i="31"/>
  <c r="B913" i="31"/>
  <c r="A913" i="31"/>
  <c r="C912" i="31"/>
  <c r="B912" i="31"/>
  <c r="A912" i="31"/>
  <c r="C911" i="31"/>
  <c r="B911" i="31"/>
  <c r="A911" i="31"/>
  <c r="C910" i="31"/>
  <c r="B910" i="31"/>
  <c r="A910" i="31"/>
  <c r="C909" i="31"/>
  <c r="B909" i="31"/>
  <c r="A909" i="31"/>
  <c r="C908" i="31"/>
  <c r="B908" i="31"/>
  <c r="A908" i="31"/>
  <c r="C907" i="31"/>
  <c r="B907" i="31"/>
  <c r="A907" i="31"/>
  <c r="C906" i="31"/>
  <c r="B906" i="31"/>
  <c r="A906" i="31"/>
  <c r="C905" i="31"/>
  <c r="B905" i="31"/>
  <c r="A905" i="31"/>
  <c r="C904" i="31"/>
  <c r="B904" i="31"/>
  <c r="A904" i="31"/>
  <c r="C903" i="31"/>
  <c r="B903" i="31"/>
  <c r="A903" i="31"/>
  <c r="C902" i="31"/>
  <c r="B902" i="31"/>
  <c r="A902" i="31"/>
  <c r="C901" i="31"/>
  <c r="B901" i="31"/>
  <c r="A901" i="31"/>
  <c r="C900" i="31"/>
  <c r="B900" i="31"/>
  <c r="A900" i="31"/>
  <c r="C899" i="31"/>
  <c r="B899" i="31"/>
  <c r="A899" i="31"/>
  <c r="C898" i="31"/>
  <c r="B898" i="31"/>
  <c r="A898" i="31"/>
  <c r="C897" i="31"/>
  <c r="B897" i="31"/>
  <c r="A897" i="31"/>
  <c r="C896" i="31"/>
  <c r="B896" i="31"/>
  <c r="A896" i="31"/>
  <c r="C895" i="31"/>
  <c r="B895" i="31"/>
  <c r="A895" i="31"/>
  <c r="C894" i="31"/>
  <c r="B894" i="31"/>
  <c r="A894" i="31"/>
  <c r="C893" i="31"/>
  <c r="B893" i="31"/>
  <c r="A893" i="31"/>
  <c r="C892" i="31"/>
  <c r="B892" i="31"/>
  <c r="A892" i="31"/>
  <c r="C891" i="31"/>
  <c r="B891" i="31"/>
  <c r="A891" i="31"/>
  <c r="C890" i="31"/>
  <c r="B890" i="31"/>
  <c r="A890" i="31"/>
  <c r="C889" i="31"/>
  <c r="B889" i="31"/>
  <c r="A889" i="31"/>
  <c r="C888" i="31"/>
  <c r="B888" i="31"/>
  <c r="A888" i="31"/>
  <c r="C887" i="31"/>
  <c r="B887" i="31"/>
  <c r="A887" i="31"/>
  <c r="C886" i="31"/>
  <c r="B886" i="31"/>
  <c r="A886" i="31"/>
  <c r="C885" i="31"/>
  <c r="B885" i="31"/>
  <c r="A885" i="31"/>
  <c r="C884" i="31"/>
  <c r="B884" i="31"/>
  <c r="A884" i="31"/>
  <c r="C883" i="31"/>
  <c r="B883" i="31"/>
  <c r="A883" i="31"/>
  <c r="C882" i="31"/>
  <c r="B882" i="31"/>
  <c r="A882" i="31"/>
  <c r="C881" i="31"/>
  <c r="B881" i="31"/>
  <c r="A881" i="31"/>
  <c r="C880" i="31"/>
  <c r="B880" i="31"/>
  <c r="A880" i="31"/>
  <c r="C879" i="31"/>
  <c r="B879" i="31"/>
  <c r="A879" i="31"/>
  <c r="C878" i="31"/>
  <c r="B878" i="31"/>
  <c r="A878" i="31"/>
  <c r="C877" i="31"/>
  <c r="B877" i="31"/>
  <c r="A877" i="31"/>
  <c r="C876" i="31"/>
  <c r="B876" i="31"/>
  <c r="A876" i="31"/>
  <c r="C875" i="31"/>
  <c r="B875" i="31"/>
  <c r="A875" i="31"/>
  <c r="C874" i="31"/>
  <c r="B874" i="31"/>
  <c r="A874" i="31"/>
  <c r="C873" i="31"/>
  <c r="B873" i="31"/>
  <c r="A873" i="31"/>
  <c r="C872" i="31"/>
  <c r="B872" i="31"/>
  <c r="A872" i="31"/>
  <c r="C871" i="31"/>
  <c r="B871" i="31"/>
  <c r="A871" i="31"/>
  <c r="C870" i="31"/>
  <c r="B870" i="31"/>
  <c r="A870" i="31"/>
  <c r="C869" i="31"/>
  <c r="B869" i="31"/>
  <c r="A869" i="31"/>
  <c r="C868" i="31"/>
  <c r="B868" i="31"/>
  <c r="A868" i="31"/>
  <c r="C867" i="31"/>
  <c r="B867" i="31"/>
  <c r="A867" i="31"/>
  <c r="C866" i="31"/>
  <c r="B866" i="31"/>
  <c r="A866" i="31"/>
  <c r="C865" i="31"/>
  <c r="B865" i="31"/>
  <c r="A865" i="31"/>
  <c r="C864" i="31"/>
  <c r="B864" i="31"/>
  <c r="A864" i="31"/>
  <c r="C863" i="31"/>
  <c r="B863" i="31"/>
  <c r="A863" i="31"/>
  <c r="C862" i="31"/>
  <c r="B862" i="31"/>
  <c r="A862" i="31"/>
  <c r="C861" i="31"/>
  <c r="B861" i="31"/>
  <c r="A861" i="31"/>
  <c r="C860" i="31"/>
  <c r="B860" i="31"/>
  <c r="A860" i="31"/>
  <c r="C859" i="31"/>
  <c r="B859" i="31"/>
  <c r="A859" i="31"/>
  <c r="C858" i="31"/>
  <c r="B858" i="31"/>
  <c r="A858" i="31"/>
  <c r="C857" i="31"/>
  <c r="B857" i="31"/>
  <c r="A857" i="31"/>
  <c r="C856" i="31"/>
  <c r="B856" i="31"/>
  <c r="A856" i="31"/>
  <c r="C855" i="31"/>
  <c r="B855" i="31"/>
  <c r="A855" i="31"/>
  <c r="C854" i="31"/>
  <c r="B854" i="31"/>
  <c r="A854" i="31"/>
  <c r="C853" i="31"/>
  <c r="B853" i="31"/>
  <c r="A853" i="31"/>
  <c r="C852" i="31"/>
  <c r="B852" i="31"/>
  <c r="A852" i="31"/>
  <c r="C851" i="31"/>
  <c r="B851" i="31"/>
  <c r="A851" i="31"/>
  <c r="C850" i="31"/>
  <c r="B850" i="31"/>
  <c r="A850" i="31"/>
  <c r="C849" i="31"/>
  <c r="B849" i="31"/>
  <c r="A849" i="31"/>
  <c r="C848" i="31"/>
  <c r="B848" i="31"/>
  <c r="A848" i="31"/>
  <c r="C847" i="31"/>
  <c r="B847" i="31"/>
  <c r="A847" i="31"/>
  <c r="C846" i="31"/>
  <c r="B846" i="31"/>
  <c r="A846" i="31"/>
  <c r="C845" i="31"/>
  <c r="B845" i="31"/>
  <c r="A845" i="31"/>
  <c r="C844" i="31"/>
  <c r="B844" i="31"/>
  <c r="A844" i="31"/>
  <c r="C843" i="31"/>
  <c r="B843" i="31"/>
  <c r="A843" i="31"/>
  <c r="C842" i="31"/>
  <c r="B842" i="31"/>
  <c r="A842" i="31"/>
  <c r="C841" i="31"/>
  <c r="B841" i="31"/>
  <c r="A841" i="31"/>
  <c r="C840" i="31"/>
  <c r="B840" i="31"/>
  <c r="A840" i="31"/>
  <c r="C839" i="31"/>
  <c r="B839" i="31"/>
  <c r="A839" i="31"/>
  <c r="C838" i="31"/>
  <c r="B838" i="31"/>
  <c r="A838" i="31"/>
  <c r="C837" i="31"/>
  <c r="B837" i="31"/>
  <c r="A837" i="31"/>
  <c r="C836" i="31"/>
  <c r="B836" i="31"/>
  <c r="A836" i="31"/>
  <c r="C835" i="31"/>
  <c r="B835" i="31"/>
  <c r="A835" i="31"/>
  <c r="C834" i="31"/>
  <c r="B834" i="31"/>
  <c r="A834" i="31"/>
  <c r="C833" i="31"/>
  <c r="B833" i="31"/>
  <c r="A833" i="31"/>
  <c r="C832" i="31"/>
  <c r="B832" i="31"/>
  <c r="A832" i="31"/>
  <c r="C831" i="31"/>
  <c r="B831" i="31"/>
  <c r="A831" i="31"/>
  <c r="C830" i="31"/>
  <c r="B830" i="31"/>
  <c r="A830" i="31"/>
  <c r="C829" i="31"/>
  <c r="B829" i="31"/>
  <c r="A829" i="31"/>
  <c r="C828" i="31"/>
  <c r="B828" i="31"/>
  <c r="A828" i="31"/>
  <c r="C827" i="31"/>
  <c r="B827" i="31"/>
  <c r="A827" i="31"/>
  <c r="C826" i="31"/>
  <c r="B826" i="31"/>
  <c r="A826" i="31"/>
  <c r="C825" i="31"/>
  <c r="B825" i="31"/>
  <c r="A825" i="31"/>
  <c r="C824" i="31"/>
  <c r="B824" i="31"/>
  <c r="A824" i="31"/>
  <c r="C823" i="31"/>
  <c r="B823" i="31"/>
  <c r="A823" i="31"/>
  <c r="C822" i="31"/>
  <c r="B822" i="31"/>
  <c r="A822" i="31"/>
  <c r="C821" i="31"/>
  <c r="B821" i="31"/>
  <c r="A821" i="31"/>
  <c r="C820" i="31"/>
  <c r="B820" i="31"/>
  <c r="A820" i="31"/>
  <c r="C819" i="31"/>
  <c r="B819" i="31"/>
  <c r="A819" i="31"/>
  <c r="C818" i="31"/>
  <c r="B818" i="31"/>
  <c r="A818" i="31"/>
  <c r="C817" i="31"/>
  <c r="B817" i="31"/>
  <c r="A817" i="31"/>
  <c r="C816" i="31"/>
  <c r="B816" i="31"/>
  <c r="A816" i="31"/>
  <c r="C815" i="31"/>
  <c r="B815" i="31"/>
  <c r="A815" i="31"/>
  <c r="C814" i="31"/>
  <c r="B814" i="31"/>
  <c r="A814" i="31"/>
  <c r="C813" i="31"/>
  <c r="B813" i="31"/>
  <c r="A813" i="31"/>
  <c r="C812" i="31"/>
  <c r="B812" i="31"/>
  <c r="A812" i="31"/>
  <c r="C811" i="31"/>
  <c r="B811" i="31"/>
  <c r="A811" i="31"/>
  <c r="C810" i="31"/>
  <c r="B810" i="31"/>
  <c r="A810" i="31"/>
  <c r="C809" i="31"/>
  <c r="B809" i="31"/>
  <c r="A809" i="31"/>
  <c r="C808" i="31"/>
  <c r="B808" i="31"/>
  <c r="A808" i="31"/>
  <c r="C807" i="31"/>
  <c r="B807" i="31"/>
  <c r="A807" i="31"/>
  <c r="C806" i="31"/>
  <c r="B806" i="31"/>
  <c r="A806" i="31"/>
  <c r="C805" i="31"/>
  <c r="B805" i="31"/>
  <c r="A805" i="31"/>
  <c r="C804" i="31"/>
  <c r="B804" i="31"/>
  <c r="A804" i="31"/>
  <c r="C803" i="31"/>
  <c r="B803" i="31"/>
  <c r="A803" i="31"/>
  <c r="C802" i="31"/>
  <c r="B802" i="31"/>
  <c r="A802" i="31"/>
  <c r="C801" i="31"/>
  <c r="B801" i="31"/>
  <c r="A801" i="31"/>
  <c r="C800" i="31"/>
  <c r="B800" i="31"/>
  <c r="A800" i="31"/>
  <c r="C799" i="31"/>
  <c r="B799" i="31"/>
  <c r="A799" i="31"/>
  <c r="C798" i="31"/>
  <c r="B798" i="31"/>
  <c r="A798" i="31"/>
  <c r="C797" i="31"/>
  <c r="B797" i="31"/>
  <c r="A797" i="31"/>
  <c r="C796" i="31"/>
  <c r="B796" i="31"/>
  <c r="A796" i="31"/>
  <c r="C795" i="31"/>
  <c r="B795" i="31"/>
  <c r="A795" i="31"/>
  <c r="C794" i="31"/>
  <c r="B794" i="31"/>
  <c r="A794" i="31"/>
  <c r="C793" i="31"/>
  <c r="B793" i="31"/>
  <c r="A793" i="31"/>
  <c r="C792" i="31"/>
  <c r="B792" i="31"/>
  <c r="A792" i="31"/>
  <c r="C791" i="31"/>
  <c r="B791" i="31"/>
  <c r="A791" i="31"/>
  <c r="C790" i="31"/>
  <c r="B790" i="31"/>
  <c r="A790" i="31"/>
  <c r="C789" i="31"/>
  <c r="B789" i="31"/>
  <c r="A789" i="31"/>
  <c r="C788" i="31"/>
  <c r="B788" i="31"/>
  <c r="A788" i="31"/>
  <c r="C787" i="31"/>
  <c r="B787" i="31"/>
  <c r="A787" i="31"/>
  <c r="C786" i="31"/>
  <c r="B786" i="31"/>
  <c r="A786" i="31"/>
  <c r="C785" i="31"/>
  <c r="B785" i="31"/>
  <c r="A785" i="31"/>
  <c r="C784" i="31"/>
  <c r="B784" i="31"/>
  <c r="A784" i="31"/>
  <c r="C783" i="31"/>
  <c r="B783" i="31"/>
  <c r="A783" i="31"/>
  <c r="C782" i="31"/>
  <c r="B782" i="31"/>
  <c r="A782" i="31"/>
  <c r="C781" i="31"/>
  <c r="B781" i="31"/>
  <c r="A781" i="31"/>
  <c r="C780" i="31"/>
  <c r="B780" i="31"/>
  <c r="A780" i="31"/>
  <c r="C779" i="31"/>
  <c r="B779" i="31"/>
  <c r="A779" i="31"/>
  <c r="C778" i="31"/>
  <c r="B778" i="31"/>
  <c r="A778" i="31"/>
  <c r="C777" i="31"/>
  <c r="B777" i="31"/>
  <c r="A777" i="31"/>
  <c r="C776" i="31"/>
  <c r="B776" i="31"/>
  <c r="A776" i="31"/>
  <c r="C775" i="31"/>
  <c r="B775" i="31"/>
  <c r="A775" i="31"/>
  <c r="C774" i="31"/>
  <c r="B774" i="31"/>
  <c r="A774" i="31"/>
  <c r="C773" i="31"/>
  <c r="B773" i="31"/>
  <c r="A773" i="31"/>
  <c r="C772" i="31"/>
  <c r="B772" i="31"/>
  <c r="A772" i="31"/>
  <c r="C771" i="31"/>
  <c r="B771" i="31"/>
  <c r="A771" i="31"/>
  <c r="C770" i="31"/>
  <c r="B770" i="31"/>
  <c r="A770" i="31"/>
  <c r="C769" i="31"/>
  <c r="B769" i="31"/>
  <c r="A769" i="31"/>
  <c r="C768" i="31"/>
  <c r="B768" i="31"/>
  <c r="A768" i="31"/>
  <c r="C767" i="31"/>
  <c r="B767" i="31"/>
  <c r="A767" i="31"/>
  <c r="C766" i="31"/>
  <c r="B766" i="31"/>
  <c r="A766" i="31"/>
  <c r="C765" i="31"/>
  <c r="B765" i="31"/>
  <c r="A765" i="31"/>
  <c r="C764" i="31"/>
  <c r="B764" i="31"/>
  <c r="A764" i="31"/>
  <c r="C763" i="31"/>
  <c r="B763" i="31"/>
  <c r="A763" i="31"/>
  <c r="C762" i="31"/>
  <c r="B762" i="31"/>
  <c r="A762" i="31"/>
  <c r="C761" i="31"/>
  <c r="B761" i="31"/>
  <c r="A761" i="31"/>
  <c r="C760" i="31"/>
  <c r="B760" i="31"/>
  <c r="A760" i="31"/>
  <c r="C759" i="31"/>
  <c r="B759" i="31"/>
  <c r="A759" i="31"/>
  <c r="C758" i="31"/>
  <c r="B758" i="31"/>
  <c r="A758" i="31"/>
  <c r="C757" i="31"/>
  <c r="B757" i="31"/>
  <c r="A757" i="31"/>
  <c r="C756" i="31"/>
  <c r="B756" i="31"/>
  <c r="A756" i="31"/>
  <c r="C755" i="31"/>
  <c r="B755" i="31"/>
  <c r="A755" i="31"/>
  <c r="C754" i="31"/>
  <c r="B754" i="31"/>
  <c r="A754" i="31"/>
  <c r="C753" i="31"/>
  <c r="B753" i="31"/>
  <c r="A753" i="31"/>
  <c r="C752" i="31"/>
  <c r="B752" i="31"/>
  <c r="A752" i="31"/>
  <c r="C751" i="31"/>
  <c r="B751" i="31"/>
  <c r="A751" i="31"/>
  <c r="C750" i="31"/>
  <c r="B750" i="31"/>
  <c r="A750" i="31"/>
  <c r="C749" i="31"/>
  <c r="B749" i="31"/>
  <c r="A749" i="31"/>
  <c r="C748" i="31"/>
  <c r="B748" i="31"/>
  <c r="A748" i="31"/>
  <c r="C747" i="31"/>
  <c r="B747" i="31"/>
  <c r="A747" i="31"/>
  <c r="C746" i="31"/>
  <c r="B746" i="31"/>
  <c r="A746" i="31"/>
  <c r="C745" i="31"/>
  <c r="B745" i="31"/>
  <c r="A745" i="31"/>
  <c r="C744" i="31"/>
  <c r="B744" i="31"/>
  <c r="A744" i="31"/>
  <c r="C743" i="31"/>
  <c r="B743" i="31"/>
  <c r="A743" i="31"/>
  <c r="C742" i="31"/>
  <c r="B742" i="31"/>
  <c r="A742" i="31"/>
  <c r="C741" i="31"/>
  <c r="B741" i="31"/>
  <c r="A741" i="31"/>
  <c r="C740" i="31"/>
  <c r="B740" i="31"/>
  <c r="A740" i="31"/>
  <c r="C739" i="31"/>
  <c r="B739" i="31"/>
  <c r="A739" i="31"/>
  <c r="C738" i="31"/>
  <c r="B738" i="31"/>
  <c r="A738" i="31"/>
  <c r="C737" i="31"/>
  <c r="B737" i="31"/>
  <c r="A737" i="31"/>
  <c r="C736" i="31"/>
  <c r="B736" i="31"/>
  <c r="A736" i="31"/>
  <c r="C735" i="31"/>
  <c r="B735" i="31"/>
  <c r="A735" i="31"/>
  <c r="C734" i="31"/>
  <c r="B734" i="31"/>
  <c r="A734" i="31"/>
  <c r="C733" i="31"/>
  <c r="B733" i="31"/>
  <c r="A733" i="31"/>
  <c r="C732" i="31"/>
  <c r="B732" i="31"/>
  <c r="A732" i="31"/>
  <c r="C731" i="31"/>
  <c r="B731" i="31"/>
  <c r="A731" i="31"/>
  <c r="C730" i="31"/>
  <c r="B730" i="31"/>
  <c r="A730" i="31"/>
  <c r="C729" i="31"/>
  <c r="B729" i="31"/>
  <c r="A729" i="31"/>
  <c r="C728" i="31"/>
  <c r="B728" i="31"/>
  <c r="A728" i="31"/>
  <c r="C727" i="31"/>
  <c r="B727" i="31"/>
  <c r="A727" i="31"/>
  <c r="C726" i="31"/>
  <c r="B726" i="31"/>
  <c r="A726" i="31"/>
  <c r="C725" i="31"/>
  <c r="B725" i="31"/>
  <c r="A725" i="31"/>
  <c r="C724" i="31"/>
  <c r="B724" i="31"/>
  <c r="A724" i="31"/>
  <c r="C723" i="31"/>
  <c r="B723" i="31"/>
  <c r="A723" i="31"/>
  <c r="C722" i="31"/>
  <c r="B722" i="31"/>
  <c r="A722" i="31"/>
  <c r="C721" i="31"/>
  <c r="B721" i="31"/>
  <c r="A721" i="31"/>
  <c r="C720" i="31"/>
  <c r="B720" i="31"/>
  <c r="A720" i="31"/>
  <c r="C719" i="31"/>
  <c r="B719" i="31"/>
  <c r="A719" i="31"/>
  <c r="C718" i="31"/>
  <c r="B718" i="31"/>
  <c r="A718" i="31"/>
  <c r="C717" i="31"/>
  <c r="B717" i="31"/>
  <c r="A717" i="31"/>
  <c r="C716" i="31"/>
  <c r="B716" i="31"/>
  <c r="A716" i="31"/>
  <c r="C715" i="31"/>
  <c r="B715" i="31"/>
  <c r="A715" i="31"/>
  <c r="C714" i="31"/>
  <c r="B714" i="31"/>
  <c r="A714" i="31"/>
  <c r="C713" i="31"/>
  <c r="B713" i="31"/>
  <c r="A713" i="31"/>
  <c r="C712" i="31"/>
  <c r="B712" i="31"/>
  <c r="A712" i="31"/>
  <c r="C711" i="31"/>
  <c r="B711" i="31"/>
  <c r="A711" i="31"/>
  <c r="C710" i="31"/>
  <c r="B710" i="31"/>
  <c r="A710" i="31"/>
  <c r="C709" i="31"/>
  <c r="B709" i="31"/>
  <c r="A709" i="31"/>
  <c r="C708" i="31"/>
  <c r="B708" i="31"/>
  <c r="A708" i="31"/>
  <c r="C707" i="31"/>
  <c r="B707" i="31"/>
  <c r="A707" i="31"/>
  <c r="C706" i="31"/>
  <c r="B706" i="31"/>
  <c r="A706" i="31"/>
  <c r="C705" i="31"/>
  <c r="B705" i="31"/>
  <c r="A705" i="31"/>
  <c r="C704" i="31"/>
  <c r="B704" i="31"/>
  <c r="A704" i="31"/>
  <c r="C703" i="31"/>
  <c r="B703" i="31"/>
  <c r="A703" i="31"/>
  <c r="C702" i="31"/>
  <c r="B702" i="31"/>
  <c r="A702" i="31"/>
  <c r="C701" i="31"/>
  <c r="B701" i="31"/>
  <c r="A701" i="31"/>
  <c r="C700" i="31"/>
  <c r="B700" i="31"/>
  <c r="A700" i="31"/>
  <c r="C699" i="31"/>
  <c r="B699" i="31"/>
  <c r="A699" i="31"/>
  <c r="C698" i="31"/>
  <c r="B698" i="31"/>
  <c r="A698" i="31"/>
  <c r="C697" i="31"/>
  <c r="B697" i="31"/>
  <c r="A697" i="31"/>
  <c r="C696" i="31"/>
  <c r="B696" i="31"/>
  <c r="A696" i="31"/>
  <c r="C695" i="31"/>
  <c r="B695" i="31"/>
  <c r="A695" i="31"/>
  <c r="C694" i="31"/>
  <c r="B694" i="31"/>
  <c r="A694" i="31"/>
  <c r="C693" i="31"/>
  <c r="B693" i="31"/>
  <c r="A693" i="31"/>
  <c r="C692" i="31"/>
  <c r="B692" i="31"/>
  <c r="A692" i="31"/>
  <c r="C691" i="31"/>
  <c r="B691" i="31"/>
  <c r="A691" i="31"/>
  <c r="C690" i="31"/>
  <c r="B690" i="31"/>
  <c r="A690" i="31"/>
  <c r="C689" i="31"/>
  <c r="B689" i="31"/>
  <c r="A689" i="31"/>
  <c r="C688" i="31"/>
  <c r="B688" i="31"/>
  <c r="A688" i="31"/>
  <c r="C687" i="31"/>
  <c r="B687" i="31"/>
  <c r="A687" i="31"/>
  <c r="C686" i="31"/>
  <c r="B686" i="31"/>
  <c r="A686" i="31"/>
  <c r="C685" i="31"/>
  <c r="B685" i="31"/>
  <c r="A685" i="31"/>
  <c r="C684" i="31"/>
  <c r="B684" i="31"/>
  <c r="A684" i="31"/>
  <c r="C683" i="31"/>
  <c r="B683" i="31"/>
  <c r="A683" i="31"/>
  <c r="C682" i="31"/>
  <c r="B682" i="31"/>
  <c r="A682" i="31"/>
  <c r="C681" i="31"/>
  <c r="B681" i="31"/>
  <c r="A681" i="31"/>
  <c r="C680" i="31"/>
  <c r="B680" i="31"/>
  <c r="A680" i="31"/>
  <c r="C679" i="31"/>
  <c r="B679" i="31"/>
  <c r="A679" i="31"/>
  <c r="C678" i="31"/>
  <c r="B678" i="31"/>
  <c r="A678" i="31"/>
  <c r="C677" i="31"/>
  <c r="B677" i="31"/>
  <c r="A677" i="31"/>
  <c r="C676" i="31"/>
  <c r="B676" i="31"/>
  <c r="A676" i="31"/>
  <c r="C675" i="31"/>
  <c r="B675" i="31"/>
  <c r="A675" i="31"/>
  <c r="C674" i="31"/>
  <c r="B674" i="31"/>
  <c r="A674" i="31"/>
  <c r="C673" i="31"/>
  <c r="B673" i="31"/>
  <c r="A673" i="31"/>
  <c r="C672" i="31"/>
  <c r="B672" i="31"/>
  <c r="A672" i="31"/>
  <c r="C671" i="31"/>
  <c r="B671" i="31"/>
  <c r="A671" i="31"/>
  <c r="C670" i="31"/>
  <c r="B670" i="31"/>
  <c r="A670" i="31"/>
  <c r="C669" i="31"/>
  <c r="B669" i="31"/>
  <c r="A669" i="31"/>
  <c r="C668" i="31"/>
  <c r="B668" i="31"/>
  <c r="A668" i="31"/>
  <c r="C667" i="31"/>
  <c r="B667" i="31"/>
  <c r="A667" i="31"/>
  <c r="C666" i="31"/>
  <c r="B666" i="31"/>
  <c r="A666" i="31"/>
  <c r="C665" i="31"/>
  <c r="B665" i="31"/>
  <c r="A665" i="31"/>
  <c r="C664" i="31"/>
  <c r="B664" i="31"/>
  <c r="A664" i="31"/>
  <c r="C663" i="31"/>
  <c r="B663" i="31"/>
  <c r="A663" i="31"/>
  <c r="C662" i="31"/>
  <c r="B662" i="31"/>
  <c r="A662" i="31"/>
  <c r="C661" i="31"/>
  <c r="B661" i="31"/>
  <c r="A661" i="31"/>
  <c r="C660" i="31"/>
  <c r="B660" i="31"/>
  <c r="A660" i="31"/>
  <c r="C659" i="31"/>
  <c r="B659" i="31"/>
  <c r="A659" i="31"/>
  <c r="C658" i="31"/>
  <c r="B658" i="31"/>
  <c r="A658" i="31"/>
  <c r="C657" i="31"/>
  <c r="B657" i="31"/>
  <c r="A657" i="31"/>
  <c r="C656" i="31"/>
  <c r="B656" i="31"/>
  <c r="A656" i="31"/>
  <c r="C655" i="31"/>
  <c r="B655" i="31"/>
  <c r="A655" i="31"/>
  <c r="C654" i="31"/>
  <c r="B654" i="31"/>
  <c r="A654" i="31"/>
  <c r="C653" i="31"/>
  <c r="B653" i="31"/>
  <c r="A653" i="31"/>
  <c r="C652" i="31"/>
  <c r="B652" i="31"/>
  <c r="A652" i="31"/>
  <c r="C651" i="31"/>
  <c r="B651" i="31"/>
  <c r="A651" i="31"/>
  <c r="C650" i="31"/>
  <c r="B650" i="31"/>
  <c r="A650" i="31"/>
  <c r="C649" i="31"/>
  <c r="B649" i="31"/>
  <c r="A649" i="31"/>
  <c r="C648" i="31"/>
  <c r="B648" i="31"/>
  <c r="A648" i="31"/>
  <c r="C647" i="31"/>
  <c r="B647" i="31"/>
  <c r="A647" i="31"/>
  <c r="C646" i="31"/>
  <c r="B646" i="31"/>
  <c r="A646" i="31"/>
  <c r="C645" i="31"/>
  <c r="B645" i="31"/>
  <c r="A645" i="31"/>
  <c r="C644" i="31"/>
  <c r="B644" i="31"/>
  <c r="A644" i="31"/>
  <c r="C643" i="31"/>
  <c r="B643" i="31"/>
  <c r="A643" i="31"/>
  <c r="C642" i="31"/>
  <c r="B642" i="31"/>
  <c r="A642" i="31"/>
  <c r="C641" i="31"/>
  <c r="B641" i="31"/>
  <c r="A641" i="31"/>
  <c r="C640" i="31"/>
  <c r="B640" i="31"/>
  <c r="A640" i="31"/>
  <c r="C639" i="31"/>
  <c r="B639" i="31"/>
  <c r="A639" i="31"/>
  <c r="C638" i="31"/>
  <c r="B638" i="31"/>
  <c r="A638" i="31"/>
  <c r="C637" i="31"/>
  <c r="B637" i="31"/>
  <c r="A637" i="31"/>
  <c r="C636" i="31"/>
  <c r="B636" i="31"/>
  <c r="A636" i="31"/>
  <c r="C635" i="31"/>
  <c r="B635" i="31"/>
  <c r="A635" i="31"/>
  <c r="C634" i="31"/>
  <c r="B634" i="31"/>
  <c r="A634" i="31"/>
  <c r="C633" i="31"/>
  <c r="B633" i="31"/>
  <c r="A633" i="31"/>
  <c r="C632" i="31"/>
  <c r="B632" i="31"/>
  <c r="A632" i="31"/>
  <c r="C631" i="31"/>
  <c r="B631" i="31"/>
  <c r="A631" i="31"/>
  <c r="C630" i="31"/>
  <c r="B630" i="31"/>
  <c r="A630" i="31"/>
  <c r="C629" i="31"/>
  <c r="B629" i="31"/>
  <c r="A629" i="31"/>
  <c r="C628" i="31"/>
  <c r="B628" i="31"/>
  <c r="A628" i="31"/>
  <c r="C627" i="31"/>
  <c r="B627" i="31"/>
  <c r="A627" i="31"/>
  <c r="C626" i="31"/>
  <c r="B626" i="31"/>
  <c r="A626" i="31"/>
  <c r="C625" i="31"/>
  <c r="B625" i="31"/>
  <c r="A625" i="31"/>
  <c r="C624" i="31"/>
  <c r="B624" i="31"/>
  <c r="A624" i="31"/>
  <c r="C623" i="31"/>
  <c r="B623" i="31"/>
  <c r="A623" i="31"/>
  <c r="C622" i="31"/>
  <c r="B622" i="31"/>
  <c r="A622" i="31"/>
  <c r="C621" i="31"/>
  <c r="B621" i="31"/>
  <c r="A621" i="31"/>
  <c r="C620" i="31"/>
  <c r="B620" i="31"/>
  <c r="A620" i="31"/>
  <c r="C619" i="31"/>
  <c r="B619" i="31"/>
  <c r="A619" i="31"/>
  <c r="C618" i="31"/>
  <c r="B618" i="31"/>
  <c r="A618" i="31"/>
  <c r="C617" i="31"/>
  <c r="B617" i="31"/>
  <c r="A617" i="31"/>
  <c r="C616" i="31"/>
  <c r="B616" i="31"/>
  <c r="A616" i="31"/>
  <c r="C615" i="31"/>
  <c r="B615" i="31"/>
  <c r="A615" i="31"/>
  <c r="C614" i="31"/>
  <c r="B614" i="31"/>
  <c r="A614" i="31"/>
  <c r="C613" i="31"/>
  <c r="B613" i="31"/>
  <c r="A613" i="31"/>
  <c r="C612" i="31"/>
  <c r="B612" i="31"/>
  <c r="A612" i="31"/>
  <c r="C611" i="31"/>
  <c r="B611" i="31"/>
  <c r="A611" i="31"/>
  <c r="C610" i="31"/>
  <c r="B610" i="31"/>
  <c r="A610" i="31"/>
  <c r="C609" i="31"/>
  <c r="B609" i="31"/>
  <c r="A609" i="31"/>
  <c r="C608" i="31"/>
  <c r="B608" i="31"/>
  <c r="A608" i="31"/>
  <c r="C607" i="31"/>
  <c r="B607" i="31"/>
  <c r="A607" i="31"/>
  <c r="C606" i="31"/>
  <c r="B606" i="31"/>
  <c r="A606" i="31"/>
  <c r="C605" i="31"/>
  <c r="B605" i="31"/>
  <c r="A605" i="31"/>
  <c r="C604" i="31"/>
  <c r="B604" i="31"/>
  <c r="A604" i="31"/>
  <c r="C603" i="31"/>
  <c r="B603" i="31"/>
  <c r="A603" i="31"/>
  <c r="C602" i="31"/>
  <c r="B602" i="31"/>
  <c r="A602" i="31"/>
  <c r="C601" i="31"/>
  <c r="B601" i="31"/>
  <c r="A601" i="31"/>
  <c r="C600" i="31"/>
  <c r="B600" i="31"/>
  <c r="A600" i="31"/>
  <c r="C599" i="31"/>
  <c r="B599" i="31"/>
  <c r="A599" i="31"/>
  <c r="C598" i="31"/>
  <c r="B598" i="31"/>
  <c r="A598" i="31"/>
  <c r="C597" i="31"/>
  <c r="B597" i="31"/>
  <c r="A597" i="31"/>
  <c r="C596" i="31"/>
  <c r="B596" i="31"/>
  <c r="A596" i="31"/>
  <c r="C595" i="31"/>
  <c r="B595" i="31"/>
  <c r="A595" i="31"/>
  <c r="C594" i="31"/>
  <c r="B594" i="31"/>
  <c r="A594" i="31"/>
  <c r="C593" i="31"/>
  <c r="B593" i="31"/>
  <c r="A593" i="31"/>
  <c r="C592" i="31"/>
  <c r="B592" i="31"/>
  <c r="A592" i="31"/>
  <c r="C591" i="31"/>
  <c r="B591" i="31"/>
  <c r="A591" i="31"/>
  <c r="C590" i="31"/>
  <c r="B590" i="31"/>
  <c r="A590" i="31"/>
  <c r="C589" i="31"/>
  <c r="B589" i="31"/>
  <c r="A589" i="31"/>
  <c r="C588" i="31"/>
  <c r="B588" i="31"/>
  <c r="A588" i="31"/>
  <c r="C587" i="31"/>
  <c r="B587" i="31"/>
  <c r="A587" i="31"/>
  <c r="C586" i="31"/>
  <c r="B586" i="31"/>
  <c r="A586" i="31"/>
  <c r="C585" i="31"/>
  <c r="B585" i="31"/>
  <c r="A585" i="31"/>
  <c r="C584" i="31"/>
  <c r="B584" i="31"/>
  <c r="A584" i="31"/>
  <c r="C583" i="31"/>
  <c r="B583" i="31"/>
  <c r="A583" i="31"/>
  <c r="C582" i="31"/>
  <c r="B582" i="31"/>
  <c r="A582" i="31"/>
  <c r="C581" i="31"/>
  <c r="B581" i="31"/>
  <c r="A581" i="31"/>
  <c r="C580" i="31"/>
  <c r="B580" i="31"/>
  <c r="A580" i="31"/>
  <c r="C579" i="31"/>
  <c r="B579" i="31"/>
  <c r="A579" i="31"/>
  <c r="C578" i="31"/>
  <c r="B578" i="31"/>
  <c r="A578" i="31"/>
  <c r="C577" i="31"/>
  <c r="B577" i="31"/>
  <c r="A577" i="31"/>
  <c r="C576" i="31"/>
  <c r="B576" i="31"/>
  <c r="A576" i="31"/>
  <c r="C575" i="31"/>
  <c r="B575" i="31"/>
  <c r="A575" i="31"/>
  <c r="C574" i="31"/>
  <c r="B574" i="31"/>
  <c r="A574" i="31"/>
  <c r="C573" i="31"/>
  <c r="B573" i="31"/>
  <c r="A573" i="31"/>
  <c r="C572" i="31"/>
  <c r="B572" i="31"/>
  <c r="A572" i="31"/>
  <c r="C571" i="31"/>
  <c r="B571" i="31"/>
  <c r="A571" i="31"/>
  <c r="C570" i="31"/>
  <c r="B570" i="31"/>
  <c r="A570" i="31"/>
  <c r="C569" i="31"/>
  <c r="B569" i="31"/>
  <c r="A569" i="31"/>
  <c r="C568" i="31"/>
  <c r="B568" i="31"/>
  <c r="A568" i="31"/>
  <c r="C567" i="31"/>
  <c r="B567" i="31"/>
  <c r="A567" i="31"/>
  <c r="C566" i="31"/>
  <c r="B566" i="31"/>
  <c r="A566" i="31"/>
  <c r="C565" i="31"/>
  <c r="B565" i="31"/>
  <c r="A565" i="31"/>
  <c r="C564" i="31"/>
  <c r="B564" i="31"/>
  <c r="A564" i="31"/>
  <c r="C563" i="31"/>
  <c r="B563" i="31"/>
  <c r="A563" i="31"/>
  <c r="C562" i="31"/>
  <c r="B562" i="31"/>
  <c r="A562" i="31"/>
  <c r="C561" i="31"/>
  <c r="B561" i="31"/>
  <c r="A561" i="31"/>
  <c r="C560" i="31"/>
  <c r="B560" i="31"/>
  <c r="A560" i="31"/>
  <c r="C559" i="31"/>
  <c r="B559" i="31"/>
  <c r="A559" i="31"/>
  <c r="C558" i="31"/>
  <c r="B558" i="31"/>
  <c r="A558" i="31"/>
  <c r="C557" i="31"/>
  <c r="B557" i="31"/>
  <c r="A557" i="31"/>
  <c r="C556" i="31"/>
  <c r="B556" i="31"/>
  <c r="A556" i="31"/>
  <c r="C555" i="31"/>
  <c r="B555" i="31"/>
  <c r="A555" i="31"/>
  <c r="C554" i="31"/>
  <c r="B554" i="31"/>
  <c r="A554" i="31"/>
  <c r="C553" i="31"/>
  <c r="B553" i="31"/>
  <c r="A553" i="31"/>
  <c r="C552" i="31"/>
  <c r="B552" i="31"/>
  <c r="A552" i="31"/>
  <c r="C551" i="31"/>
  <c r="B551" i="31"/>
  <c r="A551" i="31"/>
  <c r="C550" i="31"/>
  <c r="B550" i="31"/>
  <c r="A550" i="31"/>
  <c r="C549" i="31"/>
  <c r="B549" i="31"/>
  <c r="A549" i="31"/>
  <c r="C548" i="31"/>
  <c r="B548" i="31"/>
  <c r="A548" i="31"/>
  <c r="C547" i="31"/>
  <c r="B547" i="31"/>
  <c r="A547" i="31"/>
  <c r="C546" i="31"/>
  <c r="B546" i="31"/>
  <c r="A546" i="31"/>
  <c r="C545" i="31"/>
  <c r="B545" i="31"/>
  <c r="A545" i="31"/>
  <c r="C544" i="31"/>
  <c r="B544" i="31"/>
  <c r="A544" i="31"/>
  <c r="C543" i="31"/>
  <c r="B543" i="31"/>
  <c r="A543" i="31"/>
  <c r="C542" i="31"/>
  <c r="B542" i="31"/>
  <c r="A542" i="31"/>
  <c r="C541" i="31"/>
  <c r="B541" i="31"/>
  <c r="A541" i="31"/>
  <c r="C540" i="31"/>
  <c r="B540" i="31"/>
  <c r="A540" i="31"/>
  <c r="C539" i="31"/>
  <c r="B539" i="31"/>
  <c r="A539" i="31"/>
  <c r="C538" i="31"/>
  <c r="B538" i="31"/>
  <c r="A538" i="31"/>
  <c r="C537" i="31"/>
  <c r="B537" i="31"/>
  <c r="A537" i="31"/>
  <c r="C536" i="31"/>
  <c r="B536" i="31"/>
  <c r="A536" i="31"/>
  <c r="C535" i="31"/>
  <c r="B535" i="31"/>
  <c r="A535" i="31"/>
  <c r="C534" i="31"/>
  <c r="B534" i="31"/>
  <c r="A534" i="31"/>
  <c r="C533" i="31"/>
  <c r="B533" i="31"/>
  <c r="A533" i="31"/>
  <c r="C532" i="31"/>
  <c r="B532" i="31"/>
  <c r="A532" i="31"/>
  <c r="C531" i="31"/>
  <c r="B531" i="31"/>
  <c r="A531" i="31"/>
  <c r="C530" i="31"/>
  <c r="B530" i="31"/>
  <c r="A530" i="31"/>
  <c r="C529" i="31"/>
  <c r="B529" i="31"/>
  <c r="A529" i="31"/>
  <c r="C528" i="31"/>
  <c r="B528" i="31"/>
  <c r="A528" i="31"/>
  <c r="C527" i="31"/>
  <c r="B527" i="31"/>
  <c r="A527" i="31"/>
  <c r="C526" i="31"/>
  <c r="B526" i="31"/>
  <c r="A526" i="31"/>
  <c r="C525" i="31"/>
  <c r="B525" i="31"/>
  <c r="A525" i="31"/>
  <c r="C524" i="31"/>
  <c r="B524" i="31"/>
  <c r="A524" i="31"/>
  <c r="C523" i="31"/>
  <c r="B523" i="31"/>
  <c r="A523" i="31"/>
  <c r="C522" i="31"/>
  <c r="B522" i="31"/>
  <c r="A522" i="31"/>
  <c r="C521" i="31"/>
  <c r="B521" i="31"/>
  <c r="A521" i="31"/>
  <c r="C520" i="31"/>
  <c r="B520" i="31"/>
  <c r="A520" i="31"/>
  <c r="C519" i="31"/>
  <c r="B519" i="31"/>
  <c r="A519" i="31"/>
  <c r="C518" i="31"/>
  <c r="B518" i="31"/>
  <c r="A518" i="31"/>
  <c r="C517" i="31"/>
  <c r="B517" i="31"/>
  <c r="A517" i="31"/>
  <c r="C516" i="31"/>
  <c r="B516" i="31"/>
  <c r="A516" i="31"/>
  <c r="C515" i="31"/>
  <c r="B515" i="31"/>
  <c r="A515" i="31"/>
  <c r="C514" i="31"/>
  <c r="B514" i="31"/>
  <c r="A514" i="31"/>
  <c r="C513" i="31"/>
  <c r="B513" i="31"/>
  <c r="A513" i="31"/>
  <c r="C512" i="31"/>
  <c r="B512" i="31"/>
  <c r="A512" i="31"/>
  <c r="C511" i="31"/>
  <c r="B511" i="31"/>
  <c r="A511" i="31"/>
  <c r="C510" i="31"/>
  <c r="B510" i="31"/>
  <c r="A510" i="31"/>
  <c r="C509" i="31"/>
  <c r="B509" i="31"/>
  <c r="A509" i="31"/>
  <c r="C508" i="31"/>
  <c r="B508" i="31"/>
  <c r="A508" i="31"/>
  <c r="C507" i="31"/>
  <c r="B507" i="31"/>
  <c r="A507" i="31"/>
  <c r="C506" i="31"/>
  <c r="B506" i="31"/>
  <c r="A506" i="31"/>
  <c r="C505" i="31"/>
  <c r="B505" i="31"/>
  <c r="A505" i="31"/>
  <c r="C504" i="31"/>
  <c r="B504" i="31"/>
  <c r="A504" i="31"/>
  <c r="C503" i="31"/>
  <c r="B503" i="31"/>
  <c r="A503" i="31"/>
  <c r="C502" i="31"/>
  <c r="B502" i="31"/>
  <c r="A502" i="31"/>
  <c r="C501" i="31"/>
  <c r="B501" i="31"/>
  <c r="A501" i="31"/>
  <c r="C500" i="31"/>
  <c r="B500" i="31"/>
  <c r="A500" i="31"/>
  <c r="C499" i="31"/>
  <c r="B499" i="31"/>
  <c r="A499" i="31"/>
  <c r="C498" i="31"/>
  <c r="B498" i="31"/>
  <c r="A498" i="31"/>
  <c r="C497" i="31"/>
  <c r="B497" i="31"/>
  <c r="A497" i="31"/>
  <c r="C496" i="31"/>
  <c r="B496" i="31"/>
  <c r="A496" i="31"/>
  <c r="C495" i="31"/>
  <c r="B495" i="31"/>
  <c r="A495" i="31"/>
  <c r="C494" i="31"/>
  <c r="B494" i="31"/>
  <c r="A494" i="31"/>
  <c r="C493" i="31"/>
  <c r="B493" i="31"/>
  <c r="A493" i="31"/>
  <c r="C492" i="31"/>
  <c r="B492" i="31"/>
  <c r="A492" i="31"/>
  <c r="C491" i="31"/>
  <c r="B491" i="31"/>
  <c r="A491" i="31"/>
  <c r="C490" i="31"/>
  <c r="B490" i="31"/>
  <c r="A490" i="31"/>
  <c r="C489" i="31"/>
  <c r="B489" i="31"/>
  <c r="A489" i="31"/>
  <c r="C488" i="31"/>
  <c r="B488" i="31"/>
  <c r="A488" i="31"/>
  <c r="C487" i="31"/>
  <c r="B487" i="31"/>
  <c r="A487" i="31"/>
  <c r="C486" i="31"/>
  <c r="B486" i="31"/>
  <c r="A486" i="31"/>
  <c r="C485" i="31"/>
  <c r="B485" i="31"/>
  <c r="A485" i="31"/>
  <c r="C484" i="31"/>
  <c r="B484" i="31"/>
  <c r="A484" i="31"/>
  <c r="C483" i="31"/>
  <c r="B483" i="31"/>
  <c r="A483" i="31"/>
  <c r="C482" i="31"/>
  <c r="B482" i="31"/>
  <c r="A482" i="31"/>
  <c r="C481" i="31"/>
  <c r="B481" i="31"/>
  <c r="A481" i="31"/>
  <c r="C480" i="31"/>
  <c r="B480" i="31"/>
  <c r="A480" i="31"/>
  <c r="C479" i="31"/>
  <c r="B479" i="31"/>
  <c r="A479" i="31"/>
  <c r="C478" i="31"/>
  <c r="B478" i="31"/>
  <c r="A478" i="31"/>
  <c r="C477" i="31"/>
  <c r="B477" i="31"/>
  <c r="A477" i="31"/>
  <c r="C476" i="31"/>
  <c r="B476" i="31"/>
  <c r="A476" i="31"/>
  <c r="C475" i="31"/>
  <c r="B475" i="31"/>
  <c r="A475" i="31"/>
  <c r="C474" i="31"/>
  <c r="B474" i="31"/>
  <c r="A474" i="31"/>
  <c r="C473" i="31"/>
  <c r="B473" i="31"/>
  <c r="A473" i="31"/>
  <c r="C472" i="31"/>
  <c r="B472" i="31"/>
  <c r="A472" i="31"/>
  <c r="C471" i="31"/>
  <c r="B471" i="31"/>
  <c r="A471" i="31"/>
  <c r="C470" i="31"/>
  <c r="B470" i="31"/>
  <c r="A470" i="31"/>
  <c r="C469" i="31"/>
  <c r="B469" i="31"/>
  <c r="A469" i="31"/>
  <c r="C468" i="31"/>
  <c r="B468" i="31"/>
  <c r="A468" i="31"/>
  <c r="C467" i="31"/>
  <c r="B467" i="31"/>
  <c r="A467" i="31"/>
  <c r="C466" i="31"/>
  <c r="B466" i="31"/>
  <c r="A466" i="31"/>
  <c r="C465" i="31"/>
  <c r="B465" i="31"/>
  <c r="A465" i="31"/>
  <c r="C464" i="31"/>
  <c r="B464" i="31"/>
  <c r="A464" i="31"/>
  <c r="C463" i="31"/>
  <c r="B463" i="31"/>
  <c r="A463" i="31"/>
  <c r="C462" i="31"/>
  <c r="B462" i="31"/>
  <c r="A462" i="31"/>
  <c r="C461" i="31"/>
  <c r="B461" i="31"/>
  <c r="A461" i="31"/>
  <c r="C460" i="31"/>
  <c r="B460" i="31"/>
  <c r="A460" i="31"/>
  <c r="C459" i="31"/>
  <c r="B459" i="31"/>
  <c r="A459" i="31"/>
  <c r="C458" i="31"/>
  <c r="B458" i="31"/>
  <c r="A458" i="31"/>
  <c r="C457" i="31"/>
  <c r="B457" i="31"/>
  <c r="A457" i="31"/>
  <c r="C456" i="31"/>
  <c r="B456" i="31"/>
  <c r="A456" i="31"/>
  <c r="C455" i="31"/>
  <c r="B455" i="31"/>
  <c r="A455" i="31"/>
  <c r="C454" i="31"/>
  <c r="B454" i="31"/>
  <c r="A454" i="31"/>
  <c r="C453" i="31"/>
  <c r="B453" i="31"/>
  <c r="A453" i="31"/>
  <c r="C452" i="31"/>
  <c r="B452" i="31"/>
  <c r="A452" i="31"/>
  <c r="C451" i="31"/>
  <c r="B451" i="31"/>
  <c r="A451" i="31"/>
  <c r="C450" i="31"/>
  <c r="B450" i="31"/>
  <c r="A450" i="31"/>
  <c r="C449" i="31"/>
  <c r="B449" i="31"/>
  <c r="A449" i="31"/>
  <c r="C448" i="31"/>
  <c r="B448" i="31"/>
  <c r="A448" i="31"/>
  <c r="C447" i="31"/>
  <c r="B447" i="31"/>
  <c r="A447" i="31"/>
  <c r="C446" i="31"/>
  <c r="B446" i="31"/>
  <c r="A446" i="31"/>
  <c r="C445" i="31"/>
  <c r="B445" i="31"/>
  <c r="A445" i="31"/>
  <c r="C444" i="31"/>
  <c r="B444" i="31"/>
  <c r="A444" i="31"/>
  <c r="C443" i="31"/>
  <c r="B443" i="31"/>
  <c r="A443" i="31"/>
  <c r="C442" i="31"/>
  <c r="B442" i="31"/>
  <c r="A442" i="31"/>
  <c r="C441" i="31"/>
  <c r="B441" i="31"/>
  <c r="A441" i="31"/>
  <c r="C440" i="31"/>
  <c r="B440" i="31"/>
  <c r="A440" i="31"/>
  <c r="C439" i="31"/>
  <c r="B439" i="31"/>
  <c r="A439" i="31"/>
  <c r="C438" i="31"/>
  <c r="B438" i="31"/>
  <c r="A438" i="31"/>
  <c r="C437" i="31"/>
  <c r="B437" i="31"/>
  <c r="A437" i="31"/>
  <c r="C436" i="31"/>
  <c r="B436" i="31"/>
  <c r="A436" i="31"/>
  <c r="C435" i="31"/>
  <c r="B435" i="31"/>
  <c r="A435" i="31"/>
  <c r="C434" i="31"/>
  <c r="B434" i="31"/>
  <c r="A434" i="31"/>
  <c r="C433" i="31"/>
  <c r="B433" i="31"/>
  <c r="A433" i="31"/>
  <c r="C432" i="31"/>
  <c r="B432" i="31"/>
  <c r="A432" i="31"/>
  <c r="C431" i="31"/>
  <c r="B431" i="31"/>
  <c r="A431" i="31"/>
  <c r="C430" i="31"/>
  <c r="B430" i="31"/>
  <c r="A430" i="31"/>
  <c r="C429" i="31"/>
  <c r="B429" i="31"/>
  <c r="A429" i="31"/>
  <c r="C428" i="31"/>
  <c r="B428" i="31"/>
  <c r="A428" i="31"/>
  <c r="C427" i="31"/>
  <c r="B427" i="31"/>
  <c r="A427" i="31"/>
  <c r="C426" i="31"/>
  <c r="B426" i="31"/>
  <c r="A426" i="31"/>
  <c r="C425" i="31"/>
  <c r="B425" i="31"/>
  <c r="A425" i="31"/>
  <c r="C424" i="31"/>
  <c r="B424" i="31"/>
  <c r="A424" i="31"/>
  <c r="C423" i="31"/>
  <c r="B423" i="31"/>
  <c r="A423" i="31"/>
  <c r="C422" i="31"/>
  <c r="B422" i="31"/>
  <c r="A422" i="31"/>
  <c r="C421" i="31"/>
  <c r="B421" i="31"/>
  <c r="A421" i="31"/>
  <c r="C420" i="31"/>
  <c r="B420" i="31"/>
  <c r="A420" i="31"/>
  <c r="C419" i="31"/>
  <c r="B419" i="31"/>
  <c r="A419" i="31"/>
  <c r="C418" i="31"/>
  <c r="B418" i="31"/>
  <c r="A418" i="31"/>
  <c r="C417" i="31"/>
  <c r="B417" i="31"/>
  <c r="A417" i="31"/>
  <c r="C416" i="31"/>
  <c r="B416" i="31"/>
  <c r="A416" i="31"/>
  <c r="C415" i="31"/>
  <c r="B415" i="31"/>
  <c r="A415" i="31"/>
  <c r="C414" i="31"/>
  <c r="B414" i="31"/>
  <c r="A414" i="31"/>
  <c r="C413" i="31"/>
  <c r="B413" i="31"/>
  <c r="A413" i="31"/>
  <c r="C412" i="31"/>
  <c r="B412" i="31"/>
  <c r="A412" i="31"/>
  <c r="C411" i="31"/>
  <c r="B411" i="31"/>
  <c r="A411" i="31"/>
  <c r="C410" i="31"/>
  <c r="B410" i="31"/>
  <c r="A410" i="31"/>
  <c r="C409" i="31"/>
  <c r="B409" i="31"/>
  <c r="A409" i="31"/>
  <c r="C408" i="31"/>
  <c r="B408" i="31"/>
  <c r="A408" i="31"/>
  <c r="C407" i="31"/>
  <c r="B407" i="31"/>
  <c r="A407" i="31"/>
  <c r="C406" i="31"/>
  <c r="B406" i="31"/>
  <c r="A406" i="31"/>
  <c r="C405" i="31"/>
  <c r="B405" i="31"/>
  <c r="A405" i="31"/>
  <c r="C404" i="31"/>
  <c r="B404" i="31"/>
  <c r="A404" i="31"/>
  <c r="C403" i="31"/>
  <c r="B403" i="31"/>
  <c r="A403" i="31"/>
  <c r="C402" i="31"/>
  <c r="B402" i="31"/>
  <c r="A402" i="31"/>
  <c r="C401" i="31"/>
  <c r="B401" i="31"/>
  <c r="A401" i="31"/>
  <c r="C400" i="31"/>
  <c r="B400" i="31"/>
  <c r="A400" i="31"/>
  <c r="C399" i="31"/>
  <c r="B399" i="31"/>
  <c r="A399" i="31"/>
  <c r="C398" i="31"/>
  <c r="B398" i="31"/>
  <c r="A398" i="31"/>
  <c r="C397" i="31"/>
  <c r="B397" i="31"/>
  <c r="A397" i="31"/>
  <c r="C396" i="31"/>
  <c r="B396" i="31"/>
  <c r="A396" i="31"/>
  <c r="C395" i="31"/>
  <c r="B395" i="31"/>
  <c r="A395" i="31"/>
  <c r="C394" i="31"/>
  <c r="B394" i="31"/>
  <c r="A394" i="31"/>
  <c r="C393" i="31"/>
  <c r="B393" i="31"/>
  <c r="A393" i="31"/>
  <c r="C392" i="31"/>
  <c r="B392" i="31"/>
  <c r="A392" i="31"/>
  <c r="C391" i="31"/>
  <c r="B391" i="31"/>
  <c r="A391" i="31"/>
  <c r="C390" i="31"/>
  <c r="B390" i="31"/>
  <c r="A390" i="31"/>
  <c r="C389" i="31"/>
  <c r="B389" i="31"/>
  <c r="A389" i="31"/>
  <c r="C388" i="31"/>
  <c r="B388" i="31"/>
  <c r="A388" i="31"/>
  <c r="C387" i="31"/>
  <c r="B387" i="31"/>
  <c r="A387" i="31"/>
  <c r="C386" i="31"/>
  <c r="B386" i="31"/>
  <c r="A386" i="31"/>
  <c r="C385" i="31"/>
  <c r="B385" i="31"/>
  <c r="A385" i="31"/>
  <c r="C384" i="31"/>
  <c r="B384" i="31"/>
  <c r="A384" i="31"/>
  <c r="C383" i="31"/>
  <c r="B383" i="31"/>
  <c r="A383" i="31"/>
  <c r="C382" i="31"/>
  <c r="B382" i="31"/>
  <c r="A382" i="31"/>
  <c r="C381" i="31"/>
  <c r="B381" i="31"/>
  <c r="A381" i="31"/>
  <c r="C380" i="31"/>
  <c r="B380" i="31"/>
  <c r="A380" i="31"/>
  <c r="C379" i="31"/>
  <c r="B379" i="31"/>
  <c r="A379" i="31"/>
  <c r="C378" i="31"/>
  <c r="B378" i="31"/>
  <c r="A378" i="31"/>
  <c r="C377" i="31"/>
  <c r="B377" i="31"/>
  <c r="A377" i="31"/>
  <c r="C376" i="31"/>
  <c r="B376" i="31"/>
  <c r="A376" i="31"/>
  <c r="C375" i="31"/>
  <c r="B375" i="31"/>
  <c r="A375" i="31"/>
  <c r="C374" i="31"/>
  <c r="B374" i="31"/>
  <c r="A374" i="31"/>
  <c r="C373" i="31"/>
  <c r="B373" i="31"/>
  <c r="A373" i="31"/>
  <c r="C372" i="31"/>
  <c r="B372" i="31"/>
  <c r="A372" i="31"/>
  <c r="C371" i="31"/>
  <c r="B371" i="31"/>
  <c r="A371" i="31"/>
  <c r="C370" i="31"/>
  <c r="B370" i="31"/>
  <c r="A370" i="31"/>
  <c r="C369" i="31"/>
  <c r="B369" i="31"/>
  <c r="A369" i="31"/>
  <c r="C368" i="31"/>
  <c r="B368" i="31"/>
  <c r="A368" i="31"/>
  <c r="C367" i="31"/>
  <c r="B367" i="31"/>
  <c r="A367" i="31"/>
  <c r="C366" i="31"/>
  <c r="B366" i="31"/>
  <c r="A366" i="31"/>
  <c r="C365" i="31"/>
  <c r="B365" i="31"/>
  <c r="A365" i="31"/>
  <c r="C364" i="31"/>
  <c r="B364" i="31"/>
  <c r="A364" i="31"/>
  <c r="C363" i="31"/>
  <c r="B363" i="31"/>
  <c r="A363" i="31"/>
  <c r="C362" i="31"/>
  <c r="B362" i="31"/>
  <c r="A362" i="31"/>
  <c r="C361" i="31"/>
  <c r="B361" i="31"/>
  <c r="A361" i="31"/>
  <c r="C360" i="31"/>
  <c r="B360" i="31"/>
  <c r="A360" i="31"/>
  <c r="C359" i="31"/>
  <c r="B359" i="31"/>
  <c r="A359" i="31"/>
  <c r="C358" i="31"/>
  <c r="B358" i="31"/>
  <c r="A358" i="31"/>
  <c r="C357" i="31"/>
  <c r="B357" i="31"/>
  <c r="A357" i="31"/>
  <c r="C356" i="31"/>
  <c r="B356" i="31"/>
  <c r="A356" i="31"/>
  <c r="C355" i="31"/>
  <c r="B355" i="31"/>
  <c r="A355" i="31"/>
  <c r="C354" i="31"/>
  <c r="B354" i="31"/>
  <c r="A354" i="31"/>
  <c r="C353" i="31"/>
  <c r="B353" i="31"/>
  <c r="A353" i="31"/>
  <c r="C352" i="31"/>
  <c r="B352" i="31"/>
  <c r="A352" i="31"/>
  <c r="C351" i="31"/>
  <c r="B351" i="31"/>
  <c r="A351" i="31"/>
  <c r="C350" i="31"/>
  <c r="B350" i="31"/>
  <c r="A350" i="31"/>
  <c r="C349" i="31"/>
  <c r="B349" i="31"/>
  <c r="A349" i="31"/>
  <c r="C348" i="31"/>
  <c r="B348" i="31"/>
  <c r="A348" i="31"/>
  <c r="C347" i="31"/>
  <c r="B347" i="31"/>
  <c r="A347" i="31"/>
  <c r="C346" i="31"/>
  <c r="B346" i="31"/>
  <c r="A346" i="31"/>
  <c r="C345" i="31"/>
  <c r="B345" i="31"/>
  <c r="A345" i="31"/>
  <c r="C344" i="31"/>
  <c r="B344" i="31"/>
  <c r="A344" i="31"/>
  <c r="C343" i="31"/>
  <c r="B343" i="31"/>
  <c r="A343" i="31"/>
  <c r="C342" i="31"/>
  <c r="B342" i="31"/>
  <c r="A342" i="31"/>
  <c r="C341" i="31"/>
  <c r="B341" i="31"/>
  <c r="A341" i="31"/>
  <c r="C340" i="31"/>
  <c r="B340" i="31"/>
  <c r="A340" i="31"/>
  <c r="C339" i="31"/>
  <c r="B339" i="31"/>
  <c r="A339" i="31"/>
  <c r="C338" i="31"/>
  <c r="B338" i="31"/>
  <c r="A338" i="31"/>
  <c r="C337" i="31"/>
  <c r="B337" i="31"/>
  <c r="A337" i="31"/>
  <c r="C336" i="31"/>
  <c r="B336" i="31"/>
  <c r="A336" i="31"/>
  <c r="C335" i="31"/>
  <c r="B335" i="31"/>
  <c r="A335" i="31"/>
  <c r="C334" i="31"/>
  <c r="B334" i="31"/>
  <c r="A334" i="31"/>
  <c r="C333" i="31"/>
  <c r="B333" i="31"/>
  <c r="A333" i="31"/>
  <c r="C332" i="31"/>
  <c r="B332" i="31"/>
  <c r="A332" i="31"/>
  <c r="C331" i="31"/>
  <c r="B331" i="31"/>
  <c r="A331" i="31"/>
  <c r="C330" i="31"/>
  <c r="B330" i="31"/>
  <c r="A330" i="31"/>
  <c r="C329" i="31"/>
  <c r="B329" i="31"/>
  <c r="A329" i="31"/>
  <c r="C328" i="31"/>
  <c r="B328" i="31"/>
  <c r="A328" i="31"/>
  <c r="C327" i="31"/>
  <c r="B327" i="31"/>
  <c r="A327" i="31"/>
  <c r="C326" i="31"/>
  <c r="B326" i="31"/>
  <c r="A326" i="31"/>
  <c r="C325" i="31"/>
  <c r="B325" i="31"/>
  <c r="A325" i="31"/>
  <c r="C324" i="31"/>
  <c r="B324" i="31"/>
  <c r="A324" i="31"/>
  <c r="C323" i="31"/>
  <c r="B323" i="31"/>
  <c r="A323" i="31"/>
  <c r="C322" i="31"/>
  <c r="B322" i="31"/>
  <c r="A322" i="31"/>
  <c r="C321" i="31"/>
  <c r="B321" i="31"/>
  <c r="A321" i="31"/>
  <c r="C320" i="31"/>
  <c r="B320" i="31"/>
  <c r="A320" i="31"/>
  <c r="C319" i="31"/>
  <c r="B319" i="31"/>
  <c r="A319" i="31"/>
  <c r="C318" i="31"/>
  <c r="B318" i="31"/>
  <c r="A318" i="31"/>
  <c r="C317" i="31"/>
  <c r="B317" i="31"/>
  <c r="A317" i="31"/>
  <c r="C316" i="31"/>
  <c r="B316" i="31"/>
  <c r="A316" i="31"/>
  <c r="C315" i="31"/>
  <c r="B315" i="31"/>
  <c r="A315" i="31"/>
  <c r="C314" i="31"/>
  <c r="B314" i="31"/>
  <c r="A314" i="31"/>
  <c r="C313" i="31"/>
  <c r="B313" i="31"/>
  <c r="A313" i="31"/>
  <c r="C312" i="31"/>
  <c r="B312" i="31"/>
  <c r="A312" i="31"/>
  <c r="C311" i="31"/>
  <c r="B311" i="31"/>
  <c r="A311" i="31"/>
  <c r="C310" i="31"/>
  <c r="B310" i="31"/>
  <c r="A310" i="31"/>
  <c r="C309" i="31"/>
  <c r="B309" i="31"/>
  <c r="A309" i="31"/>
  <c r="C308" i="31"/>
  <c r="B308" i="31"/>
  <c r="A308" i="31"/>
  <c r="C307" i="31"/>
  <c r="B307" i="31"/>
  <c r="A307" i="31"/>
  <c r="C306" i="31"/>
  <c r="B306" i="31"/>
  <c r="A306" i="31"/>
  <c r="C305" i="31"/>
  <c r="B305" i="31"/>
  <c r="A305" i="31"/>
  <c r="C304" i="31"/>
  <c r="B304" i="31"/>
  <c r="A304" i="31"/>
  <c r="C303" i="31"/>
  <c r="B303" i="31"/>
  <c r="A303" i="31"/>
  <c r="C302" i="31"/>
  <c r="B302" i="31"/>
  <c r="A302" i="31"/>
  <c r="C301" i="31"/>
  <c r="B301" i="31"/>
  <c r="A301" i="31"/>
  <c r="C300" i="31"/>
  <c r="B300" i="31"/>
  <c r="A300" i="31"/>
  <c r="C299" i="31"/>
  <c r="B299" i="31"/>
  <c r="A299" i="31"/>
  <c r="C298" i="31"/>
  <c r="B298" i="31"/>
  <c r="A298" i="31"/>
  <c r="C297" i="31"/>
  <c r="B297" i="31"/>
  <c r="A297" i="31"/>
  <c r="C296" i="31"/>
  <c r="B296" i="31"/>
  <c r="A296" i="31"/>
  <c r="C295" i="31"/>
  <c r="B295" i="31"/>
  <c r="A295" i="31"/>
  <c r="C294" i="31"/>
  <c r="B294" i="31"/>
  <c r="A294" i="31"/>
  <c r="C293" i="31"/>
  <c r="B293" i="31"/>
  <c r="A293" i="31"/>
  <c r="C292" i="31"/>
  <c r="B292" i="31"/>
  <c r="A292" i="31"/>
  <c r="C291" i="31"/>
  <c r="B291" i="31"/>
  <c r="A291" i="31"/>
  <c r="C290" i="31"/>
  <c r="B290" i="31"/>
  <c r="A290" i="31"/>
  <c r="C289" i="31"/>
  <c r="B289" i="31"/>
  <c r="A289" i="31"/>
  <c r="C288" i="31"/>
  <c r="B288" i="31"/>
  <c r="A288" i="31"/>
  <c r="C287" i="31"/>
  <c r="B287" i="31"/>
  <c r="A287" i="31"/>
  <c r="C286" i="31"/>
  <c r="B286" i="31"/>
  <c r="A286" i="31"/>
  <c r="C285" i="31"/>
  <c r="B285" i="31"/>
  <c r="A285" i="31"/>
  <c r="C284" i="31"/>
  <c r="B284" i="31"/>
  <c r="A284" i="31"/>
  <c r="C283" i="31"/>
  <c r="B283" i="31"/>
  <c r="A283" i="31"/>
  <c r="C282" i="31"/>
  <c r="B282" i="31"/>
  <c r="A282" i="31"/>
  <c r="C281" i="31"/>
  <c r="B281" i="31"/>
  <c r="A281" i="31"/>
  <c r="C280" i="31"/>
  <c r="B280" i="31"/>
  <c r="A280" i="31"/>
  <c r="C279" i="31"/>
  <c r="B279" i="31"/>
  <c r="A279" i="31"/>
  <c r="C278" i="31"/>
  <c r="B278" i="31"/>
  <c r="A278" i="31"/>
  <c r="C277" i="31"/>
  <c r="B277" i="31"/>
  <c r="A277" i="31"/>
  <c r="C276" i="31"/>
  <c r="B276" i="31"/>
  <c r="A276" i="31"/>
  <c r="C275" i="31"/>
  <c r="B275" i="31"/>
  <c r="A275" i="31"/>
  <c r="C274" i="31"/>
  <c r="B274" i="31"/>
  <c r="A274" i="31"/>
  <c r="C273" i="31"/>
  <c r="B273" i="31"/>
  <c r="A273" i="31"/>
  <c r="C272" i="31"/>
  <c r="B272" i="31"/>
  <c r="A272" i="31"/>
  <c r="C271" i="31"/>
  <c r="B271" i="31"/>
  <c r="A271" i="31"/>
  <c r="C270" i="31"/>
  <c r="B270" i="31"/>
  <c r="A270" i="31"/>
  <c r="C269" i="31"/>
  <c r="B269" i="31"/>
  <c r="A269" i="31"/>
  <c r="C268" i="31"/>
  <c r="B268" i="31"/>
  <c r="A268" i="31"/>
  <c r="C267" i="31"/>
  <c r="B267" i="31"/>
  <c r="A267" i="31"/>
  <c r="C266" i="31"/>
  <c r="B266" i="31"/>
  <c r="A266" i="31"/>
  <c r="C265" i="31"/>
  <c r="B265" i="31"/>
  <c r="A265" i="31"/>
  <c r="C264" i="31"/>
  <c r="B264" i="31"/>
  <c r="A264" i="31"/>
  <c r="C263" i="31"/>
  <c r="B263" i="31"/>
  <c r="A263" i="31"/>
  <c r="C262" i="31"/>
  <c r="B262" i="31"/>
  <c r="A262" i="31"/>
  <c r="C261" i="31"/>
  <c r="B261" i="31"/>
  <c r="A261" i="31"/>
  <c r="C260" i="31"/>
  <c r="B260" i="31"/>
  <c r="A260" i="31"/>
  <c r="C259" i="31"/>
  <c r="B259" i="31"/>
  <c r="A259" i="31"/>
  <c r="C258" i="31"/>
  <c r="B258" i="31"/>
  <c r="A258" i="31"/>
  <c r="C257" i="31"/>
  <c r="B257" i="31"/>
  <c r="A257" i="31"/>
  <c r="C256" i="31"/>
  <c r="B256" i="31"/>
  <c r="A256" i="31"/>
  <c r="C255" i="31"/>
  <c r="B255" i="31"/>
  <c r="A255" i="31"/>
  <c r="C254" i="31"/>
  <c r="B254" i="31"/>
  <c r="A254" i="31"/>
  <c r="C253" i="31"/>
  <c r="B253" i="31"/>
  <c r="A253" i="31"/>
  <c r="C252" i="31"/>
  <c r="B252" i="31"/>
  <c r="A252" i="31"/>
  <c r="C251" i="31"/>
  <c r="B251" i="31"/>
  <c r="A251" i="31"/>
  <c r="C250" i="31"/>
  <c r="B250" i="31"/>
  <c r="A250" i="31"/>
  <c r="C249" i="31"/>
  <c r="B249" i="31"/>
  <c r="A249" i="31"/>
  <c r="C248" i="31"/>
  <c r="B248" i="31"/>
  <c r="A248" i="31"/>
  <c r="C247" i="31"/>
  <c r="B247" i="31"/>
  <c r="A247" i="31"/>
  <c r="C246" i="31"/>
  <c r="B246" i="31"/>
  <c r="A246" i="31"/>
  <c r="C245" i="31"/>
  <c r="B245" i="31"/>
  <c r="A245" i="31"/>
  <c r="C244" i="31"/>
  <c r="B244" i="31"/>
  <c r="A244" i="31"/>
  <c r="C243" i="31"/>
  <c r="B243" i="31"/>
  <c r="A243" i="31"/>
  <c r="C242" i="31"/>
  <c r="B242" i="31"/>
  <c r="A242" i="31"/>
  <c r="C240" i="31"/>
  <c r="B240" i="31"/>
  <c r="A240" i="31"/>
  <c r="C239" i="31"/>
  <c r="B239" i="31"/>
  <c r="A239" i="31"/>
  <c r="C238" i="31"/>
  <c r="B238" i="31"/>
  <c r="A238" i="31"/>
  <c r="C237" i="31"/>
  <c r="B237" i="31"/>
  <c r="A237" i="31"/>
  <c r="C236" i="31"/>
  <c r="B236" i="31"/>
  <c r="A236" i="31"/>
  <c r="C235" i="31"/>
  <c r="B235" i="31"/>
  <c r="A235" i="31"/>
  <c r="C234" i="31"/>
  <c r="B234" i="31"/>
  <c r="A234" i="31"/>
  <c r="C233" i="31"/>
  <c r="B233" i="31"/>
  <c r="A233" i="31"/>
  <c r="C232" i="31"/>
  <c r="B232" i="31"/>
  <c r="A232" i="31"/>
  <c r="C231" i="31"/>
  <c r="B231" i="31"/>
  <c r="A231" i="31"/>
  <c r="C230" i="31"/>
  <c r="B230" i="31"/>
  <c r="A230" i="31"/>
  <c r="C229" i="31"/>
  <c r="B229" i="31"/>
  <c r="A229" i="31"/>
  <c r="C228" i="31"/>
  <c r="B228" i="31"/>
  <c r="A228" i="31"/>
  <c r="C227" i="31"/>
  <c r="B227" i="31"/>
  <c r="A227" i="31"/>
  <c r="C226" i="31"/>
  <c r="B226" i="31"/>
  <c r="A226" i="31"/>
  <c r="C225" i="31"/>
  <c r="B225" i="31"/>
  <c r="A225" i="31"/>
  <c r="C224" i="31"/>
  <c r="B224" i="31"/>
  <c r="A224" i="31"/>
  <c r="C223" i="31"/>
  <c r="B223" i="31"/>
  <c r="A223" i="31"/>
  <c r="C222" i="31"/>
  <c r="B222" i="31"/>
  <c r="A222" i="31"/>
  <c r="C221" i="31"/>
  <c r="B221" i="31"/>
  <c r="A221" i="31"/>
  <c r="C220" i="31"/>
  <c r="B220" i="31"/>
  <c r="A220" i="31"/>
  <c r="C219" i="31"/>
  <c r="B219" i="31"/>
  <c r="A219" i="31"/>
  <c r="C218" i="31"/>
  <c r="B218" i="31"/>
  <c r="A218" i="31"/>
  <c r="C217" i="31"/>
  <c r="B217" i="31"/>
  <c r="A217" i="31"/>
  <c r="C216" i="31"/>
  <c r="B216" i="31"/>
  <c r="A216" i="31"/>
  <c r="C215" i="31"/>
  <c r="B215" i="31"/>
  <c r="A215" i="31"/>
  <c r="C214" i="31"/>
  <c r="B214" i="31"/>
  <c r="A214" i="31"/>
  <c r="C213" i="31"/>
  <c r="B213" i="31"/>
  <c r="A213" i="31"/>
  <c r="C212" i="31"/>
  <c r="B212" i="31"/>
  <c r="A212" i="31"/>
  <c r="C211" i="31"/>
  <c r="B211" i="31"/>
  <c r="A211" i="31"/>
  <c r="C210" i="31"/>
  <c r="B210" i="31"/>
  <c r="A210" i="31"/>
  <c r="C209" i="31"/>
  <c r="B209" i="31"/>
  <c r="A209" i="31"/>
  <c r="C208" i="31"/>
  <c r="B208" i="31"/>
  <c r="A208" i="31"/>
  <c r="C207" i="31"/>
  <c r="B207" i="31"/>
  <c r="A207" i="31"/>
  <c r="C206" i="31"/>
  <c r="B206" i="31"/>
  <c r="A206" i="31"/>
  <c r="C205" i="31"/>
  <c r="B205" i="31"/>
  <c r="A205" i="31"/>
  <c r="C204" i="31"/>
  <c r="B204" i="31"/>
  <c r="A204" i="31"/>
  <c r="C203" i="31"/>
  <c r="B203" i="31"/>
  <c r="A203" i="31"/>
  <c r="C202" i="31"/>
  <c r="B202" i="31"/>
  <c r="A202" i="31"/>
  <c r="C201" i="31"/>
  <c r="B201" i="31"/>
  <c r="A201" i="31"/>
  <c r="C200" i="31"/>
  <c r="B200" i="31"/>
  <c r="A200" i="31"/>
  <c r="C199" i="31"/>
  <c r="B199" i="31"/>
  <c r="A199" i="31"/>
  <c r="C198" i="31"/>
  <c r="B198" i="31"/>
  <c r="A198" i="31"/>
  <c r="C197" i="31"/>
  <c r="B197" i="31"/>
  <c r="A197" i="31"/>
  <c r="C196" i="31"/>
  <c r="B196" i="31"/>
  <c r="A196" i="31"/>
  <c r="C195" i="31"/>
  <c r="B195" i="31"/>
  <c r="A195" i="31"/>
  <c r="C194" i="31"/>
  <c r="B194" i="31"/>
  <c r="A194" i="31"/>
  <c r="C193" i="31"/>
  <c r="B193" i="31"/>
  <c r="A193" i="31"/>
  <c r="C192" i="31"/>
  <c r="B192" i="31"/>
  <c r="A192" i="31"/>
  <c r="C191" i="31"/>
  <c r="B191" i="31"/>
  <c r="A191" i="31"/>
  <c r="C190" i="31"/>
  <c r="B190" i="31"/>
  <c r="A190" i="31"/>
  <c r="C189" i="31"/>
  <c r="B189" i="31"/>
  <c r="A189" i="31"/>
  <c r="C188" i="31"/>
  <c r="B188" i="31"/>
  <c r="A188" i="31"/>
  <c r="C187" i="31"/>
  <c r="B187" i="31"/>
  <c r="A187" i="31"/>
  <c r="C186" i="31"/>
  <c r="B186" i="31"/>
  <c r="A186" i="31"/>
  <c r="C185" i="31"/>
  <c r="B185" i="31"/>
  <c r="A185" i="31"/>
  <c r="C184" i="31"/>
  <c r="B184" i="31"/>
  <c r="A184" i="31"/>
  <c r="C183" i="31"/>
  <c r="B183" i="31"/>
  <c r="A183" i="31"/>
  <c r="C182" i="31"/>
  <c r="B182" i="31"/>
  <c r="A182" i="31"/>
  <c r="C181" i="31"/>
  <c r="B181" i="31"/>
  <c r="A181" i="31"/>
  <c r="C180" i="31"/>
  <c r="B180" i="31"/>
  <c r="A180" i="31"/>
  <c r="C179" i="31"/>
  <c r="B179" i="31"/>
  <c r="A179" i="31"/>
  <c r="C178" i="31"/>
  <c r="B178" i="31"/>
  <c r="A178" i="31"/>
  <c r="C177" i="31"/>
  <c r="B177" i="31"/>
  <c r="A177" i="31"/>
  <c r="C176" i="31"/>
  <c r="B176" i="31"/>
  <c r="A176" i="31"/>
  <c r="C175" i="31"/>
  <c r="B175" i="31"/>
  <c r="A175" i="31"/>
  <c r="C174" i="31"/>
  <c r="B174" i="31"/>
  <c r="A174" i="31"/>
  <c r="C173" i="31"/>
  <c r="B173" i="31"/>
  <c r="A173" i="31"/>
  <c r="C172" i="31"/>
  <c r="B172" i="31"/>
  <c r="A172" i="31"/>
  <c r="C171" i="31"/>
  <c r="B171" i="31"/>
  <c r="A171" i="31"/>
  <c r="C170" i="31"/>
  <c r="B170" i="31"/>
  <c r="A170" i="31"/>
  <c r="C169" i="31"/>
  <c r="B169" i="31"/>
  <c r="A169" i="31"/>
  <c r="C168" i="31"/>
  <c r="B168" i="31"/>
  <c r="A168" i="31"/>
  <c r="C167" i="31"/>
  <c r="B167" i="31"/>
  <c r="A167" i="31"/>
  <c r="C166" i="31"/>
  <c r="B166" i="31"/>
  <c r="A166" i="31"/>
  <c r="C165" i="31"/>
  <c r="B165" i="31"/>
  <c r="A165" i="31"/>
  <c r="C164" i="31"/>
  <c r="B164" i="31"/>
  <c r="A164" i="31"/>
  <c r="C163" i="31"/>
  <c r="B163" i="31"/>
  <c r="A163" i="31"/>
  <c r="C162" i="31"/>
  <c r="B162" i="31"/>
  <c r="A162" i="31"/>
  <c r="C161" i="31"/>
  <c r="B161" i="31"/>
  <c r="A161" i="31"/>
  <c r="C160" i="31"/>
  <c r="B160" i="31"/>
  <c r="A160" i="31"/>
  <c r="C159" i="31"/>
  <c r="B159" i="31"/>
  <c r="A159" i="31"/>
  <c r="C158" i="31"/>
  <c r="B158" i="31"/>
  <c r="A158" i="31"/>
  <c r="C157" i="31"/>
  <c r="B157" i="31"/>
  <c r="A157" i="31"/>
  <c r="C156" i="31"/>
  <c r="B156" i="31"/>
  <c r="A156" i="31"/>
  <c r="C155" i="31"/>
  <c r="B155" i="31"/>
  <c r="A155" i="31"/>
  <c r="C154" i="31"/>
  <c r="B154" i="31"/>
  <c r="A154" i="31"/>
  <c r="C153" i="31"/>
  <c r="B153" i="31"/>
  <c r="A153" i="31"/>
  <c r="C152" i="31"/>
  <c r="B152" i="31"/>
  <c r="A152" i="31"/>
  <c r="C151" i="31"/>
  <c r="B151" i="31"/>
  <c r="A151" i="31"/>
  <c r="C150" i="31"/>
  <c r="B150" i="31"/>
  <c r="A150" i="31"/>
  <c r="C149" i="31"/>
  <c r="B149" i="31"/>
  <c r="A149" i="31"/>
  <c r="C148" i="31"/>
  <c r="B148" i="31"/>
  <c r="A148" i="31"/>
  <c r="C147" i="31"/>
  <c r="B147" i="31"/>
  <c r="A147" i="31"/>
  <c r="C146" i="31"/>
  <c r="B146" i="31"/>
  <c r="A146" i="31"/>
  <c r="C145" i="31"/>
  <c r="B145" i="31"/>
  <c r="A145" i="31"/>
  <c r="C144" i="31"/>
  <c r="B144" i="31"/>
  <c r="A144" i="31"/>
  <c r="C143" i="31"/>
  <c r="B143" i="31"/>
  <c r="A143" i="31"/>
  <c r="C142" i="31"/>
  <c r="B142" i="31"/>
  <c r="A142" i="31"/>
  <c r="C141" i="31"/>
  <c r="B141" i="31"/>
  <c r="A141" i="31"/>
  <c r="C140" i="31"/>
  <c r="B140" i="31"/>
  <c r="A140" i="31"/>
  <c r="C139" i="31"/>
  <c r="B139" i="31"/>
  <c r="A139" i="31"/>
  <c r="C138" i="31"/>
  <c r="B138" i="31"/>
  <c r="A138" i="31"/>
  <c r="C137" i="31"/>
  <c r="B137" i="31"/>
  <c r="A137" i="31"/>
  <c r="C136" i="31"/>
  <c r="B136" i="31"/>
  <c r="A136" i="31"/>
  <c r="C135" i="31"/>
  <c r="B135" i="31"/>
  <c r="A135" i="31"/>
  <c r="C134" i="31"/>
  <c r="B134" i="31"/>
  <c r="A134" i="31"/>
  <c r="C133" i="31"/>
  <c r="B133" i="31"/>
  <c r="A133" i="31"/>
  <c r="C132" i="31"/>
  <c r="B132" i="31"/>
  <c r="A132" i="31"/>
  <c r="C131" i="31"/>
  <c r="B131" i="31"/>
  <c r="A131" i="31"/>
  <c r="C130" i="31"/>
  <c r="B130" i="31"/>
  <c r="A130" i="31"/>
  <c r="C129" i="31"/>
  <c r="B129" i="31"/>
  <c r="A129" i="31"/>
  <c r="C128" i="31"/>
  <c r="B128" i="31"/>
  <c r="A128" i="31"/>
  <c r="C127" i="31"/>
  <c r="B127" i="31"/>
  <c r="A127" i="31"/>
  <c r="C126" i="31"/>
  <c r="B126" i="31"/>
  <c r="A126" i="31"/>
  <c r="C125" i="31"/>
  <c r="B125" i="31"/>
  <c r="A125" i="31"/>
  <c r="C124" i="31"/>
  <c r="B124" i="31"/>
  <c r="A124" i="31"/>
  <c r="C123" i="31"/>
  <c r="B123" i="31"/>
  <c r="A123" i="31"/>
  <c r="C122" i="31"/>
  <c r="B122" i="31"/>
  <c r="A122" i="31"/>
  <c r="C119" i="31"/>
  <c r="B119" i="31"/>
  <c r="A119" i="31"/>
  <c r="C118" i="31"/>
  <c r="B118" i="31"/>
  <c r="A118" i="31"/>
  <c r="C117" i="31"/>
  <c r="B117" i="31"/>
  <c r="A117" i="31"/>
  <c r="C116" i="31"/>
  <c r="B116" i="31"/>
  <c r="A116" i="31"/>
  <c r="C115" i="31"/>
  <c r="B115" i="31"/>
  <c r="A115" i="31"/>
  <c r="C114" i="31"/>
  <c r="B114" i="31"/>
  <c r="A114" i="31"/>
  <c r="C113" i="31"/>
  <c r="B113" i="31"/>
  <c r="A113" i="31"/>
  <c r="C112" i="31"/>
  <c r="B112" i="31"/>
  <c r="A112" i="31"/>
  <c r="C111" i="31"/>
  <c r="B111" i="31"/>
  <c r="A111" i="31"/>
  <c r="C110" i="31"/>
  <c r="B110" i="31"/>
  <c r="A110" i="31"/>
  <c r="C109" i="31"/>
  <c r="B109" i="31"/>
  <c r="A109" i="31"/>
  <c r="C108" i="31"/>
  <c r="B108" i="31"/>
  <c r="A108" i="31"/>
  <c r="C107" i="31"/>
  <c r="B107" i="31"/>
  <c r="A107" i="31"/>
  <c r="C106" i="31"/>
  <c r="B106" i="31"/>
  <c r="A106" i="31"/>
  <c r="B103" i="31"/>
  <c r="A103" i="31"/>
  <c r="B102" i="31"/>
  <c r="B101" i="31"/>
  <c r="A101" i="31"/>
  <c r="B100" i="31"/>
  <c r="A100" i="31"/>
  <c r="B99" i="31"/>
  <c r="A99" i="31"/>
  <c r="B98" i="31"/>
  <c r="A98" i="31"/>
  <c r="B97" i="31"/>
  <c r="A97" i="31"/>
  <c r="B96" i="31"/>
  <c r="A96" i="31"/>
  <c r="B95" i="31"/>
  <c r="A95" i="31"/>
  <c r="A93" i="31"/>
  <c r="A92" i="31"/>
  <c r="B91" i="31"/>
  <c r="A91" i="31"/>
  <c r="B87" i="31"/>
  <c r="A87" i="31"/>
  <c r="B86" i="31"/>
  <c r="A86" i="31"/>
  <c r="B85" i="31"/>
  <c r="A85" i="31"/>
  <c r="B84" i="31"/>
  <c r="A84" i="31"/>
  <c r="B83" i="31"/>
  <c r="A83" i="31"/>
  <c r="B81" i="31"/>
  <c r="A81" i="31"/>
  <c r="B80" i="31"/>
  <c r="A80" i="31"/>
  <c r="B79" i="31"/>
  <c r="A79" i="31"/>
  <c r="B78" i="31"/>
  <c r="A78" i="31"/>
  <c r="A76" i="31"/>
  <c r="A75" i="31"/>
  <c r="A74" i="31"/>
  <c r="A73" i="31"/>
  <c r="A72" i="31"/>
  <c r="B71" i="31"/>
  <c r="A71" i="31"/>
  <c r="B70" i="31"/>
  <c r="A70" i="31"/>
  <c r="B69" i="31"/>
  <c r="A69" i="31"/>
  <c r="B68" i="31"/>
  <c r="A68" i="31"/>
  <c r="B67" i="31"/>
  <c r="A67" i="31"/>
  <c r="B66" i="31"/>
  <c r="A66" i="31"/>
  <c r="B65" i="31"/>
  <c r="A65" i="31"/>
  <c r="B64" i="31"/>
  <c r="A64" i="31"/>
  <c r="B63" i="31"/>
  <c r="A63" i="31"/>
  <c r="B62" i="31"/>
  <c r="A62" i="31"/>
  <c r="A61" i="31"/>
  <c r="A60" i="31"/>
  <c r="A59" i="31"/>
  <c r="A58" i="31"/>
  <c r="A57" i="31"/>
  <c r="A56" i="31"/>
  <c r="A55" i="31"/>
  <c r="A54" i="31"/>
  <c r="B53" i="31"/>
  <c r="A53" i="31"/>
  <c r="B52" i="31"/>
  <c r="A52" i="31"/>
  <c r="B51" i="31"/>
  <c r="A51" i="31"/>
  <c r="B50" i="31"/>
  <c r="A50" i="31"/>
  <c r="B46" i="31"/>
  <c r="A46" i="31"/>
  <c r="B45" i="31"/>
  <c r="A45" i="31"/>
  <c r="B44" i="31"/>
  <c r="A44" i="31"/>
  <c r="B43" i="31"/>
  <c r="A43" i="31"/>
  <c r="B42" i="31"/>
  <c r="A42" i="31"/>
  <c r="B41" i="31"/>
  <c r="A41" i="31"/>
  <c r="B39" i="31"/>
  <c r="A39" i="31"/>
  <c r="B38" i="31"/>
  <c r="A38" i="31"/>
  <c r="B37" i="31"/>
  <c r="A37" i="31"/>
  <c r="B32" i="31"/>
  <c r="A32" i="31"/>
  <c r="B31" i="31"/>
  <c r="A31" i="31"/>
  <c r="B30" i="31"/>
  <c r="A30" i="31"/>
  <c r="B28" i="31"/>
  <c r="A28" i="31"/>
  <c r="B27" i="31"/>
  <c r="A27" i="31"/>
  <c r="A18" i="31"/>
  <c r="B18" i="31"/>
  <c r="C18" i="31"/>
  <c r="A19" i="31"/>
  <c r="B19" i="31"/>
  <c r="A33" i="31"/>
  <c r="B33" i="31"/>
  <c r="A20" i="31"/>
  <c r="B20" i="31"/>
  <c r="A21" i="31"/>
  <c r="B21" i="31"/>
  <c r="A22" i="31"/>
  <c r="B22" i="31"/>
  <c r="A23" i="31"/>
  <c r="B23" i="31"/>
  <c r="A24" i="31"/>
  <c r="B24" i="31"/>
  <c r="A25" i="31"/>
  <c r="B25" i="31"/>
  <c r="A34" i="31"/>
  <c r="B34" i="31"/>
  <c r="A35" i="31"/>
  <c r="B35" i="31"/>
  <c r="O73" i="36"/>
  <c r="W73" i="36"/>
  <c r="W13" i="36"/>
  <c r="W73" i="35"/>
  <c r="O73" i="35"/>
  <c r="W13" i="35"/>
  <c r="W73" i="34"/>
  <c r="O73" i="34"/>
  <c r="W13" i="34"/>
  <c r="V31" i="34"/>
  <c r="X31" i="34" s="1"/>
  <c r="S31" i="34"/>
  <c r="T31" i="34" s="1"/>
  <c r="U31" i="34" s="1"/>
  <c r="H78" i="1"/>
  <c r="AF78" i="1"/>
  <c r="AG18" i="1"/>
  <c r="R1333" i="1"/>
  <c r="U159" i="1"/>
  <c r="S159" i="1"/>
  <c r="X159" i="1" s="1"/>
  <c r="AB159" i="1" s="1"/>
  <c r="S240" i="1"/>
  <c r="X240" i="1" s="1"/>
  <c r="AB240" i="1" s="1"/>
  <c r="S239" i="1"/>
  <c r="X239" i="1" s="1"/>
  <c r="AB239" i="1" s="1"/>
  <c r="S238" i="1"/>
  <c r="X238" i="1" s="1"/>
  <c r="AB238" i="1" s="1"/>
  <c r="X237" i="1"/>
  <c r="AB237" i="1" s="1"/>
  <c r="X236" i="1"/>
  <c r="AB236" i="1" s="1"/>
  <c r="X235" i="1"/>
  <c r="AB235" i="1" s="1"/>
  <c r="X234" i="1"/>
  <c r="AB234" i="1" s="1"/>
  <c r="X233" i="1"/>
  <c r="AB233" i="1" s="1"/>
  <c r="S232" i="1"/>
  <c r="X232" i="1" s="1"/>
  <c r="AB232" i="1" s="1"/>
  <c r="S231" i="1"/>
  <c r="X231" i="1" s="1"/>
  <c r="AB231" i="1" s="1"/>
  <c r="X230" i="1"/>
  <c r="AB230" i="1" s="1"/>
  <c r="S229" i="1"/>
  <c r="X229" i="1" s="1"/>
  <c r="AB229" i="1" s="1"/>
  <c r="X228" i="1"/>
  <c r="AB228" i="1" s="1"/>
  <c r="S227" i="1"/>
  <c r="X227" i="1" s="1"/>
  <c r="AB227" i="1" s="1"/>
  <c r="X226" i="1"/>
  <c r="AB226" i="1" s="1"/>
  <c r="X225" i="1"/>
  <c r="AB225" i="1" s="1"/>
  <c r="S224" i="1"/>
  <c r="X224" i="1" s="1"/>
  <c r="AB224" i="1" s="1"/>
  <c r="S223" i="1"/>
  <c r="X223" i="1" s="1"/>
  <c r="AB223" i="1" s="1"/>
  <c r="S222" i="1"/>
  <c r="X222" i="1" s="1"/>
  <c r="AB222" i="1" s="1"/>
  <c r="S221" i="1"/>
  <c r="X221" i="1" s="1"/>
  <c r="AB221" i="1" s="1"/>
  <c r="X220" i="1"/>
  <c r="AB220" i="1" s="1"/>
  <c r="S219" i="1"/>
  <c r="X219" i="1" s="1"/>
  <c r="AB219" i="1" s="1"/>
  <c r="S218" i="1"/>
  <c r="X218" i="1" s="1"/>
  <c r="AB218" i="1" s="1"/>
  <c r="X217" i="1"/>
  <c r="AB217" i="1" s="1"/>
  <c r="X216" i="1"/>
  <c r="AB216" i="1" s="1"/>
  <c r="S215" i="1"/>
  <c r="X215" i="1" s="1"/>
  <c r="AB215" i="1" s="1"/>
  <c r="S214" i="1"/>
  <c r="X214" i="1" s="1"/>
  <c r="AB214" i="1" s="1"/>
  <c r="X213" i="1"/>
  <c r="AB213" i="1" s="1"/>
  <c r="S212" i="1"/>
  <c r="X212" i="1" s="1"/>
  <c r="AB212" i="1" s="1"/>
  <c r="S211" i="1"/>
  <c r="X211" i="1" s="1"/>
  <c r="AB211" i="1" s="1"/>
  <c r="S210" i="1"/>
  <c r="X210" i="1" s="1"/>
  <c r="AB210" i="1" s="1"/>
  <c r="X209" i="1"/>
  <c r="AB209" i="1" s="1"/>
  <c r="S208" i="1"/>
  <c r="X208" i="1" s="1"/>
  <c r="AB208" i="1" s="1"/>
  <c r="X207" i="1"/>
  <c r="AB207" i="1" s="1"/>
  <c r="X206" i="1"/>
  <c r="AB206" i="1" s="1"/>
  <c r="X205" i="1"/>
  <c r="AB205" i="1" s="1"/>
  <c r="X204" i="1"/>
  <c r="AB204" i="1" s="1"/>
  <c r="X203" i="1"/>
  <c r="AB203" i="1" s="1"/>
  <c r="X202" i="1"/>
  <c r="AB202" i="1" s="1"/>
  <c r="X201" i="1"/>
  <c r="AB201" i="1" s="1"/>
  <c r="X200" i="1"/>
  <c r="AB200" i="1" s="1"/>
  <c r="S199" i="1"/>
  <c r="X199" i="1" s="1"/>
  <c r="AB199" i="1" s="1"/>
  <c r="X198" i="1"/>
  <c r="AB198" i="1" s="1"/>
  <c r="X197" i="1"/>
  <c r="AB197" i="1" s="1"/>
  <c r="X196" i="1"/>
  <c r="AB196" i="1" s="1"/>
  <c r="X195" i="1"/>
  <c r="AB195" i="1" s="1"/>
  <c r="X194" i="1"/>
  <c r="AB194" i="1" s="1"/>
  <c r="X193" i="1"/>
  <c r="AB193" i="1" s="1"/>
  <c r="S192" i="1"/>
  <c r="X192" i="1" s="1"/>
  <c r="AB192" i="1" s="1"/>
  <c r="X191" i="1"/>
  <c r="AB191" i="1" s="1"/>
  <c r="X190" i="1"/>
  <c r="AB190" i="1" s="1"/>
  <c r="X189" i="1"/>
  <c r="AB189" i="1" s="1"/>
  <c r="X188" i="1"/>
  <c r="AB188" i="1" s="1"/>
  <c r="X187" i="1"/>
  <c r="AB187" i="1" s="1"/>
  <c r="X186" i="1"/>
  <c r="AB186" i="1" s="1"/>
  <c r="X185" i="1"/>
  <c r="AB185" i="1" s="1"/>
  <c r="X184" i="1"/>
  <c r="AB184" i="1" s="1"/>
  <c r="X183" i="1"/>
  <c r="AB183" i="1" s="1"/>
  <c r="X182" i="1"/>
  <c r="AB182" i="1" s="1"/>
  <c r="X181" i="1"/>
  <c r="AB181" i="1" s="1"/>
  <c r="X180" i="1"/>
  <c r="AB180" i="1" s="1"/>
  <c r="X179" i="1"/>
  <c r="AB179" i="1" s="1"/>
  <c r="X178" i="1"/>
  <c r="AB178" i="1" s="1"/>
  <c r="X177" i="1"/>
  <c r="AB177" i="1" s="1"/>
  <c r="X176" i="1"/>
  <c r="AB176" i="1" s="1"/>
  <c r="S175" i="1"/>
  <c r="X175" i="1" s="1"/>
  <c r="AB175" i="1" s="1"/>
  <c r="X174" i="1"/>
  <c r="AB174" i="1" s="1"/>
  <c r="X173" i="1"/>
  <c r="AB173" i="1" s="1"/>
  <c r="X172" i="1"/>
  <c r="AB172" i="1" s="1"/>
  <c r="X171" i="1"/>
  <c r="AB171" i="1" s="1"/>
  <c r="X170" i="1"/>
  <c r="AB170" i="1" s="1"/>
  <c r="X168" i="1"/>
  <c r="AB168" i="1" s="1"/>
  <c r="X167" i="1"/>
  <c r="AB167" i="1" s="1"/>
  <c r="S166" i="1"/>
  <c r="X166" i="1" s="1"/>
  <c r="AB166" i="1" s="1"/>
  <c r="X165" i="1"/>
  <c r="AB165" i="1" s="1"/>
  <c r="X164" i="1"/>
  <c r="AB164" i="1" s="1"/>
  <c r="X163" i="1"/>
  <c r="AB163" i="1" s="1"/>
  <c r="S162" i="1"/>
  <c r="X162" i="1" s="1"/>
  <c r="AB162" i="1" s="1"/>
  <c r="X161" i="1"/>
  <c r="AB161" i="1" s="1"/>
  <c r="X160" i="1"/>
  <c r="AB160" i="1" s="1"/>
  <c r="S158" i="1"/>
  <c r="X158" i="1" s="1"/>
  <c r="AB158" i="1" s="1"/>
  <c r="S157" i="1"/>
  <c r="X157" i="1" s="1"/>
  <c r="AB157" i="1" s="1"/>
  <c r="X156" i="1"/>
  <c r="AB156" i="1" s="1"/>
  <c r="X155" i="1"/>
  <c r="AB155" i="1" s="1"/>
  <c r="X154" i="1"/>
  <c r="AB154" i="1" s="1"/>
  <c r="S153" i="1"/>
  <c r="X153" i="1" s="1"/>
  <c r="AB153" i="1" s="1"/>
  <c r="S152" i="1"/>
  <c r="X152" i="1" s="1"/>
  <c r="AB152" i="1" s="1"/>
  <c r="X151" i="1"/>
  <c r="AB151" i="1" s="1"/>
  <c r="X150" i="1"/>
  <c r="AB150" i="1" s="1"/>
  <c r="X149" i="1"/>
  <c r="AB149" i="1" s="1"/>
  <c r="X148" i="1"/>
  <c r="AB148" i="1" s="1"/>
  <c r="X147" i="1"/>
  <c r="AB147" i="1" s="1"/>
  <c r="X146" i="1"/>
  <c r="AB146" i="1" s="1"/>
  <c r="X145" i="1"/>
  <c r="AB145" i="1" s="1"/>
  <c r="X144" i="1"/>
  <c r="AB144" i="1" s="1"/>
  <c r="X143" i="1"/>
  <c r="AB143" i="1" s="1"/>
  <c r="X142" i="1"/>
  <c r="AB142" i="1" s="1"/>
  <c r="S141" i="1"/>
  <c r="X141" i="1" s="1"/>
  <c r="AB141" i="1" s="1"/>
  <c r="X140" i="1"/>
  <c r="AB140" i="1" s="1"/>
  <c r="X139" i="1"/>
  <c r="AB139" i="1" s="1"/>
  <c r="X138" i="1"/>
  <c r="AB138" i="1" s="1"/>
  <c r="X137" i="1"/>
  <c r="AB137" i="1" s="1"/>
  <c r="X136" i="1"/>
  <c r="AB136" i="1" s="1"/>
  <c r="X135" i="1"/>
  <c r="AB135" i="1" s="1"/>
  <c r="X134" i="1"/>
  <c r="AB134" i="1" s="1"/>
  <c r="X133" i="1"/>
  <c r="AB133" i="1" s="1"/>
  <c r="X132" i="1"/>
  <c r="AB132" i="1" s="1"/>
  <c r="X131" i="1"/>
  <c r="AB131" i="1" s="1"/>
  <c r="X130" i="1"/>
  <c r="AB130" i="1" s="1"/>
  <c r="S129" i="1"/>
  <c r="X129" i="1" s="1"/>
  <c r="AB129" i="1" s="1"/>
  <c r="X128" i="1"/>
  <c r="AB128" i="1" s="1"/>
  <c r="X127" i="1"/>
  <c r="AB127" i="1" s="1"/>
  <c r="X126" i="1"/>
  <c r="AB126" i="1" s="1"/>
  <c r="X125" i="1"/>
  <c r="AB125" i="1" s="1"/>
  <c r="X124" i="1"/>
  <c r="AB124" i="1" s="1"/>
  <c r="X123" i="1"/>
  <c r="AB123" i="1" s="1"/>
  <c r="G158" i="31"/>
  <c r="G83" i="36"/>
  <c r="F83" i="36"/>
  <c r="E83" i="36"/>
  <c r="D83" i="36"/>
  <c r="G83" i="35"/>
  <c r="F83" i="35"/>
  <c r="E83" i="35"/>
  <c r="D83" i="35"/>
  <c r="G83" i="34"/>
  <c r="F83" i="34"/>
  <c r="E83" i="34"/>
  <c r="D83" i="34"/>
  <c r="E240" i="31"/>
  <c r="J240" i="31"/>
  <c r="AG241" i="1"/>
  <c r="AT122" i="1"/>
  <c r="AR122" i="1"/>
  <c r="AQ122" i="1"/>
  <c r="AQ121" i="1" s="1"/>
  <c r="AP122" i="1"/>
  <c r="AP121" i="1" s="1"/>
  <c r="AO122" i="1"/>
  <c r="AN122" i="1"/>
  <c r="AM122" i="1"/>
  <c r="AE122" i="1"/>
  <c r="AD122" i="1"/>
  <c r="AC122" i="1"/>
  <c r="AC1333" i="1"/>
  <c r="AC243" i="1"/>
  <c r="R122" i="1"/>
  <c r="I122" i="1"/>
  <c r="X241" i="1"/>
  <c r="AB241" i="1" s="1"/>
  <c r="E165" i="31"/>
  <c r="AQ92" i="1"/>
  <c r="M92" i="1"/>
  <c r="AG109" i="1"/>
  <c r="AL109" i="1" s="1"/>
  <c r="T1419" i="1"/>
  <c r="T1371" i="1"/>
  <c r="S63" i="1"/>
  <c r="S50" i="1" s="1"/>
  <c r="V18" i="1"/>
  <c r="V17" i="1" s="1"/>
  <c r="V16" i="1" s="1"/>
  <c r="S11" i="35" s="1"/>
  <c r="AK116" i="1"/>
  <c r="AK114" i="1"/>
  <c r="V109" i="36" s="1"/>
  <c r="X109" i="36" s="1"/>
  <c r="AK115" i="1"/>
  <c r="AF114" i="1"/>
  <c r="AJ114" i="1"/>
  <c r="AJ115" i="1"/>
  <c r="V110" i="35" s="1"/>
  <c r="X110" i="35" s="1"/>
  <c r="AF113" i="1"/>
  <c r="AG113" i="1"/>
  <c r="AL113" i="1" s="1"/>
  <c r="AH113" i="1"/>
  <c r="AI113" i="1"/>
  <c r="V108" i="34" s="1"/>
  <c r="X108" i="34" s="1"/>
  <c r="AG114" i="1"/>
  <c r="AH114" i="1"/>
  <c r="AI114" i="1"/>
  <c r="AF115" i="1"/>
  <c r="AG115" i="1"/>
  <c r="AH115" i="1"/>
  <c r="AL115" i="1" s="1"/>
  <c r="AI115" i="1"/>
  <c r="AF112" i="1"/>
  <c r="AG112" i="1"/>
  <c r="AH112" i="1"/>
  <c r="AG111" i="1"/>
  <c r="AH111" i="1"/>
  <c r="AI111" i="1"/>
  <c r="R111" i="1"/>
  <c r="I78" i="1"/>
  <c r="W88" i="1"/>
  <c r="R20" i="1"/>
  <c r="J20" i="1" s="1"/>
  <c r="W71" i="1"/>
  <c r="W70" i="1"/>
  <c r="T69" i="1"/>
  <c r="W33" i="1"/>
  <c r="S28" i="36" s="1"/>
  <c r="S32" i="1"/>
  <c r="S34" i="1"/>
  <c r="S29" i="1"/>
  <c r="S27" i="1" s="1"/>
  <c r="W36" i="1"/>
  <c r="W35" i="1"/>
  <c r="T24" i="1"/>
  <c r="T23" i="1"/>
  <c r="T22" i="1"/>
  <c r="T21" i="1"/>
  <c r="X21" i="1" s="1"/>
  <c r="AB21" i="1" s="1"/>
  <c r="S243" i="1"/>
  <c r="S1457" i="1"/>
  <c r="S1456" i="1"/>
  <c r="X1456" i="1" s="1"/>
  <c r="AB1456" i="1" s="1"/>
  <c r="S1455" i="1"/>
  <c r="X1455" i="1" s="1"/>
  <c r="AB1455" i="1" s="1"/>
  <c r="S1452" i="1"/>
  <c r="X1452" i="1" s="1"/>
  <c r="AB1452" i="1" s="1"/>
  <c r="S1451" i="1"/>
  <c r="X1451" i="1" s="1"/>
  <c r="AB1451" i="1" s="1"/>
  <c r="S1448" i="1"/>
  <c r="X1448" i="1" s="1"/>
  <c r="AB1448" i="1" s="1"/>
  <c r="S1447" i="1"/>
  <c r="X1447" i="1" s="1"/>
  <c r="AB1447" i="1" s="1"/>
  <c r="S1446" i="1"/>
  <c r="X1446" i="1" s="1"/>
  <c r="AB1446" i="1" s="1"/>
  <c r="S1445" i="1"/>
  <c r="S1444" i="1"/>
  <c r="X1444" i="1" s="1"/>
  <c r="AB1444" i="1" s="1"/>
  <c r="S1443" i="1"/>
  <c r="X1443" i="1" s="1"/>
  <c r="AB1443" i="1" s="1"/>
  <c r="S1438" i="1"/>
  <c r="X1438" i="1" s="1"/>
  <c r="AB1438" i="1" s="1"/>
  <c r="S1437" i="1"/>
  <c r="X1437" i="1" s="1"/>
  <c r="AB1437" i="1" s="1"/>
  <c r="S1436" i="1"/>
  <c r="X1436" i="1" s="1"/>
  <c r="AB1436" i="1" s="1"/>
  <c r="S1435" i="1"/>
  <c r="S1412" i="1"/>
  <c r="X1412" i="1" s="1"/>
  <c r="S1410" i="1"/>
  <c r="X1410" i="1" s="1"/>
  <c r="AB1410" i="1" s="1"/>
  <c r="S1409" i="1"/>
  <c r="X1409" i="1" s="1"/>
  <c r="AB1409" i="1" s="1"/>
  <c r="S1408" i="1"/>
  <c r="S1407" i="1"/>
  <c r="X1407" i="1" s="1"/>
  <c r="S1405" i="1"/>
  <c r="S1404" i="1"/>
  <c r="X1404" i="1" s="1"/>
  <c r="AB1404" i="1" s="1"/>
  <c r="S1403" i="1"/>
  <c r="X1403" i="1" s="1"/>
  <c r="AB1403" i="1" s="1"/>
  <c r="S1402" i="1"/>
  <c r="X1402" i="1" s="1"/>
  <c r="S1401" i="1"/>
  <c r="X1401" i="1" s="1"/>
  <c r="AB1401" i="1" s="1"/>
  <c r="S1400" i="1"/>
  <c r="X1400" i="1" s="1"/>
  <c r="AB1400" i="1" s="1"/>
  <c r="S1397" i="1"/>
  <c r="S1396" i="1"/>
  <c r="X1396" i="1" s="1"/>
  <c r="S1390" i="1"/>
  <c r="S1378" i="1"/>
  <c r="X1378" i="1" s="1"/>
  <c r="AB1378" i="1" s="1"/>
  <c r="S1373" i="1"/>
  <c r="X1373" i="1" s="1"/>
  <c r="AB1373" i="1" s="1"/>
  <c r="S1372" i="1"/>
  <c r="X1372" i="1" s="1"/>
  <c r="S1369" i="1"/>
  <c r="S1367" i="1"/>
  <c r="X1367" i="1" s="1"/>
  <c r="AB1367" i="1" s="1"/>
  <c r="S1365" i="1"/>
  <c r="X1365" i="1" s="1"/>
  <c r="AB1365" i="1" s="1"/>
  <c r="S1364" i="1"/>
  <c r="X1364" i="1" s="1"/>
  <c r="AB1364" i="1" s="1"/>
  <c r="S1359" i="1"/>
  <c r="X1359" i="1" s="1"/>
  <c r="AB1359" i="1" s="1"/>
  <c r="S1358" i="1"/>
  <c r="X1358" i="1" s="1"/>
  <c r="AB1358" i="1" s="1"/>
  <c r="S1356" i="1"/>
  <c r="S1354" i="1"/>
  <c r="X1354" i="1" s="1"/>
  <c r="AB1354" i="1" s="1"/>
  <c r="S1352" i="1"/>
  <c r="S1351" i="1"/>
  <c r="X1351" i="1" s="1"/>
  <c r="AB1351" i="1" s="1"/>
  <c r="S1350" i="1"/>
  <c r="X1350" i="1" s="1"/>
  <c r="AB1350" i="1" s="1"/>
  <c r="S1349" i="1"/>
  <c r="X1349" i="1" s="1"/>
  <c r="AB1349" i="1" s="1"/>
  <c r="S1348" i="1"/>
  <c r="S1342" i="1"/>
  <c r="S85" i="1"/>
  <c r="T80" i="1"/>
  <c r="AE79" i="1"/>
  <c r="S79" i="1"/>
  <c r="S78" i="1" s="1"/>
  <c r="BK31" i="1"/>
  <c r="BG51" i="1"/>
  <c r="BG50" i="1" s="1"/>
  <c r="AE120" i="1"/>
  <c r="AE119" i="1"/>
  <c r="AE118" i="1"/>
  <c r="AE117" i="1"/>
  <c r="AE116" i="1"/>
  <c r="AE115" i="1"/>
  <c r="AE114" i="1"/>
  <c r="AE113" i="1"/>
  <c r="AE110" i="1"/>
  <c r="AE109" i="1"/>
  <c r="AE108" i="1"/>
  <c r="AE107" i="1"/>
  <c r="AE103" i="1"/>
  <c r="AE102" i="1"/>
  <c r="AE101" i="1"/>
  <c r="AE100" i="1"/>
  <c r="AE99" i="1"/>
  <c r="AE98" i="1"/>
  <c r="AE97" i="1"/>
  <c r="AE96" i="1"/>
  <c r="AE88" i="1"/>
  <c r="AE85" i="1"/>
  <c r="AE82" i="1"/>
  <c r="AE81" i="1"/>
  <c r="AE80" i="1"/>
  <c r="AE71" i="1"/>
  <c r="AE70" i="1"/>
  <c r="AE63" i="1"/>
  <c r="AE53" i="1"/>
  <c r="AE47" i="1"/>
  <c r="AE46" i="1"/>
  <c r="AE45" i="1"/>
  <c r="AE43" i="1"/>
  <c r="AE42" i="1"/>
  <c r="AE38" i="1"/>
  <c r="AE37" i="1" s="1"/>
  <c r="AE32" i="1"/>
  <c r="AE31" i="1"/>
  <c r="AE29" i="1"/>
  <c r="AE20" i="1"/>
  <c r="AE22" i="1"/>
  <c r="AE23" i="1"/>
  <c r="AE24" i="1"/>
  <c r="AE25" i="1"/>
  <c r="AE26" i="1"/>
  <c r="AE35" i="1"/>
  <c r="AE36" i="1"/>
  <c r="AE19" i="1"/>
  <c r="AD1333" i="1"/>
  <c r="AD243" i="1"/>
  <c r="BL1457" i="1"/>
  <c r="BL1456" i="1"/>
  <c r="BL1455" i="1"/>
  <c r="BL1454" i="1"/>
  <c r="BL1453" i="1"/>
  <c r="BL1452" i="1"/>
  <c r="BL1451" i="1"/>
  <c r="BL1450" i="1"/>
  <c r="BL1449" i="1"/>
  <c r="BL1448" i="1"/>
  <c r="BL1447" i="1"/>
  <c r="BL1446" i="1"/>
  <c r="BL1445" i="1"/>
  <c r="BL1444" i="1"/>
  <c r="BL1443" i="1"/>
  <c r="BL1442" i="1"/>
  <c r="BL1441" i="1"/>
  <c r="BL1440" i="1"/>
  <c r="BL1439" i="1"/>
  <c r="BL1438" i="1"/>
  <c r="BL1437" i="1"/>
  <c r="BL1436" i="1"/>
  <c r="BL1435" i="1"/>
  <c r="BL1434" i="1"/>
  <c r="BL1433" i="1"/>
  <c r="BL1432" i="1"/>
  <c r="BL1431" i="1"/>
  <c r="BL1430" i="1"/>
  <c r="BL1429" i="1"/>
  <c r="BL1428" i="1"/>
  <c r="BL1427" i="1"/>
  <c r="BL1426" i="1"/>
  <c r="BL1425" i="1"/>
  <c r="BL1424" i="1"/>
  <c r="BL1423" i="1"/>
  <c r="BL1422" i="1"/>
  <c r="BL1421" i="1"/>
  <c r="BL1420" i="1"/>
  <c r="BL1419" i="1"/>
  <c r="BL1418" i="1"/>
  <c r="BL1417" i="1"/>
  <c r="BL1416" i="1"/>
  <c r="BL1415" i="1"/>
  <c r="BL1414" i="1"/>
  <c r="BL1413" i="1"/>
  <c r="BL1412" i="1"/>
  <c r="BL1411" i="1"/>
  <c r="BL1410" i="1"/>
  <c r="BL1409" i="1"/>
  <c r="BL1408" i="1"/>
  <c r="BL1407" i="1"/>
  <c r="BL1406" i="1"/>
  <c r="BL1405" i="1"/>
  <c r="BL1404" i="1"/>
  <c r="BL1403" i="1"/>
  <c r="BL1402" i="1"/>
  <c r="BL1401" i="1"/>
  <c r="BL1400" i="1"/>
  <c r="BL1399" i="1"/>
  <c r="BL1398" i="1"/>
  <c r="BL1397" i="1"/>
  <c r="BL1396" i="1"/>
  <c r="BL1395" i="1"/>
  <c r="BL1394" i="1"/>
  <c r="BL1393" i="1"/>
  <c r="BL1392" i="1"/>
  <c r="BL1391" i="1"/>
  <c r="BL1390" i="1"/>
  <c r="BL1389" i="1"/>
  <c r="BL1388" i="1"/>
  <c r="BL1387" i="1"/>
  <c r="BL1386" i="1"/>
  <c r="BL1385" i="1"/>
  <c r="BL1384" i="1"/>
  <c r="BL1383" i="1"/>
  <c r="BL1382" i="1"/>
  <c r="BL1381" i="1"/>
  <c r="BL1380" i="1"/>
  <c r="BL1379" i="1"/>
  <c r="BL1378" i="1"/>
  <c r="BL1377" i="1"/>
  <c r="BL1376" i="1"/>
  <c r="BL1375" i="1"/>
  <c r="BL1374" i="1"/>
  <c r="BL1373" i="1"/>
  <c r="BL1372" i="1"/>
  <c r="BL1371" i="1"/>
  <c r="BL1370" i="1"/>
  <c r="BL1369" i="1"/>
  <c r="BL1368" i="1"/>
  <c r="BL1367" i="1"/>
  <c r="BL1366" i="1"/>
  <c r="BL1365" i="1"/>
  <c r="BL1364" i="1"/>
  <c r="BL1363" i="1"/>
  <c r="BL1362" i="1"/>
  <c r="BL1361" i="1"/>
  <c r="BL1360" i="1"/>
  <c r="BL1359" i="1"/>
  <c r="BL1358" i="1"/>
  <c r="BL1357" i="1"/>
  <c r="BL1356" i="1"/>
  <c r="BL1355" i="1"/>
  <c r="BL1354" i="1"/>
  <c r="BL1353" i="1"/>
  <c r="BL1352" i="1"/>
  <c r="BL1351" i="1"/>
  <c r="BL1350" i="1"/>
  <c r="BL1349" i="1"/>
  <c r="BL1348" i="1"/>
  <c r="BL1347" i="1"/>
  <c r="BL1346" i="1"/>
  <c r="BL1345" i="1"/>
  <c r="BL1344" i="1"/>
  <c r="BL1343" i="1"/>
  <c r="BL1342" i="1"/>
  <c r="BL1341" i="1"/>
  <c r="BL1340" i="1"/>
  <c r="BL1339" i="1"/>
  <c r="BL1338" i="1"/>
  <c r="BL1337" i="1"/>
  <c r="BL1336" i="1"/>
  <c r="BL1335" i="1"/>
  <c r="BL1334" i="1"/>
  <c r="BH1333" i="1"/>
  <c r="BG1333" i="1"/>
  <c r="BG122" i="1"/>
  <c r="BG243" i="1"/>
  <c r="BF1333" i="1"/>
  <c r="BL1332" i="1"/>
  <c r="BL1331" i="1"/>
  <c r="BL1330" i="1"/>
  <c r="BL1329" i="1"/>
  <c r="BL1328" i="1"/>
  <c r="BL1327" i="1"/>
  <c r="BL1326" i="1"/>
  <c r="BL1325" i="1"/>
  <c r="BL1324" i="1"/>
  <c r="BL1323" i="1"/>
  <c r="BL1322" i="1"/>
  <c r="BL1321" i="1"/>
  <c r="BL1320" i="1"/>
  <c r="BL1319" i="1"/>
  <c r="BL1318" i="1"/>
  <c r="BL1317" i="1"/>
  <c r="BL1316" i="1"/>
  <c r="BL1315" i="1"/>
  <c r="BL1314" i="1"/>
  <c r="BL1313" i="1"/>
  <c r="BL1312" i="1"/>
  <c r="BL1311" i="1"/>
  <c r="BL1310" i="1"/>
  <c r="BL1309" i="1"/>
  <c r="BL1308" i="1"/>
  <c r="BL1307" i="1"/>
  <c r="BL1306" i="1"/>
  <c r="BL1305" i="1"/>
  <c r="BL1304" i="1"/>
  <c r="BL1303" i="1"/>
  <c r="BL1302" i="1"/>
  <c r="BL1301" i="1"/>
  <c r="BL1300" i="1"/>
  <c r="BL1299" i="1"/>
  <c r="BL1298" i="1"/>
  <c r="BL1297" i="1"/>
  <c r="BL1296" i="1"/>
  <c r="BL1295" i="1"/>
  <c r="BL1294" i="1"/>
  <c r="BL1293" i="1"/>
  <c r="BL1292" i="1"/>
  <c r="BL1291" i="1"/>
  <c r="BL1290" i="1"/>
  <c r="BL1289" i="1"/>
  <c r="BL1288" i="1"/>
  <c r="BL1287" i="1"/>
  <c r="BL1286" i="1"/>
  <c r="BL1285" i="1"/>
  <c r="BL1284" i="1"/>
  <c r="BL1283" i="1"/>
  <c r="BL1282" i="1"/>
  <c r="BL1281" i="1"/>
  <c r="BL1280" i="1"/>
  <c r="BL1279" i="1"/>
  <c r="BL1278" i="1"/>
  <c r="BL1277" i="1"/>
  <c r="BL1276" i="1"/>
  <c r="BL1275" i="1"/>
  <c r="BL1274" i="1"/>
  <c r="BL1273" i="1"/>
  <c r="BL1272" i="1"/>
  <c r="BL1271" i="1"/>
  <c r="BL1270" i="1"/>
  <c r="BL1269" i="1"/>
  <c r="BL1268" i="1"/>
  <c r="BL1267" i="1"/>
  <c r="BL1266" i="1"/>
  <c r="BL1265" i="1"/>
  <c r="BL1264" i="1"/>
  <c r="BL1263" i="1"/>
  <c r="BL1262" i="1"/>
  <c r="BL1261" i="1"/>
  <c r="BL1260" i="1"/>
  <c r="BL1259" i="1"/>
  <c r="BL1258" i="1"/>
  <c r="BL1257" i="1"/>
  <c r="BL1256" i="1"/>
  <c r="BL1255" i="1"/>
  <c r="BL1254" i="1"/>
  <c r="BL1253" i="1"/>
  <c r="BL1252" i="1"/>
  <c r="BL1251" i="1"/>
  <c r="BL1250" i="1"/>
  <c r="BL1249" i="1"/>
  <c r="BL1248" i="1"/>
  <c r="BL1247" i="1"/>
  <c r="BL1246" i="1"/>
  <c r="BL1245" i="1"/>
  <c r="BL1244" i="1"/>
  <c r="BL1243" i="1"/>
  <c r="BL1242" i="1"/>
  <c r="BL1241" i="1"/>
  <c r="BL1240" i="1"/>
  <c r="BL1239" i="1"/>
  <c r="BL1238" i="1"/>
  <c r="BL1237" i="1"/>
  <c r="BL1236" i="1"/>
  <c r="BL1235" i="1"/>
  <c r="BL1234" i="1"/>
  <c r="BL1233" i="1"/>
  <c r="BL1232" i="1"/>
  <c r="BL1231" i="1"/>
  <c r="BL1230" i="1"/>
  <c r="BL1229" i="1"/>
  <c r="BL1228" i="1"/>
  <c r="BL1227" i="1"/>
  <c r="BL1226" i="1"/>
  <c r="BL1225" i="1"/>
  <c r="BL1224" i="1"/>
  <c r="BL1223" i="1"/>
  <c r="BL1222" i="1"/>
  <c r="BL1221" i="1"/>
  <c r="BL1220" i="1"/>
  <c r="BL1219" i="1"/>
  <c r="BL1218" i="1"/>
  <c r="BL1217" i="1"/>
  <c r="BL1216" i="1"/>
  <c r="BL1215" i="1"/>
  <c r="BL1214" i="1"/>
  <c r="BL1213" i="1"/>
  <c r="BL1212" i="1"/>
  <c r="BL1211" i="1"/>
  <c r="BL1210" i="1"/>
  <c r="BL1209" i="1"/>
  <c r="BL1208" i="1"/>
  <c r="BL1207" i="1"/>
  <c r="BL1206" i="1"/>
  <c r="BL1205" i="1"/>
  <c r="BL1204" i="1"/>
  <c r="BL1203" i="1"/>
  <c r="BL1202" i="1"/>
  <c r="BL1201" i="1"/>
  <c r="BL1200" i="1"/>
  <c r="BL1199" i="1"/>
  <c r="BL1198" i="1"/>
  <c r="BL1197" i="1"/>
  <c r="BL1196" i="1"/>
  <c r="BL1195" i="1"/>
  <c r="BL1194" i="1"/>
  <c r="BL1193" i="1"/>
  <c r="BL1192" i="1"/>
  <c r="BL1191" i="1"/>
  <c r="BL1190" i="1"/>
  <c r="BL1189" i="1"/>
  <c r="BL1188" i="1"/>
  <c r="BL1187" i="1"/>
  <c r="BL1186" i="1"/>
  <c r="BL1185" i="1"/>
  <c r="BL1184" i="1"/>
  <c r="BL1183" i="1"/>
  <c r="BL1182" i="1"/>
  <c r="BL1181" i="1"/>
  <c r="BL1180" i="1"/>
  <c r="BL1179" i="1"/>
  <c r="BL1178" i="1"/>
  <c r="BL1177" i="1"/>
  <c r="BL1176" i="1"/>
  <c r="BL1175" i="1"/>
  <c r="BL1174" i="1"/>
  <c r="BL1173" i="1"/>
  <c r="BL1172" i="1"/>
  <c r="BL1171" i="1"/>
  <c r="BL1170" i="1"/>
  <c r="BL1169" i="1"/>
  <c r="BL1168" i="1"/>
  <c r="BL1167" i="1"/>
  <c r="BL1166" i="1"/>
  <c r="BL1165" i="1"/>
  <c r="BL1164" i="1"/>
  <c r="BL1163" i="1"/>
  <c r="BL1162" i="1"/>
  <c r="BL1161" i="1"/>
  <c r="BL1160" i="1"/>
  <c r="BL1159" i="1"/>
  <c r="BL1158" i="1"/>
  <c r="BL1157" i="1"/>
  <c r="BL1156" i="1"/>
  <c r="BL1155" i="1"/>
  <c r="BL1154" i="1"/>
  <c r="BL1153" i="1"/>
  <c r="BL1152" i="1"/>
  <c r="BL1151" i="1"/>
  <c r="BL1150" i="1"/>
  <c r="BL1149" i="1"/>
  <c r="BL1148" i="1"/>
  <c r="BL1147" i="1"/>
  <c r="BL1146" i="1"/>
  <c r="BL1145" i="1"/>
  <c r="BL1144" i="1"/>
  <c r="BL1143" i="1"/>
  <c r="BL1142" i="1"/>
  <c r="BL1141" i="1"/>
  <c r="BL1140" i="1"/>
  <c r="BL1139" i="1"/>
  <c r="BL1138" i="1"/>
  <c r="BL1137" i="1"/>
  <c r="BL1136" i="1"/>
  <c r="BL1135" i="1"/>
  <c r="BL1134" i="1"/>
  <c r="BL1133" i="1"/>
  <c r="BL1132" i="1"/>
  <c r="BL1131" i="1"/>
  <c r="BL1130" i="1"/>
  <c r="BL1129" i="1"/>
  <c r="BL1128" i="1"/>
  <c r="BL1127" i="1"/>
  <c r="BL1126" i="1"/>
  <c r="BL1125" i="1"/>
  <c r="BL1124" i="1"/>
  <c r="BL1123" i="1"/>
  <c r="BL1122" i="1"/>
  <c r="BL1121" i="1"/>
  <c r="BL1120" i="1"/>
  <c r="BL1119" i="1"/>
  <c r="BL1118" i="1"/>
  <c r="BL1117" i="1"/>
  <c r="BL1116" i="1"/>
  <c r="BL1115" i="1"/>
  <c r="BL1114" i="1"/>
  <c r="BL1113" i="1"/>
  <c r="BL1112" i="1"/>
  <c r="BL1111" i="1"/>
  <c r="BL1110" i="1"/>
  <c r="BL1109" i="1"/>
  <c r="BL1108" i="1"/>
  <c r="BL1107" i="1"/>
  <c r="BL1106" i="1"/>
  <c r="BL1105" i="1"/>
  <c r="BL1104" i="1"/>
  <c r="BL1103" i="1"/>
  <c r="BL1102" i="1"/>
  <c r="BL1101" i="1"/>
  <c r="BL1100" i="1"/>
  <c r="BL1099" i="1"/>
  <c r="BL1098" i="1"/>
  <c r="BL1097" i="1"/>
  <c r="BL1096" i="1"/>
  <c r="BL1095" i="1"/>
  <c r="BL1094" i="1"/>
  <c r="BL1093" i="1"/>
  <c r="BL1092" i="1"/>
  <c r="BL1091" i="1"/>
  <c r="BL1090" i="1"/>
  <c r="BL1089" i="1"/>
  <c r="BL1088" i="1"/>
  <c r="BL1087" i="1"/>
  <c r="BL1086" i="1"/>
  <c r="BL1085" i="1"/>
  <c r="BL1084" i="1"/>
  <c r="BL1083" i="1"/>
  <c r="BL1082" i="1"/>
  <c r="BL1081" i="1"/>
  <c r="BL1080" i="1"/>
  <c r="BL1079" i="1"/>
  <c r="BL1078" i="1"/>
  <c r="BL1077" i="1"/>
  <c r="BL1076" i="1"/>
  <c r="BL1075" i="1"/>
  <c r="BL1074" i="1"/>
  <c r="BL1073" i="1"/>
  <c r="BL1072" i="1"/>
  <c r="BL1071" i="1"/>
  <c r="BL1070" i="1"/>
  <c r="BL1069" i="1"/>
  <c r="BL1068" i="1"/>
  <c r="BL1067" i="1"/>
  <c r="BL1066" i="1"/>
  <c r="BL1065" i="1"/>
  <c r="BL1064" i="1"/>
  <c r="BL1063" i="1"/>
  <c r="BL1062" i="1"/>
  <c r="BL1061" i="1"/>
  <c r="BL1060" i="1"/>
  <c r="BL1059" i="1"/>
  <c r="BL1058" i="1"/>
  <c r="BL1057" i="1"/>
  <c r="BL1056" i="1"/>
  <c r="BL1055" i="1"/>
  <c r="BL1054" i="1"/>
  <c r="BL1053" i="1"/>
  <c r="BL1052" i="1"/>
  <c r="BL1051" i="1"/>
  <c r="BL1050" i="1"/>
  <c r="BL1049" i="1"/>
  <c r="BL1048" i="1"/>
  <c r="BL1047" i="1"/>
  <c r="BL1046" i="1"/>
  <c r="BL1045" i="1"/>
  <c r="BL1044" i="1"/>
  <c r="BL1043" i="1"/>
  <c r="BL1042" i="1"/>
  <c r="BL1041" i="1"/>
  <c r="BL1040" i="1"/>
  <c r="BL1039" i="1"/>
  <c r="BL1038" i="1"/>
  <c r="BL1037" i="1"/>
  <c r="BL1036" i="1"/>
  <c r="BL1035" i="1"/>
  <c r="BL1034" i="1"/>
  <c r="BL1033" i="1"/>
  <c r="BL1032" i="1"/>
  <c r="BL1031" i="1"/>
  <c r="BL1030" i="1"/>
  <c r="BL1029" i="1"/>
  <c r="BL1028" i="1"/>
  <c r="BL1027" i="1"/>
  <c r="BL1026" i="1"/>
  <c r="BL1025" i="1"/>
  <c r="BL1024" i="1"/>
  <c r="BL1023" i="1"/>
  <c r="BL1022" i="1"/>
  <c r="BL1021" i="1"/>
  <c r="BL1020" i="1"/>
  <c r="BL1019" i="1"/>
  <c r="BL1018" i="1"/>
  <c r="BL1017" i="1"/>
  <c r="BL1016" i="1"/>
  <c r="BL1015" i="1"/>
  <c r="BL1014" i="1"/>
  <c r="BL1013" i="1"/>
  <c r="BL1012" i="1"/>
  <c r="BL1011" i="1"/>
  <c r="BL1010" i="1"/>
  <c r="BL1009" i="1"/>
  <c r="BL1008" i="1"/>
  <c r="BL1007" i="1"/>
  <c r="BL1006" i="1"/>
  <c r="BL1005" i="1"/>
  <c r="BL1004" i="1"/>
  <c r="BL1003" i="1"/>
  <c r="BL1002" i="1"/>
  <c r="BL1001" i="1"/>
  <c r="BL1000" i="1"/>
  <c r="BL999" i="1"/>
  <c r="BL998" i="1"/>
  <c r="BL997" i="1"/>
  <c r="BL996" i="1"/>
  <c r="BL995" i="1"/>
  <c r="BL994" i="1"/>
  <c r="BL993" i="1"/>
  <c r="BL992" i="1"/>
  <c r="BL991" i="1"/>
  <c r="BL990" i="1"/>
  <c r="BL989" i="1"/>
  <c r="BL988" i="1"/>
  <c r="BL987" i="1"/>
  <c r="BL986" i="1"/>
  <c r="BL985" i="1"/>
  <c r="BL984" i="1"/>
  <c r="BL983" i="1"/>
  <c r="BL982" i="1"/>
  <c r="BL981" i="1"/>
  <c r="BL980" i="1"/>
  <c r="BL979" i="1"/>
  <c r="BL978" i="1"/>
  <c r="BL977" i="1"/>
  <c r="BL976" i="1"/>
  <c r="BL975" i="1"/>
  <c r="BL974" i="1"/>
  <c r="BL973" i="1"/>
  <c r="BL972" i="1"/>
  <c r="BL971" i="1"/>
  <c r="BL970" i="1"/>
  <c r="BL969" i="1"/>
  <c r="BL968" i="1"/>
  <c r="BL967" i="1"/>
  <c r="BL966" i="1"/>
  <c r="BL965" i="1"/>
  <c r="BL964" i="1"/>
  <c r="BL963" i="1"/>
  <c r="BL962" i="1"/>
  <c r="BL961" i="1"/>
  <c r="BL960" i="1"/>
  <c r="BL959" i="1"/>
  <c r="BL958" i="1"/>
  <c r="BL957" i="1"/>
  <c r="BL956" i="1"/>
  <c r="BL955" i="1"/>
  <c r="BL954" i="1"/>
  <c r="BL953" i="1"/>
  <c r="BL952" i="1"/>
  <c r="BL951" i="1"/>
  <c r="BL950" i="1"/>
  <c r="BL949" i="1"/>
  <c r="BL948" i="1"/>
  <c r="BL947" i="1"/>
  <c r="BL946" i="1"/>
  <c r="BL945" i="1"/>
  <c r="BL944" i="1"/>
  <c r="BL943" i="1"/>
  <c r="BL942" i="1"/>
  <c r="BL941" i="1"/>
  <c r="BL940" i="1"/>
  <c r="BL939" i="1"/>
  <c r="BL938" i="1"/>
  <c r="BL937" i="1"/>
  <c r="BL936" i="1"/>
  <c r="BL935" i="1"/>
  <c r="BL934" i="1"/>
  <c r="BL933" i="1"/>
  <c r="BL932" i="1"/>
  <c r="BL931" i="1"/>
  <c r="BL930" i="1"/>
  <c r="BL929" i="1"/>
  <c r="BL928" i="1"/>
  <c r="BL927" i="1"/>
  <c r="BL926" i="1"/>
  <c r="BL925" i="1"/>
  <c r="BL924" i="1"/>
  <c r="BL923" i="1"/>
  <c r="BL922" i="1"/>
  <c r="BL921" i="1"/>
  <c r="BL920" i="1"/>
  <c r="BL919" i="1"/>
  <c r="BL918" i="1"/>
  <c r="BL917" i="1"/>
  <c r="BL916" i="1"/>
  <c r="BL915" i="1"/>
  <c r="BL914" i="1"/>
  <c r="BL913" i="1"/>
  <c r="BL912" i="1"/>
  <c r="BL911" i="1"/>
  <c r="BL910" i="1"/>
  <c r="BL909" i="1"/>
  <c r="BL908" i="1"/>
  <c r="BL907" i="1"/>
  <c r="BL906" i="1"/>
  <c r="BL905" i="1"/>
  <c r="BL904" i="1"/>
  <c r="BL903" i="1"/>
  <c r="BL902" i="1"/>
  <c r="BL901" i="1"/>
  <c r="BL900" i="1"/>
  <c r="BL899" i="1"/>
  <c r="BL898" i="1"/>
  <c r="BL897" i="1"/>
  <c r="BL896" i="1"/>
  <c r="BL895" i="1"/>
  <c r="BL894" i="1"/>
  <c r="BL893" i="1"/>
  <c r="BL892" i="1"/>
  <c r="BL891" i="1"/>
  <c r="BL890" i="1"/>
  <c r="BL889" i="1"/>
  <c r="BL888" i="1"/>
  <c r="BL887" i="1"/>
  <c r="BL886" i="1"/>
  <c r="BL885" i="1"/>
  <c r="BL884" i="1"/>
  <c r="BL883" i="1"/>
  <c r="BL882" i="1"/>
  <c r="BL881" i="1"/>
  <c r="BL880" i="1"/>
  <c r="BL879" i="1"/>
  <c r="BL878" i="1"/>
  <c r="BL877" i="1"/>
  <c r="BL876" i="1"/>
  <c r="BL875" i="1"/>
  <c r="BL874" i="1"/>
  <c r="BL873" i="1"/>
  <c r="BL872" i="1"/>
  <c r="BL871" i="1"/>
  <c r="BL870" i="1"/>
  <c r="BL869" i="1"/>
  <c r="BL868" i="1"/>
  <c r="BL867" i="1"/>
  <c r="BL866" i="1"/>
  <c r="BL865" i="1"/>
  <c r="BL864" i="1"/>
  <c r="BL863" i="1"/>
  <c r="BL862" i="1"/>
  <c r="BL861" i="1"/>
  <c r="BL860" i="1"/>
  <c r="BL859" i="1"/>
  <c r="BL858" i="1"/>
  <c r="BL857" i="1"/>
  <c r="BL856" i="1"/>
  <c r="BL855" i="1"/>
  <c r="BL854" i="1"/>
  <c r="BL853" i="1"/>
  <c r="BL852" i="1"/>
  <c r="BL851" i="1"/>
  <c r="BL850" i="1"/>
  <c r="BL849" i="1"/>
  <c r="BL848" i="1"/>
  <c r="BL847" i="1"/>
  <c r="BL846" i="1"/>
  <c r="BL845" i="1"/>
  <c r="BL844" i="1"/>
  <c r="BL843" i="1"/>
  <c r="BL842" i="1"/>
  <c r="BL841" i="1"/>
  <c r="BL840" i="1"/>
  <c r="BL839" i="1"/>
  <c r="BL838" i="1"/>
  <c r="BL837" i="1"/>
  <c r="BL836" i="1"/>
  <c r="BL835" i="1"/>
  <c r="BL834" i="1"/>
  <c r="BL833" i="1"/>
  <c r="BL832" i="1"/>
  <c r="BL831" i="1"/>
  <c r="BL830" i="1"/>
  <c r="BL829" i="1"/>
  <c r="BL828" i="1"/>
  <c r="BL827" i="1"/>
  <c r="BL826" i="1"/>
  <c r="BL825" i="1"/>
  <c r="BL824" i="1"/>
  <c r="BL823" i="1"/>
  <c r="BL822" i="1"/>
  <c r="BL821" i="1"/>
  <c r="BL820" i="1"/>
  <c r="BL819" i="1"/>
  <c r="BL818" i="1"/>
  <c r="BL817" i="1"/>
  <c r="BL816" i="1"/>
  <c r="BL815" i="1"/>
  <c r="BL814" i="1"/>
  <c r="BL813" i="1"/>
  <c r="BL812" i="1"/>
  <c r="BL811" i="1"/>
  <c r="BL810" i="1"/>
  <c r="BL809" i="1"/>
  <c r="BL808" i="1"/>
  <c r="BL807" i="1"/>
  <c r="BL806" i="1"/>
  <c r="BL805" i="1"/>
  <c r="BL804" i="1"/>
  <c r="BL803" i="1"/>
  <c r="BL802" i="1"/>
  <c r="BL801" i="1"/>
  <c r="BL800" i="1"/>
  <c r="BL799" i="1"/>
  <c r="BL798" i="1"/>
  <c r="BL797" i="1"/>
  <c r="BL796" i="1"/>
  <c r="BL795" i="1"/>
  <c r="BL794" i="1"/>
  <c r="BL793" i="1"/>
  <c r="BL792" i="1"/>
  <c r="BL791" i="1"/>
  <c r="BL790" i="1"/>
  <c r="BL789" i="1"/>
  <c r="BL788" i="1"/>
  <c r="BL787" i="1"/>
  <c r="BL786" i="1"/>
  <c r="BL785" i="1"/>
  <c r="BL784" i="1"/>
  <c r="BL783" i="1"/>
  <c r="BL782" i="1"/>
  <c r="BL781" i="1"/>
  <c r="BL780" i="1"/>
  <c r="BL779" i="1"/>
  <c r="BL778" i="1"/>
  <c r="BL777" i="1"/>
  <c r="BL776" i="1"/>
  <c r="BL775" i="1"/>
  <c r="BL774" i="1"/>
  <c r="BL773" i="1"/>
  <c r="BL772" i="1"/>
  <c r="BL771" i="1"/>
  <c r="BL770" i="1"/>
  <c r="BL769" i="1"/>
  <c r="BL768" i="1"/>
  <c r="BL767" i="1"/>
  <c r="BL766" i="1"/>
  <c r="BL765" i="1"/>
  <c r="BL764" i="1"/>
  <c r="BL763" i="1"/>
  <c r="BL762" i="1"/>
  <c r="BL761" i="1"/>
  <c r="BL760" i="1"/>
  <c r="BL759" i="1"/>
  <c r="BL758" i="1"/>
  <c r="BL757" i="1"/>
  <c r="BL756" i="1"/>
  <c r="BL755" i="1"/>
  <c r="BL754" i="1"/>
  <c r="BL753" i="1"/>
  <c r="BL752" i="1"/>
  <c r="BL751" i="1"/>
  <c r="BL750" i="1"/>
  <c r="BL749" i="1"/>
  <c r="BL748" i="1"/>
  <c r="BL747" i="1"/>
  <c r="BL746" i="1"/>
  <c r="BL745" i="1"/>
  <c r="BL744" i="1"/>
  <c r="BL743" i="1"/>
  <c r="BL742" i="1"/>
  <c r="BL741" i="1"/>
  <c r="BL740" i="1"/>
  <c r="BL739" i="1"/>
  <c r="BL738" i="1"/>
  <c r="BL737" i="1"/>
  <c r="BL736" i="1"/>
  <c r="BL735" i="1"/>
  <c r="BL734" i="1"/>
  <c r="BL733" i="1"/>
  <c r="BL732" i="1"/>
  <c r="BL731" i="1"/>
  <c r="BL730" i="1"/>
  <c r="BL729" i="1"/>
  <c r="BL728" i="1"/>
  <c r="BL727" i="1"/>
  <c r="BL726" i="1"/>
  <c r="BL725" i="1"/>
  <c r="BL724" i="1"/>
  <c r="BL723" i="1"/>
  <c r="BL722" i="1"/>
  <c r="BL721" i="1"/>
  <c r="BL720" i="1"/>
  <c r="BL719" i="1"/>
  <c r="BL718" i="1"/>
  <c r="BL717" i="1"/>
  <c r="BL716" i="1"/>
  <c r="BL715" i="1"/>
  <c r="BL714" i="1"/>
  <c r="BL713" i="1"/>
  <c r="BL712" i="1"/>
  <c r="BL711" i="1"/>
  <c r="BL710" i="1"/>
  <c r="BL709" i="1"/>
  <c r="BL708" i="1"/>
  <c r="BL707" i="1"/>
  <c r="BL706" i="1"/>
  <c r="BL705" i="1"/>
  <c r="BL704" i="1"/>
  <c r="BL703" i="1"/>
  <c r="BL702" i="1"/>
  <c r="BL701" i="1"/>
  <c r="BL700" i="1"/>
  <c r="BL699" i="1"/>
  <c r="BL698" i="1"/>
  <c r="BL697" i="1"/>
  <c r="BL696" i="1"/>
  <c r="BL695" i="1"/>
  <c r="BL694" i="1"/>
  <c r="BL693" i="1"/>
  <c r="BL692" i="1"/>
  <c r="BL691" i="1"/>
  <c r="BL690" i="1"/>
  <c r="BL689" i="1"/>
  <c r="BL688" i="1"/>
  <c r="BL687" i="1"/>
  <c r="BL686" i="1"/>
  <c r="BL685" i="1"/>
  <c r="BL684" i="1"/>
  <c r="BL683" i="1"/>
  <c r="BL682" i="1"/>
  <c r="BL681" i="1"/>
  <c r="BL680" i="1"/>
  <c r="BL679" i="1"/>
  <c r="BL678" i="1"/>
  <c r="BL677" i="1"/>
  <c r="BL676" i="1"/>
  <c r="BL675" i="1"/>
  <c r="BL674" i="1"/>
  <c r="BL673" i="1"/>
  <c r="BL672" i="1"/>
  <c r="BL671" i="1"/>
  <c r="BL670" i="1"/>
  <c r="BL669" i="1"/>
  <c r="BL668" i="1"/>
  <c r="BL667" i="1"/>
  <c r="BL666" i="1"/>
  <c r="BL665" i="1"/>
  <c r="BL664" i="1"/>
  <c r="BL663" i="1"/>
  <c r="BL662" i="1"/>
  <c r="BL661" i="1"/>
  <c r="BL660" i="1"/>
  <c r="BL659" i="1"/>
  <c r="BL658" i="1"/>
  <c r="BL657" i="1"/>
  <c r="BL656" i="1"/>
  <c r="BL655" i="1"/>
  <c r="BL654" i="1"/>
  <c r="BL653" i="1"/>
  <c r="BL652" i="1"/>
  <c r="BL651" i="1"/>
  <c r="BL650" i="1"/>
  <c r="BL649" i="1"/>
  <c r="BL648" i="1"/>
  <c r="BL647" i="1"/>
  <c r="BL646" i="1"/>
  <c r="BL645" i="1"/>
  <c r="BL644" i="1"/>
  <c r="BL643" i="1"/>
  <c r="BL642" i="1"/>
  <c r="BL641" i="1"/>
  <c r="BL640" i="1"/>
  <c r="BL639" i="1"/>
  <c r="BL638" i="1"/>
  <c r="BL637" i="1"/>
  <c r="BL636" i="1"/>
  <c r="BL635" i="1"/>
  <c r="BL634" i="1"/>
  <c r="BL633" i="1"/>
  <c r="BL632" i="1"/>
  <c r="BL631" i="1"/>
  <c r="BL630" i="1"/>
  <c r="BL629" i="1"/>
  <c r="BL628" i="1"/>
  <c r="BL627" i="1"/>
  <c r="BL626" i="1"/>
  <c r="BL625" i="1"/>
  <c r="BL624" i="1"/>
  <c r="BL623" i="1"/>
  <c r="BL622" i="1"/>
  <c r="BL621" i="1"/>
  <c r="BL620" i="1"/>
  <c r="BL619" i="1"/>
  <c r="BL618" i="1"/>
  <c r="BL617" i="1"/>
  <c r="BL616" i="1"/>
  <c r="BL615" i="1"/>
  <c r="BL614" i="1"/>
  <c r="BL613" i="1"/>
  <c r="BL612" i="1"/>
  <c r="BL611" i="1"/>
  <c r="BL610" i="1"/>
  <c r="BL609" i="1"/>
  <c r="BL608" i="1"/>
  <c r="BL607" i="1"/>
  <c r="BL606" i="1"/>
  <c r="BL605" i="1"/>
  <c r="BL604" i="1"/>
  <c r="BL603" i="1"/>
  <c r="BL602" i="1"/>
  <c r="BL601" i="1"/>
  <c r="BL600" i="1"/>
  <c r="BL599" i="1"/>
  <c r="BL598" i="1"/>
  <c r="BL597" i="1"/>
  <c r="BL596" i="1"/>
  <c r="BL595" i="1"/>
  <c r="BL594" i="1"/>
  <c r="BL593" i="1"/>
  <c r="BL592" i="1"/>
  <c r="BL591" i="1"/>
  <c r="BL590" i="1"/>
  <c r="BL589" i="1"/>
  <c r="BL588" i="1"/>
  <c r="BL587" i="1"/>
  <c r="BL586" i="1"/>
  <c r="BL585" i="1"/>
  <c r="BL584" i="1"/>
  <c r="BL583" i="1"/>
  <c r="BL582" i="1"/>
  <c r="BL581" i="1"/>
  <c r="BL580" i="1"/>
  <c r="BL579" i="1"/>
  <c r="BL578" i="1"/>
  <c r="BL577" i="1"/>
  <c r="BL576" i="1"/>
  <c r="BL575" i="1"/>
  <c r="BL574" i="1"/>
  <c r="BL573" i="1"/>
  <c r="BL572" i="1"/>
  <c r="BL571" i="1"/>
  <c r="BL570" i="1"/>
  <c r="BL569" i="1"/>
  <c r="BL568" i="1"/>
  <c r="BL567" i="1"/>
  <c r="BL566" i="1"/>
  <c r="BL565" i="1"/>
  <c r="BL564" i="1"/>
  <c r="BL563" i="1"/>
  <c r="BL562" i="1"/>
  <c r="BL561" i="1"/>
  <c r="BL560" i="1"/>
  <c r="BL559" i="1"/>
  <c r="BL558" i="1"/>
  <c r="BL557" i="1"/>
  <c r="BL556" i="1"/>
  <c r="BL555" i="1"/>
  <c r="BL554" i="1"/>
  <c r="BL553" i="1"/>
  <c r="BL552" i="1"/>
  <c r="BL551" i="1"/>
  <c r="BL550" i="1"/>
  <c r="BL549" i="1"/>
  <c r="BL548" i="1"/>
  <c r="BL547" i="1"/>
  <c r="BL546" i="1"/>
  <c r="BL545" i="1"/>
  <c r="BL544" i="1"/>
  <c r="BL543" i="1"/>
  <c r="BL542" i="1"/>
  <c r="BL541" i="1"/>
  <c r="BL540" i="1"/>
  <c r="BL539" i="1"/>
  <c r="BL538" i="1"/>
  <c r="BL537" i="1"/>
  <c r="BL536" i="1"/>
  <c r="BL535" i="1"/>
  <c r="BL534" i="1"/>
  <c r="BL533" i="1"/>
  <c r="BL532" i="1"/>
  <c r="BL531" i="1"/>
  <c r="BL530" i="1"/>
  <c r="BL529" i="1"/>
  <c r="BL528" i="1"/>
  <c r="BL527" i="1"/>
  <c r="BL526" i="1"/>
  <c r="BL525" i="1"/>
  <c r="BL524" i="1"/>
  <c r="BL523" i="1"/>
  <c r="BL522" i="1"/>
  <c r="BL521" i="1"/>
  <c r="BL520" i="1"/>
  <c r="BL519" i="1"/>
  <c r="BL518" i="1"/>
  <c r="BL517" i="1"/>
  <c r="BL516" i="1"/>
  <c r="BL515" i="1"/>
  <c r="BL514" i="1"/>
  <c r="BL513" i="1"/>
  <c r="BL512" i="1"/>
  <c r="BL511" i="1"/>
  <c r="BL510" i="1"/>
  <c r="BL509" i="1"/>
  <c r="BL508" i="1"/>
  <c r="BL507" i="1"/>
  <c r="BL506" i="1"/>
  <c r="BL505" i="1"/>
  <c r="BL504" i="1"/>
  <c r="BL503" i="1"/>
  <c r="BL502" i="1"/>
  <c r="BL501" i="1"/>
  <c r="BL500" i="1"/>
  <c r="BL499" i="1"/>
  <c r="BL498" i="1"/>
  <c r="BL497" i="1"/>
  <c r="BL496" i="1"/>
  <c r="BL495" i="1"/>
  <c r="BL494" i="1"/>
  <c r="BL493" i="1"/>
  <c r="BL492" i="1"/>
  <c r="BL491" i="1"/>
  <c r="BL490" i="1"/>
  <c r="BL489" i="1"/>
  <c r="BL488" i="1"/>
  <c r="BL487" i="1"/>
  <c r="BL486" i="1"/>
  <c r="BL485" i="1"/>
  <c r="BL484" i="1"/>
  <c r="BL483" i="1"/>
  <c r="BL482" i="1"/>
  <c r="BL481" i="1"/>
  <c r="BL480" i="1"/>
  <c r="BL479" i="1"/>
  <c r="BL478" i="1"/>
  <c r="BL477" i="1"/>
  <c r="BL476" i="1"/>
  <c r="BL475" i="1"/>
  <c r="BL474" i="1"/>
  <c r="BL473" i="1"/>
  <c r="BL472" i="1"/>
  <c r="BL471" i="1"/>
  <c r="BL470" i="1"/>
  <c r="BL469" i="1"/>
  <c r="BL468" i="1"/>
  <c r="BL467" i="1"/>
  <c r="BL466" i="1"/>
  <c r="BL465" i="1"/>
  <c r="BL464" i="1"/>
  <c r="BL463" i="1"/>
  <c r="BL462" i="1"/>
  <c r="BL461" i="1"/>
  <c r="BL460" i="1"/>
  <c r="BL459" i="1"/>
  <c r="BL458" i="1"/>
  <c r="BL457" i="1"/>
  <c r="BL456" i="1"/>
  <c r="BL455" i="1"/>
  <c r="BL454" i="1"/>
  <c r="BL453" i="1"/>
  <c r="BL452" i="1"/>
  <c r="BL451" i="1"/>
  <c r="BL450" i="1"/>
  <c r="BL449" i="1"/>
  <c r="BL448" i="1"/>
  <c r="BL447" i="1"/>
  <c r="BL446" i="1"/>
  <c r="BL445" i="1"/>
  <c r="BL444" i="1"/>
  <c r="BL443" i="1"/>
  <c r="BL442" i="1"/>
  <c r="BL441" i="1"/>
  <c r="BL440" i="1"/>
  <c r="BL439" i="1"/>
  <c r="BL438" i="1"/>
  <c r="BL437" i="1"/>
  <c r="BL436" i="1"/>
  <c r="BL435" i="1"/>
  <c r="BL434" i="1"/>
  <c r="BL433" i="1"/>
  <c r="BL432" i="1"/>
  <c r="BL431" i="1"/>
  <c r="BL430" i="1"/>
  <c r="BL429" i="1"/>
  <c r="BL428" i="1"/>
  <c r="BL427" i="1"/>
  <c r="BL426" i="1"/>
  <c r="BL425" i="1"/>
  <c r="BL424" i="1"/>
  <c r="BL423" i="1"/>
  <c r="BL422" i="1"/>
  <c r="BL421" i="1"/>
  <c r="BL420" i="1"/>
  <c r="BL419" i="1"/>
  <c r="BL418" i="1"/>
  <c r="BL417" i="1"/>
  <c r="BL416" i="1"/>
  <c r="BL415" i="1"/>
  <c r="BL414" i="1"/>
  <c r="BL413" i="1"/>
  <c r="BL412" i="1"/>
  <c r="BL411" i="1"/>
  <c r="BL410" i="1"/>
  <c r="BL409" i="1"/>
  <c r="BL408" i="1"/>
  <c r="BL407" i="1"/>
  <c r="BL406" i="1"/>
  <c r="BL405" i="1"/>
  <c r="BL404" i="1"/>
  <c r="BL403" i="1"/>
  <c r="BL402" i="1"/>
  <c r="BL401" i="1"/>
  <c r="BL400" i="1"/>
  <c r="BL399" i="1"/>
  <c r="BL398" i="1"/>
  <c r="BL397" i="1"/>
  <c r="BL396" i="1"/>
  <c r="BL395" i="1"/>
  <c r="BL394" i="1"/>
  <c r="BL393" i="1"/>
  <c r="BL392" i="1"/>
  <c r="BL391" i="1"/>
  <c r="BL390" i="1"/>
  <c r="BL389" i="1"/>
  <c r="BL388" i="1"/>
  <c r="BL387" i="1"/>
  <c r="BL386" i="1"/>
  <c r="BL385" i="1"/>
  <c r="BL384" i="1"/>
  <c r="BL383" i="1"/>
  <c r="BL382" i="1"/>
  <c r="BL381" i="1"/>
  <c r="BL380" i="1"/>
  <c r="BL379" i="1"/>
  <c r="BL378" i="1"/>
  <c r="BL377" i="1"/>
  <c r="BL376" i="1"/>
  <c r="BL375" i="1"/>
  <c r="BL374" i="1"/>
  <c r="BL373" i="1"/>
  <c r="BL372" i="1"/>
  <c r="BL371" i="1"/>
  <c r="BL370" i="1"/>
  <c r="BL369" i="1"/>
  <c r="BL368" i="1"/>
  <c r="BL367" i="1"/>
  <c r="BL366" i="1"/>
  <c r="BL365" i="1"/>
  <c r="BL364" i="1"/>
  <c r="BL363" i="1"/>
  <c r="BL362" i="1"/>
  <c r="BL361" i="1"/>
  <c r="BL360" i="1"/>
  <c r="BL359" i="1"/>
  <c r="BL358" i="1"/>
  <c r="BL357" i="1"/>
  <c r="BL356" i="1"/>
  <c r="BL355" i="1"/>
  <c r="BL354" i="1"/>
  <c r="BL353" i="1"/>
  <c r="BL352" i="1"/>
  <c r="BL351" i="1"/>
  <c r="BL350" i="1"/>
  <c r="BL349" i="1"/>
  <c r="BL348" i="1"/>
  <c r="BL347" i="1"/>
  <c r="BL346" i="1"/>
  <c r="BL345" i="1"/>
  <c r="BL344" i="1"/>
  <c r="BL343" i="1"/>
  <c r="BL342" i="1"/>
  <c r="BL341" i="1"/>
  <c r="BL340" i="1"/>
  <c r="BL339" i="1"/>
  <c r="BL338" i="1"/>
  <c r="BL337" i="1"/>
  <c r="BL336" i="1"/>
  <c r="BL335" i="1"/>
  <c r="BL334" i="1"/>
  <c r="BL333" i="1"/>
  <c r="BL332" i="1"/>
  <c r="BL331" i="1"/>
  <c r="BL330" i="1"/>
  <c r="BL329" i="1"/>
  <c r="BL328" i="1"/>
  <c r="BL327" i="1"/>
  <c r="BL326" i="1"/>
  <c r="BL325" i="1"/>
  <c r="BL324" i="1"/>
  <c r="BL323" i="1"/>
  <c r="BL322" i="1"/>
  <c r="BL321" i="1"/>
  <c r="BL320" i="1"/>
  <c r="BL319" i="1"/>
  <c r="BL318" i="1"/>
  <c r="BL317" i="1"/>
  <c r="BL316" i="1"/>
  <c r="BL315" i="1"/>
  <c r="BL314" i="1"/>
  <c r="BL313" i="1"/>
  <c r="BL312" i="1"/>
  <c r="BL311" i="1"/>
  <c r="BL310" i="1"/>
  <c r="BL309" i="1"/>
  <c r="BL308" i="1"/>
  <c r="BL307" i="1"/>
  <c r="BL306" i="1"/>
  <c r="BL305" i="1"/>
  <c r="BL304" i="1"/>
  <c r="BL303" i="1"/>
  <c r="BL302" i="1"/>
  <c r="BL301" i="1"/>
  <c r="BL300" i="1"/>
  <c r="BL299" i="1"/>
  <c r="BL298" i="1"/>
  <c r="BL297" i="1"/>
  <c r="BL296" i="1"/>
  <c r="BL295" i="1"/>
  <c r="BL294" i="1"/>
  <c r="BL293" i="1"/>
  <c r="BL292" i="1"/>
  <c r="BL291" i="1"/>
  <c r="BL290" i="1"/>
  <c r="BL289" i="1"/>
  <c r="BL288" i="1"/>
  <c r="BL287" i="1"/>
  <c r="BL286" i="1"/>
  <c r="BL285" i="1"/>
  <c r="BL284" i="1"/>
  <c r="BL283" i="1"/>
  <c r="BL282" i="1"/>
  <c r="BL281" i="1"/>
  <c r="BL280" i="1"/>
  <c r="BL279" i="1"/>
  <c r="BL278" i="1"/>
  <c r="BL277" i="1"/>
  <c r="BL276" i="1"/>
  <c r="BL275" i="1"/>
  <c r="BL274" i="1"/>
  <c r="BL273" i="1"/>
  <c r="BL272" i="1"/>
  <c r="BL271" i="1"/>
  <c r="BL270" i="1"/>
  <c r="BL269" i="1"/>
  <c r="BL268" i="1"/>
  <c r="BL267" i="1"/>
  <c r="BL266" i="1"/>
  <c r="BL265" i="1"/>
  <c r="BL264" i="1"/>
  <c r="BL263" i="1"/>
  <c r="BL262" i="1"/>
  <c r="BL261" i="1"/>
  <c r="BL260" i="1"/>
  <c r="BL259" i="1"/>
  <c r="BL258" i="1"/>
  <c r="BL257" i="1"/>
  <c r="BL256" i="1"/>
  <c r="BL255" i="1"/>
  <c r="BL254" i="1"/>
  <c r="BL253" i="1"/>
  <c r="BL252" i="1"/>
  <c r="BL251" i="1"/>
  <c r="BL250" i="1"/>
  <c r="BL247" i="1"/>
  <c r="BL244" i="1"/>
  <c r="BK243" i="1"/>
  <c r="BJ243" i="1"/>
  <c r="BJ122" i="1"/>
  <c r="BI243" i="1"/>
  <c r="BH243" i="1"/>
  <c r="BH122" i="1"/>
  <c r="BF243" i="1"/>
  <c r="BL240" i="1"/>
  <c r="BL239" i="1"/>
  <c r="BL238" i="1"/>
  <c r="BL237" i="1"/>
  <c r="BL236" i="1"/>
  <c r="BL235" i="1"/>
  <c r="BL234" i="1"/>
  <c r="BL233" i="1"/>
  <c r="BL232" i="1"/>
  <c r="BL231" i="1"/>
  <c r="BL230" i="1"/>
  <c r="BL229" i="1"/>
  <c r="BL228" i="1"/>
  <c r="BL227" i="1"/>
  <c r="BL226" i="1"/>
  <c r="BL225" i="1"/>
  <c r="BL224" i="1"/>
  <c r="BL223" i="1"/>
  <c r="BL222" i="1"/>
  <c r="BL221" i="1"/>
  <c r="BL220" i="1"/>
  <c r="BL219" i="1"/>
  <c r="BL218" i="1"/>
  <c r="BL217" i="1"/>
  <c r="BL216" i="1"/>
  <c r="BL215" i="1"/>
  <c r="BL214" i="1"/>
  <c r="BL213" i="1"/>
  <c r="BL212" i="1"/>
  <c r="BL211" i="1"/>
  <c r="BL210" i="1"/>
  <c r="BL209" i="1"/>
  <c r="BL208" i="1"/>
  <c r="BL207" i="1"/>
  <c r="BL206" i="1"/>
  <c r="BL205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2" i="1"/>
  <c r="BL191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5" i="1"/>
  <c r="BL174" i="1"/>
  <c r="BL173" i="1"/>
  <c r="BL172" i="1"/>
  <c r="BL171" i="1"/>
  <c r="BL170" i="1"/>
  <c r="BL169" i="1"/>
  <c r="BL168" i="1"/>
  <c r="BL167" i="1"/>
  <c r="BL166" i="1"/>
  <c r="BL165" i="1"/>
  <c r="BL164" i="1"/>
  <c r="BL163" i="1"/>
  <c r="BL162" i="1"/>
  <c r="BL161" i="1"/>
  <c r="BL160" i="1"/>
  <c r="BL159" i="1"/>
  <c r="BL158" i="1"/>
  <c r="BL157" i="1"/>
  <c r="BL156" i="1"/>
  <c r="BL155" i="1"/>
  <c r="BL154" i="1"/>
  <c r="BL153" i="1"/>
  <c r="BF122" i="1"/>
  <c r="BL151" i="1"/>
  <c r="BL150" i="1"/>
  <c r="BL149" i="1"/>
  <c r="BL148" i="1"/>
  <c r="BL147" i="1"/>
  <c r="BL146" i="1"/>
  <c r="BL145" i="1"/>
  <c r="BL144" i="1"/>
  <c r="BL143" i="1"/>
  <c r="BL142" i="1"/>
  <c r="BL141" i="1"/>
  <c r="BL140" i="1"/>
  <c r="BL139" i="1"/>
  <c r="BL138" i="1"/>
  <c r="BL137" i="1"/>
  <c r="BL136" i="1"/>
  <c r="BL135" i="1"/>
  <c r="BL134" i="1"/>
  <c r="BL133" i="1"/>
  <c r="BL132" i="1"/>
  <c r="BL131" i="1"/>
  <c r="BL130" i="1"/>
  <c r="BL129" i="1"/>
  <c r="BL128" i="1"/>
  <c r="BL127" i="1"/>
  <c r="BL126" i="1"/>
  <c r="BL125" i="1"/>
  <c r="BL124" i="1"/>
  <c r="BL123" i="1"/>
  <c r="BK122" i="1"/>
  <c r="BK121" i="1"/>
  <c r="BI122" i="1"/>
  <c r="BI121" i="1" s="1"/>
  <c r="BL120" i="1"/>
  <c r="BL119" i="1"/>
  <c r="BL118" i="1"/>
  <c r="BL117" i="1"/>
  <c r="BL116" i="1"/>
  <c r="BL115" i="1"/>
  <c r="BL114" i="1"/>
  <c r="BL113" i="1"/>
  <c r="BL112" i="1"/>
  <c r="BL111" i="1"/>
  <c r="BL110" i="1"/>
  <c r="BL109" i="1"/>
  <c r="BL108" i="1"/>
  <c r="BL107" i="1"/>
  <c r="BK106" i="1"/>
  <c r="BJ106" i="1"/>
  <c r="BI106" i="1"/>
  <c r="BH106" i="1"/>
  <c r="BG106" i="1"/>
  <c r="BF106" i="1"/>
  <c r="BL104" i="1"/>
  <c r="BL103" i="1"/>
  <c r="BL102" i="1"/>
  <c r="BL101" i="1"/>
  <c r="BL100" i="1"/>
  <c r="BL99" i="1"/>
  <c r="BL98" i="1"/>
  <c r="BL97" i="1"/>
  <c r="BL96" i="1"/>
  <c r="BK95" i="1"/>
  <c r="BJ95" i="1"/>
  <c r="BI95" i="1"/>
  <c r="BH95" i="1"/>
  <c r="BG95" i="1"/>
  <c r="BF95" i="1"/>
  <c r="BG91" i="1"/>
  <c r="BH91" i="1"/>
  <c r="BK91" i="1"/>
  <c r="BJ91" i="1"/>
  <c r="BI91" i="1"/>
  <c r="BF91" i="1"/>
  <c r="BL90" i="1"/>
  <c r="BK90" i="1"/>
  <c r="BJ90" i="1"/>
  <c r="BI90" i="1"/>
  <c r="BH90" i="1"/>
  <c r="BG90" i="1"/>
  <c r="BF90" i="1"/>
  <c r="BL89" i="1"/>
  <c r="BK89" i="1"/>
  <c r="BJ89" i="1"/>
  <c r="BI89" i="1"/>
  <c r="BH89" i="1"/>
  <c r="BG89" i="1"/>
  <c r="BF89" i="1"/>
  <c r="BL88" i="1"/>
  <c r="BL87" i="1"/>
  <c r="BL86" i="1"/>
  <c r="BL85" i="1"/>
  <c r="BL84" i="1"/>
  <c r="BJ83" i="1"/>
  <c r="BI83" i="1"/>
  <c r="BH83" i="1"/>
  <c r="BG83" i="1"/>
  <c r="BF83" i="1"/>
  <c r="BL82" i="1"/>
  <c r="BL81" i="1"/>
  <c r="BL80" i="1"/>
  <c r="BL79" i="1"/>
  <c r="BK78" i="1"/>
  <c r="BJ78" i="1"/>
  <c r="BI78" i="1"/>
  <c r="BH78" i="1"/>
  <c r="BG78" i="1"/>
  <c r="BF78" i="1"/>
  <c r="BL71" i="1"/>
  <c r="BL70" i="1"/>
  <c r="BL69" i="1"/>
  <c r="BI50" i="1"/>
  <c r="BL67" i="1"/>
  <c r="BL66" i="1"/>
  <c r="BL65" i="1"/>
  <c r="BL64" i="1"/>
  <c r="BH50" i="1"/>
  <c r="BL63" i="1"/>
  <c r="BL54" i="1"/>
  <c r="BL53" i="1"/>
  <c r="BL52" i="1"/>
  <c r="BK50" i="1"/>
  <c r="BJ50" i="1"/>
  <c r="BF50" i="1"/>
  <c r="BL47" i="1"/>
  <c r="BL46" i="1"/>
  <c r="BL45" i="1"/>
  <c r="BL44" i="1"/>
  <c r="BL43" i="1"/>
  <c r="BL42" i="1"/>
  <c r="BK41" i="1"/>
  <c r="BJ41" i="1"/>
  <c r="BI41" i="1"/>
  <c r="BH41" i="1"/>
  <c r="BG41" i="1"/>
  <c r="BF41" i="1"/>
  <c r="BL40" i="1"/>
  <c r="BL39" i="1"/>
  <c r="BL38" i="1"/>
  <c r="BK37" i="1"/>
  <c r="BJ37" i="1"/>
  <c r="BI37" i="1"/>
  <c r="BH37" i="1"/>
  <c r="BG37" i="1"/>
  <c r="BF37" i="1"/>
  <c r="BL33" i="1"/>
  <c r="BL32" i="1"/>
  <c r="BJ30" i="1"/>
  <c r="BI30" i="1"/>
  <c r="BH30" i="1"/>
  <c r="BG30" i="1"/>
  <c r="BF30" i="1"/>
  <c r="BL29" i="1"/>
  <c r="BL28" i="1"/>
  <c r="BK27" i="1"/>
  <c r="BJ27" i="1"/>
  <c r="BJ18" i="1" s="1"/>
  <c r="BJ17" i="1" s="1"/>
  <c r="BI27" i="1"/>
  <c r="BI18" i="1" s="1"/>
  <c r="BI17" i="1" s="1"/>
  <c r="BI16" i="1" s="1"/>
  <c r="BH27" i="1"/>
  <c r="BH18" i="1" s="1"/>
  <c r="BH17" i="1" s="1"/>
  <c r="BG27" i="1"/>
  <c r="BG18" i="1" s="1"/>
  <c r="BG17" i="1" s="1"/>
  <c r="BF27" i="1"/>
  <c r="BF18" i="1" s="1"/>
  <c r="BF17" i="1" s="1"/>
  <c r="BL36" i="1"/>
  <c r="BL35" i="1"/>
  <c r="BL26" i="1"/>
  <c r="BL24" i="1"/>
  <c r="BL23" i="1"/>
  <c r="BL22" i="1"/>
  <c r="BL34" i="1"/>
  <c r="BL20" i="1"/>
  <c r="BL19" i="1"/>
  <c r="BL68" i="1"/>
  <c r="BL92" i="1"/>
  <c r="BL91" i="1" s="1"/>
  <c r="BL152" i="1"/>
  <c r="BL21" i="1"/>
  <c r="BL25" i="1"/>
  <c r="BK83" i="1"/>
  <c r="AE54" i="1"/>
  <c r="AE40" i="1"/>
  <c r="AE52" i="1"/>
  <c r="AE51" i="1"/>
  <c r="AY28" i="1"/>
  <c r="AG23" i="36" s="1"/>
  <c r="AE39" i="1"/>
  <c r="AG29" i="1"/>
  <c r="T92" i="1"/>
  <c r="D215" i="31"/>
  <c r="AE92" i="1"/>
  <c r="AE91" i="1" s="1"/>
  <c r="AI134" i="1"/>
  <c r="AG129" i="1"/>
  <c r="AL129" i="1" s="1"/>
  <c r="AF164" i="1"/>
  <c r="AM54" i="1"/>
  <c r="AF216" i="1"/>
  <c r="AL216" i="1" s="1"/>
  <c r="AG166" i="1"/>
  <c r="AL166" i="1" s="1"/>
  <c r="AY123" i="1"/>
  <c r="AZ123" i="1"/>
  <c r="AY124" i="1"/>
  <c r="AZ124" i="1"/>
  <c r="AY125" i="1"/>
  <c r="AZ125" i="1"/>
  <c r="AY126" i="1"/>
  <c r="AZ126" i="1"/>
  <c r="AH127" i="1"/>
  <c r="AY127" i="1"/>
  <c r="AZ127" i="1"/>
  <c r="AY128" i="1"/>
  <c r="AZ128" i="1"/>
  <c r="AY129" i="1"/>
  <c r="AZ129" i="1"/>
  <c r="AY130" i="1"/>
  <c r="AZ130" i="1"/>
  <c r="AF131" i="1"/>
  <c r="AL131" i="1" s="1"/>
  <c r="AY131" i="1"/>
  <c r="AZ131" i="1"/>
  <c r="AG132" i="1"/>
  <c r="AL132" i="1" s="1"/>
  <c r="AY132" i="1"/>
  <c r="AZ132" i="1"/>
  <c r="AY133" i="1"/>
  <c r="AZ133" i="1"/>
  <c r="AY134" i="1"/>
  <c r="AZ134" i="1"/>
  <c r="AY135" i="1"/>
  <c r="AZ135" i="1"/>
  <c r="AY136" i="1"/>
  <c r="AZ136" i="1"/>
  <c r="AH137" i="1"/>
  <c r="AY137" i="1"/>
  <c r="AZ137" i="1"/>
  <c r="AF138" i="1"/>
  <c r="AY138" i="1"/>
  <c r="AZ138" i="1"/>
  <c r="AG139" i="1"/>
  <c r="AL139" i="1" s="1"/>
  <c r="AY139" i="1"/>
  <c r="AZ139" i="1"/>
  <c r="AF140" i="1"/>
  <c r="AL140" i="1" s="1"/>
  <c r="AY140" i="1"/>
  <c r="AZ140" i="1"/>
  <c r="AY141" i="1"/>
  <c r="AZ141" i="1"/>
  <c r="AY142" i="1"/>
  <c r="AZ142" i="1"/>
  <c r="AF143" i="1"/>
  <c r="AL143" i="1" s="1"/>
  <c r="AY143" i="1"/>
  <c r="AZ143" i="1"/>
  <c r="AF144" i="1"/>
  <c r="AL144" i="1" s="1"/>
  <c r="AY144" i="1"/>
  <c r="AZ144" i="1"/>
  <c r="AY145" i="1"/>
  <c r="AZ145" i="1"/>
  <c r="AH146" i="1"/>
  <c r="AY146" i="1"/>
  <c r="AZ146" i="1"/>
  <c r="AY147" i="1"/>
  <c r="AZ147" i="1"/>
  <c r="AF148" i="1"/>
  <c r="AL148" i="1" s="1"/>
  <c r="AY148" i="1"/>
  <c r="AZ148" i="1"/>
  <c r="AH149" i="1"/>
  <c r="AY149" i="1"/>
  <c r="AZ149" i="1"/>
  <c r="AF150" i="1"/>
  <c r="AL150" i="1" s="1"/>
  <c r="AY150" i="1"/>
  <c r="AZ150" i="1"/>
  <c r="AF151" i="1"/>
  <c r="AL151" i="1" s="1"/>
  <c r="AY151" i="1"/>
  <c r="AZ151" i="1"/>
  <c r="AG152" i="1"/>
  <c r="AL152" i="1" s="1"/>
  <c r="AY152" i="1"/>
  <c r="AZ152" i="1"/>
  <c r="AG153" i="1"/>
  <c r="AL153" i="1" s="1"/>
  <c r="AY153" i="1"/>
  <c r="AZ153" i="1"/>
  <c r="AH154" i="1"/>
  <c r="AY154" i="1"/>
  <c r="AZ154" i="1"/>
  <c r="AF155" i="1"/>
  <c r="AL155" i="1" s="1"/>
  <c r="AY155" i="1"/>
  <c r="AZ155" i="1"/>
  <c r="AF156" i="1"/>
  <c r="AL156" i="1" s="1"/>
  <c r="AY156" i="1"/>
  <c r="AZ156" i="1"/>
  <c r="AG157" i="1"/>
  <c r="AL157" i="1" s="1"/>
  <c r="AY157" i="1"/>
  <c r="AZ157" i="1"/>
  <c r="AG158" i="1"/>
  <c r="AL158" i="1" s="1"/>
  <c r="AY158" i="1"/>
  <c r="AZ158" i="1"/>
  <c r="AH159" i="1"/>
  <c r="AY159" i="1"/>
  <c r="AZ159" i="1"/>
  <c r="AG160" i="1"/>
  <c r="AL160" i="1" s="1"/>
  <c r="AY160" i="1"/>
  <c r="AZ160" i="1"/>
  <c r="AF161" i="1"/>
  <c r="AL161" i="1" s="1"/>
  <c r="AY161" i="1"/>
  <c r="AZ161" i="1"/>
  <c r="AG162" i="1"/>
  <c r="AL162" i="1" s="1"/>
  <c r="AY162" i="1"/>
  <c r="AZ162" i="1"/>
  <c r="AH163" i="1"/>
  <c r="AY163" i="1"/>
  <c r="AZ163" i="1"/>
  <c r="AL164" i="1"/>
  <c r="AY164" i="1"/>
  <c r="AZ164" i="1"/>
  <c r="AF165" i="1"/>
  <c r="AL165" i="1" s="1"/>
  <c r="AY165" i="1"/>
  <c r="AZ165" i="1"/>
  <c r="AY166" i="1"/>
  <c r="AZ166" i="1"/>
  <c r="AF167" i="1"/>
  <c r="AL167" i="1" s="1"/>
  <c r="AY167" i="1"/>
  <c r="AZ167" i="1"/>
  <c r="AF168" i="1"/>
  <c r="AL168" i="1" s="1"/>
  <c r="AY168" i="1"/>
  <c r="AZ168" i="1"/>
  <c r="AI169" i="1"/>
  <c r="AY169" i="1"/>
  <c r="AZ169" i="1"/>
  <c r="AF170" i="1"/>
  <c r="AL170" i="1" s="1"/>
  <c r="AY170" i="1"/>
  <c r="AZ170" i="1"/>
  <c r="AF171" i="1"/>
  <c r="AL171" i="1" s="1"/>
  <c r="AY171" i="1"/>
  <c r="AZ171" i="1"/>
  <c r="AF172" i="1"/>
  <c r="AL172" i="1" s="1"/>
  <c r="AY172" i="1"/>
  <c r="AZ172" i="1"/>
  <c r="AF173" i="1"/>
  <c r="AL173" i="1" s="1"/>
  <c r="AY173" i="1"/>
  <c r="AZ173" i="1"/>
  <c r="AF174" i="1"/>
  <c r="AL174" i="1" s="1"/>
  <c r="AY174" i="1"/>
  <c r="AZ174" i="1"/>
  <c r="AH175" i="1"/>
  <c r="AY175" i="1"/>
  <c r="AZ175" i="1"/>
  <c r="AF176" i="1"/>
  <c r="AL176" i="1" s="1"/>
  <c r="AY176" i="1"/>
  <c r="AZ176" i="1"/>
  <c r="AF177" i="1"/>
  <c r="AL177" i="1" s="1"/>
  <c r="AY177" i="1"/>
  <c r="AZ177" i="1"/>
  <c r="AF178" i="1"/>
  <c r="AL178" i="1" s="1"/>
  <c r="AY178" i="1"/>
  <c r="AZ178" i="1"/>
  <c r="AF179" i="1"/>
  <c r="AL179" i="1" s="1"/>
  <c r="AY179" i="1"/>
  <c r="AZ179" i="1"/>
  <c r="AF180" i="1"/>
  <c r="AL180" i="1" s="1"/>
  <c r="AY180" i="1"/>
  <c r="AZ180" i="1"/>
  <c r="AF181" i="1"/>
  <c r="AL181" i="1" s="1"/>
  <c r="AY181" i="1"/>
  <c r="AZ181" i="1"/>
  <c r="AF182" i="1"/>
  <c r="AL182" i="1" s="1"/>
  <c r="AY182" i="1"/>
  <c r="AZ182" i="1"/>
  <c r="AF183" i="1"/>
  <c r="AL183" i="1" s="1"/>
  <c r="AY183" i="1"/>
  <c r="AZ183" i="1"/>
  <c r="AF184" i="1"/>
  <c r="AL184" i="1" s="1"/>
  <c r="AY184" i="1"/>
  <c r="AZ184" i="1"/>
  <c r="AF185" i="1"/>
  <c r="AL185" i="1" s="1"/>
  <c r="AY185" i="1"/>
  <c r="AZ185" i="1"/>
  <c r="AG186" i="1"/>
  <c r="AL186" i="1" s="1"/>
  <c r="AY186" i="1"/>
  <c r="AZ186" i="1"/>
  <c r="AF187" i="1"/>
  <c r="AL187" i="1" s="1"/>
  <c r="AY187" i="1"/>
  <c r="AZ187" i="1"/>
  <c r="AF188" i="1"/>
  <c r="AL188" i="1" s="1"/>
  <c r="AY188" i="1"/>
  <c r="AZ188" i="1"/>
  <c r="AF189" i="1"/>
  <c r="AL189" i="1" s="1"/>
  <c r="AY189" i="1"/>
  <c r="AZ189" i="1"/>
  <c r="AF190" i="1"/>
  <c r="AL190" i="1" s="1"/>
  <c r="AY190" i="1"/>
  <c r="AZ190" i="1"/>
  <c r="AF191" i="1"/>
  <c r="AL191" i="1" s="1"/>
  <c r="AY191" i="1"/>
  <c r="AZ191" i="1"/>
  <c r="AG192" i="1"/>
  <c r="AL192" i="1" s="1"/>
  <c r="AY192" i="1"/>
  <c r="AZ192" i="1"/>
  <c r="AG193" i="1"/>
  <c r="AL193" i="1" s="1"/>
  <c r="AY193" i="1"/>
  <c r="AZ193" i="1"/>
  <c r="AF194" i="1"/>
  <c r="AL194" i="1" s="1"/>
  <c r="AY194" i="1"/>
  <c r="AZ194" i="1"/>
  <c r="AF195" i="1"/>
  <c r="AL195" i="1" s="1"/>
  <c r="AY195" i="1"/>
  <c r="AZ195" i="1"/>
  <c r="AF196" i="1"/>
  <c r="AL196" i="1" s="1"/>
  <c r="AY196" i="1"/>
  <c r="AZ196" i="1"/>
  <c r="AF197" i="1"/>
  <c r="AL197" i="1" s="1"/>
  <c r="AY197" i="1"/>
  <c r="AZ197" i="1"/>
  <c r="AF198" i="1"/>
  <c r="AL198" i="1" s="1"/>
  <c r="AY198" i="1"/>
  <c r="AZ198" i="1"/>
  <c r="AG199" i="1"/>
  <c r="AL199" i="1" s="1"/>
  <c r="AY199" i="1"/>
  <c r="AZ199" i="1"/>
  <c r="AF200" i="1"/>
  <c r="AL200" i="1" s="1"/>
  <c r="AY200" i="1"/>
  <c r="AZ200" i="1"/>
  <c r="AF201" i="1"/>
  <c r="AL201" i="1" s="1"/>
  <c r="AY201" i="1"/>
  <c r="AZ201" i="1"/>
  <c r="AF202" i="1"/>
  <c r="AL202" i="1" s="1"/>
  <c r="AY202" i="1"/>
  <c r="AZ202" i="1"/>
  <c r="AF203" i="1"/>
  <c r="AL203" i="1" s="1"/>
  <c r="AY203" i="1"/>
  <c r="AZ203" i="1"/>
  <c r="AF204" i="1"/>
  <c r="AL204" i="1" s="1"/>
  <c r="AY204" i="1"/>
  <c r="AZ204" i="1"/>
  <c r="AF205" i="1"/>
  <c r="AL205" i="1" s="1"/>
  <c r="AY205" i="1"/>
  <c r="AZ205" i="1"/>
  <c r="AF206" i="1"/>
  <c r="AL206" i="1" s="1"/>
  <c r="AY206" i="1"/>
  <c r="AZ206" i="1"/>
  <c r="AG207" i="1"/>
  <c r="AL207" i="1" s="1"/>
  <c r="AY207" i="1"/>
  <c r="AZ207" i="1"/>
  <c r="AG208" i="1"/>
  <c r="AL208" i="1" s="1"/>
  <c r="AY208" i="1"/>
  <c r="AZ208" i="1"/>
  <c r="AF209" i="1"/>
  <c r="AL209" i="1" s="1"/>
  <c r="AY209" i="1"/>
  <c r="AZ209" i="1"/>
  <c r="AG210" i="1"/>
  <c r="AL210" i="1" s="1"/>
  <c r="AY210" i="1"/>
  <c r="AZ210" i="1"/>
  <c r="AG211" i="1"/>
  <c r="AL211" i="1" s="1"/>
  <c r="AY211" i="1"/>
  <c r="AZ211" i="1"/>
  <c r="AG212" i="1"/>
  <c r="AL212" i="1" s="1"/>
  <c r="AY212" i="1"/>
  <c r="AZ212" i="1"/>
  <c r="AF213" i="1"/>
  <c r="AL213" i="1" s="1"/>
  <c r="AY213" i="1"/>
  <c r="AZ213" i="1"/>
  <c r="AG214" i="1"/>
  <c r="AL214" i="1" s="1"/>
  <c r="AY214" i="1"/>
  <c r="AZ214" i="1"/>
  <c r="AG215" i="1"/>
  <c r="AL215" i="1" s="1"/>
  <c r="AY215" i="1"/>
  <c r="AZ215" i="1"/>
  <c r="AY216" i="1"/>
  <c r="AZ216" i="1"/>
  <c r="AF217" i="1"/>
  <c r="AL217" i="1" s="1"/>
  <c r="AY217" i="1"/>
  <c r="AZ217" i="1"/>
  <c r="AG218" i="1"/>
  <c r="AL218" i="1" s="1"/>
  <c r="AY218" i="1"/>
  <c r="AZ218" i="1"/>
  <c r="AG219" i="1"/>
  <c r="AL219" i="1" s="1"/>
  <c r="AY219" i="1"/>
  <c r="AZ219" i="1"/>
  <c r="AF220" i="1"/>
  <c r="AL220" i="1" s="1"/>
  <c r="AY220" i="1"/>
  <c r="AZ220" i="1"/>
  <c r="AG221" i="1"/>
  <c r="AL221" i="1" s="1"/>
  <c r="AY221" i="1"/>
  <c r="AZ221" i="1"/>
  <c r="AG222" i="1"/>
  <c r="AL222" i="1" s="1"/>
  <c r="AY222" i="1"/>
  <c r="AZ222" i="1"/>
  <c r="AG223" i="1"/>
  <c r="AL223" i="1" s="1"/>
  <c r="AY223" i="1"/>
  <c r="AZ223" i="1"/>
  <c r="AG224" i="1"/>
  <c r="AL224" i="1" s="1"/>
  <c r="AY224" i="1"/>
  <c r="AZ224" i="1"/>
  <c r="AF225" i="1"/>
  <c r="AL225" i="1" s="1"/>
  <c r="AY225" i="1"/>
  <c r="AZ225" i="1"/>
  <c r="AF226" i="1"/>
  <c r="AL226" i="1" s="1"/>
  <c r="AY226" i="1"/>
  <c r="AZ226" i="1"/>
  <c r="AG227" i="1"/>
  <c r="AL227" i="1" s="1"/>
  <c r="AY227" i="1"/>
  <c r="AZ227" i="1"/>
  <c r="AF228" i="1"/>
  <c r="AL228" i="1" s="1"/>
  <c r="AY228" i="1"/>
  <c r="AZ228" i="1"/>
  <c r="AG229" i="1"/>
  <c r="AL229" i="1" s="1"/>
  <c r="AY229" i="1"/>
  <c r="AZ229" i="1"/>
  <c r="AH230" i="1"/>
  <c r="AY230" i="1"/>
  <c r="AZ230" i="1"/>
  <c r="AG231" i="1"/>
  <c r="AL231" i="1" s="1"/>
  <c r="AY231" i="1"/>
  <c r="AZ231" i="1"/>
  <c r="AG232" i="1"/>
  <c r="AL232" i="1" s="1"/>
  <c r="AY232" i="1"/>
  <c r="AZ232" i="1"/>
  <c r="AI233" i="1"/>
  <c r="AL233" i="1" s="1"/>
  <c r="AY233" i="1"/>
  <c r="AZ233" i="1"/>
  <c r="AI234" i="1"/>
  <c r="AL234" i="1" s="1"/>
  <c r="AY234" i="1"/>
  <c r="AZ234" i="1"/>
  <c r="AI235" i="1"/>
  <c r="AL235" i="1" s="1"/>
  <c r="AY235" i="1"/>
  <c r="AZ235" i="1"/>
  <c r="AF236" i="1"/>
  <c r="AF237" i="1"/>
  <c r="AG238" i="1"/>
  <c r="AG239" i="1"/>
  <c r="AG240" i="1"/>
  <c r="AH147" i="1"/>
  <c r="AF142" i="1"/>
  <c r="AL142" i="1" s="1"/>
  <c r="AF136" i="1"/>
  <c r="AL136" i="1" s="1"/>
  <c r="AF135" i="1"/>
  <c r="AL135" i="1" s="1"/>
  <c r="AF133" i="1"/>
  <c r="AL133" i="1" s="1"/>
  <c r="AF130" i="1"/>
  <c r="AL130" i="1" s="1"/>
  <c r="AF128" i="1"/>
  <c r="AL128" i="1" s="1"/>
  <c r="AF145" i="1"/>
  <c r="AL145" i="1" s="1"/>
  <c r="AF126" i="1"/>
  <c r="AL126" i="1" s="1"/>
  <c r="AF125" i="1"/>
  <c r="AL125" i="1" s="1"/>
  <c r="AF124" i="1"/>
  <c r="AL124" i="1" s="1"/>
  <c r="AF123" i="1"/>
  <c r="AL123" i="1" s="1"/>
  <c r="AR1333" i="1"/>
  <c r="AQ1333" i="1"/>
  <c r="AP1333" i="1"/>
  <c r="AO1333" i="1"/>
  <c r="AN1333" i="1"/>
  <c r="AZ1333" i="1" s="1"/>
  <c r="AM1333" i="1"/>
  <c r="AY1333" i="1" s="1"/>
  <c r="I1333" i="1"/>
  <c r="H1333" i="1"/>
  <c r="AZ1457" i="1"/>
  <c r="AY1457" i="1"/>
  <c r="AG1457" i="1"/>
  <c r="AL1457" i="1" s="1"/>
  <c r="X1457" i="1"/>
  <c r="AB1457" i="1" s="1"/>
  <c r="AZ1456" i="1"/>
  <c r="AY1456" i="1"/>
  <c r="AG1456" i="1"/>
  <c r="AL1456" i="1" s="1"/>
  <c r="AZ1455" i="1"/>
  <c r="AY1455" i="1"/>
  <c r="AG1455" i="1"/>
  <c r="AL1455" i="1" s="1"/>
  <c r="AZ1454" i="1"/>
  <c r="AY1454" i="1"/>
  <c r="AF1454" i="1"/>
  <c r="AL1454" i="1" s="1"/>
  <c r="X1454" i="1"/>
  <c r="AB1454" i="1" s="1"/>
  <c r="AZ1453" i="1"/>
  <c r="AY1453" i="1"/>
  <c r="AI1453" i="1"/>
  <c r="AZ1452" i="1"/>
  <c r="AY1452" i="1"/>
  <c r="AG1452" i="1"/>
  <c r="AL1452" i="1" s="1"/>
  <c r="AZ1451" i="1"/>
  <c r="AY1451" i="1"/>
  <c r="AG1451" i="1"/>
  <c r="AL1451" i="1" s="1"/>
  <c r="AZ1450" i="1"/>
  <c r="AY1450" i="1"/>
  <c r="AF1450" i="1"/>
  <c r="AL1450" i="1" s="1"/>
  <c r="X1450" i="1"/>
  <c r="AB1450" i="1" s="1"/>
  <c r="AZ1449" i="1"/>
  <c r="AY1449" i="1"/>
  <c r="AF1449" i="1"/>
  <c r="AL1449" i="1" s="1"/>
  <c r="X1449" i="1"/>
  <c r="AB1449" i="1" s="1"/>
  <c r="AZ1448" i="1"/>
  <c r="AY1448" i="1"/>
  <c r="AG1448" i="1"/>
  <c r="AL1448" i="1" s="1"/>
  <c r="AZ1447" i="1"/>
  <c r="AY1447" i="1"/>
  <c r="AG1447" i="1"/>
  <c r="AL1447" i="1" s="1"/>
  <c r="AZ1446" i="1"/>
  <c r="AY1446" i="1"/>
  <c r="AG1446" i="1"/>
  <c r="AL1446" i="1" s="1"/>
  <c r="AZ1445" i="1"/>
  <c r="AY1445" i="1"/>
  <c r="AG1445" i="1"/>
  <c r="AL1445" i="1" s="1"/>
  <c r="X1445" i="1"/>
  <c r="AB1445" i="1" s="1"/>
  <c r="AZ1444" i="1"/>
  <c r="AY1444" i="1"/>
  <c r="AG1444" i="1"/>
  <c r="AL1444" i="1" s="1"/>
  <c r="AZ1443" i="1"/>
  <c r="AY1443" i="1"/>
  <c r="AG1443" i="1"/>
  <c r="AL1443" i="1" s="1"/>
  <c r="AZ1442" i="1"/>
  <c r="AY1442" i="1"/>
  <c r="AH1442" i="1"/>
  <c r="X1442" i="1"/>
  <c r="AB1442" i="1" s="1"/>
  <c r="AZ1441" i="1"/>
  <c r="AY1441" i="1"/>
  <c r="AH1441" i="1"/>
  <c r="X1441" i="1"/>
  <c r="AB1441" i="1" s="1"/>
  <c r="AZ1440" i="1"/>
  <c r="AY1440" i="1"/>
  <c r="AH1440" i="1"/>
  <c r="X1440" i="1"/>
  <c r="AB1440" i="1" s="1"/>
  <c r="AZ1439" i="1"/>
  <c r="AY1439" i="1"/>
  <c r="AH1439" i="1"/>
  <c r="X1439" i="1"/>
  <c r="AB1439" i="1" s="1"/>
  <c r="AZ1438" i="1"/>
  <c r="AY1438" i="1"/>
  <c r="AG1438" i="1"/>
  <c r="AL1438" i="1" s="1"/>
  <c r="AZ1437" i="1"/>
  <c r="AY1437" i="1"/>
  <c r="AG1437" i="1"/>
  <c r="AL1437" i="1" s="1"/>
  <c r="AZ1436" i="1"/>
  <c r="AY1436" i="1"/>
  <c r="AG1436" i="1"/>
  <c r="AL1436" i="1" s="1"/>
  <c r="AZ1435" i="1"/>
  <c r="AY1435" i="1"/>
  <c r="AG1435" i="1"/>
  <c r="AL1435" i="1" s="1"/>
  <c r="X1435" i="1"/>
  <c r="AB1435" i="1" s="1"/>
  <c r="AZ1434" i="1"/>
  <c r="AY1434" i="1"/>
  <c r="AH1434" i="1"/>
  <c r="X1434" i="1"/>
  <c r="AB1434" i="1" s="1"/>
  <c r="AZ1433" i="1"/>
  <c r="AY1433" i="1"/>
  <c r="AH1433" i="1"/>
  <c r="X1433" i="1"/>
  <c r="AB1433" i="1" s="1"/>
  <c r="AZ1432" i="1"/>
  <c r="AY1432" i="1"/>
  <c r="AF1432" i="1"/>
  <c r="AL1432" i="1" s="1"/>
  <c r="X1432" i="1"/>
  <c r="AB1432" i="1" s="1"/>
  <c r="AZ1431" i="1"/>
  <c r="AY1431" i="1"/>
  <c r="AF1431" i="1"/>
  <c r="AL1431" i="1" s="1"/>
  <c r="X1431" i="1"/>
  <c r="AB1431" i="1" s="1"/>
  <c r="AZ1430" i="1"/>
  <c r="AY1430" i="1"/>
  <c r="AH1430" i="1"/>
  <c r="X1430" i="1"/>
  <c r="AB1430" i="1" s="1"/>
  <c r="AZ1429" i="1"/>
  <c r="AY1429" i="1"/>
  <c r="AF1429" i="1"/>
  <c r="AL1429" i="1" s="1"/>
  <c r="X1429" i="1"/>
  <c r="AB1429" i="1" s="1"/>
  <c r="AZ1428" i="1"/>
  <c r="AY1428" i="1"/>
  <c r="AF1428" i="1"/>
  <c r="AL1428" i="1" s="1"/>
  <c r="X1428" i="1"/>
  <c r="AB1428" i="1" s="1"/>
  <c r="AZ1427" i="1"/>
  <c r="AY1427" i="1"/>
  <c r="AF1427" i="1"/>
  <c r="AL1427" i="1" s="1"/>
  <c r="X1427" i="1"/>
  <c r="AB1427" i="1" s="1"/>
  <c r="AZ1426" i="1"/>
  <c r="AY1426" i="1"/>
  <c r="AF1426" i="1"/>
  <c r="AL1426" i="1" s="1"/>
  <c r="X1426" i="1"/>
  <c r="AB1426" i="1" s="1"/>
  <c r="AZ1425" i="1"/>
  <c r="AY1425" i="1"/>
  <c r="AF1425" i="1"/>
  <c r="AL1425" i="1" s="1"/>
  <c r="X1425" i="1"/>
  <c r="AB1425" i="1" s="1"/>
  <c r="AZ1424" i="1"/>
  <c r="AY1424" i="1"/>
  <c r="AF1424" i="1"/>
  <c r="AL1424" i="1" s="1"/>
  <c r="X1424" i="1"/>
  <c r="AB1424" i="1" s="1"/>
  <c r="AZ1423" i="1"/>
  <c r="AY1423" i="1"/>
  <c r="AH1423" i="1"/>
  <c r="X1423" i="1"/>
  <c r="AB1423" i="1" s="1"/>
  <c r="AZ1422" i="1"/>
  <c r="AY1422" i="1"/>
  <c r="AH1422" i="1"/>
  <c r="X1422" i="1"/>
  <c r="AB1422" i="1" s="1"/>
  <c r="AZ1421" i="1"/>
  <c r="AY1421" i="1"/>
  <c r="AH1421" i="1"/>
  <c r="X1421" i="1"/>
  <c r="AB1421" i="1" s="1"/>
  <c r="AZ1420" i="1"/>
  <c r="AY1420" i="1"/>
  <c r="AH1420" i="1"/>
  <c r="AL1420" i="1" s="1"/>
  <c r="X1420" i="1"/>
  <c r="AB1420" i="1" s="1"/>
  <c r="AZ1419" i="1"/>
  <c r="AY1419" i="1"/>
  <c r="AH1419" i="1"/>
  <c r="AZ1418" i="1"/>
  <c r="AY1418" i="1"/>
  <c r="AI1418" i="1"/>
  <c r="X1418" i="1"/>
  <c r="AB1418" i="1" s="1"/>
  <c r="AZ1417" i="1"/>
  <c r="AY1417" i="1"/>
  <c r="AF1417" i="1"/>
  <c r="AL1417" i="1" s="1"/>
  <c r="X1417" i="1"/>
  <c r="AB1417" i="1" s="1"/>
  <c r="AZ1416" i="1"/>
  <c r="AY1416" i="1"/>
  <c r="AF1416" i="1"/>
  <c r="AL1416" i="1" s="1"/>
  <c r="X1416" i="1"/>
  <c r="AB1416" i="1" s="1"/>
  <c r="AZ1415" i="1"/>
  <c r="AY1415" i="1"/>
  <c r="AF1415" i="1"/>
  <c r="AL1415" i="1" s="1"/>
  <c r="X1415" i="1"/>
  <c r="AB1415" i="1" s="1"/>
  <c r="AZ1414" i="1"/>
  <c r="AY1414" i="1"/>
  <c r="AF1414" i="1"/>
  <c r="AL1414" i="1" s="1"/>
  <c r="X1414" i="1"/>
  <c r="AB1414" i="1" s="1"/>
  <c r="AZ1413" i="1"/>
  <c r="AY1413" i="1"/>
  <c r="AF1413" i="1"/>
  <c r="AL1413" i="1" s="1"/>
  <c r="X1413" i="1"/>
  <c r="AB1413" i="1" s="1"/>
  <c r="AZ1412" i="1"/>
  <c r="AY1412" i="1"/>
  <c r="AG1412" i="1"/>
  <c r="AL1412" i="1" s="1"/>
  <c r="AB1412" i="1"/>
  <c r="AZ1411" i="1"/>
  <c r="AY1411" i="1"/>
  <c r="AF1411" i="1"/>
  <c r="AL1411" i="1" s="1"/>
  <c r="X1411" i="1"/>
  <c r="AB1411" i="1" s="1"/>
  <c r="AZ1410" i="1"/>
  <c r="AY1410" i="1"/>
  <c r="AG1410" i="1"/>
  <c r="AL1410" i="1" s="1"/>
  <c r="AZ1409" i="1"/>
  <c r="AY1409" i="1"/>
  <c r="AG1409" i="1"/>
  <c r="AL1409" i="1" s="1"/>
  <c r="AZ1408" i="1"/>
  <c r="AY1408" i="1"/>
  <c r="AG1408" i="1"/>
  <c r="AL1408" i="1" s="1"/>
  <c r="X1408" i="1"/>
  <c r="AB1408" i="1" s="1"/>
  <c r="AZ1407" i="1"/>
  <c r="AY1407" i="1"/>
  <c r="AG1407" i="1"/>
  <c r="AL1407" i="1" s="1"/>
  <c r="AB1407" i="1"/>
  <c r="AZ1406" i="1"/>
  <c r="AY1406" i="1"/>
  <c r="AF1406" i="1"/>
  <c r="AL1406" i="1" s="1"/>
  <c r="X1406" i="1"/>
  <c r="AB1406" i="1" s="1"/>
  <c r="AZ1405" i="1"/>
  <c r="AY1405" i="1"/>
  <c r="AG1405" i="1"/>
  <c r="AL1405" i="1" s="1"/>
  <c r="X1405" i="1"/>
  <c r="AB1405" i="1" s="1"/>
  <c r="AZ1404" i="1"/>
  <c r="AY1404" i="1"/>
  <c r="AG1404" i="1"/>
  <c r="AL1404" i="1" s="1"/>
  <c r="AZ1403" i="1"/>
  <c r="AY1403" i="1"/>
  <c r="AG1403" i="1"/>
  <c r="AL1403" i="1" s="1"/>
  <c r="AZ1402" i="1"/>
  <c r="AY1402" i="1"/>
  <c r="AG1402" i="1"/>
  <c r="AL1402" i="1" s="1"/>
  <c r="AB1402" i="1"/>
  <c r="AZ1401" i="1"/>
  <c r="AY1401" i="1"/>
  <c r="AG1401" i="1"/>
  <c r="AL1401" i="1" s="1"/>
  <c r="AZ1400" i="1"/>
  <c r="AY1400" i="1"/>
  <c r="AG1400" i="1"/>
  <c r="AL1400" i="1" s="1"/>
  <c r="AZ1399" i="1"/>
  <c r="AY1399" i="1"/>
  <c r="AF1399" i="1"/>
  <c r="AL1399" i="1" s="1"/>
  <c r="X1399" i="1"/>
  <c r="AB1399" i="1" s="1"/>
  <c r="AZ1398" i="1"/>
  <c r="AY1398" i="1"/>
  <c r="AF1398" i="1"/>
  <c r="AL1398" i="1" s="1"/>
  <c r="X1398" i="1"/>
  <c r="AB1398" i="1" s="1"/>
  <c r="AZ1397" i="1"/>
  <c r="AY1397" i="1"/>
  <c r="AG1397" i="1"/>
  <c r="AL1397" i="1" s="1"/>
  <c r="X1397" i="1"/>
  <c r="AB1397" i="1" s="1"/>
  <c r="AZ1396" i="1"/>
  <c r="AY1396" i="1"/>
  <c r="AG1396" i="1"/>
  <c r="AL1396" i="1" s="1"/>
  <c r="AB1396" i="1"/>
  <c r="AZ1395" i="1"/>
  <c r="AY1395" i="1"/>
  <c r="AF1395" i="1"/>
  <c r="AL1395" i="1" s="1"/>
  <c r="X1395" i="1"/>
  <c r="AB1395" i="1" s="1"/>
  <c r="AZ1394" i="1"/>
  <c r="AY1394" i="1"/>
  <c r="AF1394" i="1"/>
  <c r="AL1394" i="1" s="1"/>
  <c r="X1394" i="1"/>
  <c r="AB1394" i="1" s="1"/>
  <c r="AZ1393" i="1"/>
  <c r="AY1393" i="1"/>
  <c r="AF1393" i="1"/>
  <c r="AL1393" i="1" s="1"/>
  <c r="X1393" i="1"/>
  <c r="AB1393" i="1" s="1"/>
  <c r="AZ1392" i="1"/>
  <c r="AY1392" i="1"/>
  <c r="AF1392" i="1"/>
  <c r="AL1392" i="1" s="1"/>
  <c r="X1392" i="1"/>
  <c r="AB1392" i="1" s="1"/>
  <c r="AZ1391" i="1"/>
  <c r="AY1391" i="1"/>
  <c r="AF1391" i="1"/>
  <c r="AL1391" i="1" s="1"/>
  <c r="X1391" i="1"/>
  <c r="AB1391" i="1" s="1"/>
  <c r="AZ1390" i="1"/>
  <c r="AY1390" i="1"/>
  <c r="AG1390" i="1"/>
  <c r="AL1390" i="1" s="1"/>
  <c r="X1390" i="1"/>
  <c r="AB1390" i="1" s="1"/>
  <c r="AZ1389" i="1"/>
  <c r="AY1389" i="1"/>
  <c r="AF1389" i="1"/>
  <c r="AL1389" i="1" s="1"/>
  <c r="X1389" i="1"/>
  <c r="AB1389" i="1" s="1"/>
  <c r="AZ1388" i="1"/>
  <c r="AY1388" i="1"/>
  <c r="AF1388" i="1"/>
  <c r="AL1388" i="1" s="1"/>
  <c r="X1388" i="1"/>
  <c r="AB1388" i="1" s="1"/>
  <c r="AZ1387" i="1"/>
  <c r="AY1387" i="1"/>
  <c r="AF1387" i="1"/>
  <c r="AL1387" i="1" s="1"/>
  <c r="X1387" i="1"/>
  <c r="AB1387" i="1" s="1"/>
  <c r="AZ1386" i="1"/>
  <c r="AY1386" i="1"/>
  <c r="AF1386" i="1"/>
  <c r="AL1386" i="1" s="1"/>
  <c r="X1386" i="1"/>
  <c r="AB1386" i="1" s="1"/>
  <c r="AZ1385" i="1"/>
  <c r="AY1385" i="1"/>
  <c r="AF1385" i="1"/>
  <c r="AL1385" i="1" s="1"/>
  <c r="X1385" i="1"/>
  <c r="AB1385" i="1" s="1"/>
  <c r="AZ1384" i="1"/>
  <c r="AY1384" i="1"/>
  <c r="AF1384" i="1"/>
  <c r="AL1384" i="1" s="1"/>
  <c r="X1384" i="1"/>
  <c r="AB1384" i="1" s="1"/>
  <c r="AZ1383" i="1"/>
  <c r="AY1383" i="1"/>
  <c r="AF1383" i="1"/>
  <c r="AL1383" i="1" s="1"/>
  <c r="X1383" i="1"/>
  <c r="AB1383" i="1" s="1"/>
  <c r="AZ1382" i="1"/>
  <c r="AY1382" i="1"/>
  <c r="AF1382" i="1"/>
  <c r="AL1382" i="1" s="1"/>
  <c r="X1382" i="1"/>
  <c r="AB1382" i="1" s="1"/>
  <c r="AZ1381" i="1"/>
  <c r="AY1381" i="1"/>
  <c r="AF1381" i="1"/>
  <c r="AL1381" i="1" s="1"/>
  <c r="X1381" i="1"/>
  <c r="AB1381" i="1" s="1"/>
  <c r="AZ1380" i="1"/>
  <c r="AY1380" i="1"/>
  <c r="AF1380" i="1"/>
  <c r="AL1380" i="1" s="1"/>
  <c r="X1380" i="1"/>
  <c r="AB1380" i="1" s="1"/>
  <c r="AZ1379" i="1"/>
  <c r="AY1379" i="1"/>
  <c r="AF1379" i="1"/>
  <c r="AL1379" i="1" s="1"/>
  <c r="X1379" i="1"/>
  <c r="AB1379" i="1" s="1"/>
  <c r="AZ1378" i="1"/>
  <c r="AY1378" i="1"/>
  <c r="AG1378" i="1"/>
  <c r="AL1378" i="1" s="1"/>
  <c r="AZ1377" i="1"/>
  <c r="AY1377" i="1"/>
  <c r="AF1377" i="1"/>
  <c r="AL1377" i="1" s="1"/>
  <c r="X1377" i="1"/>
  <c r="AB1377" i="1" s="1"/>
  <c r="AZ1376" i="1"/>
  <c r="AY1376" i="1"/>
  <c r="AF1376" i="1"/>
  <c r="AL1376" i="1" s="1"/>
  <c r="X1376" i="1"/>
  <c r="AB1376" i="1" s="1"/>
  <c r="AZ1375" i="1"/>
  <c r="AY1375" i="1"/>
  <c r="AF1375" i="1"/>
  <c r="AL1375" i="1" s="1"/>
  <c r="X1375" i="1"/>
  <c r="AB1375" i="1" s="1"/>
  <c r="AZ1374" i="1"/>
  <c r="AY1374" i="1"/>
  <c r="AF1374" i="1"/>
  <c r="AL1374" i="1" s="1"/>
  <c r="X1374" i="1"/>
  <c r="AB1374" i="1" s="1"/>
  <c r="AZ1373" i="1"/>
  <c r="AY1373" i="1"/>
  <c r="AG1373" i="1"/>
  <c r="AL1373" i="1" s="1"/>
  <c r="AZ1372" i="1"/>
  <c r="AY1372" i="1"/>
  <c r="AG1372" i="1"/>
  <c r="AL1372" i="1" s="1"/>
  <c r="AB1372" i="1"/>
  <c r="AZ1371" i="1"/>
  <c r="AY1371" i="1"/>
  <c r="AG1371" i="1"/>
  <c r="AL1371" i="1" s="1"/>
  <c r="AZ1370" i="1"/>
  <c r="AY1370" i="1"/>
  <c r="AF1370" i="1"/>
  <c r="AL1370" i="1" s="1"/>
  <c r="X1370" i="1"/>
  <c r="AB1370" i="1" s="1"/>
  <c r="AZ1369" i="1"/>
  <c r="AY1369" i="1"/>
  <c r="AG1369" i="1"/>
  <c r="AL1369" i="1" s="1"/>
  <c r="X1369" i="1"/>
  <c r="AB1369" i="1" s="1"/>
  <c r="AZ1368" i="1"/>
  <c r="AY1368" i="1"/>
  <c r="AF1368" i="1"/>
  <c r="AL1368" i="1" s="1"/>
  <c r="X1368" i="1"/>
  <c r="AB1368" i="1" s="1"/>
  <c r="AZ1367" i="1"/>
  <c r="AY1367" i="1"/>
  <c r="AG1367" i="1"/>
  <c r="AL1367" i="1" s="1"/>
  <c r="AZ1366" i="1"/>
  <c r="AY1366" i="1"/>
  <c r="AF1366" i="1"/>
  <c r="AL1366" i="1" s="1"/>
  <c r="X1366" i="1"/>
  <c r="AB1366" i="1" s="1"/>
  <c r="AZ1365" i="1"/>
  <c r="AY1365" i="1"/>
  <c r="AG1365" i="1"/>
  <c r="AL1365" i="1" s="1"/>
  <c r="AZ1364" i="1"/>
  <c r="AY1364" i="1"/>
  <c r="AG1364" i="1"/>
  <c r="AL1364" i="1" s="1"/>
  <c r="AZ1363" i="1"/>
  <c r="AY1363" i="1"/>
  <c r="AF1363" i="1"/>
  <c r="AL1363" i="1" s="1"/>
  <c r="X1363" i="1"/>
  <c r="AB1363" i="1" s="1"/>
  <c r="AZ1362" i="1"/>
  <c r="AY1362" i="1"/>
  <c r="AF1362" i="1"/>
  <c r="AL1362" i="1" s="1"/>
  <c r="X1362" i="1"/>
  <c r="AB1362" i="1" s="1"/>
  <c r="AZ1361" i="1"/>
  <c r="AY1361" i="1"/>
  <c r="AF1361" i="1"/>
  <c r="AL1361" i="1" s="1"/>
  <c r="X1361" i="1"/>
  <c r="AB1361" i="1" s="1"/>
  <c r="AZ1360" i="1"/>
  <c r="AY1360" i="1"/>
  <c r="AF1360" i="1"/>
  <c r="AL1360" i="1" s="1"/>
  <c r="X1360" i="1"/>
  <c r="AB1360" i="1" s="1"/>
  <c r="AZ1359" i="1"/>
  <c r="AY1359" i="1"/>
  <c r="AG1359" i="1"/>
  <c r="AL1359" i="1" s="1"/>
  <c r="AZ1358" i="1"/>
  <c r="AY1358" i="1"/>
  <c r="AG1358" i="1"/>
  <c r="AL1358" i="1" s="1"/>
  <c r="AZ1357" i="1"/>
  <c r="AY1357" i="1"/>
  <c r="AH1357" i="1"/>
  <c r="X1357" i="1"/>
  <c r="AB1357" i="1" s="1"/>
  <c r="AZ1356" i="1"/>
  <c r="AY1356" i="1"/>
  <c r="AG1356" i="1"/>
  <c r="AL1356" i="1" s="1"/>
  <c r="X1356" i="1"/>
  <c r="AB1356" i="1" s="1"/>
  <c r="AZ1355" i="1"/>
  <c r="AY1355" i="1"/>
  <c r="AF1355" i="1"/>
  <c r="AL1355" i="1" s="1"/>
  <c r="X1355" i="1"/>
  <c r="AB1355" i="1" s="1"/>
  <c r="AZ1354" i="1"/>
  <c r="AY1354" i="1"/>
  <c r="AG1354" i="1"/>
  <c r="AL1354" i="1" s="1"/>
  <c r="AZ1353" i="1"/>
  <c r="AY1353" i="1"/>
  <c r="AH1353" i="1"/>
  <c r="X1353" i="1"/>
  <c r="AB1353" i="1" s="1"/>
  <c r="AZ1352" i="1"/>
  <c r="AY1352" i="1"/>
  <c r="AG1352" i="1"/>
  <c r="AL1352" i="1" s="1"/>
  <c r="X1352" i="1"/>
  <c r="AB1352" i="1" s="1"/>
  <c r="AZ1351" i="1"/>
  <c r="AY1351" i="1"/>
  <c r="AG1351" i="1"/>
  <c r="AL1351" i="1" s="1"/>
  <c r="AZ1350" i="1"/>
  <c r="AY1350" i="1"/>
  <c r="AG1350" i="1"/>
  <c r="AL1350" i="1" s="1"/>
  <c r="AZ1349" i="1"/>
  <c r="AY1349" i="1"/>
  <c r="AG1349" i="1"/>
  <c r="AL1349" i="1" s="1"/>
  <c r="AZ1348" i="1"/>
  <c r="AY1348" i="1"/>
  <c r="AG1348" i="1"/>
  <c r="AL1348" i="1" s="1"/>
  <c r="X1348" i="1"/>
  <c r="AB1348" i="1" s="1"/>
  <c r="AZ1347" i="1"/>
  <c r="AY1347" i="1"/>
  <c r="AF1347" i="1"/>
  <c r="AL1347" i="1" s="1"/>
  <c r="X1347" i="1"/>
  <c r="AB1347" i="1" s="1"/>
  <c r="AZ1346" i="1"/>
  <c r="AY1346" i="1"/>
  <c r="AF1346" i="1"/>
  <c r="AL1346" i="1" s="1"/>
  <c r="X1346" i="1"/>
  <c r="AB1346" i="1" s="1"/>
  <c r="AZ1345" i="1"/>
  <c r="AY1345" i="1"/>
  <c r="AF1345" i="1"/>
  <c r="AL1345" i="1" s="1"/>
  <c r="X1345" i="1"/>
  <c r="AB1345" i="1" s="1"/>
  <c r="AZ1344" i="1"/>
  <c r="AY1344" i="1"/>
  <c r="AF1344" i="1"/>
  <c r="AL1344" i="1" s="1"/>
  <c r="X1344" i="1"/>
  <c r="AB1344" i="1" s="1"/>
  <c r="AZ1343" i="1"/>
  <c r="AY1343" i="1"/>
  <c r="AF1343" i="1"/>
  <c r="X1343" i="1"/>
  <c r="AB1343" i="1" s="1"/>
  <c r="AZ1342" i="1"/>
  <c r="AY1342" i="1"/>
  <c r="AG1342" i="1"/>
  <c r="AZ1341" i="1"/>
  <c r="AY1341" i="1"/>
  <c r="AF1341" i="1"/>
  <c r="AL1341" i="1" s="1"/>
  <c r="X1341" i="1"/>
  <c r="AB1341" i="1" s="1"/>
  <c r="AZ1340" i="1"/>
  <c r="AY1340" i="1"/>
  <c r="AF1340" i="1"/>
  <c r="AL1340" i="1" s="1"/>
  <c r="X1340" i="1"/>
  <c r="AB1340" i="1" s="1"/>
  <c r="AZ1339" i="1"/>
  <c r="AY1339" i="1"/>
  <c r="AF1339" i="1"/>
  <c r="AL1339" i="1" s="1"/>
  <c r="X1339" i="1"/>
  <c r="AB1339" i="1" s="1"/>
  <c r="AZ1338" i="1"/>
  <c r="AY1338" i="1"/>
  <c r="AG1338" i="1"/>
  <c r="AL1338" i="1" s="1"/>
  <c r="X1338" i="1"/>
  <c r="AB1338" i="1" s="1"/>
  <c r="AZ1337" i="1"/>
  <c r="AY1337" i="1"/>
  <c r="AG1337" i="1"/>
  <c r="AL1337" i="1" s="1"/>
  <c r="X1337" i="1"/>
  <c r="AB1337" i="1" s="1"/>
  <c r="AZ1336" i="1"/>
  <c r="AY1336" i="1"/>
  <c r="AH1336" i="1"/>
  <c r="AL1336" i="1" s="1"/>
  <c r="X1336" i="1"/>
  <c r="AB1336" i="1" s="1"/>
  <c r="AZ1335" i="1"/>
  <c r="AY1335" i="1"/>
  <c r="AH1335" i="1"/>
  <c r="X1335" i="1"/>
  <c r="AB1335" i="1" s="1"/>
  <c r="AZ1334" i="1"/>
  <c r="AY1334" i="1"/>
  <c r="AG1334" i="1"/>
  <c r="AL1334" i="1" s="1"/>
  <c r="X1334" i="1"/>
  <c r="AB1334" i="1" s="1"/>
  <c r="X1332" i="1"/>
  <c r="X1331" i="1"/>
  <c r="AB1331" i="1" s="1"/>
  <c r="AZ1330" i="1"/>
  <c r="AY1330" i="1"/>
  <c r="AF1330" i="1"/>
  <c r="AL1330" i="1" s="1"/>
  <c r="X1330" i="1"/>
  <c r="AB1330" i="1" s="1"/>
  <c r="J1330" i="1"/>
  <c r="X1329" i="1"/>
  <c r="X1328" i="1"/>
  <c r="AB1328" i="1" s="1"/>
  <c r="AZ1327" i="1"/>
  <c r="AY1327" i="1"/>
  <c r="AF1327" i="1"/>
  <c r="AL1327" i="1" s="1"/>
  <c r="X1327" i="1"/>
  <c r="AB1327" i="1" s="1"/>
  <c r="J1327" i="1"/>
  <c r="J1329" i="1" s="1"/>
  <c r="AA1327" i="1" s="1"/>
  <c r="X1326" i="1"/>
  <c r="X1325" i="1"/>
  <c r="AB1325" i="1" s="1"/>
  <c r="AZ1324" i="1"/>
  <c r="AY1324" i="1"/>
  <c r="AG1324" i="1"/>
  <c r="AL1324" i="1" s="1"/>
  <c r="X1324" i="1"/>
  <c r="AB1324" i="1" s="1"/>
  <c r="J1324" i="1"/>
  <c r="J1326" i="1" s="1"/>
  <c r="AA1324" i="1" s="1"/>
  <c r="X1323" i="1"/>
  <c r="AB1323" i="1" s="1"/>
  <c r="X1322" i="1"/>
  <c r="AB1322" i="1" s="1"/>
  <c r="AZ1321" i="1"/>
  <c r="AY1321" i="1"/>
  <c r="AG1321" i="1"/>
  <c r="AL1321" i="1" s="1"/>
  <c r="X1321" i="1"/>
  <c r="AB1321" i="1" s="1"/>
  <c r="J1321" i="1"/>
  <c r="AA1321" i="1" s="1"/>
  <c r="X1320" i="1"/>
  <c r="AB1320" i="1" s="1"/>
  <c r="X1319" i="1"/>
  <c r="AB1319" i="1" s="1"/>
  <c r="AZ1318" i="1"/>
  <c r="AY1318" i="1"/>
  <c r="AG1318" i="1"/>
  <c r="AL1318" i="1" s="1"/>
  <c r="X1318" i="1"/>
  <c r="AB1318" i="1" s="1"/>
  <c r="J1318" i="1"/>
  <c r="AA1318" i="1" s="1"/>
  <c r="X1317" i="1"/>
  <c r="AB1317" i="1" s="1"/>
  <c r="X1316" i="1"/>
  <c r="AB1316" i="1" s="1"/>
  <c r="AZ1315" i="1"/>
  <c r="AY1315" i="1"/>
  <c r="AG1315" i="1"/>
  <c r="AL1315" i="1" s="1"/>
  <c r="X1315" i="1"/>
  <c r="AB1315" i="1" s="1"/>
  <c r="J1315" i="1"/>
  <c r="AA1315" i="1" s="1"/>
  <c r="X1314" i="1"/>
  <c r="X1313" i="1"/>
  <c r="AB1313" i="1" s="1"/>
  <c r="AZ1312" i="1"/>
  <c r="AY1312" i="1"/>
  <c r="AG1312" i="1"/>
  <c r="AL1312" i="1" s="1"/>
  <c r="X1312" i="1"/>
  <c r="AB1312" i="1" s="1"/>
  <c r="J1312" i="1"/>
  <c r="J1314" i="1" s="1"/>
  <c r="AA1312" i="1" s="1"/>
  <c r="X1311" i="1"/>
  <c r="X1310" i="1"/>
  <c r="AB1310" i="1" s="1"/>
  <c r="AZ1309" i="1"/>
  <c r="AY1309" i="1"/>
  <c r="AG1309" i="1"/>
  <c r="AL1309" i="1" s="1"/>
  <c r="X1309" i="1"/>
  <c r="AB1309" i="1" s="1"/>
  <c r="X1308" i="1"/>
  <c r="AB1308" i="1" s="1"/>
  <c r="X1307" i="1"/>
  <c r="AZ1306" i="1"/>
  <c r="AY1306" i="1"/>
  <c r="AG1306" i="1"/>
  <c r="AL1306" i="1" s="1"/>
  <c r="X1306" i="1"/>
  <c r="AB1306" i="1" s="1"/>
  <c r="J1306" i="1"/>
  <c r="J1307" i="1" s="1"/>
  <c r="AA1306" i="1" s="1"/>
  <c r="X1305" i="1"/>
  <c r="AB1305" i="1" s="1"/>
  <c r="X1304" i="1"/>
  <c r="AB1304" i="1" s="1"/>
  <c r="AZ1303" i="1"/>
  <c r="AY1303" i="1"/>
  <c r="AG1303" i="1"/>
  <c r="AL1303" i="1" s="1"/>
  <c r="X1303" i="1"/>
  <c r="AB1303" i="1" s="1"/>
  <c r="X1302" i="1"/>
  <c r="AB1302" i="1" s="1"/>
  <c r="X1301" i="1"/>
  <c r="AB1301" i="1" s="1"/>
  <c r="AZ1300" i="1"/>
  <c r="AY1300" i="1"/>
  <c r="AG1300" i="1"/>
  <c r="AL1300" i="1" s="1"/>
  <c r="J1301" i="1"/>
  <c r="X1299" i="1"/>
  <c r="X1298" i="1"/>
  <c r="AB1298" i="1" s="1"/>
  <c r="AZ1297" i="1"/>
  <c r="AY1297" i="1"/>
  <c r="AG1297" i="1"/>
  <c r="AL1297" i="1" s="1"/>
  <c r="X1297" i="1"/>
  <c r="AB1297" i="1" s="1"/>
  <c r="X1296" i="1"/>
  <c r="AB1296" i="1" s="1"/>
  <c r="X1295" i="1"/>
  <c r="AB1295" i="1" s="1"/>
  <c r="AZ1294" i="1"/>
  <c r="AY1294" i="1"/>
  <c r="AG1294" i="1"/>
  <c r="AL1294" i="1" s="1"/>
  <c r="X1294" i="1"/>
  <c r="AB1294" i="1" s="1"/>
  <c r="J1294" i="1"/>
  <c r="AA1294" i="1" s="1"/>
  <c r="X1293" i="1"/>
  <c r="X1292" i="1"/>
  <c r="AB1292" i="1" s="1"/>
  <c r="AZ1291" i="1"/>
  <c r="AY1291" i="1"/>
  <c r="AG1291" i="1"/>
  <c r="AL1291" i="1" s="1"/>
  <c r="X1291" i="1"/>
  <c r="AB1291" i="1" s="1"/>
  <c r="X1290" i="1"/>
  <c r="AB1290" i="1" s="1"/>
  <c r="X1289" i="1"/>
  <c r="AB1289" i="1" s="1"/>
  <c r="AZ1288" i="1"/>
  <c r="AY1288" i="1"/>
  <c r="AG1288" i="1"/>
  <c r="AL1288" i="1" s="1"/>
  <c r="X1288" i="1"/>
  <c r="AB1288" i="1" s="1"/>
  <c r="J1288" i="1"/>
  <c r="J1290" i="1" s="1"/>
  <c r="AA1288" i="1" s="1"/>
  <c r="X1287" i="1"/>
  <c r="AB1287" i="1" s="1"/>
  <c r="X1286" i="1"/>
  <c r="AB1286" i="1" s="1"/>
  <c r="AZ1285" i="1"/>
  <c r="AY1285" i="1"/>
  <c r="AG1285" i="1"/>
  <c r="AL1285" i="1" s="1"/>
  <c r="X1285" i="1"/>
  <c r="AB1285" i="1" s="1"/>
  <c r="X1284" i="1"/>
  <c r="AB1284" i="1" s="1"/>
  <c r="X1283" i="1"/>
  <c r="AZ1282" i="1"/>
  <c r="AY1282" i="1"/>
  <c r="AG1282" i="1"/>
  <c r="AL1282" i="1" s="1"/>
  <c r="X1282" i="1"/>
  <c r="AB1282" i="1" s="1"/>
  <c r="J1282" i="1"/>
  <c r="X1281" i="1"/>
  <c r="AB1281" i="1" s="1"/>
  <c r="X1280" i="1"/>
  <c r="AZ1279" i="1"/>
  <c r="AY1279" i="1"/>
  <c r="AG1279" i="1"/>
  <c r="AL1279" i="1" s="1"/>
  <c r="J1279" i="1"/>
  <c r="J1280" i="1" s="1"/>
  <c r="X1278" i="1"/>
  <c r="AB1278" i="1" s="1"/>
  <c r="X1277" i="1"/>
  <c r="AB1277" i="1" s="1"/>
  <c r="AZ1276" i="1"/>
  <c r="AY1276" i="1"/>
  <c r="AG1276" i="1"/>
  <c r="AL1276" i="1" s="1"/>
  <c r="X1276" i="1"/>
  <c r="AB1276" i="1" s="1"/>
  <c r="X1275" i="1"/>
  <c r="AB1275" i="1" s="1"/>
  <c r="X1274" i="1"/>
  <c r="AB1274" i="1" s="1"/>
  <c r="AZ1273" i="1"/>
  <c r="AY1273" i="1"/>
  <c r="AG1273" i="1"/>
  <c r="AL1273" i="1" s="1"/>
  <c r="X1273" i="1"/>
  <c r="AB1273" i="1" s="1"/>
  <c r="J1273" i="1"/>
  <c r="AA1273" i="1" s="1"/>
  <c r="X1272" i="1"/>
  <c r="AB1272" i="1" s="1"/>
  <c r="X1271" i="1"/>
  <c r="AB1271" i="1" s="1"/>
  <c r="AZ1270" i="1"/>
  <c r="AY1270" i="1"/>
  <c r="AG1270" i="1"/>
  <c r="AL1270" i="1" s="1"/>
  <c r="X1270" i="1"/>
  <c r="AB1270" i="1" s="1"/>
  <c r="J1270" i="1"/>
  <c r="AA1270" i="1" s="1"/>
  <c r="X1269" i="1"/>
  <c r="AB1269" i="1" s="1"/>
  <c r="X1268" i="1"/>
  <c r="AB1268" i="1" s="1"/>
  <c r="AZ1267" i="1"/>
  <c r="AY1267" i="1"/>
  <c r="AG1267" i="1"/>
  <c r="AL1267" i="1" s="1"/>
  <c r="X1267" i="1"/>
  <c r="AB1267" i="1" s="1"/>
  <c r="J1267" i="1"/>
  <c r="AA1267" i="1" s="1"/>
  <c r="X1266" i="1"/>
  <c r="X1265" i="1"/>
  <c r="AB1265" i="1" s="1"/>
  <c r="AZ1264" i="1"/>
  <c r="AY1264" i="1"/>
  <c r="AF1264" i="1"/>
  <c r="AL1264" i="1" s="1"/>
  <c r="X1264" i="1"/>
  <c r="AB1264" i="1" s="1"/>
  <c r="X1263" i="1"/>
  <c r="AB1263" i="1" s="1"/>
  <c r="X1262" i="1"/>
  <c r="AB1262" i="1" s="1"/>
  <c r="AZ1261" i="1"/>
  <c r="AY1261" i="1"/>
  <c r="AG1261" i="1"/>
  <c r="AL1261" i="1" s="1"/>
  <c r="X1261" i="1"/>
  <c r="AB1261" i="1" s="1"/>
  <c r="J1261" i="1"/>
  <c r="AA1261" i="1" s="1"/>
  <c r="X1260" i="1"/>
  <c r="X1259" i="1"/>
  <c r="AB1259" i="1" s="1"/>
  <c r="AZ1258" i="1"/>
  <c r="AY1258" i="1"/>
  <c r="AF1258" i="1"/>
  <c r="AL1258" i="1" s="1"/>
  <c r="X1258" i="1"/>
  <c r="AB1258" i="1" s="1"/>
  <c r="X1257" i="1"/>
  <c r="AB1257" i="1" s="1"/>
  <c r="X1256" i="1"/>
  <c r="AB1256" i="1" s="1"/>
  <c r="AZ1255" i="1"/>
  <c r="AY1255" i="1"/>
  <c r="AF1255" i="1"/>
  <c r="AL1255" i="1" s="1"/>
  <c r="X1255" i="1"/>
  <c r="AB1255" i="1" s="1"/>
  <c r="J1255" i="1"/>
  <c r="AA1255" i="1" s="1"/>
  <c r="X1254" i="1"/>
  <c r="AB1254" i="1" s="1"/>
  <c r="X1253" i="1"/>
  <c r="AB1253" i="1" s="1"/>
  <c r="AZ1252" i="1"/>
  <c r="AY1252" i="1"/>
  <c r="AF1252" i="1"/>
  <c r="AL1252" i="1" s="1"/>
  <c r="X1252" i="1"/>
  <c r="AB1252" i="1" s="1"/>
  <c r="J1252" i="1"/>
  <c r="AA1252" i="1" s="1"/>
  <c r="X1251" i="1"/>
  <c r="AB1251" i="1" s="1"/>
  <c r="X1250" i="1"/>
  <c r="AB1250" i="1" s="1"/>
  <c r="AZ1249" i="1"/>
  <c r="AY1249" i="1"/>
  <c r="AG1249" i="1"/>
  <c r="AL1249" i="1" s="1"/>
  <c r="X1249" i="1"/>
  <c r="AB1249" i="1" s="1"/>
  <c r="J1249" i="1"/>
  <c r="AA1249" i="1" s="1"/>
  <c r="X1248" i="1"/>
  <c r="X1247" i="1"/>
  <c r="AB1247" i="1" s="1"/>
  <c r="AZ1246" i="1"/>
  <c r="AY1246" i="1"/>
  <c r="AG1246" i="1"/>
  <c r="AL1246" i="1" s="1"/>
  <c r="X1246" i="1"/>
  <c r="AB1246" i="1" s="1"/>
  <c r="J1246" i="1"/>
  <c r="AA1246" i="1" s="1"/>
  <c r="X1245" i="1"/>
  <c r="AB1245" i="1" s="1"/>
  <c r="X1244" i="1"/>
  <c r="AB1244" i="1" s="1"/>
  <c r="AZ1243" i="1"/>
  <c r="AY1243" i="1"/>
  <c r="AF1243" i="1"/>
  <c r="AL1243" i="1" s="1"/>
  <c r="X1243" i="1"/>
  <c r="AB1243" i="1" s="1"/>
  <c r="J1243" i="1"/>
  <c r="AA1243" i="1" s="1"/>
  <c r="X1242" i="1"/>
  <c r="X1241" i="1"/>
  <c r="AB1241" i="1" s="1"/>
  <c r="AZ1240" i="1"/>
  <c r="AY1240" i="1"/>
  <c r="AF1240" i="1"/>
  <c r="AL1240" i="1" s="1"/>
  <c r="X1240" i="1"/>
  <c r="AB1240" i="1" s="1"/>
  <c r="J1240" i="1"/>
  <c r="AA1240" i="1" s="1"/>
  <c r="X1239" i="1"/>
  <c r="AB1239" i="1" s="1"/>
  <c r="X1238" i="1"/>
  <c r="AB1238" i="1" s="1"/>
  <c r="AZ1237" i="1"/>
  <c r="AY1237" i="1"/>
  <c r="AG1237" i="1"/>
  <c r="AL1237" i="1" s="1"/>
  <c r="X1237" i="1"/>
  <c r="AB1237" i="1" s="1"/>
  <c r="J1237" i="1"/>
  <c r="AA1237" i="1" s="1"/>
  <c r="X1236" i="1"/>
  <c r="AB1236" i="1" s="1"/>
  <c r="X1235" i="1"/>
  <c r="J1235" i="1"/>
  <c r="AZ1234" i="1"/>
  <c r="AY1234" i="1"/>
  <c r="AF1234" i="1"/>
  <c r="AL1234" i="1" s="1"/>
  <c r="X1234" i="1"/>
  <c r="AB1234" i="1" s="1"/>
  <c r="J1234" i="1"/>
  <c r="X1233" i="1"/>
  <c r="AB1233" i="1" s="1"/>
  <c r="X1232" i="1"/>
  <c r="AB1232" i="1" s="1"/>
  <c r="AZ1231" i="1"/>
  <c r="AY1231" i="1"/>
  <c r="AF1231" i="1"/>
  <c r="AL1231" i="1" s="1"/>
  <c r="X1231" i="1"/>
  <c r="AB1231" i="1" s="1"/>
  <c r="J1231" i="1"/>
  <c r="AA1231" i="1" s="1"/>
  <c r="X1230" i="1"/>
  <c r="AB1230" i="1" s="1"/>
  <c r="X1229" i="1"/>
  <c r="AB1229" i="1" s="1"/>
  <c r="J1229" i="1"/>
  <c r="AZ1228" i="1"/>
  <c r="AY1228" i="1"/>
  <c r="AG1228" i="1"/>
  <c r="AL1228" i="1" s="1"/>
  <c r="X1228" i="1"/>
  <c r="AB1228" i="1" s="1"/>
  <c r="J1228" i="1"/>
  <c r="X1227" i="1"/>
  <c r="AB1227" i="1" s="1"/>
  <c r="X1226" i="1"/>
  <c r="AB1226" i="1" s="1"/>
  <c r="AZ1225" i="1"/>
  <c r="AY1225" i="1"/>
  <c r="AG1225" i="1"/>
  <c r="AL1225" i="1" s="1"/>
  <c r="X1225" i="1"/>
  <c r="AB1225" i="1" s="1"/>
  <c r="J1225" i="1"/>
  <c r="AA1225" i="1" s="1"/>
  <c r="X1224" i="1"/>
  <c r="X1223" i="1"/>
  <c r="AB1223" i="1" s="1"/>
  <c r="AZ1222" i="1"/>
  <c r="AY1222" i="1"/>
  <c r="AF1222" i="1"/>
  <c r="AL1222" i="1" s="1"/>
  <c r="X1222" i="1"/>
  <c r="AB1222" i="1" s="1"/>
  <c r="J1222" i="1"/>
  <c r="AA1222" i="1" s="1"/>
  <c r="X1221" i="1"/>
  <c r="AB1221" i="1" s="1"/>
  <c r="X1220" i="1"/>
  <c r="AB1220" i="1" s="1"/>
  <c r="AZ1219" i="1"/>
  <c r="AY1219" i="1"/>
  <c r="AG1219" i="1"/>
  <c r="AL1219" i="1" s="1"/>
  <c r="X1219" i="1"/>
  <c r="AB1219" i="1" s="1"/>
  <c r="J1219" i="1"/>
  <c r="AA1219" i="1" s="1"/>
  <c r="X1218" i="1"/>
  <c r="X1217" i="1"/>
  <c r="AB1217" i="1" s="1"/>
  <c r="AZ1216" i="1"/>
  <c r="AY1216" i="1"/>
  <c r="AF1216" i="1"/>
  <c r="AL1216" i="1" s="1"/>
  <c r="X1216" i="1"/>
  <c r="AB1216" i="1" s="1"/>
  <c r="J1216" i="1"/>
  <c r="AA1216" i="1" s="1"/>
  <c r="X1215" i="1"/>
  <c r="AB1215" i="1" s="1"/>
  <c r="X1214" i="1"/>
  <c r="AB1214" i="1" s="1"/>
  <c r="AZ1213" i="1"/>
  <c r="AY1213" i="1"/>
  <c r="AG1213" i="1"/>
  <c r="AL1213" i="1" s="1"/>
  <c r="X1213" i="1"/>
  <c r="AB1213" i="1" s="1"/>
  <c r="J1213" i="1"/>
  <c r="AA1213" i="1" s="1"/>
  <c r="X1212" i="1"/>
  <c r="AB1212" i="1" s="1"/>
  <c r="X1211" i="1"/>
  <c r="AB1211" i="1" s="1"/>
  <c r="AZ1210" i="1"/>
  <c r="AY1210" i="1"/>
  <c r="AG1210" i="1"/>
  <c r="AL1210" i="1" s="1"/>
  <c r="X1210" i="1"/>
  <c r="AB1210" i="1" s="1"/>
  <c r="J1210" i="1"/>
  <c r="AA1210" i="1" s="1"/>
  <c r="X1209" i="1"/>
  <c r="AB1209" i="1" s="1"/>
  <c r="X1208" i="1"/>
  <c r="AB1208" i="1" s="1"/>
  <c r="AZ1207" i="1"/>
  <c r="AY1207" i="1"/>
  <c r="AG1207" i="1"/>
  <c r="AL1207" i="1" s="1"/>
  <c r="X1207" i="1"/>
  <c r="AB1207" i="1" s="1"/>
  <c r="X1206" i="1"/>
  <c r="AB1206" i="1" s="1"/>
  <c r="X1205" i="1"/>
  <c r="AB1205" i="1" s="1"/>
  <c r="AZ1204" i="1"/>
  <c r="AY1204" i="1"/>
  <c r="AG1204" i="1"/>
  <c r="AL1204" i="1" s="1"/>
  <c r="X1204" i="1"/>
  <c r="AB1204" i="1" s="1"/>
  <c r="X1203" i="1"/>
  <c r="AB1203" i="1" s="1"/>
  <c r="X1202" i="1"/>
  <c r="AB1202" i="1" s="1"/>
  <c r="AZ1201" i="1"/>
  <c r="AY1201" i="1"/>
  <c r="AG1201" i="1"/>
  <c r="AL1201" i="1" s="1"/>
  <c r="X1201" i="1"/>
  <c r="AB1201" i="1" s="1"/>
  <c r="X1200" i="1"/>
  <c r="AB1200" i="1" s="1"/>
  <c r="X1199" i="1"/>
  <c r="AB1199" i="1" s="1"/>
  <c r="AZ1198" i="1"/>
  <c r="AY1198" i="1"/>
  <c r="AG1198" i="1"/>
  <c r="AL1198" i="1" s="1"/>
  <c r="X1198" i="1"/>
  <c r="AB1198" i="1" s="1"/>
  <c r="X1197" i="1"/>
  <c r="AB1197" i="1" s="1"/>
  <c r="X1196" i="1"/>
  <c r="AB1196" i="1" s="1"/>
  <c r="AZ1195" i="1"/>
  <c r="AY1195" i="1"/>
  <c r="AF1195" i="1"/>
  <c r="AL1195" i="1" s="1"/>
  <c r="X1195" i="1"/>
  <c r="AB1195" i="1" s="1"/>
  <c r="J1195" i="1"/>
  <c r="X1194" i="1"/>
  <c r="AB1194" i="1" s="1"/>
  <c r="X1193" i="1"/>
  <c r="AB1193" i="1" s="1"/>
  <c r="AZ1192" i="1"/>
  <c r="AY1192" i="1"/>
  <c r="AG1192" i="1"/>
  <c r="AL1192" i="1" s="1"/>
  <c r="X1192" i="1"/>
  <c r="AB1192" i="1" s="1"/>
  <c r="X1191" i="1"/>
  <c r="AB1191" i="1" s="1"/>
  <c r="X1190" i="1"/>
  <c r="AB1190" i="1" s="1"/>
  <c r="AZ1189" i="1"/>
  <c r="AY1189" i="1"/>
  <c r="AG1189" i="1"/>
  <c r="AL1189" i="1" s="1"/>
  <c r="X1189" i="1"/>
  <c r="AB1189" i="1" s="1"/>
  <c r="X1188" i="1"/>
  <c r="AB1188" i="1" s="1"/>
  <c r="X1187" i="1"/>
  <c r="AB1187" i="1" s="1"/>
  <c r="J1187" i="1"/>
  <c r="AZ1186" i="1"/>
  <c r="AY1186" i="1"/>
  <c r="AG1186" i="1"/>
  <c r="AL1186" i="1" s="1"/>
  <c r="X1186" i="1"/>
  <c r="AB1186" i="1" s="1"/>
  <c r="J1186" i="1"/>
  <c r="X1185" i="1"/>
  <c r="AB1185" i="1" s="1"/>
  <c r="X1184" i="1"/>
  <c r="AB1184" i="1" s="1"/>
  <c r="AZ1183" i="1"/>
  <c r="AY1183" i="1"/>
  <c r="AG1183" i="1"/>
  <c r="AL1183" i="1" s="1"/>
  <c r="X1183" i="1"/>
  <c r="AB1183" i="1" s="1"/>
  <c r="J1183" i="1"/>
  <c r="AA1183" i="1" s="1"/>
  <c r="X1182" i="1"/>
  <c r="AB1182" i="1" s="1"/>
  <c r="X1181" i="1"/>
  <c r="AB1181" i="1" s="1"/>
  <c r="AZ1180" i="1"/>
  <c r="AY1180" i="1"/>
  <c r="AF1180" i="1"/>
  <c r="AL1180" i="1" s="1"/>
  <c r="X1180" i="1"/>
  <c r="AB1180" i="1" s="1"/>
  <c r="J1180" i="1"/>
  <c r="AA1180" i="1" s="1"/>
  <c r="X1179" i="1"/>
  <c r="AB1179" i="1" s="1"/>
  <c r="X1178" i="1"/>
  <c r="AB1178" i="1" s="1"/>
  <c r="AZ1177" i="1"/>
  <c r="AY1177" i="1"/>
  <c r="AF1177" i="1"/>
  <c r="AL1177" i="1" s="1"/>
  <c r="X1177" i="1"/>
  <c r="AB1177" i="1" s="1"/>
  <c r="J1177" i="1"/>
  <c r="AA1177" i="1" s="1"/>
  <c r="X1176" i="1"/>
  <c r="AB1176" i="1" s="1"/>
  <c r="X1175" i="1"/>
  <c r="AB1175" i="1" s="1"/>
  <c r="AZ1174" i="1"/>
  <c r="AY1174" i="1"/>
  <c r="AG1174" i="1"/>
  <c r="AL1174" i="1" s="1"/>
  <c r="X1174" i="1"/>
  <c r="AB1174" i="1" s="1"/>
  <c r="J1174" i="1"/>
  <c r="AA1174" i="1" s="1"/>
  <c r="X1173" i="1"/>
  <c r="AB1173" i="1" s="1"/>
  <c r="X1172" i="1"/>
  <c r="AB1172" i="1" s="1"/>
  <c r="AZ1171" i="1"/>
  <c r="AY1171" i="1"/>
  <c r="AG1171" i="1"/>
  <c r="AL1171" i="1" s="1"/>
  <c r="J1172" i="1"/>
  <c r="X1170" i="1"/>
  <c r="AB1170" i="1" s="1"/>
  <c r="X1169" i="1"/>
  <c r="AB1169" i="1" s="1"/>
  <c r="AZ1168" i="1"/>
  <c r="AY1168" i="1"/>
  <c r="AG1168" i="1"/>
  <c r="AL1168" i="1" s="1"/>
  <c r="X1168" i="1"/>
  <c r="AB1168" i="1" s="1"/>
  <c r="J1168" i="1"/>
  <c r="AA1168" i="1" s="1"/>
  <c r="X1167" i="1"/>
  <c r="X1166" i="1"/>
  <c r="AB1166" i="1" s="1"/>
  <c r="AZ1165" i="1"/>
  <c r="AY1165" i="1"/>
  <c r="AF1165" i="1"/>
  <c r="AL1165" i="1" s="1"/>
  <c r="X1165" i="1"/>
  <c r="AB1165" i="1" s="1"/>
  <c r="J1165" i="1"/>
  <c r="AA1165" i="1" s="1"/>
  <c r="X1164" i="1"/>
  <c r="AB1164" i="1" s="1"/>
  <c r="X1163" i="1"/>
  <c r="AB1163" i="1" s="1"/>
  <c r="AZ1162" i="1"/>
  <c r="AY1162" i="1"/>
  <c r="AG1162" i="1"/>
  <c r="AL1162" i="1" s="1"/>
  <c r="X1162" i="1"/>
  <c r="AB1162" i="1" s="1"/>
  <c r="X1161" i="1"/>
  <c r="AB1161" i="1" s="1"/>
  <c r="X1160" i="1"/>
  <c r="AB1160" i="1" s="1"/>
  <c r="AZ1159" i="1"/>
  <c r="AY1159" i="1"/>
  <c r="AG1159" i="1"/>
  <c r="AL1159" i="1" s="1"/>
  <c r="X1159" i="1"/>
  <c r="AB1159" i="1" s="1"/>
  <c r="J1159" i="1"/>
  <c r="AA1159" i="1" s="1"/>
  <c r="X1158" i="1"/>
  <c r="AB1158" i="1" s="1"/>
  <c r="X1157" i="1"/>
  <c r="AB1157" i="1" s="1"/>
  <c r="AZ1156" i="1"/>
  <c r="AY1156" i="1"/>
  <c r="AG1156" i="1"/>
  <c r="AL1156" i="1" s="1"/>
  <c r="X1156" i="1"/>
  <c r="AB1156" i="1" s="1"/>
  <c r="X1155" i="1"/>
  <c r="AB1155" i="1" s="1"/>
  <c r="X1154" i="1"/>
  <c r="AB1154" i="1" s="1"/>
  <c r="AZ1153" i="1"/>
  <c r="AY1153" i="1"/>
  <c r="AG1153" i="1"/>
  <c r="AL1153" i="1" s="1"/>
  <c r="J1154" i="1"/>
  <c r="X1152" i="1"/>
  <c r="AB1152" i="1" s="1"/>
  <c r="X1151" i="1"/>
  <c r="AB1151" i="1" s="1"/>
  <c r="AZ1150" i="1"/>
  <c r="AY1150" i="1"/>
  <c r="AF1150" i="1"/>
  <c r="AL1150" i="1" s="1"/>
  <c r="X1150" i="1"/>
  <c r="AB1150" i="1" s="1"/>
  <c r="X1149" i="1"/>
  <c r="AB1149" i="1" s="1"/>
  <c r="X1148" i="1"/>
  <c r="AB1148" i="1" s="1"/>
  <c r="AZ1147" i="1"/>
  <c r="AY1147" i="1"/>
  <c r="AG1147" i="1"/>
  <c r="AL1147" i="1" s="1"/>
  <c r="X1147" i="1"/>
  <c r="AB1147" i="1" s="1"/>
  <c r="J1147" i="1"/>
  <c r="AA1147" i="1" s="1"/>
  <c r="X1146" i="1"/>
  <c r="AB1146" i="1" s="1"/>
  <c r="X1145" i="1"/>
  <c r="AB1145" i="1" s="1"/>
  <c r="AZ1144" i="1"/>
  <c r="AY1144" i="1"/>
  <c r="AF1144" i="1"/>
  <c r="AL1144" i="1" s="1"/>
  <c r="X1144" i="1"/>
  <c r="AB1144" i="1" s="1"/>
  <c r="X1143" i="1"/>
  <c r="AB1143" i="1" s="1"/>
  <c r="X1142" i="1"/>
  <c r="AZ1141" i="1"/>
  <c r="AY1141" i="1"/>
  <c r="AF1141" i="1"/>
  <c r="AL1141" i="1" s="1"/>
  <c r="J1142" i="1"/>
  <c r="X1140" i="1"/>
  <c r="AB1140" i="1" s="1"/>
  <c r="X1139" i="1"/>
  <c r="AB1139" i="1" s="1"/>
  <c r="AZ1138" i="1"/>
  <c r="AY1138" i="1"/>
  <c r="AG1138" i="1"/>
  <c r="AL1138" i="1" s="1"/>
  <c r="J1139" i="1"/>
  <c r="X1137" i="1"/>
  <c r="AB1137" i="1" s="1"/>
  <c r="X1136" i="1"/>
  <c r="AB1136" i="1" s="1"/>
  <c r="J1136" i="1"/>
  <c r="AZ1135" i="1"/>
  <c r="AY1135" i="1"/>
  <c r="AG1135" i="1"/>
  <c r="AL1135" i="1" s="1"/>
  <c r="X1135" i="1"/>
  <c r="AB1135" i="1" s="1"/>
  <c r="J1135" i="1"/>
  <c r="X1134" i="1"/>
  <c r="AB1134" i="1" s="1"/>
  <c r="X1133" i="1"/>
  <c r="AB1133" i="1" s="1"/>
  <c r="AZ1132" i="1"/>
  <c r="AY1132" i="1"/>
  <c r="AF1132" i="1"/>
  <c r="AL1132" i="1" s="1"/>
  <c r="J1133" i="1"/>
  <c r="J1132" i="1"/>
  <c r="X1131" i="1"/>
  <c r="X1130" i="1"/>
  <c r="AB1130" i="1" s="1"/>
  <c r="AZ1129" i="1"/>
  <c r="AY1129" i="1"/>
  <c r="AG1129" i="1"/>
  <c r="AL1129" i="1" s="1"/>
  <c r="X1129" i="1"/>
  <c r="AB1129" i="1" s="1"/>
  <c r="X1128" i="1"/>
  <c r="AB1128" i="1" s="1"/>
  <c r="X1127" i="1"/>
  <c r="AB1127" i="1" s="1"/>
  <c r="AZ1126" i="1"/>
  <c r="AY1126" i="1"/>
  <c r="AF1126" i="1"/>
  <c r="AL1126" i="1" s="1"/>
  <c r="X1126" i="1"/>
  <c r="AB1126" i="1" s="1"/>
  <c r="J1126" i="1"/>
  <c r="J1127" i="1" s="1"/>
  <c r="X1125" i="1"/>
  <c r="AB1125" i="1" s="1"/>
  <c r="X1124" i="1"/>
  <c r="AB1124" i="1" s="1"/>
  <c r="AZ1123" i="1"/>
  <c r="AY1123" i="1"/>
  <c r="AG1123" i="1"/>
  <c r="AL1123" i="1" s="1"/>
  <c r="X1123" i="1"/>
  <c r="AB1123" i="1" s="1"/>
  <c r="X1122" i="1"/>
  <c r="AB1122" i="1" s="1"/>
  <c r="X1121" i="1"/>
  <c r="AB1121" i="1" s="1"/>
  <c r="AZ1120" i="1"/>
  <c r="AY1120" i="1"/>
  <c r="AG1120" i="1"/>
  <c r="AL1120" i="1" s="1"/>
  <c r="X1120" i="1"/>
  <c r="AB1120" i="1" s="1"/>
  <c r="X1119" i="1"/>
  <c r="AB1119" i="1" s="1"/>
  <c r="X1118" i="1"/>
  <c r="AB1118" i="1" s="1"/>
  <c r="AZ1117" i="1"/>
  <c r="AY1117" i="1"/>
  <c r="AG1117" i="1"/>
  <c r="AL1117" i="1" s="1"/>
  <c r="X1117" i="1"/>
  <c r="AB1117" i="1" s="1"/>
  <c r="X1116" i="1"/>
  <c r="AB1116" i="1" s="1"/>
  <c r="X1115" i="1"/>
  <c r="AB1115" i="1" s="1"/>
  <c r="AZ1114" i="1"/>
  <c r="AY1114" i="1"/>
  <c r="AG1114" i="1"/>
  <c r="AL1114" i="1" s="1"/>
  <c r="J1115" i="1"/>
  <c r="X1113" i="1"/>
  <c r="X1112" i="1"/>
  <c r="AB1112" i="1" s="1"/>
  <c r="AZ1111" i="1"/>
  <c r="AY1111" i="1"/>
  <c r="AF1111" i="1"/>
  <c r="AL1111" i="1" s="1"/>
  <c r="X1111" i="1"/>
  <c r="AB1111" i="1" s="1"/>
  <c r="J1111" i="1"/>
  <c r="AA1111" i="1" s="1"/>
  <c r="X1110" i="1"/>
  <c r="X1109" i="1"/>
  <c r="AB1109" i="1" s="1"/>
  <c r="AZ1108" i="1"/>
  <c r="AY1108" i="1"/>
  <c r="AF1108" i="1"/>
  <c r="AL1108" i="1" s="1"/>
  <c r="X1108" i="1"/>
  <c r="AB1108" i="1" s="1"/>
  <c r="X1107" i="1"/>
  <c r="X1106" i="1"/>
  <c r="AB1106" i="1" s="1"/>
  <c r="AZ1105" i="1"/>
  <c r="AY1105" i="1"/>
  <c r="AG1105" i="1"/>
  <c r="AL1105" i="1" s="1"/>
  <c r="X1105" i="1"/>
  <c r="AB1105" i="1" s="1"/>
  <c r="X1104" i="1"/>
  <c r="AB1104" i="1" s="1"/>
  <c r="X1103" i="1"/>
  <c r="AB1103" i="1" s="1"/>
  <c r="AZ1102" i="1"/>
  <c r="AY1102" i="1"/>
  <c r="AG1102" i="1"/>
  <c r="AL1102" i="1" s="1"/>
  <c r="X1102" i="1"/>
  <c r="AB1102" i="1" s="1"/>
  <c r="X1101" i="1"/>
  <c r="AB1101" i="1" s="1"/>
  <c r="X1100" i="1"/>
  <c r="AB1100" i="1" s="1"/>
  <c r="AZ1099" i="1"/>
  <c r="AY1099" i="1"/>
  <c r="AG1099" i="1"/>
  <c r="AL1099" i="1" s="1"/>
  <c r="J1100" i="1"/>
  <c r="X1098" i="1"/>
  <c r="X1097" i="1"/>
  <c r="AB1097" i="1" s="1"/>
  <c r="AZ1096" i="1"/>
  <c r="AY1096" i="1"/>
  <c r="AF1096" i="1"/>
  <c r="AL1096" i="1" s="1"/>
  <c r="X1096" i="1"/>
  <c r="AB1096" i="1" s="1"/>
  <c r="J1096" i="1"/>
  <c r="AA1096" i="1" s="1"/>
  <c r="X1095" i="1"/>
  <c r="AB1095" i="1" s="1"/>
  <c r="X1094" i="1"/>
  <c r="AB1094" i="1" s="1"/>
  <c r="AZ1093" i="1"/>
  <c r="AY1093" i="1"/>
  <c r="AF1093" i="1"/>
  <c r="AL1093" i="1" s="1"/>
  <c r="X1093" i="1"/>
  <c r="AB1093" i="1" s="1"/>
  <c r="X1092" i="1"/>
  <c r="X1091" i="1"/>
  <c r="AB1091" i="1" s="1"/>
  <c r="AZ1090" i="1"/>
  <c r="AY1090" i="1"/>
  <c r="AG1090" i="1"/>
  <c r="AL1090" i="1" s="1"/>
  <c r="X1090" i="1"/>
  <c r="AB1090" i="1" s="1"/>
  <c r="J1090" i="1"/>
  <c r="X1089" i="1"/>
  <c r="X1088" i="1"/>
  <c r="AB1088" i="1" s="1"/>
  <c r="AZ1087" i="1"/>
  <c r="AY1087" i="1"/>
  <c r="AF1087" i="1"/>
  <c r="AL1087" i="1" s="1"/>
  <c r="X1087" i="1"/>
  <c r="AB1087" i="1" s="1"/>
  <c r="J1087" i="1"/>
  <c r="AA1087" i="1" s="1"/>
  <c r="X1086" i="1"/>
  <c r="AB1086" i="1" s="1"/>
  <c r="X1085" i="1"/>
  <c r="AB1085" i="1" s="1"/>
  <c r="AZ1084" i="1"/>
  <c r="AY1084" i="1"/>
  <c r="AG1084" i="1"/>
  <c r="AL1084" i="1" s="1"/>
  <c r="X1084" i="1"/>
  <c r="AB1084" i="1" s="1"/>
  <c r="X1083" i="1"/>
  <c r="X1082" i="1"/>
  <c r="AB1082" i="1" s="1"/>
  <c r="AZ1081" i="1"/>
  <c r="AY1081" i="1"/>
  <c r="AF1081" i="1"/>
  <c r="AL1081" i="1" s="1"/>
  <c r="X1081" i="1"/>
  <c r="AB1081" i="1" s="1"/>
  <c r="J1081" i="1"/>
  <c r="AA1081" i="1" s="1"/>
  <c r="X1080" i="1"/>
  <c r="AB1080" i="1" s="1"/>
  <c r="X1079" i="1"/>
  <c r="AB1079" i="1" s="1"/>
  <c r="AZ1078" i="1"/>
  <c r="AY1078" i="1"/>
  <c r="AF1078" i="1"/>
  <c r="AL1078" i="1" s="1"/>
  <c r="X1078" i="1"/>
  <c r="AB1078" i="1" s="1"/>
  <c r="X1077" i="1"/>
  <c r="AB1077" i="1" s="1"/>
  <c r="X1076" i="1"/>
  <c r="AB1076" i="1" s="1"/>
  <c r="AZ1075" i="1"/>
  <c r="AY1075" i="1"/>
  <c r="AG1075" i="1"/>
  <c r="AL1075" i="1" s="1"/>
  <c r="X1075" i="1"/>
  <c r="AB1075" i="1" s="1"/>
  <c r="X1074" i="1"/>
  <c r="AB1074" i="1" s="1"/>
  <c r="X1073" i="1"/>
  <c r="AB1073" i="1" s="1"/>
  <c r="AZ1072" i="1"/>
  <c r="AY1072" i="1"/>
  <c r="AG1072" i="1"/>
  <c r="AL1072" i="1" s="1"/>
  <c r="J1073" i="1"/>
  <c r="J1072" i="1"/>
  <c r="AA1072" i="1" s="1"/>
  <c r="X1071" i="1"/>
  <c r="AB1071" i="1" s="1"/>
  <c r="X1070" i="1"/>
  <c r="AB1070" i="1" s="1"/>
  <c r="AZ1069" i="1"/>
  <c r="AY1069" i="1"/>
  <c r="AG1069" i="1"/>
  <c r="AL1069" i="1" s="1"/>
  <c r="X1069" i="1"/>
  <c r="AB1069" i="1" s="1"/>
  <c r="X1068" i="1"/>
  <c r="AB1068" i="1" s="1"/>
  <c r="X1067" i="1"/>
  <c r="AZ1066" i="1"/>
  <c r="AY1066" i="1"/>
  <c r="AG1066" i="1"/>
  <c r="AL1066" i="1" s="1"/>
  <c r="X1066" i="1"/>
  <c r="AB1066" i="1" s="1"/>
  <c r="J1066" i="1"/>
  <c r="X1065" i="1"/>
  <c r="X1064" i="1"/>
  <c r="AB1064" i="1" s="1"/>
  <c r="AZ1063" i="1"/>
  <c r="AY1063" i="1"/>
  <c r="AG1063" i="1"/>
  <c r="AL1063" i="1" s="1"/>
  <c r="X1063" i="1"/>
  <c r="AB1063" i="1" s="1"/>
  <c r="J1063" i="1"/>
  <c r="J1065" i="1" s="1"/>
  <c r="AA1063" i="1" s="1"/>
  <c r="X1062" i="1"/>
  <c r="AB1062" i="1" s="1"/>
  <c r="X1061" i="1"/>
  <c r="AB1061" i="1" s="1"/>
  <c r="AZ1060" i="1"/>
  <c r="AY1060" i="1"/>
  <c r="AG1060" i="1"/>
  <c r="AL1060" i="1" s="1"/>
  <c r="X1060" i="1"/>
  <c r="AB1060" i="1" s="1"/>
  <c r="J1060" i="1"/>
  <c r="AA1060" i="1" s="1"/>
  <c r="X1059" i="1"/>
  <c r="AB1059" i="1" s="1"/>
  <c r="J1059" i="1"/>
  <c r="X1058" i="1"/>
  <c r="AB1058" i="1" s="1"/>
  <c r="AZ1057" i="1"/>
  <c r="AY1057" i="1"/>
  <c r="AG1057" i="1"/>
  <c r="AL1057" i="1" s="1"/>
  <c r="X1057" i="1"/>
  <c r="AB1057" i="1" s="1"/>
  <c r="J1057" i="1"/>
  <c r="X1056" i="1"/>
  <c r="AB1056" i="1" s="1"/>
  <c r="X1055" i="1"/>
  <c r="AB1055" i="1" s="1"/>
  <c r="AZ1054" i="1"/>
  <c r="AY1054" i="1"/>
  <c r="AG1054" i="1"/>
  <c r="AL1054" i="1" s="1"/>
  <c r="X1054" i="1"/>
  <c r="AB1054" i="1" s="1"/>
  <c r="X1053" i="1"/>
  <c r="AB1053" i="1" s="1"/>
  <c r="X1052" i="1"/>
  <c r="AB1052" i="1" s="1"/>
  <c r="AZ1051" i="1"/>
  <c r="AY1051" i="1"/>
  <c r="AF1051" i="1"/>
  <c r="AL1051" i="1" s="1"/>
  <c r="X1051" i="1"/>
  <c r="AB1051" i="1" s="1"/>
  <c r="J1051" i="1"/>
  <c r="AA1051" i="1" s="1"/>
  <c r="X1050" i="1"/>
  <c r="AB1050" i="1" s="1"/>
  <c r="X1049" i="1"/>
  <c r="AZ1048" i="1"/>
  <c r="AY1048" i="1"/>
  <c r="AF1048" i="1"/>
  <c r="AL1048" i="1" s="1"/>
  <c r="X1048" i="1"/>
  <c r="AB1048" i="1" s="1"/>
  <c r="J1048" i="1"/>
  <c r="X1047" i="1"/>
  <c r="AB1047" i="1" s="1"/>
  <c r="X1046" i="1"/>
  <c r="AB1046" i="1" s="1"/>
  <c r="AZ1045" i="1"/>
  <c r="AY1045" i="1"/>
  <c r="AG1045" i="1"/>
  <c r="AL1045" i="1" s="1"/>
  <c r="X1045" i="1"/>
  <c r="AB1045" i="1" s="1"/>
  <c r="X1044" i="1"/>
  <c r="AB1044" i="1" s="1"/>
  <c r="X1043" i="1"/>
  <c r="AB1043" i="1" s="1"/>
  <c r="J1043" i="1"/>
  <c r="AZ1042" i="1"/>
  <c r="AY1042" i="1"/>
  <c r="AG1042" i="1"/>
  <c r="AL1042" i="1" s="1"/>
  <c r="X1042" i="1"/>
  <c r="AB1042" i="1" s="1"/>
  <c r="J1042" i="1"/>
  <c r="AA1042" i="1" s="1"/>
  <c r="X1041" i="1"/>
  <c r="AB1041" i="1" s="1"/>
  <c r="X1040" i="1"/>
  <c r="AB1040" i="1" s="1"/>
  <c r="AZ1039" i="1"/>
  <c r="AY1039" i="1"/>
  <c r="AF1039" i="1"/>
  <c r="AL1039" i="1" s="1"/>
  <c r="X1039" i="1"/>
  <c r="AB1039" i="1" s="1"/>
  <c r="J1039" i="1"/>
  <c r="X1038" i="1"/>
  <c r="AB1038" i="1" s="1"/>
  <c r="X1037" i="1"/>
  <c r="AZ1036" i="1"/>
  <c r="AY1036" i="1"/>
  <c r="AF1036" i="1"/>
  <c r="AL1036" i="1" s="1"/>
  <c r="X1036" i="1"/>
  <c r="AB1036" i="1" s="1"/>
  <c r="J1036" i="1"/>
  <c r="J1037" i="1" s="1"/>
  <c r="AA1036" i="1" s="1"/>
  <c r="X1035" i="1"/>
  <c r="AB1035" i="1" s="1"/>
  <c r="X1034" i="1"/>
  <c r="AZ1033" i="1"/>
  <c r="AY1033" i="1"/>
  <c r="AF1033" i="1"/>
  <c r="AL1033" i="1" s="1"/>
  <c r="X1033" i="1"/>
  <c r="AB1033" i="1" s="1"/>
  <c r="J1033" i="1"/>
  <c r="J1034" i="1" s="1"/>
  <c r="AA1033" i="1" s="1"/>
  <c r="X1032" i="1"/>
  <c r="AB1032" i="1" s="1"/>
  <c r="X1031" i="1"/>
  <c r="AB1031" i="1" s="1"/>
  <c r="AZ1030" i="1"/>
  <c r="AY1030" i="1"/>
  <c r="AF1030" i="1"/>
  <c r="AL1030" i="1" s="1"/>
  <c r="X1030" i="1"/>
  <c r="AB1030" i="1" s="1"/>
  <c r="J1030" i="1"/>
  <c r="J1031" i="1" s="1"/>
  <c r="X1029" i="1"/>
  <c r="AB1029" i="1" s="1"/>
  <c r="X1028" i="1"/>
  <c r="AB1028" i="1" s="1"/>
  <c r="AZ1027" i="1"/>
  <c r="AY1027" i="1"/>
  <c r="AG1027" i="1"/>
  <c r="AL1027" i="1" s="1"/>
  <c r="X1027" i="1"/>
  <c r="AB1027" i="1" s="1"/>
  <c r="J1027" i="1"/>
  <c r="AA1027" i="1" s="1"/>
  <c r="X1026" i="1"/>
  <c r="AB1026" i="1" s="1"/>
  <c r="X1025" i="1"/>
  <c r="AZ1024" i="1"/>
  <c r="AY1024" i="1"/>
  <c r="AF1024" i="1"/>
  <c r="AL1024" i="1" s="1"/>
  <c r="X1024" i="1"/>
  <c r="AB1024" i="1" s="1"/>
  <c r="J1024" i="1"/>
  <c r="X1023" i="1"/>
  <c r="AB1023" i="1" s="1"/>
  <c r="X1022" i="1"/>
  <c r="AB1022" i="1" s="1"/>
  <c r="AZ1021" i="1"/>
  <c r="AY1021" i="1"/>
  <c r="AF1021" i="1"/>
  <c r="AL1021" i="1" s="1"/>
  <c r="X1021" i="1"/>
  <c r="AB1021" i="1" s="1"/>
  <c r="J1021" i="1"/>
  <c r="AA1021" i="1" s="1"/>
  <c r="X1020" i="1"/>
  <c r="X1019" i="1"/>
  <c r="AB1019" i="1" s="1"/>
  <c r="AZ1018" i="1"/>
  <c r="AY1018" i="1"/>
  <c r="AF1018" i="1"/>
  <c r="AL1018" i="1" s="1"/>
  <c r="X1018" i="1"/>
  <c r="AB1018" i="1" s="1"/>
  <c r="J1018" i="1"/>
  <c r="AA1018" i="1" s="1"/>
  <c r="X1017" i="1"/>
  <c r="AB1017" i="1" s="1"/>
  <c r="X1016" i="1"/>
  <c r="AB1016" i="1" s="1"/>
  <c r="AZ1015" i="1"/>
  <c r="AY1015" i="1"/>
  <c r="AF1015" i="1"/>
  <c r="AL1015" i="1" s="1"/>
  <c r="X1015" i="1"/>
  <c r="AB1015" i="1" s="1"/>
  <c r="J1015" i="1"/>
  <c r="AA1015" i="1" s="1"/>
  <c r="X1014" i="1"/>
  <c r="AB1014" i="1" s="1"/>
  <c r="X1013" i="1"/>
  <c r="J1013" i="1"/>
  <c r="AZ1012" i="1"/>
  <c r="AY1012" i="1"/>
  <c r="AF1012" i="1"/>
  <c r="AL1012" i="1" s="1"/>
  <c r="X1012" i="1"/>
  <c r="AB1012" i="1" s="1"/>
  <c r="J1012" i="1"/>
  <c r="AA1012" i="1" s="1"/>
  <c r="X1011" i="1"/>
  <c r="X1010" i="1"/>
  <c r="AB1010" i="1" s="1"/>
  <c r="AZ1009" i="1"/>
  <c r="AY1009" i="1"/>
  <c r="AF1009" i="1"/>
  <c r="AL1009" i="1" s="1"/>
  <c r="X1009" i="1"/>
  <c r="AB1009" i="1" s="1"/>
  <c r="J1009" i="1"/>
  <c r="AA1009" i="1" s="1"/>
  <c r="X1008" i="1"/>
  <c r="AB1008" i="1" s="1"/>
  <c r="X1007" i="1"/>
  <c r="AB1007" i="1" s="1"/>
  <c r="AZ1006" i="1"/>
  <c r="AY1006" i="1"/>
  <c r="AG1006" i="1"/>
  <c r="AL1006" i="1" s="1"/>
  <c r="X1006" i="1"/>
  <c r="AB1006" i="1" s="1"/>
  <c r="J1006" i="1"/>
  <c r="AA1006" i="1" s="1"/>
  <c r="X1005" i="1"/>
  <c r="X1004" i="1"/>
  <c r="AB1004" i="1" s="1"/>
  <c r="AZ1003" i="1"/>
  <c r="AY1003" i="1"/>
  <c r="AF1003" i="1"/>
  <c r="AL1003" i="1" s="1"/>
  <c r="X1003" i="1"/>
  <c r="AB1003" i="1" s="1"/>
  <c r="J1003" i="1"/>
  <c r="AA1003" i="1" s="1"/>
  <c r="X1002" i="1"/>
  <c r="AB1002" i="1" s="1"/>
  <c r="X1001" i="1"/>
  <c r="AB1001" i="1" s="1"/>
  <c r="AZ1000" i="1"/>
  <c r="AY1000" i="1"/>
  <c r="AF1000" i="1"/>
  <c r="AL1000" i="1" s="1"/>
  <c r="X1000" i="1"/>
  <c r="AB1000" i="1" s="1"/>
  <c r="X999" i="1"/>
  <c r="AB999" i="1" s="1"/>
  <c r="J999" i="1"/>
  <c r="X998" i="1"/>
  <c r="AB998" i="1" s="1"/>
  <c r="AZ997" i="1"/>
  <c r="AY997" i="1"/>
  <c r="AG997" i="1"/>
  <c r="AL997" i="1" s="1"/>
  <c r="X997" i="1"/>
  <c r="AB997" i="1" s="1"/>
  <c r="J997" i="1"/>
  <c r="X996" i="1"/>
  <c r="AB996" i="1" s="1"/>
  <c r="X995" i="1"/>
  <c r="AB995" i="1" s="1"/>
  <c r="AZ994" i="1"/>
  <c r="AY994" i="1"/>
  <c r="AF994" i="1"/>
  <c r="AL994" i="1" s="1"/>
  <c r="X994" i="1"/>
  <c r="AB994" i="1" s="1"/>
  <c r="J994" i="1"/>
  <c r="J996" i="1" s="1"/>
  <c r="AA994" i="1" s="1"/>
  <c r="X993" i="1"/>
  <c r="AB993" i="1" s="1"/>
  <c r="X992" i="1"/>
  <c r="AB992" i="1" s="1"/>
  <c r="AZ991" i="1"/>
  <c r="AY991" i="1"/>
  <c r="AG991" i="1"/>
  <c r="AL991" i="1" s="1"/>
  <c r="X991" i="1"/>
  <c r="AB991" i="1" s="1"/>
  <c r="J991" i="1"/>
  <c r="AA991" i="1" s="1"/>
  <c r="X990" i="1"/>
  <c r="AB990" i="1" s="1"/>
  <c r="X989" i="1"/>
  <c r="AB989" i="1" s="1"/>
  <c r="AZ988" i="1"/>
  <c r="AY988" i="1"/>
  <c r="AG988" i="1"/>
  <c r="AL988" i="1" s="1"/>
  <c r="X988" i="1"/>
  <c r="AB988" i="1" s="1"/>
  <c r="X987" i="1"/>
  <c r="AB987" i="1" s="1"/>
  <c r="X986" i="1"/>
  <c r="AB986" i="1" s="1"/>
  <c r="AZ985" i="1"/>
  <c r="AY985" i="1"/>
  <c r="AG985" i="1"/>
  <c r="AL985" i="1" s="1"/>
  <c r="J986" i="1"/>
  <c r="X984" i="1"/>
  <c r="AB984" i="1" s="1"/>
  <c r="X983" i="1"/>
  <c r="AB983" i="1" s="1"/>
  <c r="J983" i="1"/>
  <c r="AZ982" i="1"/>
  <c r="AY982" i="1"/>
  <c r="AG982" i="1"/>
  <c r="AL982" i="1" s="1"/>
  <c r="X982" i="1"/>
  <c r="AB982" i="1" s="1"/>
  <c r="J982" i="1"/>
  <c r="X981" i="1"/>
  <c r="X980" i="1"/>
  <c r="AB980" i="1" s="1"/>
  <c r="AZ979" i="1"/>
  <c r="AY979" i="1"/>
  <c r="AF979" i="1"/>
  <c r="AL979" i="1" s="1"/>
  <c r="X979" i="1"/>
  <c r="AB979" i="1" s="1"/>
  <c r="X978" i="1"/>
  <c r="AB978" i="1" s="1"/>
  <c r="X977" i="1"/>
  <c r="AB977" i="1" s="1"/>
  <c r="AZ976" i="1"/>
  <c r="AY976" i="1"/>
  <c r="AF976" i="1"/>
  <c r="AL976" i="1" s="1"/>
  <c r="X976" i="1"/>
  <c r="AB976" i="1" s="1"/>
  <c r="X975" i="1"/>
  <c r="X974" i="1"/>
  <c r="AB974" i="1" s="1"/>
  <c r="AZ973" i="1"/>
  <c r="AY973" i="1"/>
  <c r="AF973" i="1"/>
  <c r="AL973" i="1" s="1"/>
  <c r="X973" i="1"/>
  <c r="AB973" i="1" s="1"/>
  <c r="X972" i="1"/>
  <c r="AB972" i="1" s="1"/>
  <c r="X971" i="1"/>
  <c r="AZ970" i="1"/>
  <c r="AY970" i="1"/>
  <c r="AF970" i="1"/>
  <c r="AL970" i="1" s="1"/>
  <c r="X970" i="1"/>
  <c r="AB970" i="1" s="1"/>
  <c r="J970" i="1"/>
  <c r="AA970" i="1" s="1"/>
  <c r="X969" i="1"/>
  <c r="AB969" i="1" s="1"/>
  <c r="X968" i="1"/>
  <c r="AB968" i="1" s="1"/>
  <c r="AZ967" i="1"/>
  <c r="AY967" i="1"/>
  <c r="AG967" i="1"/>
  <c r="AL967" i="1" s="1"/>
  <c r="X967" i="1"/>
  <c r="AB967" i="1" s="1"/>
  <c r="J967" i="1"/>
  <c r="AA967" i="1" s="1"/>
  <c r="X966" i="1"/>
  <c r="AB966" i="1" s="1"/>
  <c r="X965" i="1"/>
  <c r="AB965" i="1" s="1"/>
  <c r="AZ964" i="1"/>
  <c r="AY964" i="1"/>
  <c r="AG964" i="1"/>
  <c r="AL964" i="1" s="1"/>
  <c r="X964" i="1"/>
  <c r="AB964" i="1" s="1"/>
  <c r="J964" i="1"/>
  <c r="AA964" i="1" s="1"/>
  <c r="X963" i="1"/>
  <c r="AB963" i="1" s="1"/>
  <c r="X962" i="1"/>
  <c r="AB962" i="1" s="1"/>
  <c r="AZ961" i="1"/>
  <c r="AY961" i="1"/>
  <c r="AF961" i="1"/>
  <c r="AL961" i="1" s="1"/>
  <c r="X961" i="1"/>
  <c r="AB961" i="1" s="1"/>
  <c r="J961" i="1"/>
  <c r="AA961" i="1" s="1"/>
  <c r="X960" i="1"/>
  <c r="X959" i="1"/>
  <c r="AB959" i="1" s="1"/>
  <c r="AZ958" i="1"/>
  <c r="AY958" i="1"/>
  <c r="AG958" i="1"/>
  <c r="AL958" i="1" s="1"/>
  <c r="X958" i="1"/>
  <c r="AB958" i="1" s="1"/>
  <c r="X957" i="1"/>
  <c r="AB957" i="1" s="1"/>
  <c r="X956" i="1"/>
  <c r="AB956" i="1" s="1"/>
  <c r="AZ955" i="1"/>
  <c r="AY955" i="1"/>
  <c r="AG955" i="1"/>
  <c r="AL955" i="1" s="1"/>
  <c r="X955" i="1"/>
  <c r="AB955" i="1" s="1"/>
  <c r="X954" i="1"/>
  <c r="X953" i="1"/>
  <c r="AB953" i="1" s="1"/>
  <c r="AZ952" i="1"/>
  <c r="AY952" i="1"/>
  <c r="AG952" i="1"/>
  <c r="AL952" i="1" s="1"/>
  <c r="X952" i="1"/>
  <c r="AB952" i="1" s="1"/>
  <c r="X951" i="1"/>
  <c r="AB951" i="1" s="1"/>
  <c r="X950" i="1"/>
  <c r="AB950" i="1" s="1"/>
  <c r="AZ949" i="1"/>
  <c r="AY949" i="1"/>
  <c r="AG949" i="1"/>
  <c r="AL949" i="1" s="1"/>
  <c r="X949" i="1"/>
  <c r="AB949" i="1" s="1"/>
  <c r="X948" i="1"/>
  <c r="X947" i="1"/>
  <c r="AB947" i="1" s="1"/>
  <c r="AZ946" i="1"/>
  <c r="AY946" i="1"/>
  <c r="AF946" i="1"/>
  <c r="AL946" i="1" s="1"/>
  <c r="X946" i="1"/>
  <c r="AB946" i="1" s="1"/>
  <c r="J946" i="1"/>
  <c r="J948" i="1" s="1"/>
  <c r="AA946" i="1" s="1"/>
  <c r="X945" i="1"/>
  <c r="AB945" i="1" s="1"/>
  <c r="X944" i="1"/>
  <c r="AB944" i="1" s="1"/>
  <c r="J944" i="1"/>
  <c r="AZ943" i="1"/>
  <c r="AY943" i="1"/>
  <c r="AG943" i="1"/>
  <c r="AL943" i="1" s="1"/>
  <c r="X943" i="1"/>
  <c r="AB943" i="1" s="1"/>
  <c r="J943" i="1"/>
  <c r="X942" i="1"/>
  <c r="AB942" i="1" s="1"/>
  <c r="X941" i="1"/>
  <c r="AB941" i="1" s="1"/>
  <c r="AZ940" i="1"/>
  <c r="AY940" i="1"/>
  <c r="AG940" i="1"/>
  <c r="AL940" i="1" s="1"/>
  <c r="X940" i="1"/>
  <c r="AB940" i="1" s="1"/>
  <c r="X939" i="1"/>
  <c r="AB939" i="1" s="1"/>
  <c r="X938" i="1"/>
  <c r="AB938" i="1" s="1"/>
  <c r="AZ937" i="1"/>
  <c r="AY937" i="1"/>
  <c r="AG937" i="1"/>
  <c r="AL937" i="1" s="1"/>
  <c r="X937" i="1"/>
  <c r="AB937" i="1" s="1"/>
  <c r="J937" i="1"/>
  <c r="X936" i="1"/>
  <c r="AB936" i="1" s="1"/>
  <c r="X935" i="1"/>
  <c r="AB935" i="1" s="1"/>
  <c r="AZ934" i="1"/>
  <c r="AY934" i="1"/>
  <c r="AF934" i="1"/>
  <c r="AL934" i="1" s="1"/>
  <c r="X934" i="1"/>
  <c r="AB934" i="1" s="1"/>
  <c r="X933" i="1"/>
  <c r="X932" i="1"/>
  <c r="AB932" i="1" s="1"/>
  <c r="AZ931" i="1"/>
  <c r="AY931" i="1"/>
  <c r="AF931" i="1"/>
  <c r="AL931" i="1" s="1"/>
  <c r="X931" i="1"/>
  <c r="AB931" i="1" s="1"/>
  <c r="J931" i="1"/>
  <c r="AA931" i="1" s="1"/>
  <c r="X930" i="1"/>
  <c r="AB930" i="1" s="1"/>
  <c r="X929" i="1"/>
  <c r="AB929" i="1" s="1"/>
  <c r="AZ928" i="1"/>
  <c r="AY928" i="1"/>
  <c r="AG928" i="1"/>
  <c r="AL928" i="1" s="1"/>
  <c r="X928" i="1"/>
  <c r="AB928" i="1" s="1"/>
  <c r="X927" i="1"/>
  <c r="AB927" i="1" s="1"/>
  <c r="X926" i="1"/>
  <c r="AB926" i="1" s="1"/>
  <c r="AZ925" i="1"/>
  <c r="AY925" i="1"/>
  <c r="AG925" i="1"/>
  <c r="AL925" i="1" s="1"/>
  <c r="X925" i="1"/>
  <c r="AB925" i="1" s="1"/>
  <c r="J925" i="1"/>
  <c r="AA925" i="1" s="1"/>
  <c r="X924" i="1"/>
  <c r="AB924" i="1" s="1"/>
  <c r="X923" i="1"/>
  <c r="AB923" i="1" s="1"/>
  <c r="AZ922" i="1"/>
  <c r="AY922" i="1"/>
  <c r="AG922" i="1"/>
  <c r="AL922" i="1" s="1"/>
  <c r="X922" i="1"/>
  <c r="AB922" i="1" s="1"/>
  <c r="J922" i="1"/>
  <c r="AA922" i="1" s="1"/>
  <c r="X921" i="1"/>
  <c r="AB921" i="1" s="1"/>
  <c r="X920" i="1"/>
  <c r="AB920" i="1" s="1"/>
  <c r="AZ919" i="1"/>
  <c r="AY919" i="1"/>
  <c r="AG919" i="1"/>
  <c r="AL919" i="1" s="1"/>
  <c r="J921" i="1"/>
  <c r="AA919" i="1" s="1"/>
  <c r="J919" i="1"/>
  <c r="X918" i="1"/>
  <c r="AB918" i="1" s="1"/>
  <c r="X917" i="1"/>
  <c r="AB917" i="1" s="1"/>
  <c r="AZ916" i="1"/>
  <c r="AY916" i="1"/>
  <c r="AG916" i="1"/>
  <c r="AL916" i="1" s="1"/>
  <c r="X916" i="1"/>
  <c r="AB916" i="1" s="1"/>
  <c r="X915" i="1"/>
  <c r="X914" i="1"/>
  <c r="AB914" i="1" s="1"/>
  <c r="AZ913" i="1"/>
  <c r="AY913" i="1"/>
  <c r="AG913" i="1"/>
  <c r="AL913" i="1" s="1"/>
  <c r="X912" i="1"/>
  <c r="X911" i="1"/>
  <c r="AB911" i="1" s="1"/>
  <c r="AZ910" i="1"/>
  <c r="AY910" i="1"/>
  <c r="AG910" i="1"/>
  <c r="AL910" i="1" s="1"/>
  <c r="X910" i="1"/>
  <c r="AB910" i="1" s="1"/>
  <c r="X909" i="1"/>
  <c r="AB909" i="1" s="1"/>
  <c r="X908" i="1"/>
  <c r="AB908" i="1" s="1"/>
  <c r="AZ907" i="1"/>
  <c r="AY907" i="1"/>
  <c r="AG907" i="1"/>
  <c r="AL907" i="1" s="1"/>
  <c r="X907" i="1"/>
  <c r="AB907" i="1" s="1"/>
  <c r="X906" i="1"/>
  <c r="AB906" i="1" s="1"/>
  <c r="X905" i="1"/>
  <c r="AB905" i="1" s="1"/>
  <c r="J905" i="1"/>
  <c r="AZ904" i="1"/>
  <c r="AY904" i="1"/>
  <c r="AG904" i="1"/>
  <c r="AL904" i="1" s="1"/>
  <c r="X904" i="1"/>
  <c r="AB904" i="1" s="1"/>
  <c r="J904" i="1"/>
  <c r="X903" i="1"/>
  <c r="AB903" i="1" s="1"/>
  <c r="X902" i="1"/>
  <c r="AB902" i="1" s="1"/>
  <c r="J902" i="1"/>
  <c r="AZ901" i="1"/>
  <c r="AY901" i="1"/>
  <c r="AG901" i="1"/>
  <c r="AL901" i="1" s="1"/>
  <c r="X901" i="1"/>
  <c r="AB901" i="1" s="1"/>
  <c r="J901" i="1"/>
  <c r="X900" i="1"/>
  <c r="AB900" i="1" s="1"/>
  <c r="X899" i="1"/>
  <c r="AB899" i="1" s="1"/>
  <c r="AZ898" i="1"/>
  <c r="AY898" i="1"/>
  <c r="AG898" i="1"/>
  <c r="AL898" i="1" s="1"/>
  <c r="X898" i="1"/>
  <c r="AB898" i="1" s="1"/>
  <c r="J898" i="1"/>
  <c r="AA898" i="1" s="1"/>
  <c r="X897" i="1"/>
  <c r="X896" i="1"/>
  <c r="AB896" i="1" s="1"/>
  <c r="AZ895" i="1"/>
  <c r="AY895" i="1"/>
  <c r="AG895" i="1"/>
  <c r="AL895" i="1" s="1"/>
  <c r="X895" i="1"/>
  <c r="AB895" i="1" s="1"/>
  <c r="X894" i="1"/>
  <c r="AB894" i="1" s="1"/>
  <c r="X893" i="1"/>
  <c r="AB893" i="1" s="1"/>
  <c r="AZ892" i="1"/>
  <c r="AY892" i="1"/>
  <c r="AF892" i="1"/>
  <c r="AL892" i="1" s="1"/>
  <c r="X892" i="1"/>
  <c r="AB892" i="1" s="1"/>
  <c r="X891" i="1"/>
  <c r="X890" i="1"/>
  <c r="AB890" i="1" s="1"/>
  <c r="AZ889" i="1"/>
  <c r="AY889" i="1"/>
  <c r="AG889" i="1"/>
  <c r="AL889" i="1" s="1"/>
  <c r="X889" i="1"/>
  <c r="AB889" i="1" s="1"/>
  <c r="J889" i="1"/>
  <c r="J891" i="1" s="1"/>
  <c r="AA889" i="1" s="1"/>
  <c r="X888" i="1"/>
  <c r="X887" i="1"/>
  <c r="AB887" i="1" s="1"/>
  <c r="AZ886" i="1"/>
  <c r="AY886" i="1"/>
  <c r="AG886" i="1"/>
  <c r="AL886" i="1" s="1"/>
  <c r="X886" i="1"/>
  <c r="AB886" i="1" s="1"/>
  <c r="J886" i="1"/>
  <c r="J888" i="1" s="1"/>
  <c r="AA886" i="1" s="1"/>
  <c r="X885" i="1"/>
  <c r="AB885" i="1" s="1"/>
  <c r="X884" i="1"/>
  <c r="AB884" i="1" s="1"/>
  <c r="AZ883" i="1"/>
  <c r="AY883" i="1"/>
  <c r="AG883" i="1"/>
  <c r="AL883" i="1" s="1"/>
  <c r="X883" i="1"/>
  <c r="AB883" i="1" s="1"/>
  <c r="X882" i="1"/>
  <c r="AB882" i="1" s="1"/>
  <c r="X881" i="1"/>
  <c r="AB881" i="1" s="1"/>
  <c r="J881" i="1"/>
  <c r="AZ880" i="1"/>
  <c r="AY880" i="1"/>
  <c r="AG880" i="1"/>
  <c r="AL880" i="1" s="1"/>
  <c r="X880" i="1"/>
  <c r="AB880" i="1" s="1"/>
  <c r="J880" i="1"/>
  <c r="AA880" i="1" s="1"/>
  <c r="X879" i="1"/>
  <c r="X878" i="1"/>
  <c r="AB878" i="1" s="1"/>
  <c r="AZ877" i="1"/>
  <c r="AY877" i="1"/>
  <c r="AG877" i="1"/>
  <c r="AL877" i="1" s="1"/>
  <c r="X877" i="1"/>
  <c r="AB877" i="1" s="1"/>
  <c r="X876" i="1"/>
  <c r="AB876" i="1" s="1"/>
  <c r="X875" i="1"/>
  <c r="AB875" i="1" s="1"/>
  <c r="AZ874" i="1"/>
  <c r="AY874" i="1"/>
  <c r="AG874" i="1"/>
  <c r="AL874" i="1" s="1"/>
  <c r="X874" i="1"/>
  <c r="AB874" i="1" s="1"/>
  <c r="X873" i="1"/>
  <c r="AB873" i="1" s="1"/>
  <c r="X872" i="1"/>
  <c r="AB872" i="1" s="1"/>
  <c r="AZ871" i="1"/>
  <c r="AY871" i="1"/>
  <c r="AF871" i="1"/>
  <c r="AL871" i="1" s="1"/>
  <c r="X871" i="1"/>
  <c r="AB871" i="1" s="1"/>
  <c r="X870" i="1"/>
  <c r="AB870" i="1" s="1"/>
  <c r="X869" i="1"/>
  <c r="AB869" i="1" s="1"/>
  <c r="AZ868" i="1"/>
  <c r="AY868" i="1"/>
  <c r="AF868" i="1"/>
  <c r="AL868" i="1" s="1"/>
  <c r="X868" i="1"/>
  <c r="AB868" i="1" s="1"/>
  <c r="J868" i="1"/>
  <c r="J869" i="1" s="1"/>
  <c r="AA868" i="1" s="1"/>
  <c r="X867" i="1"/>
  <c r="AB867" i="1" s="1"/>
  <c r="X866" i="1"/>
  <c r="AZ865" i="1"/>
  <c r="AY865" i="1"/>
  <c r="AF865" i="1"/>
  <c r="AL865" i="1" s="1"/>
  <c r="X865" i="1"/>
  <c r="AB865" i="1" s="1"/>
  <c r="X864" i="1"/>
  <c r="AB864" i="1" s="1"/>
  <c r="X863" i="1"/>
  <c r="AB863" i="1" s="1"/>
  <c r="AZ862" i="1"/>
  <c r="AY862" i="1"/>
  <c r="AG862" i="1"/>
  <c r="AL862" i="1" s="1"/>
  <c r="X862" i="1"/>
  <c r="AB862" i="1" s="1"/>
  <c r="J862" i="1"/>
  <c r="J864" i="1" s="1"/>
  <c r="AA862" i="1" s="1"/>
  <c r="X861" i="1"/>
  <c r="AB861" i="1" s="1"/>
  <c r="X860" i="1"/>
  <c r="AB860" i="1" s="1"/>
  <c r="AZ859" i="1"/>
  <c r="AY859" i="1"/>
  <c r="AG859" i="1"/>
  <c r="AL859" i="1" s="1"/>
  <c r="X859" i="1"/>
  <c r="AB859" i="1" s="1"/>
  <c r="X858" i="1"/>
  <c r="AB858" i="1" s="1"/>
  <c r="X857" i="1"/>
  <c r="AB857" i="1" s="1"/>
  <c r="AZ856" i="1"/>
  <c r="AY856" i="1"/>
  <c r="AG856" i="1"/>
  <c r="AL856" i="1" s="1"/>
  <c r="X856" i="1"/>
  <c r="AB856" i="1" s="1"/>
  <c r="J856" i="1"/>
  <c r="AA856" i="1" s="1"/>
  <c r="X855" i="1"/>
  <c r="X854" i="1"/>
  <c r="AB854" i="1" s="1"/>
  <c r="AZ853" i="1"/>
  <c r="AY853" i="1"/>
  <c r="AF853" i="1"/>
  <c r="AL853" i="1" s="1"/>
  <c r="X853" i="1"/>
  <c r="AB853" i="1" s="1"/>
  <c r="J853" i="1"/>
  <c r="X852" i="1"/>
  <c r="X851" i="1"/>
  <c r="AB851" i="1" s="1"/>
  <c r="AZ850" i="1"/>
  <c r="AY850" i="1"/>
  <c r="AF850" i="1"/>
  <c r="AL850" i="1" s="1"/>
  <c r="X850" i="1"/>
  <c r="AB850" i="1" s="1"/>
  <c r="J850" i="1"/>
  <c r="J852" i="1" s="1"/>
  <c r="AA850" i="1" s="1"/>
  <c r="X849" i="1"/>
  <c r="X848" i="1"/>
  <c r="AB848" i="1" s="1"/>
  <c r="AZ847" i="1"/>
  <c r="AY847" i="1"/>
  <c r="AF847" i="1"/>
  <c r="AL847" i="1" s="1"/>
  <c r="X847" i="1"/>
  <c r="AB847" i="1" s="1"/>
  <c r="J847" i="1"/>
  <c r="AA847" i="1" s="1"/>
  <c r="X846" i="1"/>
  <c r="X845" i="1"/>
  <c r="AB845" i="1" s="1"/>
  <c r="AZ844" i="1"/>
  <c r="AY844" i="1"/>
  <c r="AF844" i="1"/>
  <c r="AL844" i="1" s="1"/>
  <c r="X844" i="1"/>
  <c r="AB844" i="1" s="1"/>
  <c r="J844" i="1"/>
  <c r="AA844" i="1" s="1"/>
  <c r="X843" i="1"/>
  <c r="AB843" i="1" s="1"/>
  <c r="X842" i="1"/>
  <c r="AB842" i="1" s="1"/>
  <c r="AZ841" i="1"/>
  <c r="AY841" i="1"/>
  <c r="AF841" i="1"/>
  <c r="AL841" i="1" s="1"/>
  <c r="X841" i="1"/>
  <c r="AB841" i="1" s="1"/>
  <c r="J841" i="1"/>
  <c r="AA841" i="1" s="1"/>
  <c r="X840" i="1"/>
  <c r="AB840" i="1" s="1"/>
  <c r="X839" i="1"/>
  <c r="AB839" i="1" s="1"/>
  <c r="AZ838" i="1"/>
  <c r="AY838" i="1"/>
  <c r="AF838" i="1"/>
  <c r="AL838" i="1" s="1"/>
  <c r="X838" i="1"/>
  <c r="AB838" i="1" s="1"/>
  <c r="J838" i="1"/>
  <c r="AA838" i="1" s="1"/>
  <c r="X837" i="1"/>
  <c r="AB837" i="1" s="1"/>
  <c r="X836" i="1"/>
  <c r="AZ835" i="1"/>
  <c r="AY835" i="1"/>
  <c r="AF835" i="1"/>
  <c r="AL835" i="1" s="1"/>
  <c r="X835" i="1"/>
  <c r="AB835" i="1" s="1"/>
  <c r="J835" i="1"/>
  <c r="J836" i="1" s="1"/>
  <c r="AA835" i="1" s="1"/>
  <c r="X834" i="1"/>
  <c r="X833" i="1"/>
  <c r="AB833" i="1" s="1"/>
  <c r="AZ832" i="1"/>
  <c r="AY832" i="1"/>
  <c r="AF832" i="1"/>
  <c r="AL832" i="1" s="1"/>
  <c r="X832" i="1"/>
  <c r="AB832" i="1" s="1"/>
  <c r="J832" i="1"/>
  <c r="J834" i="1" s="1"/>
  <c r="AA832" i="1" s="1"/>
  <c r="X831" i="1"/>
  <c r="X830" i="1"/>
  <c r="AB830" i="1" s="1"/>
  <c r="AZ829" i="1"/>
  <c r="AY829" i="1"/>
  <c r="AF829" i="1"/>
  <c r="AL829" i="1" s="1"/>
  <c r="X829" i="1"/>
  <c r="AB829" i="1" s="1"/>
  <c r="J829" i="1"/>
  <c r="AA829" i="1" s="1"/>
  <c r="X828" i="1"/>
  <c r="X827" i="1"/>
  <c r="AB827" i="1" s="1"/>
  <c r="AZ826" i="1"/>
  <c r="AY826" i="1"/>
  <c r="AF826" i="1"/>
  <c r="AL826" i="1" s="1"/>
  <c r="X826" i="1"/>
  <c r="AB826" i="1" s="1"/>
  <c r="J826" i="1"/>
  <c r="J828" i="1" s="1"/>
  <c r="AA826" i="1" s="1"/>
  <c r="X825" i="1"/>
  <c r="AB825" i="1" s="1"/>
  <c r="X824" i="1"/>
  <c r="AB824" i="1" s="1"/>
  <c r="AZ823" i="1"/>
  <c r="AY823" i="1"/>
  <c r="AG823" i="1"/>
  <c r="AL823" i="1" s="1"/>
  <c r="X823" i="1"/>
  <c r="AB823" i="1" s="1"/>
  <c r="X822" i="1"/>
  <c r="AB822" i="1" s="1"/>
  <c r="X821" i="1"/>
  <c r="AZ820" i="1"/>
  <c r="AY820" i="1"/>
  <c r="AF820" i="1"/>
  <c r="AL820" i="1" s="1"/>
  <c r="X820" i="1"/>
  <c r="AB820" i="1" s="1"/>
  <c r="J820" i="1"/>
  <c r="AA820" i="1" s="1"/>
  <c r="X819" i="1"/>
  <c r="AB819" i="1" s="1"/>
  <c r="X818" i="1"/>
  <c r="AB818" i="1" s="1"/>
  <c r="AZ817" i="1"/>
  <c r="AY817" i="1"/>
  <c r="AG817" i="1"/>
  <c r="AL817" i="1" s="1"/>
  <c r="X817" i="1"/>
  <c r="AB817" i="1" s="1"/>
  <c r="X816" i="1"/>
  <c r="AB816" i="1" s="1"/>
  <c r="X815" i="1"/>
  <c r="AB815" i="1" s="1"/>
  <c r="AZ814" i="1"/>
  <c r="AY814" i="1"/>
  <c r="AF814" i="1"/>
  <c r="AL814" i="1" s="1"/>
  <c r="X814" i="1"/>
  <c r="AB814" i="1" s="1"/>
  <c r="J814" i="1"/>
  <c r="AA814" i="1" s="1"/>
  <c r="X813" i="1"/>
  <c r="AB813" i="1" s="1"/>
  <c r="X812" i="1"/>
  <c r="AB812" i="1" s="1"/>
  <c r="AZ811" i="1"/>
  <c r="AY811" i="1"/>
  <c r="AG811" i="1"/>
  <c r="AL811" i="1" s="1"/>
  <c r="X811" i="1"/>
  <c r="AB811" i="1" s="1"/>
  <c r="X810" i="1"/>
  <c r="AB810" i="1" s="1"/>
  <c r="X809" i="1"/>
  <c r="AB809" i="1" s="1"/>
  <c r="AZ808" i="1"/>
  <c r="AY808" i="1"/>
  <c r="AF808" i="1"/>
  <c r="AL808" i="1" s="1"/>
  <c r="X808" i="1"/>
  <c r="AB808" i="1" s="1"/>
  <c r="J808" i="1"/>
  <c r="J810" i="1" s="1"/>
  <c r="AA808" i="1" s="1"/>
  <c r="X807" i="1"/>
  <c r="X806" i="1"/>
  <c r="AB806" i="1" s="1"/>
  <c r="AZ805" i="1"/>
  <c r="AY805" i="1"/>
  <c r="AF805" i="1"/>
  <c r="AL805" i="1" s="1"/>
  <c r="X805" i="1"/>
  <c r="AB805" i="1" s="1"/>
  <c r="X804" i="1"/>
  <c r="AB804" i="1" s="1"/>
  <c r="X803" i="1"/>
  <c r="AB803" i="1" s="1"/>
  <c r="AZ802" i="1"/>
  <c r="AY802" i="1"/>
  <c r="AF802" i="1"/>
  <c r="AL802" i="1" s="1"/>
  <c r="X802" i="1"/>
  <c r="AB802" i="1" s="1"/>
  <c r="X801" i="1"/>
  <c r="AB801" i="1" s="1"/>
  <c r="X800" i="1"/>
  <c r="AB800" i="1" s="1"/>
  <c r="AZ799" i="1"/>
  <c r="AY799" i="1"/>
  <c r="AF799" i="1"/>
  <c r="AL799" i="1" s="1"/>
  <c r="X799" i="1"/>
  <c r="AB799" i="1" s="1"/>
  <c r="J799" i="1"/>
  <c r="AA799" i="1" s="1"/>
  <c r="X798" i="1"/>
  <c r="AB798" i="1" s="1"/>
  <c r="X797" i="1"/>
  <c r="AB797" i="1" s="1"/>
  <c r="AZ796" i="1"/>
  <c r="AY796" i="1"/>
  <c r="AG796" i="1"/>
  <c r="AL796" i="1" s="1"/>
  <c r="X796" i="1"/>
  <c r="AB796" i="1" s="1"/>
  <c r="X795" i="1"/>
  <c r="AB795" i="1" s="1"/>
  <c r="X794" i="1"/>
  <c r="AB794" i="1" s="1"/>
  <c r="J794" i="1"/>
  <c r="AA793" i="1" s="1"/>
  <c r="AZ793" i="1"/>
  <c r="AY793" i="1"/>
  <c r="AF793" i="1"/>
  <c r="AL793" i="1" s="1"/>
  <c r="X793" i="1"/>
  <c r="AB793" i="1" s="1"/>
  <c r="J793" i="1"/>
  <c r="X792" i="1"/>
  <c r="AB792" i="1" s="1"/>
  <c r="X791" i="1"/>
  <c r="AZ790" i="1"/>
  <c r="AY790" i="1"/>
  <c r="AF790" i="1"/>
  <c r="AL790" i="1" s="1"/>
  <c r="X790" i="1"/>
  <c r="AB790" i="1" s="1"/>
  <c r="J790" i="1"/>
  <c r="AA790" i="1" s="1"/>
  <c r="X789" i="1"/>
  <c r="AB789" i="1" s="1"/>
  <c r="X788" i="1"/>
  <c r="AB788" i="1" s="1"/>
  <c r="AZ787" i="1"/>
  <c r="AY787" i="1"/>
  <c r="AF787" i="1"/>
  <c r="AL787" i="1" s="1"/>
  <c r="X787" i="1"/>
  <c r="AB787" i="1" s="1"/>
  <c r="J787" i="1"/>
  <c r="AA787" i="1" s="1"/>
  <c r="X786" i="1"/>
  <c r="X785" i="1"/>
  <c r="AB785" i="1" s="1"/>
  <c r="AZ784" i="1"/>
  <c r="AY784" i="1"/>
  <c r="AF784" i="1"/>
  <c r="AL784" i="1" s="1"/>
  <c r="X784" i="1"/>
  <c r="AB784" i="1" s="1"/>
  <c r="J784" i="1"/>
  <c r="AA784" i="1" s="1"/>
  <c r="X783" i="1"/>
  <c r="AB783" i="1" s="1"/>
  <c r="X782" i="1"/>
  <c r="AB782" i="1" s="1"/>
  <c r="AZ781" i="1"/>
  <c r="AY781" i="1"/>
  <c r="AG781" i="1"/>
  <c r="AL781" i="1" s="1"/>
  <c r="X781" i="1"/>
  <c r="AB781" i="1" s="1"/>
  <c r="X780" i="1"/>
  <c r="AB780" i="1" s="1"/>
  <c r="X779" i="1"/>
  <c r="AB779" i="1" s="1"/>
  <c r="AZ778" i="1"/>
  <c r="AY778" i="1"/>
  <c r="AG778" i="1"/>
  <c r="AL778" i="1" s="1"/>
  <c r="X778" i="1"/>
  <c r="AB778" i="1" s="1"/>
  <c r="X777" i="1"/>
  <c r="X776" i="1"/>
  <c r="AB776" i="1" s="1"/>
  <c r="AZ775" i="1"/>
  <c r="AY775" i="1"/>
  <c r="AF775" i="1"/>
  <c r="AL775" i="1" s="1"/>
  <c r="X775" i="1"/>
  <c r="AB775" i="1" s="1"/>
  <c r="X774" i="1"/>
  <c r="AB774" i="1" s="1"/>
  <c r="X773" i="1"/>
  <c r="AB773" i="1" s="1"/>
  <c r="AZ772" i="1"/>
  <c r="AY772" i="1"/>
  <c r="AG772" i="1"/>
  <c r="AL772" i="1" s="1"/>
  <c r="X772" i="1"/>
  <c r="AB772" i="1" s="1"/>
  <c r="J772" i="1"/>
  <c r="AA772" i="1" s="1"/>
  <c r="X771" i="1"/>
  <c r="AB771" i="1" s="1"/>
  <c r="X770" i="1"/>
  <c r="AB770" i="1" s="1"/>
  <c r="AZ769" i="1"/>
  <c r="AY769" i="1"/>
  <c r="AF769" i="1"/>
  <c r="AL769" i="1" s="1"/>
  <c r="X769" i="1"/>
  <c r="AB769" i="1" s="1"/>
  <c r="X768" i="1"/>
  <c r="X767" i="1"/>
  <c r="AB767" i="1" s="1"/>
  <c r="AZ766" i="1"/>
  <c r="AY766" i="1"/>
  <c r="AF766" i="1"/>
  <c r="AL766" i="1" s="1"/>
  <c r="X766" i="1"/>
  <c r="AB766" i="1" s="1"/>
  <c r="J766" i="1"/>
  <c r="AA766" i="1" s="1"/>
  <c r="X765" i="1"/>
  <c r="AB765" i="1" s="1"/>
  <c r="X764" i="1"/>
  <c r="AB764" i="1" s="1"/>
  <c r="AZ763" i="1"/>
  <c r="AY763" i="1"/>
  <c r="AG763" i="1"/>
  <c r="AL763" i="1" s="1"/>
  <c r="X763" i="1"/>
  <c r="AB763" i="1" s="1"/>
  <c r="X762" i="1"/>
  <c r="AB762" i="1" s="1"/>
  <c r="X761" i="1"/>
  <c r="AB761" i="1" s="1"/>
  <c r="AZ760" i="1"/>
  <c r="AY760" i="1"/>
  <c r="AF760" i="1"/>
  <c r="AL760" i="1" s="1"/>
  <c r="X760" i="1"/>
  <c r="AB760" i="1" s="1"/>
  <c r="J760" i="1"/>
  <c r="AA760" i="1" s="1"/>
  <c r="X759" i="1"/>
  <c r="X758" i="1"/>
  <c r="AB758" i="1" s="1"/>
  <c r="AZ757" i="1"/>
  <c r="AY757" i="1"/>
  <c r="AF757" i="1"/>
  <c r="AL757" i="1" s="1"/>
  <c r="X757" i="1"/>
  <c r="AB757" i="1" s="1"/>
  <c r="J757" i="1"/>
  <c r="J759" i="1" s="1"/>
  <c r="AA757" i="1" s="1"/>
  <c r="X756" i="1"/>
  <c r="X755" i="1"/>
  <c r="AB755" i="1" s="1"/>
  <c r="AZ754" i="1"/>
  <c r="AY754" i="1"/>
  <c r="AF754" i="1"/>
  <c r="AL754" i="1" s="1"/>
  <c r="X754" i="1"/>
  <c r="AB754" i="1" s="1"/>
  <c r="J754" i="1"/>
  <c r="J756" i="1" s="1"/>
  <c r="AA754" i="1" s="1"/>
  <c r="X753" i="1"/>
  <c r="X752" i="1"/>
  <c r="AB752" i="1" s="1"/>
  <c r="AZ751" i="1"/>
  <c r="AY751" i="1"/>
  <c r="AF751" i="1"/>
  <c r="AL751" i="1" s="1"/>
  <c r="X751" i="1"/>
  <c r="AB751" i="1" s="1"/>
  <c r="J751" i="1"/>
  <c r="AA751" i="1" s="1"/>
  <c r="X750" i="1"/>
  <c r="AB750" i="1" s="1"/>
  <c r="X749" i="1"/>
  <c r="AB749" i="1" s="1"/>
  <c r="AZ748" i="1"/>
  <c r="AY748" i="1"/>
  <c r="AF748" i="1"/>
  <c r="AL748" i="1" s="1"/>
  <c r="X748" i="1"/>
  <c r="AB748" i="1" s="1"/>
  <c r="J748" i="1"/>
  <c r="AA748" i="1" s="1"/>
  <c r="X747" i="1"/>
  <c r="AB747" i="1" s="1"/>
  <c r="X746" i="1"/>
  <c r="AB746" i="1" s="1"/>
  <c r="AZ745" i="1"/>
  <c r="AY745" i="1"/>
  <c r="AF745" i="1"/>
  <c r="AL745" i="1" s="1"/>
  <c r="X745" i="1"/>
  <c r="AB745" i="1" s="1"/>
  <c r="J745" i="1"/>
  <c r="AA745" i="1" s="1"/>
  <c r="X744" i="1"/>
  <c r="AB744" i="1" s="1"/>
  <c r="X743" i="1"/>
  <c r="AB743" i="1" s="1"/>
  <c r="AZ742" i="1"/>
  <c r="AY742" i="1"/>
  <c r="AF742" i="1"/>
  <c r="AL742" i="1" s="1"/>
  <c r="X742" i="1"/>
  <c r="AB742" i="1" s="1"/>
  <c r="J742" i="1"/>
  <c r="AA742" i="1" s="1"/>
  <c r="X741" i="1"/>
  <c r="AB741" i="1" s="1"/>
  <c r="X740" i="1"/>
  <c r="AB740" i="1" s="1"/>
  <c r="AZ739" i="1"/>
  <c r="AY739" i="1"/>
  <c r="AG739" i="1"/>
  <c r="AL739" i="1" s="1"/>
  <c r="X739" i="1"/>
  <c r="AB739" i="1" s="1"/>
  <c r="X738" i="1"/>
  <c r="AB738" i="1" s="1"/>
  <c r="X737" i="1"/>
  <c r="AB737" i="1" s="1"/>
  <c r="AZ736" i="1"/>
  <c r="AY736" i="1"/>
  <c r="AG736" i="1"/>
  <c r="AL736" i="1" s="1"/>
  <c r="X736" i="1"/>
  <c r="AB736" i="1" s="1"/>
  <c r="X735" i="1"/>
  <c r="AB735" i="1" s="1"/>
  <c r="X734" i="1"/>
  <c r="AB734" i="1" s="1"/>
  <c r="AZ733" i="1"/>
  <c r="AY733" i="1"/>
  <c r="AG733" i="1"/>
  <c r="AL733" i="1" s="1"/>
  <c r="X733" i="1"/>
  <c r="AB733" i="1" s="1"/>
  <c r="J733" i="1"/>
  <c r="AA733" i="1" s="1"/>
  <c r="X732" i="1"/>
  <c r="AB732" i="1" s="1"/>
  <c r="X731" i="1"/>
  <c r="AB731" i="1" s="1"/>
  <c r="AZ730" i="1"/>
  <c r="AY730" i="1"/>
  <c r="AG730" i="1"/>
  <c r="AL730" i="1" s="1"/>
  <c r="X730" i="1"/>
  <c r="AB730" i="1" s="1"/>
  <c r="J730" i="1"/>
  <c r="AA730" i="1" s="1"/>
  <c r="X729" i="1"/>
  <c r="X728" i="1"/>
  <c r="AB728" i="1" s="1"/>
  <c r="AZ727" i="1"/>
  <c r="AY727" i="1"/>
  <c r="AG727" i="1"/>
  <c r="AL727" i="1" s="1"/>
  <c r="X727" i="1"/>
  <c r="AB727" i="1" s="1"/>
  <c r="J727" i="1"/>
  <c r="J729" i="1" s="1"/>
  <c r="AA727" i="1" s="1"/>
  <c r="X726" i="1"/>
  <c r="AB726" i="1" s="1"/>
  <c r="X725" i="1"/>
  <c r="AZ724" i="1"/>
  <c r="AY724" i="1"/>
  <c r="AG724" i="1"/>
  <c r="AL724" i="1" s="1"/>
  <c r="X724" i="1"/>
  <c r="AB724" i="1" s="1"/>
  <c r="J724" i="1"/>
  <c r="J725" i="1" s="1"/>
  <c r="AA724" i="1" s="1"/>
  <c r="X723" i="1"/>
  <c r="AB723" i="1" s="1"/>
  <c r="X722" i="1"/>
  <c r="AB722" i="1" s="1"/>
  <c r="AZ721" i="1"/>
  <c r="AY721" i="1"/>
  <c r="AG721" i="1"/>
  <c r="AL721" i="1" s="1"/>
  <c r="X721" i="1"/>
  <c r="AB721" i="1" s="1"/>
  <c r="J721" i="1"/>
  <c r="AA721" i="1" s="1"/>
  <c r="X720" i="1"/>
  <c r="X719" i="1"/>
  <c r="AB719" i="1" s="1"/>
  <c r="AZ718" i="1"/>
  <c r="AY718" i="1"/>
  <c r="AG718" i="1"/>
  <c r="AL718" i="1" s="1"/>
  <c r="X718" i="1"/>
  <c r="AB718" i="1" s="1"/>
  <c r="J718" i="1"/>
  <c r="J720" i="1" s="1"/>
  <c r="AA718" i="1" s="1"/>
  <c r="X717" i="1"/>
  <c r="AB717" i="1" s="1"/>
  <c r="X716" i="1"/>
  <c r="AB716" i="1" s="1"/>
  <c r="AZ715" i="1"/>
  <c r="AY715" i="1"/>
  <c r="AG715" i="1"/>
  <c r="AL715" i="1" s="1"/>
  <c r="X715" i="1"/>
  <c r="AB715" i="1" s="1"/>
  <c r="J715" i="1"/>
  <c r="AA715" i="1" s="1"/>
  <c r="X714" i="1"/>
  <c r="AB714" i="1" s="1"/>
  <c r="X713" i="1"/>
  <c r="AZ712" i="1"/>
  <c r="AY712" i="1"/>
  <c r="AG712" i="1"/>
  <c r="AL712" i="1" s="1"/>
  <c r="X712" i="1"/>
  <c r="AB712" i="1" s="1"/>
  <c r="J712" i="1"/>
  <c r="J713" i="1" s="1"/>
  <c r="AA712" i="1" s="1"/>
  <c r="X711" i="1"/>
  <c r="X710" i="1"/>
  <c r="AB710" i="1" s="1"/>
  <c r="AZ709" i="1"/>
  <c r="AY709" i="1"/>
  <c r="AG709" i="1"/>
  <c r="AL709" i="1" s="1"/>
  <c r="X709" i="1"/>
  <c r="AB709" i="1" s="1"/>
  <c r="J709" i="1"/>
  <c r="AA709" i="1" s="1"/>
  <c r="X708" i="1"/>
  <c r="AB708" i="1" s="1"/>
  <c r="X707" i="1"/>
  <c r="AB707" i="1" s="1"/>
  <c r="AZ706" i="1"/>
  <c r="AY706" i="1"/>
  <c r="AG706" i="1"/>
  <c r="AL706" i="1" s="1"/>
  <c r="X706" i="1"/>
  <c r="AB706" i="1" s="1"/>
  <c r="J706" i="1"/>
  <c r="AA706" i="1" s="1"/>
  <c r="X705" i="1"/>
  <c r="X704" i="1"/>
  <c r="AB704" i="1" s="1"/>
  <c r="AZ703" i="1"/>
  <c r="AY703" i="1"/>
  <c r="AG703" i="1"/>
  <c r="AL703" i="1" s="1"/>
  <c r="X703" i="1"/>
  <c r="AB703" i="1" s="1"/>
  <c r="J703" i="1"/>
  <c r="J705" i="1" s="1"/>
  <c r="AA703" i="1" s="1"/>
  <c r="X702" i="1"/>
  <c r="AB702" i="1" s="1"/>
  <c r="X701" i="1"/>
  <c r="AB701" i="1" s="1"/>
  <c r="AZ700" i="1"/>
  <c r="AY700" i="1"/>
  <c r="AG700" i="1"/>
  <c r="AL700" i="1" s="1"/>
  <c r="X700" i="1"/>
  <c r="AB700" i="1" s="1"/>
  <c r="J700" i="1"/>
  <c r="AA700" i="1" s="1"/>
  <c r="X699" i="1"/>
  <c r="X698" i="1"/>
  <c r="AB698" i="1" s="1"/>
  <c r="AZ697" i="1"/>
  <c r="AY697" i="1"/>
  <c r="AG697" i="1"/>
  <c r="AL697" i="1" s="1"/>
  <c r="X697" i="1"/>
  <c r="AB697" i="1" s="1"/>
  <c r="X696" i="1"/>
  <c r="X695" i="1"/>
  <c r="AB695" i="1" s="1"/>
  <c r="AZ694" i="1"/>
  <c r="AY694" i="1"/>
  <c r="AG694" i="1"/>
  <c r="AL694" i="1" s="1"/>
  <c r="X694" i="1"/>
  <c r="AB694" i="1" s="1"/>
  <c r="J694" i="1"/>
  <c r="J696" i="1" s="1"/>
  <c r="AA694" i="1" s="1"/>
  <c r="X693" i="1"/>
  <c r="AB693" i="1" s="1"/>
  <c r="X692" i="1"/>
  <c r="AZ691" i="1"/>
  <c r="AY691" i="1"/>
  <c r="AF691" i="1"/>
  <c r="AL691" i="1" s="1"/>
  <c r="X691" i="1"/>
  <c r="AB691" i="1" s="1"/>
  <c r="X690" i="1"/>
  <c r="AB690" i="1" s="1"/>
  <c r="X689" i="1"/>
  <c r="AB689" i="1" s="1"/>
  <c r="AZ688" i="1"/>
  <c r="AY688" i="1"/>
  <c r="AG688" i="1"/>
  <c r="AL688" i="1" s="1"/>
  <c r="X688" i="1"/>
  <c r="AB688" i="1" s="1"/>
  <c r="X687" i="1"/>
  <c r="AB687" i="1" s="1"/>
  <c r="X686" i="1"/>
  <c r="AB686" i="1" s="1"/>
  <c r="AZ685" i="1"/>
  <c r="AY685" i="1"/>
  <c r="AF685" i="1"/>
  <c r="AL685" i="1" s="1"/>
  <c r="X685" i="1"/>
  <c r="AB685" i="1" s="1"/>
  <c r="J685" i="1"/>
  <c r="AA685" i="1" s="1"/>
  <c r="X684" i="1"/>
  <c r="AB684" i="1" s="1"/>
  <c r="X683" i="1"/>
  <c r="AB683" i="1" s="1"/>
  <c r="AZ682" i="1"/>
  <c r="AY682" i="1"/>
  <c r="AG682" i="1"/>
  <c r="AL682" i="1" s="1"/>
  <c r="X682" i="1"/>
  <c r="AB682" i="1" s="1"/>
  <c r="J682" i="1"/>
  <c r="AA682" i="1" s="1"/>
  <c r="X681" i="1"/>
  <c r="AB681" i="1" s="1"/>
  <c r="X680" i="1"/>
  <c r="AB680" i="1" s="1"/>
  <c r="AZ679" i="1"/>
  <c r="AY679" i="1"/>
  <c r="AG679" i="1"/>
  <c r="AL679" i="1" s="1"/>
  <c r="X679" i="1"/>
  <c r="AB679" i="1" s="1"/>
  <c r="J679" i="1"/>
  <c r="AA679" i="1" s="1"/>
  <c r="X678" i="1"/>
  <c r="AB678" i="1" s="1"/>
  <c r="X677" i="1"/>
  <c r="AZ676" i="1"/>
  <c r="AY676" i="1"/>
  <c r="AF676" i="1"/>
  <c r="AL676" i="1" s="1"/>
  <c r="X676" i="1"/>
  <c r="AB676" i="1" s="1"/>
  <c r="J676" i="1"/>
  <c r="J677" i="1" s="1"/>
  <c r="AA676" i="1" s="1"/>
  <c r="X675" i="1"/>
  <c r="AB675" i="1" s="1"/>
  <c r="X674" i="1"/>
  <c r="AB674" i="1" s="1"/>
  <c r="AZ673" i="1"/>
  <c r="AY673" i="1"/>
  <c r="AG673" i="1"/>
  <c r="AL673" i="1" s="1"/>
  <c r="X673" i="1"/>
  <c r="AB673" i="1" s="1"/>
  <c r="X672" i="1"/>
  <c r="X671" i="1"/>
  <c r="AB671" i="1" s="1"/>
  <c r="AZ670" i="1"/>
  <c r="AY670" i="1"/>
  <c r="AG670" i="1"/>
  <c r="AL670" i="1" s="1"/>
  <c r="X670" i="1"/>
  <c r="AB670" i="1" s="1"/>
  <c r="J670" i="1"/>
  <c r="J672" i="1" s="1"/>
  <c r="AA670" i="1" s="1"/>
  <c r="X669" i="1"/>
  <c r="X668" i="1"/>
  <c r="AB668" i="1" s="1"/>
  <c r="AZ667" i="1"/>
  <c r="AY667" i="1"/>
  <c r="AF667" i="1"/>
  <c r="AL667" i="1" s="1"/>
  <c r="X667" i="1"/>
  <c r="AB667" i="1" s="1"/>
  <c r="J667" i="1"/>
  <c r="J669" i="1" s="1"/>
  <c r="AA667" i="1" s="1"/>
  <c r="X666" i="1"/>
  <c r="AB666" i="1" s="1"/>
  <c r="X665" i="1"/>
  <c r="AB665" i="1" s="1"/>
  <c r="AZ664" i="1"/>
  <c r="AY664" i="1"/>
  <c r="AG664" i="1"/>
  <c r="AL664" i="1" s="1"/>
  <c r="X664" i="1"/>
  <c r="AB664" i="1" s="1"/>
  <c r="X663" i="1"/>
  <c r="AB663" i="1" s="1"/>
  <c r="X662" i="1"/>
  <c r="AB662" i="1" s="1"/>
  <c r="AZ661" i="1"/>
  <c r="AY661" i="1"/>
  <c r="AG661" i="1"/>
  <c r="AL661" i="1" s="1"/>
  <c r="X661" i="1"/>
  <c r="AB661" i="1" s="1"/>
  <c r="J661" i="1"/>
  <c r="AA661" i="1" s="1"/>
  <c r="X660" i="1"/>
  <c r="AB660" i="1" s="1"/>
  <c r="X659" i="1"/>
  <c r="AB659" i="1" s="1"/>
  <c r="AZ658" i="1"/>
  <c r="AY658" i="1"/>
  <c r="AF658" i="1"/>
  <c r="AL658" i="1" s="1"/>
  <c r="X658" i="1"/>
  <c r="AB658" i="1" s="1"/>
  <c r="J658" i="1"/>
  <c r="AA658" i="1" s="1"/>
  <c r="X657" i="1"/>
  <c r="AB657" i="1" s="1"/>
  <c r="X656" i="1"/>
  <c r="AZ655" i="1"/>
  <c r="AY655" i="1"/>
  <c r="AG655" i="1"/>
  <c r="AL655" i="1" s="1"/>
  <c r="X655" i="1"/>
  <c r="AB655" i="1" s="1"/>
  <c r="J655" i="1"/>
  <c r="J656" i="1" s="1"/>
  <c r="AA655" i="1" s="1"/>
  <c r="X654" i="1"/>
  <c r="AB654" i="1" s="1"/>
  <c r="X653" i="1"/>
  <c r="AB653" i="1" s="1"/>
  <c r="AZ652" i="1"/>
  <c r="AY652" i="1"/>
  <c r="AG652" i="1"/>
  <c r="AL652" i="1" s="1"/>
  <c r="X652" i="1"/>
  <c r="AB652" i="1" s="1"/>
  <c r="J652" i="1"/>
  <c r="AA652" i="1" s="1"/>
  <c r="X651" i="1"/>
  <c r="AB651" i="1" s="1"/>
  <c r="X650" i="1"/>
  <c r="AB650" i="1" s="1"/>
  <c r="AZ649" i="1"/>
  <c r="AY649" i="1"/>
  <c r="AF649" i="1"/>
  <c r="AL649" i="1" s="1"/>
  <c r="X649" i="1"/>
  <c r="AB649" i="1" s="1"/>
  <c r="J649" i="1"/>
  <c r="AA649" i="1" s="1"/>
  <c r="X648" i="1"/>
  <c r="AB648" i="1" s="1"/>
  <c r="X647" i="1"/>
  <c r="AB647" i="1" s="1"/>
  <c r="AZ646" i="1"/>
  <c r="AY646" i="1"/>
  <c r="AG646" i="1"/>
  <c r="AL646" i="1" s="1"/>
  <c r="X646" i="1"/>
  <c r="AB646" i="1" s="1"/>
  <c r="J646" i="1"/>
  <c r="AA646" i="1" s="1"/>
  <c r="X645" i="1"/>
  <c r="X644" i="1"/>
  <c r="AB644" i="1" s="1"/>
  <c r="AZ643" i="1"/>
  <c r="AY643" i="1"/>
  <c r="AF643" i="1"/>
  <c r="AL643" i="1" s="1"/>
  <c r="X643" i="1"/>
  <c r="AB643" i="1" s="1"/>
  <c r="J643" i="1"/>
  <c r="J645" i="1" s="1"/>
  <c r="AA643" i="1" s="1"/>
  <c r="X642" i="1"/>
  <c r="AB642" i="1" s="1"/>
  <c r="X641" i="1"/>
  <c r="AB641" i="1" s="1"/>
  <c r="AZ640" i="1"/>
  <c r="AY640" i="1"/>
  <c r="AG640" i="1"/>
  <c r="AL640" i="1" s="1"/>
  <c r="X640" i="1"/>
  <c r="AB640" i="1" s="1"/>
  <c r="X639" i="1"/>
  <c r="AB639" i="1" s="1"/>
  <c r="X638" i="1"/>
  <c r="AB638" i="1" s="1"/>
  <c r="AZ637" i="1"/>
  <c r="AY637" i="1"/>
  <c r="AG637" i="1"/>
  <c r="AL637" i="1" s="1"/>
  <c r="X637" i="1"/>
  <c r="AB637" i="1" s="1"/>
  <c r="X636" i="1"/>
  <c r="AB636" i="1" s="1"/>
  <c r="X635" i="1"/>
  <c r="AB635" i="1" s="1"/>
  <c r="J635" i="1"/>
  <c r="AZ634" i="1"/>
  <c r="AY634" i="1"/>
  <c r="AG634" i="1"/>
  <c r="AL634" i="1" s="1"/>
  <c r="X634" i="1"/>
  <c r="AB634" i="1" s="1"/>
  <c r="J634" i="1"/>
  <c r="X633" i="1"/>
  <c r="AB633" i="1" s="1"/>
  <c r="X632" i="1"/>
  <c r="AZ631" i="1"/>
  <c r="AY631" i="1"/>
  <c r="AG631" i="1"/>
  <c r="AL631" i="1" s="1"/>
  <c r="X631" i="1"/>
  <c r="AB631" i="1" s="1"/>
  <c r="X630" i="1"/>
  <c r="AB630" i="1" s="1"/>
  <c r="X629" i="1"/>
  <c r="AB629" i="1" s="1"/>
  <c r="AZ628" i="1"/>
  <c r="AY628" i="1"/>
  <c r="AG628" i="1"/>
  <c r="AL628" i="1" s="1"/>
  <c r="X628" i="1"/>
  <c r="AB628" i="1" s="1"/>
  <c r="J628" i="1"/>
  <c r="J629" i="1" s="1"/>
  <c r="AA628" i="1" s="1"/>
  <c r="X627" i="1"/>
  <c r="AB627" i="1" s="1"/>
  <c r="X626" i="1"/>
  <c r="AB626" i="1" s="1"/>
  <c r="AZ625" i="1"/>
  <c r="AY625" i="1"/>
  <c r="AG625" i="1"/>
  <c r="AL625" i="1" s="1"/>
  <c r="X625" i="1"/>
  <c r="AB625" i="1" s="1"/>
  <c r="J625" i="1"/>
  <c r="AA625" i="1" s="1"/>
  <c r="X624" i="1"/>
  <c r="AB624" i="1" s="1"/>
  <c r="X623" i="1"/>
  <c r="AZ622" i="1"/>
  <c r="AY622" i="1"/>
  <c r="AG622" i="1"/>
  <c r="AL622" i="1" s="1"/>
  <c r="X622" i="1"/>
  <c r="AB622" i="1" s="1"/>
  <c r="J622" i="1"/>
  <c r="X621" i="1"/>
  <c r="AB621" i="1" s="1"/>
  <c r="X620" i="1"/>
  <c r="AB620" i="1" s="1"/>
  <c r="AZ619" i="1"/>
  <c r="AY619" i="1"/>
  <c r="AG619" i="1"/>
  <c r="AL619" i="1" s="1"/>
  <c r="X619" i="1"/>
  <c r="AB619" i="1" s="1"/>
  <c r="J619" i="1"/>
  <c r="X618" i="1"/>
  <c r="AB618" i="1" s="1"/>
  <c r="X617" i="1"/>
  <c r="AB617" i="1" s="1"/>
  <c r="AZ616" i="1"/>
  <c r="AY616" i="1"/>
  <c r="AF616" i="1"/>
  <c r="AL616" i="1" s="1"/>
  <c r="X616" i="1"/>
  <c r="AB616" i="1" s="1"/>
  <c r="J616" i="1"/>
  <c r="AA616" i="1" s="1"/>
  <c r="X615" i="1"/>
  <c r="AB615" i="1" s="1"/>
  <c r="X614" i="1"/>
  <c r="AB614" i="1" s="1"/>
  <c r="AZ613" i="1"/>
  <c r="AY613" i="1"/>
  <c r="AG613" i="1"/>
  <c r="AL613" i="1" s="1"/>
  <c r="X613" i="1"/>
  <c r="AB613" i="1" s="1"/>
  <c r="J613" i="1"/>
  <c r="AA613" i="1" s="1"/>
  <c r="X612" i="1"/>
  <c r="AB612" i="1" s="1"/>
  <c r="X611" i="1"/>
  <c r="AB611" i="1" s="1"/>
  <c r="AZ610" i="1"/>
  <c r="AY610" i="1"/>
  <c r="AG610" i="1"/>
  <c r="AL610" i="1" s="1"/>
  <c r="X610" i="1"/>
  <c r="AB610" i="1" s="1"/>
  <c r="X609" i="1"/>
  <c r="AB609" i="1" s="1"/>
  <c r="X608" i="1"/>
  <c r="AB608" i="1" s="1"/>
  <c r="AZ607" i="1"/>
  <c r="AY607" i="1"/>
  <c r="AG607" i="1"/>
  <c r="AL607" i="1" s="1"/>
  <c r="X607" i="1"/>
  <c r="AB607" i="1" s="1"/>
  <c r="X606" i="1"/>
  <c r="AB606" i="1" s="1"/>
  <c r="X605" i="1"/>
  <c r="AB605" i="1" s="1"/>
  <c r="AZ604" i="1"/>
  <c r="AY604" i="1"/>
  <c r="AG604" i="1"/>
  <c r="AL604" i="1" s="1"/>
  <c r="X604" i="1"/>
  <c r="AB604" i="1" s="1"/>
  <c r="J604" i="1"/>
  <c r="J606" i="1" s="1"/>
  <c r="AA604" i="1" s="1"/>
  <c r="X603" i="1"/>
  <c r="AB603" i="1" s="1"/>
  <c r="X602" i="1"/>
  <c r="AZ601" i="1"/>
  <c r="AY601" i="1"/>
  <c r="AG601" i="1"/>
  <c r="AL601" i="1" s="1"/>
  <c r="X601" i="1"/>
  <c r="AB601" i="1" s="1"/>
  <c r="J601" i="1"/>
  <c r="X600" i="1"/>
  <c r="AB600" i="1" s="1"/>
  <c r="X599" i="1"/>
  <c r="AB599" i="1" s="1"/>
  <c r="AZ598" i="1"/>
  <c r="AY598" i="1"/>
  <c r="AG598" i="1"/>
  <c r="AL598" i="1" s="1"/>
  <c r="X598" i="1"/>
  <c r="AB598" i="1" s="1"/>
  <c r="J598" i="1"/>
  <c r="AA598" i="1" s="1"/>
  <c r="X597" i="1"/>
  <c r="AB597" i="1" s="1"/>
  <c r="X596" i="1"/>
  <c r="AB596" i="1" s="1"/>
  <c r="J596" i="1"/>
  <c r="AZ595" i="1"/>
  <c r="AY595" i="1"/>
  <c r="AG595" i="1"/>
  <c r="AL595" i="1" s="1"/>
  <c r="X595" i="1"/>
  <c r="AB595" i="1" s="1"/>
  <c r="J595" i="1"/>
  <c r="X594" i="1"/>
  <c r="AB594" i="1" s="1"/>
  <c r="X593" i="1"/>
  <c r="AB593" i="1" s="1"/>
  <c r="AZ592" i="1"/>
  <c r="AY592" i="1"/>
  <c r="AG592" i="1"/>
  <c r="AL592" i="1" s="1"/>
  <c r="X592" i="1"/>
  <c r="AB592" i="1" s="1"/>
  <c r="J592" i="1"/>
  <c r="AA592" i="1" s="1"/>
  <c r="X591" i="1"/>
  <c r="X590" i="1"/>
  <c r="AB590" i="1" s="1"/>
  <c r="AZ589" i="1"/>
  <c r="AY589" i="1"/>
  <c r="AG589" i="1"/>
  <c r="AL589" i="1" s="1"/>
  <c r="X589" i="1"/>
  <c r="AB589" i="1" s="1"/>
  <c r="J589" i="1"/>
  <c r="J591" i="1" s="1"/>
  <c r="AA589" i="1" s="1"/>
  <c r="X588" i="1"/>
  <c r="AB588" i="1" s="1"/>
  <c r="X587" i="1"/>
  <c r="AB587" i="1" s="1"/>
  <c r="AZ586" i="1"/>
  <c r="AY586" i="1"/>
  <c r="AF586" i="1"/>
  <c r="AL586" i="1" s="1"/>
  <c r="X586" i="1"/>
  <c r="AB586" i="1" s="1"/>
  <c r="J586" i="1"/>
  <c r="AA586" i="1" s="1"/>
  <c r="X585" i="1"/>
  <c r="AB585" i="1" s="1"/>
  <c r="X584" i="1"/>
  <c r="AB584" i="1" s="1"/>
  <c r="AZ583" i="1"/>
  <c r="AY583" i="1"/>
  <c r="AG583" i="1"/>
  <c r="AL583" i="1" s="1"/>
  <c r="X583" i="1"/>
  <c r="AB583" i="1" s="1"/>
  <c r="J583" i="1"/>
  <c r="AA583" i="1" s="1"/>
  <c r="X582" i="1"/>
  <c r="AB582" i="1" s="1"/>
  <c r="X581" i="1"/>
  <c r="AB581" i="1" s="1"/>
  <c r="AZ580" i="1"/>
  <c r="AY580" i="1"/>
  <c r="AG580" i="1"/>
  <c r="AL580" i="1" s="1"/>
  <c r="X580" i="1"/>
  <c r="AB580" i="1" s="1"/>
  <c r="X579" i="1"/>
  <c r="AB579" i="1" s="1"/>
  <c r="X578" i="1"/>
  <c r="AB578" i="1" s="1"/>
  <c r="AZ577" i="1"/>
  <c r="AY577" i="1"/>
  <c r="AF577" i="1"/>
  <c r="AL577" i="1" s="1"/>
  <c r="X577" i="1"/>
  <c r="AB577" i="1" s="1"/>
  <c r="J577" i="1"/>
  <c r="AA577" i="1" s="1"/>
  <c r="X576" i="1"/>
  <c r="AB576" i="1" s="1"/>
  <c r="X575" i="1"/>
  <c r="AB575" i="1" s="1"/>
  <c r="AZ574" i="1"/>
  <c r="AY574" i="1"/>
  <c r="AG574" i="1"/>
  <c r="AL574" i="1" s="1"/>
  <c r="X574" i="1"/>
  <c r="AB574" i="1" s="1"/>
  <c r="J574" i="1"/>
  <c r="AA574" i="1" s="1"/>
  <c r="X573" i="1"/>
  <c r="AB573" i="1" s="1"/>
  <c r="X572" i="1"/>
  <c r="AB572" i="1" s="1"/>
  <c r="AZ571" i="1"/>
  <c r="AY571" i="1"/>
  <c r="AG571" i="1"/>
  <c r="AL571" i="1" s="1"/>
  <c r="X571" i="1"/>
  <c r="AB571" i="1" s="1"/>
  <c r="J571" i="1"/>
  <c r="AA571" i="1" s="1"/>
  <c r="X570" i="1"/>
  <c r="AB570" i="1" s="1"/>
  <c r="X569" i="1"/>
  <c r="AB569" i="1" s="1"/>
  <c r="AZ568" i="1"/>
  <c r="AY568" i="1"/>
  <c r="AG568" i="1"/>
  <c r="AL568" i="1" s="1"/>
  <c r="X568" i="1"/>
  <c r="AB568" i="1" s="1"/>
  <c r="J568" i="1"/>
  <c r="X567" i="1"/>
  <c r="AB567" i="1" s="1"/>
  <c r="X566" i="1"/>
  <c r="AB566" i="1" s="1"/>
  <c r="AZ565" i="1"/>
  <c r="AY565" i="1"/>
  <c r="AG565" i="1"/>
  <c r="AL565" i="1" s="1"/>
  <c r="X565" i="1"/>
  <c r="AB565" i="1" s="1"/>
  <c r="X564" i="1"/>
  <c r="AB564" i="1" s="1"/>
  <c r="X563" i="1"/>
  <c r="AZ562" i="1"/>
  <c r="AY562" i="1"/>
  <c r="AG562" i="1"/>
  <c r="AL562" i="1" s="1"/>
  <c r="X562" i="1"/>
  <c r="AB562" i="1" s="1"/>
  <c r="J562" i="1"/>
  <c r="J563" i="1" s="1"/>
  <c r="AA562" i="1" s="1"/>
  <c r="X561" i="1"/>
  <c r="AB561" i="1" s="1"/>
  <c r="X560" i="1"/>
  <c r="AB560" i="1" s="1"/>
  <c r="AZ559" i="1"/>
  <c r="AY559" i="1"/>
  <c r="AG559" i="1"/>
  <c r="AL559" i="1" s="1"/>
  <c r="X559" i="1"/>
  <c r="AB559" i="1" s="1"/>
  <c r="J559" i="1"/>
  <c r="AA559" i="1" s="1"/>
  <c r="X558" i="1"/>
  <c r="AB558" i="1" s="1"/>
  <c r="X557" i="1"/>
  <c r="AB557" i="1" s="1"/>
  <c r="AZ556" i="1"/>
  <c r="AY556" i="1"/>
  <c r="AG556" i="1"/>
  <c r="AL556" i="1" s="1"/>
  <c r="X556" i="1"/>
  <c r="AB556" i="1" s="1"/>
  <c r="J556" i="1"/>
  <c r="AA556" i="1" s="1"/>
  <c r="X555" i="1"/>
  <c r="AB555" i="1" s="1"/>
  <c r="X554" i="1"/>
  <c r="AB554" i="1" s="1"/>
  <c r="AZ553" i="1"/>
  <c r="AY553" i="1"/>
  <c r="AF553" i="1"/>
  <c r="AL553" i="1" s="1"/>
  <c r="X553" i="1"/>
  <c r="AB553" i="1" s="1"/>
  <c r="J553" i="1"/>
  <c r="AA553" i="1" s="1"/>
  <c r="X552" i="1"/>
  <c r="AB552" i="1" s="1"/>
  <c r="X551" i="1"/>
  <c r="AB551" i="1" s="1"/>
  <c r="AZ550" i="1"/>
  <c r="AY550" i="1"/>
  <c r="AG550" i="1"/>
  <c r="AL550" i="1" s="1"/>
  <c r="X550" i="1"/>
  <c r="AB550" i="1" s="1"/>
  <c r="J550" i="1"/>
  <c r="J552" i="1" s="1"/>
  <c r="AA550" i="1" s="1"/>
  <c r="X549" i="1"/>
  <c r="AB549" i="1" s="1"/>
  <c r="J549" i="1"/>
  <c r="X548" i="1"/>
  <c r="AB548" i="1" s="1"/>
  <c r="AZ547" i="1"/>
  <c r="AY547" i="1"/>
  <c r="AG547" i="1"/>
  <c r="AL547" i="1" s="1"/>
  <c r="X547" i="1"/>
  <c r="AB547" i="1" s="1"/>
  <c r="J547" i="1"/>
  <c r="AA547" i="1" s="1"/>
  <c r="X546" i="1"/>
  <c r="AB546" i="1" s="1"/>
  <c r="X545" i="1"/>
  <c r="AB545" i="1" s="1"/>
  <c r="AZ544" i="1"/>
  <c r="AY544" i="1"/>
  <c r="AF544" i="1"/>
  <c r="AL544" i="1" s="1"/>
  <c r="X544" i="1"/>
  <c r="AB544" i="1" s="1"/>
  <c r="J544" i="1"/>
  <c r="AA544" i="1" s="1"/>
  <c r="X543" i="1"/>
  <c r="AB543" i="1" s="1"/>
  <c r="X542" i="1"/>
  <c r="AB542" i="1" s="1"/>
  <c r="AZ541" i="1"/>
  <c r="AY541" i="1"/>
  <c r="AF541" i="1"/>
  <c r="AL541" i="1" s="1"/>
  <c r="X541" i="1"/>
  <c r="AB541" i="1" s="1"/>
  <c r="J541" i="1"/>
  <c r="AA541" i="1" s="1"/>
  <c r="X540" i="1"/>
  <c r="AB540" i="1" s="1"/>
  <c r="X539" i="1"/>
  <c r="AB539" i="1" s="1"/>
  <c r="AZ538" i="1"/>
  <c r="AY538" i="1"/>
  <c r="AG538" i="1"/>
  <c r="AL538" i="1" s="1"/>
  <c r="X538" i="1"/>
  <c r="AB538" i="1" s="1"/>
  <c r="J538" i="1"/>
  <c r="AA538" i="1" s="1"/>
  <c r="X537" i="1"/>
  <c r="AB537" i="1" s="1"/>
  <c r="X536" i="1"/>
  <c r="AB536" i="1" s="1"/>
  <c r="AZ535" i="1"/>
  <c r="AY535" i="1"/>
  <c r="AF535" i="1"/>
  <c r="AL535" i="1" s="1"/>
  <c r="X535" i="1"/>
  <c r="AB535" i="1" s="1"/>
  <c r="J535" i="1"/>
  <c r="AA535" i="1" s="1"/>
  <c r="X534" i="1"/>
  <c r="AB534" i="1" s="1"/>
  <c r="X533" i="1"/>
  <c r="AB533" i="1" s="1"/>
  <c r="AZ532" i="1"/>
  <c r="AY532" i="1"/>
  <c r="AG532" i="1"/>
  <c r="AL532" i="1" s="1"/>
  <c r="X532" i="1"/>
  <c r="AB532" i="1" s="1"/>
  <c r="J532" i="1"/>
  <c r="AA532" i="1" s="1"/>
  <c r="X531" i="1"/>
  <c r="AB531" i="1" s="1"/>
  <c r="X530" i="1"/>
  <c r="AB530" i="1" s="1"/>
  <c r="AZ529" i="1"/>
  <c r="AY529" i="1"/>
  <c r="AF529" i="1"/>
  <c r="AL529" i="1" s="1"/>
  <c r="X529" i="1"/>
  <c r="AB529" i="1" s="1"/>
  <c r="J529" i="1"/>
  <c r="AA529" i="1" s="1"/>
  <c r="X528" i="1"/>
  <c r="AB528" i="1" s="1"/>
  <c r="X527" i="1"/>
  <c r="AB527" i="1" s="1"/>
  <c r="AZ526" i="1"/>
  <c r="AY526" i="1"/>
  <c r="AF526" i="1"/>
  <c r="AL526" i="1" s="1"/>
  <c r="X526" i="1"/>
  <c r="AB526" i="1" s="1"/>
  <c r="J526" i="1"/>
  <c r="AA526" i="1" s="1"/>
  <c r="X525" i="1"/>
  <c r="AB525" i="1" s="1"/>
  <c r="X524" i="1"/>
  <c r="AB524" i="1" s="1"/>
  <c r="AZ523" i="1"/>
  <c r="AY523" i="1"/>
  <c r="AF523" i="1"/>
  <c r="AL523" i="1" s="1"/>
  <c r="X523" i="1"/>
  <c r="AB523" i="1" s="1"/>
  <c r="J523" i="1"/>
  <c r="AA523" i="1" s="1"/>
  <c r="X522" i="1"/>
  <c r="AB522" i="1" s="1"/>
  <c r="X521" i="1"/>
  <c r="AB521" i="1" s="1"/>
  <c r="AZ520" i="1"/>
  <c r="AY520" i="1"/>
  <c r="AF520" i="1"/>
  <c r="AL520" i="1" s="1"/>
  <c r="X520" i="1"/>
  <c r="AB520" i="1" s="1"/>
  <c r="J520" i="1"/>
  <c r="AA520" i="1" s="1"/>
  <c r="X519" i="1"/>
  <c r="AB519" i="1" s="1"/>
  <c r="X518" i="1"/>
  <c r="AB518" i="1" s="1"/>
  <c r="AZ517" i="1"/>
  <c r="AY517" i="1"/>
  <c r="AF517" i="1"/>
  <c r="AL517" i="1" s="1"/>
  <c r="X517" i="1"/>
  <c r="AB517" i="1" s="1"/>
  <c r="J517" i="1"/>
  <c r="AA517" i="1" s="1"/>
  <c r="X516" i="1"/>
  <c r="AB516" i="1" s="1"/>
  <c r="X515" i="1"/>
  <c r="AB515" i="1" s="1"/>
  <c r="AZ514" i="1"/>
  <c r="AY514" i="1"/>
  <c r="AG514" i="1"/>
  <c r="AL514" i="1" s="1"/>
  <c r="X514" i="1"/>
  <c r="AB514" i="1" s="1"/>
  <c r="J514" i="1"/>
  <c r="AA514" i="1" s="1"/>
  <c r="X513" i="1"/>
  <c r="AB513" i="1" s="1"/>
  <c r="X512" i="1"/>
  <c r="AB512" i="1" s="1"/>
  <c r="AZ511" i="1"/>
  <c r="AY511" i="1"/>
  <c r="AF511" i="1"/>
  <c r="AL511" i="1" s="1"/>
  <c r="X511" i="1"/>
  <c r="AB511" i="1" s="1"/>
  <c r="J511" i="1"/>
  <c r="AA511" i="1" s="1"/>
  <c r="X510" i="1"/>
  <c r="X509" i="1"/>
  <c r="AB509" i="1" s="1"/>
  <c r="AZ508" i="1"/>
  <c r="AY508" i="1"/>
  <c r="AG508" i="1"/>
  <c r="AL508" i="1" s="1"/>
  <c r="X508" i="1"/>
  <c r="AB508" i="1" s="1"/>
  <c r="J508" i="1"/>
  <c r="AA508" i="1" s="1"/>
  <c r="X507" i="1"/>
  <c r="X506" i="1"/>
  <c r="AB506" i="1" s="1"/>
  <c r="AZ505" i="1"/>
  <c r="AY505" i="1"/>
  <c r="AF505" i="1"/>
  <c r="AL505" i="1" s="1"/>
  <c r="X505" i="1"/>
  <c r="AB505" i="1" s="1"/>
  <c r="X504" i="1"/>
  <c r="AB504" i="1" s="1"/>
  <c r="X503" i="1"/>
  <c r="AB503" i="1" s="1"/>
  <c r="AZ502" i="1"/>
  <c r="AY502" i="1"/>
  <c r="AG502" i="1"/>
  <c r="AL502" i="1" s="1"/>
  <c r="X502" i="1"/>
  <c r="AB502" i="1" s="1"/>
  <c r="J502" i="1"/>
  <c r="AA502" i="1" s="1"/>
  <c r="X501" i="1"/>
  <c r="AB501" i="1" s="1"/>
  <c r="X500" i="1"/>
  <c r="AB500" i="1" s="1"/>
  <c r="AZ499" i="1"/>
  <c r="AY499" i="1"/>
  <c r="AG499" i="1"/>
  <c r="AL499" i="1" s="1"/>
  <c r="X499" i="1"/>
  <c r="AB499" i="1" s="1"/>
  <c r="J499" i="1"/>
  <c r="AA499" i="1" s="1"/>
  <c r="X498" i="1"/>
  <c r="X497" i="1"/>
  <c r="AB497" i="1" s="1"/>
  <c r="AZ496" i="1"/>
  <c r="AY496" i="1"/>
  <c r="AF496" i="1"/>
  <c r="AL496" i="1" s="1"/>
  <c r="X496" i="1"/>
  <c r="AB496" i="1" s="1"/>
  <c r="X495" i="1"/>
  <c r="AB495" i="1" s="1"/>
  <c r="X494" i="1"/>
  <c r="AB494" i="1" s="1"/>
  <c r="AZ493" i="1"/>
  <c r="AY493" i="1"/>
  <c r="AG493" i="1"/>
  <c r="AL493" i="1" s="1"/>
  <c r="X493" i="1"/>
  <c r="AB493" i="1" s="1"/>
  <c r="X492" i="1"/>
  <c r="X491" i="1"/>
  <c r="AB491" i="1" s="1"/>
  <c r="AZ490" i="1"/>
  <c r="AY490" i="1"/>
  <c r="AF490" i="1"/>
  <c r="AL490" i="1" s="1"/>
  <c r="X490" i="1"/>
  <c r="AB490" i="1" s="1"/>
  <c r="J490" i="1"/>
  <c r="AA490" i="1" s="1"/>
  <c r="X489" i="1"/>
  <c r="AB489" i="1" s="1"/>
  <c r="X488" i="1"/>
  <c r="AB488" i="1" s="1"/>
  <c r="AZ487" i="1"/>
  <c r="AY487" i="1"/>
  <c r="AF487" i="1"/>
  <c r="AL487" i="1" s="1"/>
  <c r="X487" i="1"/>
  <c r="AB487" i="1" s="1"/>
  <c r="J487" i="1"/>
  <c r="AA487" i="1" s="1"/>
  <c r="X486" i="1"/>
  <c r="X485" i="1"/>
  <c r="AB485" i="1" s="1"/>
  <c r="AZ484" i="1"/>
  <c r="AY484" i="1"/>
  <c r="AF484" i="1"/>
  <c r="AL484" i="1" s="1"/>
  <c r="X484" i="1"/>
  <c r="AB484" i="1" s="1"/>
  <c r="J484" i="1"/>
  <c r="X483" i="1"/>
  <c r="AB483" i="1" s="1"/>
  <c r="X482" i="1"/>
  <c r="AB482" i="1" s="1"/>
  <c r="AZ481" i="1"/>
  <c r="AY481" i="1"/>
  <c r="AF481" i="1"/>
  <c r="AL481" i="1" s="1"/>
  <c r="X481" i="1"/>
  <c r="AB481" i="1" s="1"/>
  <c r="J481" i="1"/>
  <c r="AA481" i="1" s="1"/>
  <c r="X480" i="1"/>
  <c r="X479" i="1"/>
  <c r="AB479" i="1" s="1"/>
  <c r="AZ478" i="1"/>
  <c r="AY478" i="1"/>
  <c r="AF478" i="1"/>
  <c r="AL478" i="1" s="1"/>
  <c r="X478" i="1"/>
  <c r="AB478" i="1" s="1"/>
  <c r="J478" i="1"/>
  <c r="J480" i="1" s="1"/>
  <c r="AA478" i="1" s="1"/>
  <c r="X477" i="1"/>
  <c r="AB477" i="1" s="1"/>
  <c r="X476" i="1"/>
  <c r="AB476" i="1" s="1"/>
  <c r="AZ475" i="1"/>
  <c r="AY475" i="1"/>
  <c r="AF475" i="1"/>
  <c r="AL475" i="1" s="1"/>
  <c r="X475" i="1"/>
  <c r="AB475" i="1" s="1"/>
  <c r="J475" i="1"/>
  <c r="AA475" i="1" s="1"/>
  <c r="X474" i="1"/>
  <c r="AB474" i="1" s="1"/>
  <c r="X473" i="1"/>
  <c r="AB473" i="1" s="1"/>
  <c r="AZ472" i="1"/>
  <c r="AY472" i="1"/>
  <c r="AG472" i="1"/>
  <c r="AL472" i="1" s="1"/>
  <c r="X472" i="1"/>
  <c r="AB472" i="1" s="1"/>
  <c r="J472" i="1"/>
  <c r="J474" i="1" s="1"/>
  <c r="X471" i="1"/>
  <c r="X470" i="1"/>
  <c r="AB470" i="1" s="1"/>
  <c r="AZ469" i="1"/>
  <c r="AY469" i="1"/>
  <c r="AG469" i="1"/>
  <c r="AL469" i="1" s="1"/>
  <c r="X469" i="1"/>
  <c r="AB469" i="1" s="1"/>
  <c r="J469" i="1"/>
  <c r="J471" i="1" s="1"/>
  <c r="AA469" i="1" s="1"/>
  <c r="X468" i="1"/>
  <c r="AB468" i="1" s="1"/>
  <c r="X467" i="1"/>
  <c r="AB467" i="1" s="1"/>
  <c r="AZ466" i="1"/>
  <c r="AY466" i="1"/>
  <c r="AF466" i="1"/>
  <c r="AL466" i="1" s="1"/>
  <c r="X466" i="1"/>
  <c r="AB466" i="1" s="1"/>
  <c r="J466" i="1"/>
  <c r="AA466" i="1" s="1"/>
  <c r="X465" i="1"/>
  <c r="X464" i="1"/>
  <c r="AB464" i="1" s="1"/>
  <c r="AZ463" i="1"/>
  <c r="AY463" i="1"/>
  <c r="AF463" i="1"/>
  <c r="AL463" i="1" s="1"/>
  <c r="X463" i="1"/>
  <c r="AB463" i="1" s="1"/>
  <c r="X462" i="1"/>
  <c r="AB462" i="1" s="1"/>
  <c r="X461" i="1"/>
  <c r="AB461" i="1" s="1"/>
  <c r="AZ460" i="1"/>
  <c r="AY460" i="1"/>
  <c r="AF460" i="1"/>
  <c r="AL460" i="1" s="1"/>
  <c r="X460" i="1"/>
  <c r="AB460" i="1" s="1"/>
  <c r="J460" i="1"/>
  <c r="AA460" i="1" s="1"/>
  <c r="X459" i="1"/>
  <c r="AB459" i="1" s="1"/>
  <c r="X458" i="1"/>
  <c r="AB458" i="1" s="1"/>
  <c r="AZ457" i="1"/>
  <c r="AY457" i="1"/>
  <c r="AG457" i="1"/>
  <c r="AL457" i="1" s="1"/>
  <c r="X457" i="1"/>
  <c r="AB457" i="1" s="1"/>
  <c r="J457" i="1"/>
  <c r="AA457" i="1" s="1"/>
  <c r="X456" i="1"/>
  <c r="AB456" i="1" s="1"/>
  <c r="X455" i="1"/>
  <c r="AB455" i="1" s="1"/>
  <c r="AZ454" i="1"/>
  <c r="AY454" i="1"/>
  <c r="AG454" i="1"/>
  <c r="AL454" i="1" s="1"/>
  <c r="X454" i="1"/>
  <c r="AB454" i="1" s="1"/>
  <c r="X453" i="1"/>
  <c r="X452" i="1"/>
  <c r="AB452" i="1" s="1"/>
  <c r="AZ451" i="1"/>
  <c r="AY451" i="1"/>
  <c r="AF451" i="1"/>
  <c r="AL451" i="1" s="1"/>
  <c r="X451" i="1"/>
  <c r="AB451" i="1" s="1"/>
  <c r="X450" i="1"/>
  <c r="AB450" i="1" s="1"/>
  <c r="X449" i="1"/>
  <c r="AB449" i="1" s="1"/>
  <c r="AZ448" i="1"/>
  <c r="AY448" i="1"/>
  <c r="AG448" i="1"/>
  <c r="AL448" i="1" s="1"/>
  <c r="X448" i="1"/>
  <c r="AB448" i="1" s="1"/>
  <c r="J448" i="1"/>
  <c r="AA448" i="1" s="1"/>
  <c r="X447" i="1"/>
  <c r="AB447" i="1" s="1"/>
  <c r="X446" i="1"/>
  <c r="AB446" i="1" s="1"/>
  <c r="AZ445" i="1"/>
  <c r="AY445" i="1"/>
  <c r="AF445" i="1"/>
  <c r="AL445" i="1" s="1"/>
  <c r="X445" i="1"/>
  <c r="AB445" i="1" s="1"/>
  <c r="J445" i="1"/>
  <c r="AA445" i="1" s="1"/>
  <c r="X444" i="1"/>
  <c r="AB444" i="1" s="1"/>
  <c r="J444" i="1"/>
  <c r="X443" i="1"/>
  <c r="AB443" i="1" s="1"/>
  <c r="AZ442" i="1"/>
  <c r="AY442" i="1"/>
  <c r="AG442" i="1"/>
  <c r="AL442" i="1" s="1"/>
  <c r="X442" i="1"/>
  <c r="AB442" i="1" s="1"/>
  <c r="J442" i="1"/>
  <c r="AA442" i="1" s="1"/>
  <c r="X441" i="1"/>
  <c r="AB441" i="1" s="1"/>
  <c r="X440" i="1"/>
  <c r="AB440" i="1" s="1"/>
  <c r="AZ439" i="1"/>
  <c r="AY439" i="1"/>
  <c r="AF439" i="1"/>
  <c r="AL439" i="1" s="1"/>
  <c r="X439" i="1"/>
  <c r="AB439" i="1" s="1"/>
  <c r="J439" i="1"/>
  <c r="AA439" i="1" s="1"/>
  <c r="X438" i="1"/>
  <c r="AB438" i="1" s="1"/>
  <c r="X437" i="1"/>
  <c r="AZ436" i="1"/>
  <c r="AY436" i="1"/>
  <c r="AF436" i="1"/>
  <c r="AL436" i="1" s="1"/>
  <c r="X435" i="1"/>
  <c r="AB435" i="1" s="1"/>
  <c r="X434" i="1"/>
  <c r="AZ433" i="1"/>
  <c r="AY433" i="1"/>
  <c r="AG433" i="1"/>
  <c r="AL433" i="1" s="1"/>
  <c r="X433" i="1"/>
  <c r="AB433" i="1" s="1"/>
  <c r="X432" i="1"/>
  <c r="AB432" i="1" s="1"/>
  <c r="X431" i="1"/>
  <c r="AB431" i="1" s="1"/>
  <c r="AZ430" i="1"/>
  <c r="AY430" i="1"/>
  <c r="AF430" i="1"/>
  <c r="AL430" i="1" s="1"/>
  <c r="X430" i="1"/>
  <c r="AB430" i="1" s="1"/>
  <c r="J430" i="1"/>
  <c r="J432" i="1" s="1"/>
  <c r="AA430" i="1" s="1"/>
  <c r="X429" i="1"/>
  <c r="X428" i="1"/>
  <c r="AB428" i="1" s="1"/>
  <c r="AZ427" i="1"/>
  <c r="AY427" i="1"/>
  <c r="AF427" i="1"/>
  <c r="AL427" i="1" s="1"/>
  <c r="X427" i="1"/>
  <c r="AB427" i="1" s="1"/>
  <c r="J427" i="1"/>
  <c r="J429" i="1" s="1"/>
  <c r="AA427" i="1" s="1"/>
  <c r="X426" i="1"/>
  <c r="AB426" i="1" s="1"/>
  <c r="X425" i="1"/>
  <c r="AB425" i="1" s="1"/>
  <c r="J425" i="1"/>
  <c r="AZ424" i="1"/>
  <c r="AY424" i="1"/>
  <c r="AG424" i="1"/>
  <c r="AL424" i="1" s="1"/>
  <c r="X424" i="1"/>
  <c r="AB424" i="1" s="1"/>
  <c r="X423" i="1"/>
  <c r="AB423" i="1" s="1"/>
  <c r="X422" i="1"/>
  <c r="AB422" i="1" s="1"/>
  <c r="AZ421" i="1"/>
  <c r="AY421" i="1"/>
  <c r="AF421" i="1"/>
  <c r="AL421" i="1" s="1"/>
  <c r="X421" i="1"/>
  <c r="AB421" i="1" s="1"/>
  <c r="X420" i="1"/>
  <c r="X419" i="1"/>
  <c r="AB419" i="1" s="1"/>
  <c r="AZ418" i="1"/>
  <c r="AY418" i="1"/>
  <c r="AF418" i="1"/>
  <c r="AL418" i="1" s="1"/>
  <c r="X418" i="1"/>
  <c r="AB418" i="1" s="1"/>
  <c r="J418" i="1"/>
  <c r="AA418" i="1" s="1"/>
  <c r="X417" i="1"/>
  <c r="AB417" i="1" s="1"/>
  <c r="X416" i="1"/>
  <c r="AB416" i="1" s="1"/>
  <c r="AZ415" i="1"/>
  <c r="AY415" i="1"/>
  <c r="AF415" i="1"/>
  <c r="AL415" i="1" s="1"/>
  <c r="X415" i="1"/>
  <c r="AB415" i="1" s="1"/>
  <c r="X414" i="1"/>
  <c r="X413" i="1"/>
  <c r="AB413" i="1" s="1"/>
  <c r="AZ412" i="1"/>
  <c r="AY412" i="1"/>
  <c r="AF412" i="1"/>
  <c r="AL412" i="1" s="1"/>
  <c r="X412" i="1"/>
  <c r="AB412" i="1" s="1"/>
  <c r="X411" i="1"/>
  <c r="X410" i="1"/>
  <c r="AB410" i="1" s="1"/>
  <c r="AZ409" i="1"/>
  <c r="AY409" i="1"/>
  <c r="AF409" i="1"/>
  <c r="AL409" i="1" s="1"/>
  <c r="X409" i="1"/>
  <c r="AB409" i="1" s="1"/>
  <c r="X408" i="1"/>
  <c r="AB408" i="1" s="1"/>
  <c r="X407" i="1"/>
  <c r="AB407" i="1" s="1"/>
  <c r="AZ406" i="1"/>
  <c r="AY406" i="1"/>
  <c r="AG406" i="1"/>
  <c r="AL406" i="1" s="1"/>
  <c r="X406" i="1"/>
  <c r="AB406" i="1" s="1"/>
  <c r="J406" i="1"/>
  <c r="AA406" i="1" s="1"/>
  <c r="X405" i="1"/>
  <c r="AB405" i="1" s="1"/>
  <c r="X404" i="1"/>
  <c r="AB404" i="1" s="1"/>
  <c r="AZ403" i="1"/>
  <c r="AY403" i="1"/>
  <c r="AG403" i="1"/>
  <c r="AL403" i="1" s="1"/>
  <c r="X403" i="1"/>
  <c r="AB403" i="1" s="1"/>
  <c r="J403" i="1"/>
  <c r="J405" i="1" s="1"/>
  <c r="AA403" i="1" s="1"/>
  <c r="X402" i="1"/>
  <c r="AB402" i="1" s="1"/>
  <c r="X401" i="1"/>
  <c r="AB401" i="1" s="1"/>
  <c r="AZ400" i="1"/>
  <c r="AY400" i="1"/>
  <c r="AG400" i="1"/>
  <c r="AL400" i="1" s="1"/>
  <c r="X400" i="1"/>
  <c r="AB400" i="1" s="1"/>
  <c r="X399" i="1"/>
  <c r="AB399" i="1" s="1"/>
  <c r="X398" i="1"/>
  <c r="AB398" i="1" s="1"/>
  <c r="AZ397" i="1"/>
  <c r="AY397" i="1"/>
  <c r="AF397" i="1"/>
  <c r="AL397" i="1" s="1"/>
  <c r="X397" i="1"/>
  <c r="AB397" i="1" s="1"/>
  <c r="J397" i="1"/>
  <c r="J398" i="1" s="1"/>
  <c r="AA397" i="1" s="1"/>
  <c r="X396" i="1"/>
  <c r="AB396" i="1" s="1"/>
  <c r="X395" i="1"/>
  <c r="AB395" i="1" s="1"/>
  <c r="AZ394" i="1"/>
  <c r="AY394" i="1"/>
  <c r="AF394" i="1"/>
  <c r="AL394" i="1" s="1"/>
  <c r="X394" i="1"/>
  <c r="AB394" i="1" s="1"/>
  <c r="J394" i="1"/>
  <c r="AA394" i="1" s="1"/>
  <c r="X393" i="1"/>
  <c r="X392" i="1"/>
  <c r="AB392" i="1" s="1"/>
  <c r="AZ391" i="1"/>
  <c r="AY391" i="1"/>
  <c r="AG391" i="1"/>
  <c r="AL391" i="1" s="1"/>
  <c r="X391" i="1"/>
  <c r="AB391" i="1" s="1"/>
  <c r="X390" i="1"/>
  <c r="AB390" i="1" s="1"/>
  <c r="X389" i="1"/>
  <c r="AB389" i="1" s="1"/>
  <c r="AZ388" i="1"/>
  <c r="AY388" i="1"/>
  <c r="AG388" i="1"/>
  <c r="AL388" i="1" s="1"/>
  <c r="X388" i="1"/>
  <c r="AB388" i="1" s="1"/>
  <c r="X387" i="1"/>
  <c r="AB387" i="1" s="1"/>
  <c r="X386" i="1"/>
  <c r="AB386" i="1" s="1"/>
  <c r="AZ385" i="1"/>
  <c r="AY385" i="1"/>
  <c r="AG385" i="1"/>
  <c r="AL385" i="1" s="1"/>
  <c r="X385" i="1"/>
  <c r="AB385" i="1" s="1"/>
  <c r="X384" i="1"/>
  <c r="AB384" i="1" s="1"/>
  <c r="X383" i="1"/>
  <c r="AB383" i="1" s="1"/>
  <c r="AZ382" i="1"/>
  <c r="AY382" i="1"/>
  <c r="AF382" i="1"/>
  <c r="AL382" i="1" s="1"/>
  <c r="X382" i="1"/>
  <c r="AB382" i="1" s="1"/>
  <c r="J382" i="1"/>
  <c r="X381" i="1"/>
  <c r="AB381" i="1" s="1"/>
  <c r="X380" i="1"/>
  <c r="AB380" i="1" s="1"/>
  <c r="AZ379" i="1"/>
  <c r="AY379" i="1"/>
  <c r="AG379" i="1"/>
  <c r="AL379" i="1" s="1"/>
  <c r="X379" i="1"/>
  <c r="AB379" i="1" s="1"/>
  <c r="J379" i="1"/>
  <c r="AA379" i="1" s="1"/>
  <c r="X378" i="1"/>
  <c r="AB378" i="1" s="1"/>
  <c r="X377" i="1"/>
  <c r="AB377" i="1" s="1"/>
  <c r="AZ376" i="1"/>
  <c r="AY376" i="1"/>
  <c r="AG376" i="1"/>
  <c r="AL376" i="1" s="1"/>
  <c r="X376" i="1"/>
  <c r="AB376" i="1" s="1"/>
  <c r="X375" i="1"/>
  <c r="AB375" i="1" s="1"/>
  <c r="X374" i="1"/>
  <c r="AB374" i="1" s="1"/>
  <c r="AZ373" i="1"/>
  <c r="AY373" i="1"/>
  <c r="AG373" i="1"/>
  <c r="AL373" i="1" s="1"/>
  <c r="X373" i="1"/>
  <c r="AB373" i="1" s="1"/>
  <c r="X372" i="1"/>
  <c r="AB372" i="1" s="1"/>
  <c r="X371" i="1"/>
  <c r="AB371" i="1" s="1"/>
  <c r="AZ370" i="1"/>
  <c r="AY370" i="1"/>
  <c r="AG370" i="1"/>
  <c r="AL370" i="1" s="1"/>
  <c r="X370" i="1"/>
  <c r="AB370" i="1" s="1"/>
  <c r="J370" i="1"/>
  <c r="AA370" i="1" s="1"/>
  <c r="X369" i="1"/>
  <c r="AB369" i="1" s="1"/>
  <c r="X368" i="1"/>
  <c r="AB368" i="1" s="1"/>
  <c r="AZ367" i="1"/>
  <c r="AY367" i="1"/>
  <c r="AF367" i="1"/>
  <c r="AL367" i="1" s="1"/>
  <c r="X367" i="1"/>
  <c r="AB367" i="1" s="1"/>
  <c r="J367" i="1"/>
  <c r="AA367" i="1" s="1"/>
  <c r="X366" i="1"/>
  <c r="AB366" i="1" s="1"/>
  <c r="X365" i="1"/>
  <c r="AB365" i="1" s="1"/>
  <c r="AZ364" i="1"/>
  <c r="AY364" i="1"/>
  <c r="AG364" i="1"/>
  <c r="AL364" i="1" s="1"/>
  <c r="X364" i="1"/>
  <c r="AB364" i="1" s="1"/>
  <c r="J364" i="1"/>
  <c r="AA364" i="1" s="1"/>
  <c r="X363" i="1"/>
  <c r="AB363" i="1" s="1"/>
  <c r="X362" i="1"/>
  <c r="AB362" i="1" s="1"/>
  <c r="AZ361" i="1"/>
  <c r="AY361" i="1"/>
  <c r="AG361" i="1"/>
  <c r="AL361" i="1" s="1"/>
  <c r="X361" i="1"/>
  <c r="AB361" i="1" s="1"/>
  <c r="J361" i="1"/>
  <c r="J362" i="1" s="1"/>
  <c r="X360" i="1"/>
  <c r="AB360" i="1" s="1"/>
  <c r="X359" i="1"/>
  <c r="AB359" i="1" s="1"/>
  <c r="AZ358" i="1"/>
  <c r="AY358" i="1"/>
  <c r="AF358" i="1"/>
  <c r="AL358" i="1" s="1"/>
  <c r="X358" i="1"/>
  <c r="AB358" i="1" s="1"/>
  <c r="J358" i="1"/>
  <c r="AA358" i="1" s="1"/>
  <c r="X357" i="1"/>
  <c r="AB357" i="1" s="1"/>
  <c r="X356" i="1"/>
  <c r="AB356" i="1" s="1"/>
  <c r="AZ355" i="1"/>
  <c r="AY355" i="1"/>
  <c r="AG355" i="1"/>
  <c r="AL355" i="1" s="1"/>
  <c r="X355" i="1"/>
  <c r="AB355" i="1" s="1"/>
  <c r="X354" i="1"/>
  <c r="X353" i="1"/>
  <c r="AB353" i="1" s="1"/>
  <c r="AZ352" i="1"/>
  <c r="AY352" i="1"/>
  <c r="AG352" i="1"/>
  <c r="AL352" i="1" s="1"/>
  <c r="X352" i="1"/>
  <c r="AB352" i="1" s="1"/>
  <c r="X351" i="1"/>
  <c r="AB351" i="1" s="1"/>
  <c r="X350" i="1"/>
  <c r="AB350" i="1" s="1"/>
  <c r="AZ349" i="1"/>
  <c r="AY349" i="1"/>
  <c r="AG349" i="1"/>
  <c r="AL349" i="1" s="1"/>
  <c r="X349" i="1"/>
  <c r="AB349" i="1" s="1"/>
  <c r="J349" i="1"/>
  <c r="AA349" i="1" s="1"/>
  <c r="X348" i="1"/>
  <c r="AB348" i="1" s="1"/>
  <c r="X347" i="1"/>
  <c r="AB347" i="1" s="1"/>
  <c r="AZ346" i="1"/>
  <c r="AY346" i="1"/>
  <c r="AG346" i="1"/>
  <c r="AL346" i="1" s="1"/>
  <c r="X346" i="1"/>
  <c r="AB346" i="1" s="1"/>
  <c r="J346" i="1"/>
  <c r="AA346" i="1" s="1"/>
  <c r="X345" i="1"/>
  <c r="X344" i="1"/>
  <c r="AB344" i="1" s="1"/>
  <c r="AZ343" i="1"/>
  <c r="AY343" i="1"/>
  <c r="AG343" i="1"/>
  <c r="AL343" i="1" s="1"/>
  <c r="X343" i="1"/>
  <c r="AB343" i="1" s="1"/>
  <c r="X342" i="1"/>
  <c r="AB342" i="1" s="1"/>
  <c r="X341" i="1"/>
  <c r="AB341" i="1" s="1"/>
  <c r="AZ340" i="1"/>
  <c r="AY340" i="1"/>
  <c r="AG340" i="1"/>
  <c r="AL340" i="1" s="1"/>
  <c r="X340" i="1"/>
  <c r="AB340" i="1" s="1"/>
  <c r="X339" i="1"/>
  <c r="AB339" i="1" s="1"/>
  <c r="X338" i="1"/>
  <c r="AB338" i="1" s="1"/>
  <c r="AZ337" i="1"/>
  <c r="AY337" i="1"/>
  <c r="AF337" i="1"/>
  <c r="AL337" i="1" s="1"/>
  <c r="X337" i="1"/>
  <c r="AB337" i="1" s="1"/>
  <c r="J337" i="1"/>
  <c r="J339" i="1" s="1"/>
  <c r="AA337" i="1" s="1"/>
  <c r="X336" i="1"/>
  <c r="AB336" i="1" s="1"/>
  <c r="X335" i="1"/>
  <c r="AB335" i="1" s="1"/>
  <c r="AZ334" i="1"/>
  <c r="AY334" i="1"/>
  <c r="AG334" i="1"/>
  <c r="AL334" i="1" s="1"/>
  <c r="X334" i="1"/>
  <c r="AB334" i="1" s="1"/>
  <c r="J334" i="1"/>
  <c r="AA334" i="1" s="1"/>
  <c r="X333" i="1"/>
  <c r="AB333" i="1" s="1"/>
  <c r="X332" i="1"/>
  <c r="AB332" i="1" s="1"/>
  <c r="AZ331" i="1"/>
  <c r="AY331" i="1"/>
  <c r="AF331" i="1"/>
  <c r="AL331" i="1" s="1"/>
  <c r="X331" i="1"/>
  <c r="AB331" i="1" s="1"/>
  <c r="X330" i="1"/>
  <c r="AB330" i="1" s="1"/>
  <c r="X329" i="1"/>
  <c r="AB329" i="1" s="1"/>
  <c r="AZ328" i="1"/>
  <c r="AY328" i="1"/>
  <c r="AF328" i="1"/>
  <c r="AL328" i="1" s="1"/>
  <c r="X328" i="1"/>
  <c r="AB328" i="1" s="1"/>
  <c r="X327" i="1"/>
  <c r="X326" i="1"/>
  <c r="AB326" i="1" s="1"/>
  <c r="AZ325" i="1"/>
  <c r="AY325" i="1"/>
  <c r="AF325" i="1"/>
  <c r="AL325" i="1" s="1"/>
  <c r="X325" i="1"/>
  <c r="AB325" i="1" s="1"/>
  <c r="X324" i="1"/>
  <c r="X323" i="1"/>
  <c r="AB323" i="1" s="1"/>
  <c r="AZ322" i="1"/>
  <c r="AY322" i="1"/>
  <c r="AF322" i="1"/>
  <c r="AL322" i="1" s="1"/>
  <c r="X322" i="1"/>
  <c r="AB322" i="1" s="1"/>
  <c r="J322" i="1"/>
  <c r="J324" i="1" s="1"/>
  <c r="AA322" i="1" s="1"/>
  <c r="X321" i="1"/>
  <c r="AB321" i="1" s="1"/>
  <c r="X320" i="1"/>
  <c r="AB320" i="1" s="1"/>
  <c r="AZ319" i="1"/>
  <c r="AY319" i="1"/>
  <c r="AF319" i="1"/>
  <c r="AL319" i="1" s="1"/>
  <c r="X319" i="1"/>
  <c r="AB319" i="1" s="1"/>
  <c r="J319" i="1"/>
  <c r="J321" i="1" s="1"/>
  <c r="AA319" i="1" s="1"/>
  <c r="X318" i="1"/>
  <c r="AB318" i="1" s="1"/>
  <c r="X317" i="1"/>
  <c r="AB317" i="1" s="1"/>
  <c r="AZ316" i="1"/>
  <c r="AY316" i="1"/>
  <c r="AF316" i="1"/>
  <c r="AL316" i="1" s="1"/>
  <c r="X316" i="1"/>
  <c r="AB316" i="1" s="1"/>
  <c r="J316" i="1"/>
  <c r="AA316" i="1" s="1"/>
  <c r="X315" i="1"/>
  <c r="AB315" i="1" s="1"/>
  <c r="X314" i="1"/>
  <c r="AB314" i="1" s="1"/>
  <c r="AZ313" i="1"/>
  <c r="AY313" i="1"/>
  <c r="AF313" i="1"/>
  <c r="AL313" i="1" s="1"/>
  <c r="X313" i="1"/>
  <c r="AB313" i="1" s="1"/>
  <c r="J313" i="1"/>
  <c r="AA313" i="1" s="1"/>
  <c r="X312" i="1"/>
  <c r="X311" i="1"/>
  <c r="AB311" i="1" s="1"/>
  <c r="AZ310" i="1"/>
  <c r="AY310" i="1"/>
  <c r="AF310" i="1"/>
  <c r="AL310" i="1" s="1"/>
  <c r="X310" i="1"/>
  <c r="AB310" i="1" s="1"/>
  <c r="X309" i="1"/>
  <c r="AB309" i="1" s="1"/>
  <c r="X308" i="1"/>
  <c r="AB308" i="1" s="1"/>
  <c r="AZ307" i="1"/>
  <c r="AY307" i="1"/>
  <c r="AF307" i="1"/>
  <c r="AL307" i="1" s="1"/>
  <c r="X307" i="1"/>
  <c r="AB307" i="1" s="1"/>
  <c r="J307" i="1"/>
  <c r="AA307" i="1" s="1"/>
  <c r="X306" i="1"/>
  <c r="AB306" i="1" s="1"/>
  <c r="X305" i="1"/>
  <c r="AB305" i="1" s="1"/>
  <c r="AZ304" i="1"/>
  <c r="AY304" i="1"/>
  <c r="AF304" i="1"/>
  <c r="AL304" i="1" s="1"/>
  <c r="X304" i="1"/>
  <c r="AB304" i="1" s="1"/>
  <c r="J304" i="1"/>
  <c r="AA304" i="1" s="1"/>
  <c r="X303" i="1"/>
  <c r="AB303" i="1" s="1"/>
  <c r="X302" i="1"/>
  <c r="AB302" i="1" s="1"/>
  <c r="AZ301" i="1"/>
  <c r="AY301" i="1"/>
  <c r="AF301" i="1"/>
  <c r="AL301" i="1" s="1"/>
  <c r="X301" i="1"/>
  <c r="AB301" i="1" s="1"/>
  <c r="J301" i="1"/>
  <c r="AA301" i="1" s="1"/>
  <c r="X300" i="1"/>
  <c r="X299" i="1"/>
  <c r="AB299" i="1" s="1"/>
  <c r="AZ298" i="1"/>
  <c r="AY298" i="1"/>
  <c r="AG298" i="1"/>
  <c r="AL298" i="1" s="1"/>
  <c r="X298" i="1"/>
  <c r="AB298" i="1" s="1"/>
  <c r="J298" i="1"/>
  <c r="J300" i="1" s="1"/>
  <c r="AA298" i="1" s="1"/>
  <c r="X297" i="1"/>
  <c r="X296" i="1"/>
  <c r="AB296" i="1" s="1"/>
  <c r="AZ295" i="1"/>
  <c r="AY295" i="1"/>
  <c r="AG295" i="1"/>
  <c r="AL295" i="1" s="1"/>
  <c r="X295" i="1"/>
  <c r="AB295" i="1" s="1"/>
  <c r="J295" i="1"/>
  <c r="J297" i="1" s="1"/>
  <c r="AA295" i="1" s="1"/>
  <c r="X294" i="1"/>
  <c r="X293" i="1"/>
  <c r="AB293" i="1" s="1"/>
  <c r="AZ292" i="1"/>
  <c r="AY292" i="1"/>
  <c r="AF292" i="1"/>
  <c r="AL292" i="1" s="1"/>
  <c r="X292" i="1"/>
  <c r="AB292" i="1" s="1"/>
  <c r="X291" i="1"/>
  <c r="AB291" i="1" s="1"/>
  <c r="J291" i="1"/>
  <c r="X290" i="1"/>
  <c r="AB290" i="1" s="1"/>
  <c r="AZ289" i="1"/>
  <c r="AY289" i="1"/>
  <c r="AG289" i="1"/>
  <c r="AL289" i="1" s="1"/>
  <c r="X289" i="1"/>
  <c r="AB289" i="1" s="1"/>
  <c r="J289" i="1"/>
  <c r="AA289" i="1" s="1"/>
  <c r="X288" i="1"/>
  <c r="AB288" i="1" s="1"/>
  <c r="X287" i="1"/>
  <c r="AB287" i="1" s="1"/>
  <c r="AZ286" i="1"/>
  <c r="AY286" i="1"/>
  <c r="AF286" i="1"/>
  <c r="AL286" i="1" s="1"/>
  <c r="X286" i="1"/>
  <c r="AB286" i="1" s="1"/>
  <c r="J286" i="1"/>
  <c r="AA286" i="1" s="1"/>
  <c r="X285" i="1"/>
  <c r="AB285" i="1" s="1"/>
  <c r="X284" i="1"/>
  <c r="AB284" i="1" s="1"/>
  <c r="AZ283" i="1"/>
  <c r="AY283" i="1"/>
  <c r="AG283" i="1"/>
  <c r="AL283" i="1" s="1"/>
  <c r="X283" i="1"/>
  <c r="AB283" i="1" s="1"/>
  <c r="J283" i="1"/>
  <c r="AA283" i="1" s="1"/>
  <c r="X282" i="1"/>
  <c r="X281" i="1"/>
  <c r="AB281" i="1" s="1"/>
  <c r="AZ280" i="1"/>
  <c r="AY280" i="1"/>
  <c r="AF280" i="1"/>
  <c r="AL280" i="1" s="1"/>
  <c r="X280" i="1"/>
  <c r="AB280" i="1" s="1"/>
  <c r="J280" i="1"/>
  <c r="J282" i="1" s="1"/>
  <c r="AA280" i="1" s="1"/>
  <c r="X279" i="1"/>
  <c r="X278" i="1"/>
  <c r="AB278" i="1" s="1"/>
  <c r="AZ277" i="1"/>
  <c r="AY277" i="1"/>
  <c r="AF277" i="1"/>
  <c r="AL277" i="1" s="1"/>
  <c r="X277" i="1"/>
  <c r="AB277" i="1" s="1"/>
  <c r="J277" i="1"/>
  <c r="J279" i="1" s="1"/>
  <c r="AA277" i="1" s="1"/>
  <c r="X276" i="1"/>
  <c r="X275" i="1"/>
  <c r="AB275" i="1" s="1"/>
  <c r="AZ274" i="1"/>
  <c r="AY274" i="1"/>
  <c r="AF274" i="1"/>
  <c r="AL274" i="1" s="1"/>
  <c r="X274" i="1"/>
  <c r="AB274" i="1" s="1"/>
  <c r="J274" i="1"/>
  <c r="J276" i="1" s="1"/>
  <c r="AA274" i="1" s="1"/>
  <c r="X273" i="1"/>
  <c r="AB273" i="1" s="1"/>
  <c r="X272" i="1"/>
  <c r="AB272" i="1" s="1"/>
  <c r="AZ271" i="1"/>
  <c r="AY271" i="1"/>
  <c r="AF271" i="1"/>
  <c r="AL271" i="1" s="1"/>
  <c r="X271" i="1"/>
  <c r="AB271" i="1" s="1"/>
  <c r="J271" i="1"/>
  <c r="AA271" i="1" s="1"/>
  <c r="X270" i="1"/>
  <c r="X269" i="1"/>
  <c r="AB269" i="1" s="1"/>
  <c r="AZ268" i="1"/>
  <c r="AY268" i="1"/>
  <c r="AG268" i="1"/>
  <c r="AL268" i="1" s="1"/>
  <c r="X268" i="1"/>
  <c r="AB268" i="1" s="1"/>
  <c r="X267" i="1"/>
  <c r="AB267" i="1" s="1"/>
  <c r="X266" i="1"/>
  <c r="AB266" i="1" s="1"/>
  <c r="AZ265" i="1"/>
  <c r="AY265" i="1"/>
  <c r="AF265" i="1"/>
  <c r="AL265" i="1" s="1"/>
  <c r="X265" i="1"/>
  <c r="AB265" i="1" s="1"/>
  <c r="X264" i="1"/>
  <c r="AB264" i="1" s="1"/>
  <c r="X263" i="1"/>
  <c r="AZ262" i="1"/>
  <c r="AY262" i="1"/>
  <c r="AF262" i="1"/>
  <c r="AL262" i="1" s="1"/>
  <c r="X262" i="1"/>
  <c r="AB262" i="1" s="1"/>
  <c r="X261" i="1"/>
  <c r="AB261" i="1" s="1"/>
  <c r="X260" i="1"/>
  <c r="AB260" i="1" s="1"/>
  <c r="AZ259" i="1"/>
  <c r="AY259" i="1"/>
  <c r="AG259" i="1"/>
  <c r="X259" i="1"/>
  <c r="AB259" i="1" s="1"/>
  <c r="X258" i="1"/>
  <c r="AB258" i="1" s="1"/>
  <c r="X257" i="1"/>
  <c r="AB257" i="1" s="1"/>
  <c r="AZ256" i="1"/>
  <c r="AY256" i="1"/>
  <c r="AF256" i="1"/>
  <c r="AL256" i="1" s="1"/>
  <c r="X256" i="1"/>
  <c r="AB256" i="1" s="1"/>
  <c r="J256" i="1"/>
  <c r="AA256" i="1" s="1"/>
  <c r="X255" i="1"/>
  <c r="X254" i="1"/>
  <c r="AB254" i="1" s="1"/>
  <c r="AZ253" i="1"/>
  <c r="AY253" i="1"/>
  <c r="AG253" i="1"/>
  <c r="AL253" i="1" s="1"/>
  <c r="X253" i="1"/>
  <c r="AB253" i="1" s="1"/>
  <c r="J253" i="1"/>
  <c r="J255" i="1" s="1"/>
  <c r="AA253" i="1" s="1"/>
  <c r="X252" i="1"/>
  <c r="AB252" i="1" s="1"/>
  <c r="X251" i="1"/>
  <c r="AB251" i="1" s="1"/>
  <c r="AZ250" i="1"/>
  <c r="AY250" i="1"/>
  <c r="AF250" i="1"/>
  <c r="AL250" i="1" s="1"/>
  <c r="X250" i="1"/>
  <c r="AB250" i="1" s="1"/>
  <c r="J250" i="1"/>
  <c r="AA250" i="1" s="1"/>
  <c r="AZ247" i="1"/>
  <c r="AY247" i="1"/>
  <c r="AF247" i="1"/>
  <c r="AL247" i="1" s="1"/>
  <c r="X247" i="1"/>
  <c r="AB247" i="1" s="1"/>
  <c r="J247" i="1"/>
  <c r="AA247" i="1" s="1"/>
  <c r="AZ244" i="1"/>
  <c r="AY244" i="1"/>
  <c r="AF244" i="1"/>
  <c r="AL244" i="1" s="1"/>
  <c r="X244" i="1"/>
  <c r="AB244" i="1" s="1"/>
  <c r="AC121" i="31"/>
  <c r="AB121" i="31"/>
  <c r="AA121" i="31"/>
  <c r="Z121" i="31"/>
  <c r="Y121" i="31"/>
  <c r="X121" i="31"/>
  <c r="W121" i="31"/>
  <c r="V121" i="31"/>
  <c r="U121" i="31"/>
  <c r="U120" i="31" s="1"/>
  <c r="T121" i="31"/>
  <c r="S121" i="31"/>
  <c r="R121" i="31"/>
  <c r="AD121" i="31" s="1"/>
  <c r="J235" i="31"/>
  <c r="J236" i="31"/>
  <c r="J237" i="31"/>
  <c r="J238" i="31"/>
  <c r="J239" i="31"/>
  <c r="E239" i="31"/>
  <c r="E238" i="31"/>
  <c r="E237" i="31"/>
  <c r="D235" i="31"/>
  <c r="E191" i="31"/>
  <c r="G168" i="31"/>
  <c r="J1197" i="1"/>
  <c r="AA1195" i="1" s="1"/>
  <c r="J938" i="1"/>
  <c r="AA937" i="1" s="1"/>
  <c r="J570" i="1"/>
  <c r="AA568" i="1" s="1"/>
  <c r="J623" i="1"/>
  <c r="AA622" i="1" s="1"/>
  <c r="J384" i="1"/>
  <c r="AA382" i="1" s="1"/>
  <c r="J486" i="1"/>
  <c r="AA484" i="1" s="1"/>
  <c r="J621" i="1"/>
  <c r="AA619" i="1" s="1"/>
  <c r="J855" i="1"/>
  <c r="AA853" i="1" s="1"/>
  <c r="J1025" i="1"/>
  <c r="AA1024" i="1" s="1"/>
  <c r="J1332" i="1"/>
  <c r="AA1330" i="1" s="1"/>
  <c r="J1049" i="1"/>
  <c r="AA1048" i="1" s="1"/>
  <c r="J1092" i="1"/>
  <c r="AA1090" i="1" s="1"/>
  <c r="J602" i="1"/>
  <c r="AA601" i="1" s="1"/>
  <c r="AA982" i="1"/>
  <c r="AA1126" i="1"/>
  <c r="AA1279" i="1"/>
  <c r="AA244" i="1"/>
  <c r="J328" i="1"/>
  <c r="AA328" i="1" s="1"/>
  <c r="J340" i="1"/>
  <c r="J342" i="1" s="1"/>
  <c r="AA340" i="1" s="1"/>
  <c r="J385" i="1"/>
  <c r="AA385" i="1" s="1"/>
  <c r="J391" i="1"/>
  <c r="J393" i="1" s="1"/>
  <c r="AA391" i="1" s="1"/>
  <c r="J610" i="1"/>
  <c r="AA610" i="1" s="1"/>
  <c r="J739" i="1"/>
  <c r="AA739" i="1" s="1"/>
  <c r="J1075" i="1"/>
  <c r="AA1075" i="1" s="1"/>
  <c r="J310" i="1"/>
  <c r="J312" i="1" s="1"/>
  <c r="AA310" i="1" s="1"/>
  <c r="J412" i="1"/>
  <c r="J414" i="1" s="1"/>
  <c r="AA412" i="1" s="1"/>
  <c r="J505" i="1"/>
  <c r="AA505" i="1" s="1"/>
  <c r="J775" i="1"/>
  <c r="J805" i="1"/>
  <c r="AA805" i="1" s="1"/>
  <c r="J892" i="1"/>
  <c r="AA892" i="1" s="1"/>
  <c r="J952" i="1"/>
  <c r="J954" i="1" s="1"/>
  <c r="AA952" i="1" s="1"/>
  <c r="J1084" i="1"/>
  <c r="J1105" i="1"/>
  <c r="J1107" i="1" s="1"/>
  <c r="AA1105" i="1" s="1"/>
  <c r="J1192" i="1"/>
  <c r="AA1192" i="1" s="1"/>
  <c r="J1198" i="1"/>
  <c r="AA1198" i="1" s="1"/>
  <c r="J292" i="1"/>
  <c r="J294" i="1" s="1"/>
  <c r="AA292" i="1" s="1"/>
  <c r="J343" i="1"/>
  <c r="J345" i="1" s="1"/>
  <c r="AA343" i="1" s="1"/>
  <c r="J352" i="1"/>
  <c r="J664" i="1"/>
  <c r="AA664" i="1" s="1"/>
  <c r="J691" i="1"/>
  <c r="J692" i="1" s="1"/>
  <c r="AA691" i="1" s="1"/>
  <c r="J781" i="1"/>
  <c r="J979" i="1"/>
  <c r="AA979" i="1" s="1"/>
  <c r="X1072" i="1"/>
  <c r="AB1072" i="1" s="1"/>
  <c r="J1093" i="1"/>
  <c r="AA1093" i="1" s="1"/>
  <c r="J1117" i="1"/>
  <c r="AA1117" i="1" s="1"/>
  <c r="J1150" i="1"/>
  <c r="AA1150" i="1" s="1"/>
  <c r="J373" i="1"/>
  <c r="AA373" i="1" s="1"/>
  <c r="J409" i="1"/>
  <c r="J411" i="1" s="1"/>
  <c r="AA409" i="1" s="1"/>
  <c r="J415" i="1"/>
  <c r="AA415" i="1" s="1"/>
  <c r="J424" i="1"/>
  <c r="AA424" i="1" s="1"/>
  <c r="J496" i="1"/>
  <c r="AA496" i="1" s="1"/>
  <c r="J637" i="1"/>
  <c r="AA637" i="1" s="1"/>
  <c r="J796" i="1"/>
  <c r="AA796" i="1" s="1"/>
  <c r="J874" i="1"/>
  <c r="J875" i="1" s="1"/>
  <c r="AA874" i="1" s="1"/>
  <c r="J877" i="1"/>
  <c r="J879" i="1" s="1"/>
  <c r="AA877" i="1" s="1"/>
  <c r="J883" i="1"/>
  <c r="AA883" i="1" s="1"/>
  <c r="J910" i="1"/>
  <c r="J958" i="1"/>
  <c r="AA958" i="1" s="1"/>
  <c r="X1132" i="1"/>
  <c r="AB1132" i="1" s="1"/>
  <c r="J1171" i="1"/>
  <c r="X1171" i="1"/>
  <c r="AB1171" i="1" s="1"/>
  <c r="J1276" i="1"/>
  <c r="J1278" i="1" s="1"/>
  <c r="AA1276" i="1" s="1"/>
  <c r="X1279" i="1"/>
  <c r="AB1279" i="1" s="1"/>
  <c r="J1297" i="1"/>
  <c r="J1299" i="1" s="1"/>
  <c r="AA1297" i="1" s="1"/>
  <c r="X1453" i="1"/>
  <c r="AB1453" i="1" s="1"/>
  <c r="J259" i="1"/>
  <c r="AA259" i="1" s="1"/>
  <c r="J268" i="1"/>
  <c r="AA268" i="1" s="1"/>
  <c r="J355" i="1"/>
  <c r="AA355" i="1" s="1"/>
  <c r="J325" i="1"/>
  <c r="AA325" i="1" s="1"/>
  <c r="J331" i="1"/>
  <c r="J333" i="1" s="1"/>
  <c r="AA331" i="1" s="1"/>
  <c r="J376" i="1"/>
  <c r="AA376" i="1" s="1"/>
  <c r="J388" i="1"/>
  <c r="AA388" i="1" s="1"/>
  <c r="J400" i="1"/>
  <c r="J402" i="1" s="1"/>
  <c r="AA400" i="1" s="1"/>
  <c r="J436" i="1"/>
  <c r="J437" i="1" s="1"/>
  <c r="AA436" i="1" s="1"/>
  <c r="X436" i="1"/>
  <c r="AB436" i="1" s="1"/>
  <c r="J580" i="1"/>
  <c r="AA580" i="1" s="1"/>
  <c r="J640" i="1"/>
  <c r="AA640" i="1" s="1"/>
  <c r="J673" i="1"/>
  <c r="AA673" i="1" s="1"/>
  <c r="J778" i="1"/>
  <c r="AA778" i="1" s="1"/>
  <c r="J802" i="1"/>
  <c r="AA802" i="1" s="1"/>
  <c r="J859" i="1"/>
  <c r="J861" i="1" s="1"/>
  <c r="AA859" i="1" s="1"/>
  <c r="J865" i="1"/>
  <c r="J866" i="1" s="1"/>
  <c r="AA865" i="1" s="1"/>
  <c r="J871" i="1"/>
  <c r="AA871" i="1" s="1"/>
  <c r="J895" i="1"/>
  <c r="J897" i="1" s="1"/>
  <c r="AA895" i="1" s="1"/>
  <c r="J916" i="1"/>
  <c r="AA916" i="1" s="1"/>
  <c r="J949" i="1"/>
  <c r="AA949" i="1" s="1"/>
  <c r="J955" i="1"/>
  <c r="AA955" i="1" s="1"/>
  <c r="J973" i="1"/>
  <c r="J975" i="1" s="1"/>
  <c r="AA973" i="1" s="1"/>
  <c r="J985" i="1"/>
  <c r="X985" i="1"/>
  <c r="AB985" i="1" s="1"/>
  <c r="J988" i="1"/>
  <c r="AA988" i="1" s="1"/>
  <c r="J1000" i="1"/>
  <c r="AA1000" i="1" s="1"/>
  <c r="J1045" i="1"/>
  <c r="J1047" i="1" s="1"/>
  <c r="AA1045" i="1" s="1"/>
  <c r="J1054" i="1"/>
  <c r="J1056" i="1" s="1"/>
  <c r="AA1054" i="1" s="1"/>
  <c r="J1069" i="1"/>
  <c r="AA1069" i="1" s="1"/>
  <c r="J1078" i="1"/>
  <c r="AA1078" i="1" s="1"/>
  <c r="J1099" i="1"/>
  <c r="X1099" i="1"/>
  <c r="AB1099" i="1" s="1"/>
  <c r="J1102" i="1"/>
  <c r="AA1102" i="1" s="1"/>
  <c r="J1108" i="1"/>
  <c r="AA1108" i="1" s="1"/>
  <c r="J1114" i="1"/>
  <c r="X1114" i="1"/>
  <c r="AB1114" i="1" s="1"/>
  <c r="J1121" i="1"/>
  <c r="J1138" i="1"/>
  <c r="AA1138" i="1" s="1"/>
  <c r="X1138" i="1"/>
  <c r="AB1138" i="1" s="1"/>
  <c r="J1141" i="1"/>
  <c r="X1141" i="1"/>
  <c r="AB1141" i="1" s="1"/>
  <c r="J1144" i="1"/>
  <c r="AA1144" i="1" s="1"/>
  <c r="J1153" i="1"/>
  <c r="AA1153" i="1" s="1"/>
  <c r="X1153" i="1"/>
  <c r="AB1153" i="1" s="1"/>
  <c r="J1156" i="1"/>
  <c r="AA1156" i="1" s="1"/>
  <c r="J1162" i="1"/>
  <c r="AA1162" i="1" s="1"/>
  <c r="J1189" i="1"/>
  <c r="AA1189" i="1" s="1"/>
  <c r="J1201" i="1"/>
  <c r="AA1201" i="1" s="1"/>
  <c r="J1207" i="1"/>
  <c r="AA1207" i="1" s="1"/>
  <c r="J1258" i="1"/>
  <c r="AA1258" i="1" s="1"/>
  <c r="J1285" i="1"/>
  <c r="AA1285" i="1" s="1"/>
  <c r="J1291" i="1"/>
  <c r="J1293" i="1" s="1"/>
  <c r="AA1291" i="1" s="1"/>
  <c r="J1300" i="1"/>
  <c r="X1300" i="1"/>
  <c r="AB1300" i="1" s="1"/>
  <c r="J1303" i="1"/>
  <c r="J1305" i="1" s="1"/>
  <c r="AA1303" i="1" s="1"/>
  <c r="J1309" i="1"/>
  <c r="J1311" i="1" s="1"/>
  <c r="AA1309" i="1" s="1"/>
  <c r="J421" i="1"/>
  <c r="J422" i="1" s="1"/>
  <c r="AA421" i="1" s="1"/>
  <c r="J433" i="1"/>
  <c r="J434" i="1" s="1"/>
  <c r="AA433" i="1" s="1"/>
  <c r="J451" i="1"/>
  <c r="J453" i="1" s="1"/>
  <c r="AA451" i="1" s="1"/>
  <c r="J454" i="1"/>
  <c r="AA454" i="1" s="1"/>
  <c r="J463" i="1"/>
  <c r="J465" i="1" s="1"/>
  <c r="AA463" i="1" s="1"/>
  <c r="J493" i="1"/>
  <c r="AA493" i="1" s="1"/>
  <c r="J565" i="1"/>
  <c r="AA565" i="1" s="1"/>
  <c r="J607" i="1"/>
  <c r="AA607" i="1" s="1"/>
  <c r="J688" i="1"/>
  <c r="AA688" i="1" s="1"/>
  <c r="J697" i="1"/>
  <c r="J699" i="1" s="1"/>
  <c r="AA697" i="1" s="1"/>
  <c r="J736" i="1"/>
  <c r="AA736" i="1" s="1"/>
  <c r="J763" i="1"/>
  <c r="AA763" i="1" s="1"/>
  <c r="J769" i="1"/>
  <c r="AA769" i="1" s="1"/>
  <c r="J811" i="1"/>
  <c r="AA811" i="1" s="1"/>
  <c r="J817" i="1"/>
  <c r="AA817" i="1" s="1"/>
  <c r="J823" i="1"/>
  <c r="AA823" i="1" s="1"/>
  <c r="J907" i="1"/>
  <c r="AA907" i="1" s="1"/>
  <c r="X919" i="1"/>
  <c r="AB919" i="1" s="1"/>
  <c r="J928" i="1"/>
  <c r="AA928" i="1" s="1"/>
  <c r="J934" i="1"/>
  <c r="J936" i="1" s="1"/>
  <c r="AA934" i="1" s="1"/>
  <c r="J940" i="1"/>
  <c r="AA940" i="1" s="1"/>
  <c r="J976" i="1"/>
  <c r="AA976" i="1" s="1"/>
  <c r="J1120" i="1"/>
  <c r="J1123" i="1"/>
  <c r="AA1123" i="1" s="1"/>
  <c r="J1129" i="1"/>
  <c r="J1131" i="1" s="1"/>
  <c r="AA1129" i="1" s="1"/>
  <c r="J1204" i="1"/>
  <c r="AA1204" i="1" s="1"/>
  <c r="J53" i="1"/>
  <c r="AE67" i="1"/>
  <c r="J783" i="1"/>
  <c r="AA781" i="1" s="1"/>
  <c r="J1086" i="1"/>
  <c r="AA1084" i="1" s="1"/>
  <c r="J912" i="1"/>
  <c r="AA910" i="1" s="1"/>
  <c r="J777" i="1"/>
  <c r="AA775" i="1" s="1"/>
  <c r="J354" i="1"/>
  <c r="AA352" i="1" s="1"/>
  <c r="I95" i="1"/>
  <c r="S100" i="9"/>
  <c r="I100" i="9"/>
  <c r="J100" i="9"/>
  <c r="E100" i="9"/>
  <c r="A102" i="9"/>
  <c r="A100" i="9"/>
  <c r="B100" i="9"/>
  <c r="R95" i="1"/>
  <c r="AY104" i="1"/>
  <c r="AZ104" i="1"/>
  <c r="AF101" i="1"/>
  <c r="AL101" i="1" s="1"/>
  <c r="X104" i="1"/>
  <c r="AB104" i="1" s="1"/>
  <c r="K104" i="1"/>
  <c r="AE28" i="1"/>
  <c r="AE27" i="1" s="1"/>
  <c r="AE111" i="1"/>
  <c r="J101" i="1"/>
  <c r="D245" i="31"/>
  <c r="D248" i="31"/>
  <c r="E251" i="31"/>
  <c r="D254" i="31"/>
  <c r="E257" i="31"/>
  <c r="D260" i="31"/>
  <c r="D263" i="31"/>
  <c r="E266" i="31"/>
  <c r="D269" i="31"/>
  <c r="D272" i="31"/>
  <c r="D275" i="31"/>
  <c r="D278" i="31"/>
  <c r="E281" i="31"/>
  <c r="D284" i="31"/>
  <c r="E287" i="31"/>
  <c r="D290" i="31"/>
  <c r="E293" i="31"/>
  <c r="E296" i="31"/>
  <c r="D299" i="31"/>
  <c r="D302" i="31"/>
  <c r="D305" i="31"/>
  <c r="D308" i="31"/>
  <c r="D311" i="31"/>
  <c r="D314" i="31"/>
  <c r="D317" i="31"/>
  <c r="D320" i="31"/>
  <c r="D323" i="31"/>
  <c r="D326" i="31"/>
  <c r="D329" i="31"/>
  <c r="E332" i="31"/>
  <c r="D335" i="31"/>
  <c r="E338" i="31"/>
  <c r="E341" i="31"/>
  <c r="E344" i="31"/>
  <c r="E347" i="31"/>
  <c r="E350" i="31"/>
  <c r="E353" i="31"/>
  <c r="D356" i="31"/>
  <c r="E359" i="31"/>
  <c r="E362" i="31"/>
  <c r="D365" i="31"/>
  <c r="E368" i="31"/>
  <c r="E371" i="31"/>
  <c r="E374" i="31"/>
  <c r="E377" i="31"/>
  <c r="D380" i="31"/>
  <c r="E383" i="31"/>
  <c r="E386" i="31"/>
  <c r="E389" i="31"/>
  <c r="D392" i="31"/>
  <c r="D395" i="31"/>
  <c r="E398" i="31"/>
  <c r="E401" i="31"/>
  <c r="E404" i="31"/>
  <c r="D407" i="31"/>
  <c r="D410" i="31"/>
  <c r="D413" i="31"/>
  <c r="D416" i="31"/>
  <c r="D419" i="31"/>
  <c r="E422" i="31"/>
  <c r="D425" i="31"/>
  <c r="D428" i="31"/>
  <c r="E431" i="31"/>
  <c r="D434" i="31"/>
  <c r="D437" i="31"/>
  <c r="E440" i="31"/>
  <c r="D443" i="31"/>
  <c r="E446" i="31"/>
  <c r="D449" i="31"/>
  <c r="E452" i="31"/>
  <c r="E455" i="31"/>
  <c r="D458" i="31"/>
  <c r="D461" i="31"/>
  <c r="D464" i="31"/>
  <c r="E467" i="31"/>
  <c r="E470" i="31"/>
  <c r="D473" i="31"/>
  <c r="D476" i="31"/>
  <c r="D479" i="31"/>
  <c r="D482" i="31"/>
  <c r="D485" i="31"/>
  <c r="D488" i="31"/>
  <c r="E491" i="31"/>
  <c r="D494" i="31"/>
  <c r="E497" i="31"/>
  <c r="E500" i="31"/>
  <c r="D503" i="31"/>
  <c r="E506" i="31"/>
  <c r="D509" i="31"/>
  <c r="E512" i="31"/>
  <c r="D515" i="31"/>
  <c r="D518" i="31"/>
  <c r="D521" i="31"/>
  <c r="D524" i="31"/>
  <c r="D527" i="31"/>
  <c r="E530" i="31"/>
  <c r="D533" i="31"/>
  <c r="E536" i="31"/>
  <c r="D539" i="31"/>
  <c r="D542" i="31"/>
  <c r="E545" i="31"/>
  <c r="E548" i="31"/>
  <c r="D551" i="31"/>
  <c r="E554" i="31"/>
  <c r="E557" i="31"/>
  <c r="E560" i="31"/>
  <c r="E563" i="31"/>
  <c r="E566" i="31"/>
  <c r="E569" i="31"/>
  <c r="E572" i="31"/>
  <c r="D575" i="31"/>
  <c r="E578" i="31"/>
  <c r="E581" i="31"/>
  <c r="D584" i="31"/>
  <c r="E587" i="31"/>
  <c r="E590" i="31"/>
  <c r="E593" i="31"/>
  <c r="E596" i="31"/>
  <c r="E599" i="31"/>
  <c r="E602" i="31"/>
  <c r="E605" i="31"/>
  <c r="E608" i="31"/>
  <c r="E611" i="31"/>
  <c r="D614" i="31"/>
  <c r="E617" i="31"/>
  <c r="E620" i="31"/>
  <c r="E623" i="31"/>
  <c r="E626" i="31"/>
  <c r="E629" i="31"/>
  <c r="E632" i="31"/>
  <c r="E635" i="31"/>
  <c r="E638" i="31"/>
  <c r="D641" i="31"/>
  <c r="E644" i="31"/>
  <c r="D647" i="31"/>
  <c r="E650" i="31"/>
  <c r="E653" i="31"/>
  <c r="D656" i="31"/>
  <c r="E659" i="31"/>
  <c r="E662" i="31"/>
  <c r="D665" i="31"/>
  <c r="E668" i="31"/>
  <c r="E671" i="31"/>
  <c r="D674" i="31"/>
  <c r="E677" i="31"/>
  <c r="E680" i="31"/>
  <c r="D683" i="31"/>
  <c r="E686" i="31"/>
  <c r="D689" i="31"/>
  <c r="E692" i="31"/>
  <c r="E695" i="31"/>
  <c r="E698" i="31"/>
  <c r="E701" i="31"/>
  <c r="E704" i="31"/>
  <c r="E707" i="31"/>
  <c r="E710" i="31"/>
  <c r="E713" i="31"/>
  <c r="E716" i="31"/>
  <c r="E719" i="31"/>
  <c r="E722" i="31"/>
  <c r="E725" i="31"/>
  <c r="E728" i="31"/>
  <c r="E731" i="31"/>
  <c r="E734" i="31"/>
  <c r="E737" i="31"/>
  <c r="D740" i="31"/>
  <c r="D743" i="31"/>
  <c r="D746" i="31"/>
  <c r="D749" i="31"/>
  <c r="D752" i="31"/>
  <c r="D755" i="31"/>
  <c r="D758" i="31"/>
  <c r="E761" i="31"/>
  <c r="D764" i="31"/>
  <c r="D767" i="31"/>
  <c r="E770" i="31"/>
  <c r="D773" i="31"/>
  <c r="E776" i="31"/>
  <c r="E779" i="31"/>
  <c r="D782" i="31"/>
  <c r="D785" i="31"/>
  <c r="D788" i="31"/>
  <c r="D791" i="31"/>
  <c r="E794" i="31"/>
  <c r="D797" i="31"/>
  <c r="D800" i="31"/>
  <c r="D803" i="31"/>
  <c r="D806" i="31"/>
  <c r="E809" i="31"/>
  <c r="D812" i="31"/>
  <c r="E815" i="31"/>
  <c r="D818" i="31"/>
  <c r="E821" i="31"/>
  <c r="D824" i="31"/>
  <c r="D827" i="31"/>
  <c r="D830" i="31"/>
  <c r="D833" i="31"/>
  <c r="D836" i="31"/>
  <c r="D839" i="31"/>
  <c r="D842" i="31"/>
  <c r="D845" i="31"/>
  <c r="D848" i="31"/>
  <c r="D851" i="31"/>
  <c r="E854" i="31"/>
  <c r="E857" i="31"/>
  <c r="E860" i="31"/>
  <c r="D863" i="31"/>
  <c r="D866" i="31"/>
  <c r="D869" i="31"/>
  <c r="E872" i="31"/>
  <c r="E875" i="31"/>
  <c r="E878" i="31"/>
  <c r="E881" i="31"/>
  <c r="E884" i="31"/>
  <c r="E887" i="31"/>
  <c r="D890" i="31"/>
  <c r="E893" i="31"/>
  <c r="E896" i="31"/>
  <c r="E899" i="31"/>
  <c r="E902" i="31"/>
  <c r="E905" i="31"/>
  <c r="E908" i="31"/>
  <c r="E911" i="31"/>
  <c r="E914" i="31"/>
  <c r="E917" i="31"/>
  <c r="E920" i="31"/>
  <c r="E923" i="31"/>
  <c r="E926" i="31"/>
  <c r="D929" i="31"/>
  <c r="D932" i="31"/>
  <c r="E935" i="31"/>
  <c r="E938" i="31"/>
  <c r="E941" i="31"/>
  <c r="D944" i="31"/>
  <c r="E947" i="31"/>
  <c r="E950" i="31"/>
  <c r="E953" i="31"/>
  <c r="E956" i="31"/>
  <c r="D959" i="31"/>
  <c r="E962" i="31"/>
  <c r="E965" i="31"/>
  <c r="D968" i="31"/>
  <c r="D971" i="31"/>
  <c r="D974" i="31"/>
  <c r="D977" i="31"/>
  <c r="E980" i="31"/>
  <c r="E983" i="31"/>
  <c r="E986" i="31"/>
  <c r="E989" i="31"/>
  <c r="D992" i="31"/>
  <c r="E995" i="31"/>
  <c r="D998" i="31"/>
  <c r="D1001" i="31"/>
  <c r="E1004" i="31"/>
  <c r="D1007" i="31"/>
  <c r="D1010" i="31"/>
  <c r="D1013" i="31"/>
  <c r="D1016" i="31"/>
  <c r="D1019" i="31"/>
  <c r="D1022" i="31"/>
  <c r="E1025" i="31"/>
  <c r="D1028" i="31"/>
  <c r="D1031" i="31"/>
  <c r="D1034" i="31"/>
  <c r="D1037" i="31"/>
  <c r="E1040" i="31"/>
  <c r="E1043" i="31"/>
  <c r="D1046" i="31"/>
  <c r="D1049" i="31"/>
  <c r="E1052" i="31"/>
  <c r="E1055" i="31"/>
  <c r="E1058" i="31"/>
  <c r="E1061" i="31"/>
  <c r="E1064" i="31"/>
  <c r="E1067" i="31"/>
  <c r="E1070" i="31"/>
  <c r="E1073" i="31"/>
  <c r="D1076" i="31"/>
  <c r="D1079" i="31"/>
  <c r="E1082" i="31"/>
  <c r="D1085" i="31"/>
  <c r="E1088" i="31"/>
  <c r="D1091" i="31"/>
  <c r="D1094" i="31"/>
  <c r="E1097" i="31"/>
  <c r="E1100" i="31"/>
  <c r="E1103" i="31"/>
  <c r="D1106" i="31"/>
  <c r="D1109" i="31"/>
  <c r="E1112" i="31"/>
  <c r="E1115" i="31"/>
  <c r="E1118" i="31"/>
  <c r="E1121" i="31"/>
  <c r="D1124" i="31"/>
  <c r="E1127" i="31"/>
  <c r="D1130" i="31"/>
  <c r="E1133" i="31"/>
  <c r="E1136" i="31"/>
  <c r="D1139" i="31"/>
  <c r="D1142" i="31"/>
  <c r="E1145" i="31"/>
  <c r="D1148" i="31"/>
  <c r="E1151" i="31"/>
  <c r="E1154" i="31"/>
  <c r="E1157" i="31"/>
  <c r="E1160" i="31"/>
  <c r="D1163" i="31"/>
  <c r="E1166" i="31"/>
  <c r="E1169" i="31"/>
  <c r="E1172" i="31"/>
  <c r="D1175" i="31"/>
  <c r="D1178" i="31"/>
  <c r="E1181" i="31"/>
  <c r="E1184" i="31"/>
  <c r="E1187" i="31"/>
  <c r="E1190" i="31"/>
  <c r="D1193" i="31"/>
  <c r="E1196" i="31"/>
  <c r="E1199" i="31"/>
  <c r="E1202" i="31"/>
  <c r="E1205" i="31"/>
  <c r="E1208" i="31"/>
  <c r="E1211" i="31"/>
  <c r="D1214" i="31"/>
  <c r="E1217" i="31"/>
  <c r="D1220" i="31"/>
  <c r="E1223" i="31"/>
  <c r="E1226" i="31"/>
  <c r="D1229" i="31"/>
  <c r="D1232" i="31"/>
  <c r="E1235" i="31"/>
  <c r="D1238" i="31"/>
  <c r="D1241" i="31"/>
  <c r="E1244" i="31"/>
  <c r="E1247" i="31"/>
  <c r="D1250" i="31"/>
  <c r="D1253" i="31"/>
  <c r="D1256" i="31"/>
  <c r="E1259" i="31"/>
  <c r="D1262" i="31"/>
  <c r="E1265" i="31"/>
  <c r="E1268" i="31"/>
  <c r="E1271" i="31"/>
  <c r="E1274" i="31"/>
  <c r="E1277" i="31"/>
  <c r="E1280" i="31"/>
  <c r="E1283" i="31"/>
  <c r="E1286" i="31"/>
  <c r="E1289" i="31"/>
  <c r="E1292" i="31"/>
  <c r="E1295" i="31"/>
  <c r="E1298" i="31"/>
  <c r="E1301" i="31"/>
  <c r="E1304" i="31"/>
  <c r="E1307" i="31"/>
  <c r="E1310" i="31"/>
  <c r="E1313" i="31"/>
  <c r="E1316" i="31"/>
  <c r="E1319" i="31"/>
  <c r="E1322" i="31"/>
  <c r="D1325" i="31"/>
  <c r="D1328" i="31"/>
  <c r="D241" i="31"/>
  <c r="F126" i="31"/>
  <c r="E128" i="31"/>
  <c r="E131" i="31"/>
  <c r="G133" i="31"/>
  <c r="F136" i="31"/>
  <c r="E138" i="31"/>
  <c r="E140" i="31"/>
  <c r="F145" i="31"/>
  <c r="F146" i="31"/>
  <c r="F148" i="31"/>
  <c r="E151" i="31"/>
  <c r="E152" i="31"/>
  <c r="F153" i="31"/>
  <c r="E156" i="31"/>
  <c r="E157" i="31"/>
  <c r="E159" i="31"/>
  <c r="E161" i="31"/>
  <c r="F162" i="31"/>
  <c r="F174" i="31"/>
  <c r="F175" i="31"/>
  <c r="E185" i="31"/>
  <c r="E192" i="31"/>
  <c r="E206" i="31"/>
  <c r="E207" i="31"/>
  <c r="E209" i="31"/>
  <c r="E210" i="31"/>
  <c r="E211" i="31"/>
  <c r="E213" i="31"/>
  <c r="E214" i="31"/>
  <c r="E217" i="31"/>
  <c r="E218" i="31"/>
  <c r="E220" i="31"/>
  <c r="E221" i="31"/>
  <c r="E222" i="31"/>
  <c r="E223" i="31"/>
  <c r="E226" i="31"/>
  <c r="F229" i="31"/>
  <c r="E230" i="31"/>
  <c r="E231" i="31"/>
  <c r="G232" i="31"/>
  <c r="G233" i="31"/>
  <c r="G234" i="31"/>
  <c r="D127" i="31"/>
  <c r="D129" i="31"/>
  <c r="D130" i="31"/>
  <c r="D132" i="31"/>
  <c r="D134" i="31"/>
  <c r="D135" i="31"/>
  <c r="D137" i="31"/>
  <c r="D139" i="31"/>
  <c r="D141" i="31"/>
  <c r="D142" i="31"/>
  <c r="D143" i="31"/>
  <c r="D144" i="31"/>
  <c r="D147" i="31"/>
  <c r="D149" i="31"/>
  <c r="D150" i="31"/>
  <c r="D155" i="31"/>
  <c r="D163" i="31"/>
  <c r="D164" i="31"/>
  <c r="D166" i="31"/>
  <c r="D167" i="31"/>
  <c r="D169" i="31"/>
  <c r="D170" i="31"/>
  <c r="D171" i="31"/>
  <c r="D172" i="31"/>
  <c r="D173" i="31"/>
  <c r="D175" i="31"/>
  <c r="D176" i="31"/>
  <c r="D177" i="31"/>
  <c r="D178" i="31"/>
  <c r="D179" i="31"/>
  <c r="D180" i="31"/>
  <c r="D181" i="31"/>
  <c r="D182" i="31"/>
  <c r="D183" i="31"/>
  <c r="D184" i="31"/>
  <c r="D186" i="31"/>
  <c r="D187" i="31"/>
  <c r="D188" i="31"/>
  <c r="D189" i="31"/>
  <c r="D190" i="31"/>
  <c r="D193" i="31"/>
  <c r="D194" i="31"/>
  <c r="D195" i="31"/>
  <c r="D196" i="31"/>
  <c r="D197" i="31"/>
  <c r="D199" i="31"/>
  <c r="D200" i="31"/>
  <c r="D201" i="31"/>
  <c r="D202" i="31"/>
  <c r="D203" i="31"/>
  <c r="D204" i="31"/>
  <c r="D205" i="31"/>
  <c r="D208" i="31"/>
  <c r="D212" i="31"/>
  <c r="D216" i="31"/>
  <c r="D219" i="31"/>
  <c r="D224" i="31"/>
  <c r="D225" i="31"/>
  <c r="D227" i="31"/>
  <c r="AK243" i="1"/>
  <c r="AJ243" i="1"/>
  <c r="V118" i="35" s="1"/>
  <c r="W118" i="35" s="1"/>
  <c r="X118" i="35" s="1"/>
  <c r="AH243" i="1"/>
  <c r="AE86" i="1"/>
  <c r="AP243" i="1"/>
  <c r="AO243" i="1"/>
  <c r="AO121" i="1" s="1"/>
  <c r="AN243" i="1"/>
  <c r="AZ243" i="1" s="1"/>
  <c r="AM243" i="1"/>
  <c r="S119" i="9"/>
  <c r="Q119" i="9"/>
  <c r="R243" i="1"/>
  <c r="X243" i="1" s="1"/>
  <c r="AB243" i="1" s="1"/>
  <c r="AE66" i="1"/>
  <c r="AE69" i="1"/>
  <c r="AE68" i="1"/>
  <c r="AE21" i="1"/>
  <c r="AE18" i="1" s="1"/>
  <c r="AE34" i="1"/>
  <c r="AD613" i="31"/>
  <c r="AD612" i="31"/>
  <c r="AD611" i="31"/>
  <c r="AD610" i="31"/>
  <c r="AD609" i="31"/>
  <c r="AD608" i="31"/>
  <c r="AD607" i="31"/>
  <c r="AD606" i="31"/>
  <c r="AD605" i="31"/>
  <c r="AD604" i="31"/>
  <c r="AD603" i="31"/>
  <c r="AD602" i="31"/>
  <c r="AD601" i="31"/>
  <c r="AD600" i="31"/>
  <c r="AD599" i="31"/>
  <c r="AD598" i="31"/>
  <c r="AD597" i="31"/>
  <c r="AD596" i="31"/>
  <c r="AD595" i="31"/>
  <c r="AD594" i="31"/>
  <c r="AD593" i="31"/>
  <c r="AD592" i="31"/>
  <c r="AD591" i="31"/>
  <c r="AD590" i="31"/>
  <c r="AD589" i="31"/>
  <c r="AD588" i="31"/>
  <c r="AD587" i="31"/>
  <c r="AD586" i="31"/>
  <c r="AD585" i="31"/>
  <c r="AD584" i="31"/>
  <c r="AD583" i="31"/>
  <c r="AD582" i="31"/>
  <c r="AD581" i="31"/>
  <c r="AD580" i="31"/>
  <c r="AD579" i="31"/>
  <c r="AD578" i="31"/>
  <c r="AD577" i="31"/>
  <c r="AD576" i="31"/>
  <c r="AD575" i="31"/>
  <c r="AD574" i="31"/>
  <c r="AD573" i="31"/>
  <c r="AD572" i="31"/>
  <c r="AD571" i="31"/>
  <c r="AD570" i="31"/>
  <c r="AD569" i="31"/>
  <c r="AD568" i="31"/>
  <c r="AD567" i="31"/>
  <c r="AD566" i="31"/>
  <c r="AD565" i="31"/>
  <c r="AD564" i="31"/>
  <c r="AD563" i="31"/>
  <c r="AD562" i="31"/>
  <c r="AD561" i="31"/>
  <c r="AD560" i="31"/>
  <c r="AD559" i="31"/>
  <c r="AD558" i="31"/>
  <c r="AD557" i="31"/>
  <c r="AD556" i="31"/>
  <c r="AD555" i="31"/>
  <c r="AD554" i="31"/>
  <c r="AD553" i="31"/>
  <c r="AD552" i="31"/>
  <c r="AD551" i="31"/>
  <c r="AD550" i="31"/>
  <c r="AD549" i="31"/>
  <c r="AD548" i="31"/>
  <c r="AD547" i="31"/>
  <c r="AD546" i="31"/>
  <c r="AD545" i="31"/>
  <c r="AD544" i="31"/>
  <c r="AD543" i="31"/>
  <c r="AD542" i="31"/>
  <c r="AD541" i="31"/>
  <c r="AD540" i="31"/>
  <c r="AD539" i="31"/>
  <c r="AD538" i="31"/>
  <c r="AD537" i="31"/>
  <c r="AD536" i="31"/>
  <c r="AD535" i="31"/>
  <c r="AD534" i="31"/>
  <c r="AD533" i="31"/>
  <c r="AD532" i="31"/>
  <c r="AD531" i="31"/>
  <c r="AD530" i="31"/>
  <c r="AD529" i="31"/>
  <c r="AD528" i="31"/>
  <c r="AD527" i="31"/>
  <c r="AD526" i="31"/>
  <c r="AD525" i="31"/>
  <c r="AD524" i="31"/>
  <c r="AD523" i="31"/>
  <c r="AD522" i="31"/>
  <c r="AD521" i="31"/>
  <c r="AD520" i="31"/>
  <c r="AD519" i="31"/>
  <c r="AD518" i="31"/>
  <c r="AD517" i="31"/>
  <c r="AD516" i="31"/>
  <c r="AD515" i="31"/>
  <c r="AD514" i="31"/>
  <c r="AD513" i="31"/>
  <c r="AD512" i="31"/>
  <c r="AD511" i="31"/>
  <c r="AD510" i="31"/>
  <c r="AD509" i="31"/>
  <c r="AD508" i="31"/>
  <c r="AD507" i="31"/>
  <c r="AD506" i="31"/>
  <c r="AD505" i="31"/>
  <c r="AD504" i="31"/>
  <c r="AD503" i="31"/>
  <c r="AD502" i="31"/>
  <c r="AD501" i="31"/>
  <c r="AD500" i="31"/>
  <c r="AD499" i="31"/>
  <c r="AD498" i="31"/>
  <c r="AD497" i="31"/>
  <c r="AD496" i="31"/>
  <c r="AD495" i="31"/>
  <c r="AD494" i="31"/>
  <c r="AD493" i="31"/>
  <c r="AD492" i="31"/>
  <c r="AD491" i="31"/>
  <c r="AD490" i="31"/>
  <c r="AD489" i="31"/>
  <c r="AD488" i="31"/>
  <c r="AD487" i="31"/>
  <c r="AD486" i="31"/>
  <c r="AD485" i="31"/>
  <c r="AD484" i="31"/>
  <c r="AD483" i="31"/>
  <c r="AD482" i="31"/>
  <c r="AD481" i="31"/>
  <c r="AD480" i="31"/>
  <c r="AD479" i="31"/>
  <c r="AD478" i="31"/>
  <c r="AD477" i="31"/>
  <c r="AD476" i="31"/>
  <c r="AD475" i="31"/>
  <c r="AD474" i="31"/>
  <c r="AD473" i="31"/>
  <c r="AD472" i="31"/>
  <c r="AD471" i="31"/>
  <c r="AD470" i="31"/>
  <c r="AD469" i="31"/>
  <c r="AD468" i="31"/>
  <c r="AD467" i="31"/>
  <c r="AD466" i="31"/>
  <c r="AD465" i="31"/>
  <c r="AD464" i="31"/>
  <c r="AD463" i="31"/>
  <c r="AD462" i="31"/>
  <c r="AD461" i="31"/>
  <c r="AD460" i="31"/>
  <c r="AD459" i="31"/>
  <c r="AD458" i="31"/>
  <c r="AD457" i="31"/>
  <c r="AD456" i="31"/>
  <c r="AD455" i="31"/>
  <c r="AD454" i="31"/>
  <c r="AD453" i="31"/>
  <c r="AD452" i="31"/>
  <c r="AD451" i="31"/>
  <c r="AD450" i="31"/>
  <c r="AD449" i="31"/>
  <c r="AD448" i="31"/>
  <c r="AD447" i="31"/>
  <c r="AD446" i="31"/>
  <c r="AD445" i="31"/>
  <c r="AD444" i="31"/>
  <c r="AD443" i="31"/>
  <c r="AD442" i="31"/>
  <c r="AD441" i="31"/>
  <c r="AD440" i="31"/>
  <c r="AD439" i="31"/>
  <c r="AD438" i="31"/>
  <c r="AD437" i="31"/>
  <c r="AD436" i="31"/>
  <c r="AD435" i="31"/>
  <c r="AD434" i="31"/>
  <c r="AD433" i="31"/>
  <c r="AD432" i="31"/>
  <c r="AD431" i="31"/>
  <c r="AD430" i="31"/>
  <c r="AD429" i="31"/>
  <c r="AD428" i="31"/>
  <c r="AD427" i="31"/>
  <c r="AD426" i="31"/>
  <c r="AD425" i="31"/>
  <c r="AD424" i="31"/>
  <c r="AD423" i="31"/>
  <c r="AD422" i="31"/>
  <c r="AD421" i="31"/>
  <c r="AD420" i="31"/>
  <c r="AD419" i="31"/>
  <c r="AD418" i="31"/>
  <c r="AD417" i="31"/>
  <c r="AD416" i="31"/>
  <c r="AD415" i="31"/>
  <c r="AD414" i="31"/>
  <c r="AD413" i="31"/>
  <c r="AD412" i="31"/>
  <c r="AD411" i="31"/>
  <c r="AD410" i="31"/>
  <c r="AD409" i="31"/>
  <c r="AD408" i="31"/>
  <c r="AD407" i="31"/>
  <c r="AD406" i="31"/>
  <c r="AD405" i="31"/>
  <c r="AD404" i="31"/>
  <c r="AD403" i="31"/>
  <c r="AD402" i="31"/>
  <c r="AD401" i="31"/>
  <c r="AD400" i="31"/>
  <c r="AD399" i="31"/>
  <c r="AD398" i="31"/>
  <c r="AD397" i="31"/>
  <c r="AD396" i="31"/>
  <c r="AD395" i="31"/>
  <c r="AD394" i="31"/>
  <c r="AD393" i="31"/>
  <c r="AD392" i="31"/>
  <c r="AD391" i="31"/>
  <c r="AD390" i="31"/>
  <c r="AD389" i="31"/>
  <c r="AD388" i="31"/>
  <c r="AD387" i="31"/>
  <c r="AD386" i="31"/>
  <c r="AD385" i="31"/>
  <c r="AD384" i="31"/>
  <c r="AD383" i="31"/>
  <c r="AD382" i="31"/>
  <c r="AD381" i="31"/>
  <c r="AD380" i="31"/>
  <c r="AD379" i="31"/>
  <c r="AD378" i="31"/>
  <c r="AD377" i="31"/>
  <c r="AD376" i="31"/>
  <c r="AD375" i="31"/>
  <c r="AD374" i="31"/>
  <c r="AD373" i="31"/>
  <c r="AD372" i="31"/>
  <c r="AD371" i="31"/>
  <c r="AD370" i="31"/>
  <c r="AD369" i="31"/>
  <c r="AD368" i="31"/>
  <c r="AD367" i="31"/>
  <c r="AD366" i="31"/>
  <c r="AD365" i="31"/>
  <c r="AD364" i="31"/>
  <c r="AD363" i="31"/>
  <c r="AD362" i="31"/>
  <c r="AD361" i="31"/>
  <c r="AD360" i="31"/>
  <c r="AD359" i="31"/>
  <c r="AD358" i="31"/>
  <c r="AD357" i="31"/>
  <c r="AD356" i="31"/>
  <c r="AD355" i="31"/>
  <c r="AD354" i="31"/>
  <c r="AD353" i="31"/>
  <c r="AD352" i="31"/>
  <c r="AD351" i="31"/>
  <c r="AD350" i="31"/>
  <c r="AD349" i="31"/>
  <c r="AD348" i="31"/>
  <c r="AD347" i="31"/>
  <c r="AD346" i="31"/>
  <c r="AD345" i="31"/>
  <c r="AD344" i="31"/>
  <c r="AD343" i="31"/>
  <c r="AD342" i="31"/>
  <c r="AD341" i="31"/>
  <c r="AD340" i="31"/>
  <c r="AD339" i="31"/>
  <c r="AD338" i="31"/>
  <c r="AD337" i="31"/>
  <c r="AD336" i="31"/>
  <c r="AD335" i="31"/>
  <c r="AD334" i="31"/>
  <c r="AD333" i="31"/>
  <c r="AD332" i="31"/>
  <c r="AD331" i="31"/>
  <c r="AD330" i="31"/>
  <c r="AD329" i="31"/>
  <c r="AD328" i="31"/>
  <c r="AD327" i="31"/>
  <c r="AD326" i="31"/>
  <c r="AD325" i="31"/>
  <c r="AD324" i="31"/>
  <c r="AD323" i="31"/>
  <c r="AD322" i="31"/>
  <c r="AD321" i="31"/>
  <c r="AD320" i="31"/>
  <c r="AD319" i="31"/>
  <c r="AD318" i="31"/>
  <c r="AD317" i="31"/>
  <c r="AD316" i="31"/>
  <c r="AD315" i="31"/>
  <c r="AD314" i="31"/>
  <c r="AD313" i="31"/>
  <c r="AD312" i="31"/>
  <c r="AD311" i="31"/>
  <c r="AD310" i="31"/>
  <c r="AD309" i="31"/>
  <c r="AD308" i="31"/>
  <c r="AD307" i="31"/>
  <c r="AD306" i="31"/>
  <c r="AD305" i="31"/>
  <c r="AD304" i="31"/>
  <c r="AD303" i="31"/>
  <c r="AD302" i="31"/>
  <c r="AD301" i="31"/>
  <c r="AD300" i="31"/>
  <c r="AD299" i="31"/>
  <c r="AD298" i="31"/>
  <c r="AD297" i="31"/>
  <c r="AD296" i="31"/>
  <c r="AD295" i="31"/>
  <c r="AD294" i="31"/>
  <c r="AD293" i="31"/>
  <c r="AD292" i="31"/>
  <c r="AD291" i="31"/>
  <c r="AD290" i="31"/>
  <c r="AD289" i="31"/>
  <c r="AD288" i="31"/>
  <c r="AD287" i="31"/>
  <c r="AD286" i="31"/>
  <c r="AD285" i="31"/>
  <c r="AD284" i="31"/>
  <c r="AD283" i="31"/>
  <c r="AD282" i="31"/>
  <c r="AD281" i="31"/>
  <c r="AD280" i="31"/>
  <c r="AD279" i="31"/>
  <c r="AD278" i="31"/>
  <c r="AD277" i="31"/>
  <c r="AD276" i="31"/>
  <c r="AD275" i="31"/>
  <c r="AD274" i="31"/>
  <c r="AD273" i="31"/>
  <c r="AD272" i="31"/>
  <c r="AD271" i="31"/>
  <c r="AD270" i="31"/>
  <c r="AD269" i="31"/>
  <c r="AD268" i="31"/>
  <c r="AD267" i="31"/>
  <c r="AD266" i="31"/>
  <c r="AD265" i="31"/>
  <c r="AD264" i="31"/>
  <c r="AD263" i="31"/>
  <c r="AD262" i="31"/>
  <c r="AD261" i="31"/>
  <c r="AD260" i="31"/>
  <c r="AD259" i="31"/>
  <c r="AD258" i="31"/>
  <c r="AD257" i="31"/>
  <c r="AD256" i="31"/>
  <c r="AD255" i="31"/>
  <c r="AD254" i="31"/>
  <c r="AD253" i="31"/>
  <c r="AD252" i="31"/>
  <c r="AD251" i="31"/>
  <c r="AD250" i="31"/>
  <c r="AD249" i="31"/>
  <c r="AD248" i="31"/>
  <c r="AD247" i="31"/>
  <c r="AD246" i="31"/>
  <c r="AD245" i="31"/>
  <c r="AD244" i="31"/>
  <c r="AD243" i="31"/>
  <c r="AD242" i="31"/>
  <c r="J1328" i="31"/>
  <c r="J1325" i="31"/>
  <c r="J1322" i="31"/>
  <c r="J1319" i="31"/>
  <c r="J1316" i="31"/>
  <c r="J1313" i="31"/>
  <c r="J1310" i="31"/>
  <c r="J1307" i="31"/>
  <c r="J1304" i="31"/>
  <c r="J1301" i="31"/>
  <c r="J1298" i="31"/>
  <c r="J1295" i="31"/>
  <c r="J1292" i="31"/>
  <c r="J1289" i="31"/>
  <c r="J1286" i="31"/>
  <c r="J1283" i="31"/>
  <c r="J1280" i="31"/>
  <c r="J1277" i="31"/>
  <c r="J1274" i="31"/>
  <c r="J1271" i="31"/>
  <c r="J1268" i="31"/>
  <c r="J1265" i="31"/>
  <c r="J1262" i="31"/>
  <c r="J1259" i="31"/>
  <c r="J1256" i="31"/>
  <c r="J1253" i="31"/>
  <c r="J1250" i="31"/>
  <c r="J1247" i="31"/>
  <c r="J1244" i="31"/>
  <c r="J1241" i="31"/>
  <c r="J1238" i="31"/>
  <c r="J1235" i="31"/>
  <c r="J1232" i="31"/>
  <c r="J1229" i="31"/>
  <c r="J1226" i="31"/>
  <c r="J1223" i="31"/>
  <c r="J1220" i="31"/>
  <c r="J1217" i="31"/>
  <c r="J1214" i="31"/>
  <c r="J1211" i="31"/>
  <c r="J1208" i="31"/>
  <c r="J1205" i="31"/>
  <c r="J1202" i="31"/>
  <c r="J1199" i="31"/>
  <c r="J1196" i="31"/>
  <c r="J1193" i="31"/>
  <c r="J1190" i="31"/>
  <c r="J1187" i="31"/>
  <c r="J1184" i="31"/>
  <c r="J1181" i="31"/>
  <c r="J1178" i="31"/>
  <c r="J1175" i="31"/>
  <c r="J1172" i="31"/>
  <c r="J1169" i="31"/>
  <c r="J1166" i="31"/>
  <c r="J1163" i="31"/>
  <c r="J1160" i="31"/>
  <c r="J1157" i="31"/>
  <c r="J1154" i="31"/>
  <c r="J1151" i="31"/>
  <c r="J1148" i="31"/>
  <c r="J1145" i="31"/>
  <c r="J1142" i="31"/>
  <c r="J1139" i="31"/>
  <c r="J1136" i="31"/>
  <c r="J1133" i="31"/>
  <c r="J1130" i="31"/>
  <c r="J1127" i="31"/>
  <c r="J1124" i="31"/>
  <c r="J1121" i="31"/>
  <c r="J1118" i="31"/>
  <c r="J1115" i="31"/>
  <c r="J1112" i="31"/>
  <c r="J1109" i="31"/>
  <c r="J1106" i="31"/>
  <c r="J1103" i="31"/>
  <c r="J1100" i="31"/>
  <c r="J1097" i="31"/>
  <c r="J1094" i="31"/>
  <c r="J1091" i="31"/>
  <c r="J1088" i="31"/>
  <c r="J1085" i="31"/>
  <c r="J1082" i="31"/>
  <c r="J1079" i="31"/>
  <c r="J1076" i="31"/>
  <c r="J1073" i="31"/>
  <c r="J1070" i="31"/>
  <c r="J1067" i="31"/>
  <c r="J1064" i="31"/>
  <c r="J1061" i="31"/>
  <c r="J1058" i="31"/>
  <c r="J1055" i="31"/>
  <c r="J1052" i="31"/>
  <c r="J1049" i="31"/>
  <c r="J1046" i="31"/>
  <c r="J1043" i="31"/>
  <c r="J1040" i="31"/>
  <c r="J1037" i="31"/>
  <c r="J1034" i="31"/>
  <c r="J1031" i="31"/>
  <c r="J1028" i="31"/>
  <c r="J1025" i="31"/>
  <c r="J1022" i="31"/>
  <c r="J1019" i="31"/>
  <c r="J1016" i="31"/>
  <c r="J1013" i="31"/>
  <c r="J1010" i="31"/>
  <c r="J1007" i="31"/>
  <c r="J1004" i="31"/>
  <c r="J1001" i="31"/>
  <c r="J998" i="31"/>
  <c r="J995" i="31"/>
  <c r="J992" i="31"/>
  <c r="J989" i="31"/>
  <c r="J986" i="31"/>
  <c r="J983" i="31"/>
  <c r="J980" i="31"/>
  <c r="J977" i="31"/>
  <c r="J974" i="31"/>
  <c r="J971" i="31"/>
  <c r="J968" i="31"/>
  <c r="J965" i="31"/>
  <c r="J962" i="31"/>
  <c r="J959" i="31"/>
  <c r="J956" i="31"/>
  <c r="J953" i="31"/>
  <c r="J950" i="31"/>
  <c r="J947" i="31"/>
  <c r="J944" i="31"/>
  <c r="J941" i="31"/>
  <c r="J938" i="31"/>
  <c r="J935" i="31"/>
  <c r="J932" i="31"/>
  <c r="J929" i="31"/>
  <c r="J926" i="31"/>
  <c r="J923" i="31"/>
  <c r="J920" i="31"/>
  <c r="J917" i="31"/>
  <c r="J914" i="31"/>
  <c r="J911" i="31"/>
  <c r="J908" i="31"/>
  <c r="J905" i="31"/>
  <c r="J902" i="31"/>
  <c r="J899" i="31"/>
  <c r="J896" i="31"/>
  <c r="J893" i="31"/>
  <c r="J890" i="31"/>
  <c r="J887" i="31"/>
  <c r="J884" i="31"/>
  <c r="J881" i="31"/>
  <c r="J878" i="31"/>
  <c r="J875" i="31"/>
  <c r="J872" i="31"/>
  <c r="J869" i="31"/>
  <c r="J866" i="31"/>
  <c r="J863" i="31"/>
  <c r="J860" i="31"/>
  <c r="J857" i="31"/>
  <c r="J854" i="31"/>
  <c r="J851" i="31"/>
  <c r="J848" i="31"/>
  <c r="J845" i="31"/>
  <c r="J842" i="31"/>
  <c r="J839" i="31"/>
  <c r="J836" i="31"/>
  <c r="J833" i="31"/>
  <c r="J830" i="31"/>
  <c r="J827" i="31"/>
  <c r="J824" i="31"/>
  <c r="J821" i="31"/>
  <c r="J818" i="31"/>
  <c r="J815" i="31"/>
  <c r="J812" i="31"/>
  <c r="J809" i="31"/>
  <c r="J806" i="31"/>
  <c r="J803" i="31"/>
  <c r="J800" i="31"/>
  <c r="J797" i="31"/>
  <c r="J794" i="31"/>
  <c r="J791" i="31"/>
  <c r="J788" i="31"/>
  <c r="J785" i="31"/>
  <c r="J782" i="31"/>
  <c r="J779" i="31"/>
  <c r="J776" i="31"/>
  <c r="J773" i="31"/>
  <c r="J770" i="31"/>
  <c r="J767" i="31"/>
  <c r="J764" i="31"/>
  <c r="J761" i="31"/>
  <c r="J758" i="31"/>
  <c r="J755" i="31"/>
  <c r="J752" i="31"/>
  <c r="J749" i="31"/>
  <c r="J746" i="31"/>
  <c r="J743" i="31"/>
  <c r="J740" i="31"/>
  <c r="J737" i="31"/>
  <c r="J734" i="31"/>
  <c r="J731" i="31"/>
  <c r="J728" i="31"/>
  <c r="J725" i="31"/>
  <c r="J722" i="31"/>
  <c r="J719" i="31"/>
  <c r="J716" i="31"/>
  <c r="J713" i="31"/>
  <c r="J710" i="31"/>
  <c r="J707" i="31"/>
  <c r="J704" i="31"/>
  <c r="J701" i="31"/>
  <c r="J698" i="31"/>
  <c r="J695" i="31"/>
  <c r="J692" i="31"/>
  <c r="J689" i="31"/>
  <c r="J686" i="31"/>
  <c r="J683" i="31"/>
  <c r="J680" i="31"/>
  <c r="J677" i="31"/>
  <c r="J674" i="31"/>
  <c r="J671" i="31"/>
  <c r="J668" i="31"/>
  <c r="J665" i="31"/>
  <c r="J662" i="31"/>
  <c r="J659" i="31"/>
  <c r="J656" i="31"/>
  <c r="J653" i="31"/>
  <c r="J650" i="31"/>
  <c r="J647" i="31"/>
  <c r="J644" i="31"/>
  <c r="J641" i="31"/>
  <c r="J638" i="31"/>
  <c r="J635" i="31"/>
  <c r="J632" i="31"/>
  <c r="J629" i="31"/>
  <c r="J626" i="31"/>
  <c r="J623" i="31"/>
  <c r="J620" i="31"/>
  <c r="J617" i="31"/>
  <c r="J614" i="31"/>
  <c r="J611" i="31"/>
  <c r="J608" i="31"/>
  <c r="J605" i="31"/>
  <c r="J602" i="31"/>
  <c r="J599" i="31"/>
  <c r="J596" i="31"/>
  <c r="J593" i="31"/>
  <c r="J590" i="31"/>
  <c r="J587" i="31"/>
  <c r="J584" i="31"/>
  <c r="J581" i="31"/>
  <c r="J578" i="31"/>
  <c r="J575" i="31"/>
  <c r="J572" i="31"/>
  <c r="J569" i="31"/>
  <c r="J566" i="31"/>
  <c r="J563" i="31"/>
  <c r="J560" i="31"/>
  <c r="J557" i="31"/>
  <c r="J554" i="31"/>
  <c r="J551" i="31"/>
  <c r="J548" i="31"/>
  <c r="J545" i="31"/>
  <c r="J542" i="31"/>
  <c r="J539" i="31"/>
  <c r="J536" i="31"/>
  <c r="J533" i="31"/>
  <c r="J530" i="31"/>
  <c r="J527" i="31"/>
  <c r="J524" i="31"/>
  <c r="J521" i="31"/>
  <c r="J518" i="31"/>
  <c r="J515" i="31"/>
  <c r="J512" i="31"/>
  <c r="J509" i="31"/>
  <c r="J506" i="31"/>
  <c r="J503" i="31"/>
  <c r="J500" i="31"/>
  <c r="J497" i="31"/>
  <c r="J494" i="31"/>
  <c r="J491" i="31"/>
  <c r="J488" i="31"/>
  <c r="J485" i="31"/>
  <c r="J482" i="31"/>
  <c r="J479" i="31"/>
  <c r="J476" i="31"/>
  <c r="J473" i="31"/>
  <c r="J470" i="31"/>
  <c r="J467" i="31"/>
  <c r="J464" i="31"/>
  <c r="J461" i="31"/>
  <c r="J458" i="31"/>
  <c r="J455" i="31"/>
  <c r="J452" i="31"/>
  <c r="J449" i="31"/>
  <c r="J446" i="31"/>
  <c r="J443" i="31"/>
  <c r="J440" i="31"/>
  <c r="J437" i="31"/>
  <c r="J434" i="31"/>
  <c r="J431" i="31"/>
  <c r="J428" i="31"/>
  <c r="J425" i="31"/>
  <c r="J422" i="31"/>
  <c r="J419" i="31"/>
  <c r="J416" i="31"/>
  <c r="J413" i="31"/>
  <c r="J410" i="31"/>
  <c r="J407" i="31"/>
  <c r="J404" i="31"/>
  <c r="J401" i="31"/>
  <c r="J398" i="31"/>
  <c r="J395" i="31"/>
  <c r="J392" i="31"/>
  <c r="J389" i="31"/>
  <c r="J386" i="31"/>
  <c r="J383" i="31"/>
  <c r="J380" i="31"/>
  <c r="J377" i="31"/>
  <c r="J374" i="31"/>
  <c r="J371" i="31"/>
  <c r="J368" i="31"/>
  <c r="J365" i="31"/>
  <c r="J362" i="31"/>
  <c r="J359" i="31"/>
  <c r="J356" i="31"/>
  <c r="J353" i="31"/>
  <c r="J350" i="31"/>
  <c r="J347" i="31"/>
  <c r="J344" i="31"/>
  <c r="J341" i="31"/>
  <c r="J338" i="31"/>
  <c r="J335" i="31"/>
  <c r="J332" i="31"/>
  <c r="J329" i="31"/>
  <c r="J326" i="31"/>
  <c r="J323" i="31"/>
  <c r="J320" i="31"/>
  <c r="J317" i="31"/>
  <c r="J314" i="31"/>
  <c r="J311" i="31"/>
  <c r="J308" i="31"/>
  <c r="J305" i="31"/>
  <c r="J302" i="31"/>
  <c r="J299" i="31"/>
  <c r="J296" i="31"/>
  <c r="J293" i="31"/>
  <c r="J290" i="31"/>
  <c r="J287" i="31"/>
  <c r="J284" i="31"/>
  <c r="J281" i="31"/>
  <c r="J278" i="31"/>
  <c r="J275" i="31"/>
  <c r="J272" i="31"/>
  <c r="J269" i="31"/>
  <c r="J266" i="31"/>
  <c r="J263" i="31"/>
  <c r="J260" i="31"/>
  <c r="J257" i="31"/>
  <c r="J254" i="31"/>
  <c r="J251" i="31"/>
  <c r="J248" i="31"/>
  <c r="J245" i="31"/>
  <c r="J242" i="31"/>
  <c r="D242" i="31"/>
  <c r="J241" i="31"/>
  <c r="I241" i="31"/>
  <c r="H241" i="31"/>
  <c r="G241" i="31"/>
  <c r="F241" i="31"/>
  <c r="E241" i="31"/>
  <c r="C241" i="31"/>
  <c r="B241" i="31"/>
  <c r="A241" i="31"/>
  <c r="AE234" i="31"/>
  <c r="AD234" i="31"/>
  <c r="AE233" i="31"/>
  <c r="AD233" i="31"/>
  <c r="AE232" i="31"/>
  <c r="AD232" i="31"/>
  <c r="AE231" i="31"/>
  <c r="AD231" i="31"/>
  <c r="AE230" i="31"/>
  <c r="AD230" i="31"/>
  <c r="AE229" i="31"/>
  <c r="AD229" i="31"/>
  <c r="AE228" i="31"/>
  <c r="AD228" i="31"/>
  <c r="AE227" i="31"/>
  <c r="AD227" i="31"/>
  <c r="AE226" i="31"/>
  <c r="AD226" i="31"/>
  <c r="AE225" i="31"/>
  <c r="AD225" i="31"/>
  <c r="AE224" i="31"/>
  <c r="AD224" i="31"/>
  <c r="AE223" i="31"/>
  <c r="AD223" i="31"/>
  <c r="AE222" i="31"/>
  <c r="AD222" i="31"/>
  <c r="AE221" i="31"/>
  <c r="AD221" i="31"/>
  <c r="AE220" i="31"/>
  <c r="AD220" i="31"/>
  <c r="AE219" i="31"/>
  <c r="AD219" i="31"/>
  <c r="AE218" i="31"/>
  <c r="AD218" i="31"/>
  <c r="AE217" i="31"/>
  <c r="AD217" i="31"/>
  <c r="AE216" i="31"/>
  <c r="AD216" i="31"/>
  <c r="AE215" i="31"/>
  <c r="AD215" i="31"/>
  <c r="AE214" i="31"/>
  <c r="AD214" i="31"/>
  <c r="AE213" i="31"/>
  <c r="AD213" i="31"/>
  <c r="AE212" i="31"/>
  <c r="AD212" i="31"/>
  <c r="AE211" i="31"/>
  <c r="AD211" i="31"/>
  <c r="AE210" i="31"/>
  <c r="AD210" i="31"/>
  <c r="AE209" i="31"/>
  <c r="AD209" i="31"/>
  <c r="AE208" i="31"/>
  <c r="AD208" i="31"/>
  <c r="AE207" i="31"/>
  <c r="AD207" i="31"/>
  <c r="AE206" i="31"/>
  <c r="AD206" i="31"/>
  <c r="AE205" i="31"/>
  <c r="AD205" i="31"/>
  <c r="AE204" i="31"/>
  <c r="AD204" i="31"/>
  <c r="AE203" i="31"/>
  <c r="AD203" i="31"/>
  <c r="AE202" i="31"/>
  <c r="AD202" i="31"/>
  <c r="AE201" i="31"/>
  <c r="AD201" i="31"/>
  <c r="AE200" i="31"/>
  <c r="AD200" i="31"/>
  <c r="AE199" i="31"/>
  <c r="AD199" i="31"/>
  <c r="AE198" i="31"/>
  <c r="AD198" i="31"/>
  <c r="AE197" i="31"/>
  <c r="AD197" i="31"/>
  <c r="AE196" i="31"/>
  <c r="AD196" i="31"/>
  <c r="AE195" i="31"/>
  <c r="AD195" i="31"/>
  <c r="AE194" i="31"/>
  <c r="AD194" i="31"/>
  <c r="AE193" i="31"/>
  <c r="AD193" i="31"/>
  <c r="AE192" i="31"/>
  <c r="AD192" i="31"/>
  <c r="AE191" i="31"/>
  <c r="AD191" i="31"/>
  <c r="AE190" i="31"/>
  <c r="AD190" i="31"/>
  <c r="AE189" i="31"/>
  <c r="AD189" i="31"/>
  <c r="AE188" i="31"/>
  <c r="AD188" i="31"/>
  <c r="AE187" i="31"/>
  <c r="AD187" i="31"/>
  <c r="AE186" i="31"/>
  <c r="AD186" i="31"/>
  <c r="AE185" i="31"/>
  <c r="AD185" i="31"/>
  <c r="AE184" i="31"/>
  <c r="AD184" i="31"/>
  <c r="AE183" i="31"/>
  <c r="AD183" i="31"/>
  <c r="AE182" i="31"/>
  <c r="AD182" i="31"/>
  <c r="AE181" i="31"/>
  <c r="AD181" i="31"/>
  <c r="AE180" i="31"/>
  <c r="AD180" i="31"/>
  <c r="AE179" i="31"/>
  <c r="AD179" i="31"/>
  <c r="AE178" i="31"/>
  <c r="AD178" i="31"/>
  <c r="AE177" i="31"/>
  <c r="AD177" i="31"/>
  <c r="AE176" i="31"/>
  <c r="AD176" i="31"/>
  <c r="AE175" i="31"/>
  <c r="AD175" i="31"/>
  <c r="AE174" i="31"/>
  <c r="AD174" i="31"/>
  <c r="AE173" i="31"/>
  <c r="AD173" i="31"/>
  <c r="AE172" i="31"/>
  <c r="AD172" i="31"/>
  <c r="AE171" i="31"/>
  <c r="AD171" i="31"/>
  <c r="AE170" i="31"/>
  <c r="AD170" i="31"/>
  <c r="AE169" i="31"/>
  <c r="AD169" i="31"/>
  <c r="AE168" i="31"/>
  <c r="AD168" i="31"/>
  <c r="AE167" i="31"/>
  <c r="AD167" i="31"/>
  <c r="AE166" i="31"/>
  <c r="AD166" i="31"/>
  <c r="AE165" i="31"/>
  <c r="AD165" i="31"/>
  <c r="AE164" i="31"/>
  <c r="AD164" i="31"/>
  <c r="AE163" i="31"/>
  <c r="AD163" i="31"/>
  <c r="AE162" i="31"/>
  <c r="AD162" i="31"/>
  <c r="AE161" i="31"/>
  <c r="AD161" i="31"/>
  <c r="AE160" i="31"/>
  <c r="AD160" i="31"/>
  <c r="AE159" i="31"/>
  <c r="AD159" i="31"/>
  <c r="AE158" i="31"/>
  <c r="AD158" i="31"/>
  <c r="AE157" i="31"/>
  <c r="AD157" i="31"/>
  <c r="AE156" i="31"/>
  <c r="AD156" i="31"/>
  <c r="AE155" i="31"/>
  <c r="AD155" i="31"/>
  <c r="AE154" i="31"/>
  <c r="AD154" i="31"/>
  <c r="AE153" i="31"/>
  <c r="AD153" i="31"/>
  <c r="AE152" i="31"/>
  <c r="AD152" i="31"/>
  <c r="AE151" i="31"/>
  <c r="AD151" i="31"/>
  <c r="AE150" i="31"/>
  <c r="AD150" i="31"/>
  <c r="AE149" i="31"/>
  <c r="AD149" i="31"/>
  <c r="AE148" i="31"/>
  <c r="AD148" i="31"/>
  <c r="AE147" i="31"/>
  <c r="AD147" i="31"/>
  <c r="AE146" i="31"/>
  <c r="AD146" i="31"/>
  <c r="AE145" i="31"/>
  <c r="AD145" i="31"/>
  <c r="AE144" i="31"/>
  <c r="AD144" i="31"/>
  <c r="AE143" i="31"/>
  <c r="AD143" i="31"/>
  <c r="AE142" i="31"/>
  <c r="AD142" i="31"/>
  <c r="AE141" i="31"/>
  <c r="AD141" i="31"/>
  <c r="AE140" i="31"/>
  <c r="AD140" i="31"/>
  <c r="AE139" i="31"/>
  <c r="AD139" i="31"/>
  <c r="AE138" i="31"/>
  <c r="AD138" i="31"/>
  <c r="AE137" i="31"/>
  <c r="AD137" i="31"/>
  <c r="AE136" i="31"/>
  <c r="AD136" i="31"/>
  <c r="AE135" i="31"/>
  <c r="AD135" i="31"/>
  <c r="AE134" i="31"/>
  <c r="AD134" i="31"/>
  <c r="AE133" i="31"/>
  <c r="AD133" i="31"/>
  <c r="AE132" i="31"/>
  <c r="AD132" i="31"/>
  <c r="AE131" i="31"/>
  <c r="AD131" i="31"/>
  <c r="AE130" i="31"/>
  <c r="AD130" i="31"/>
  <c r="AE129" i="31"/>
  <c r="AD129" i="31"/>
  <c r="AE128" i="31"/>
  <c r="AD128" i="31"/>
  <c r="AE127" i="31"/>
  <c r="AD127" i="31"/>
  <c r="AE126" i="31"/>
  <c r="AD126" i="31"/>
  <c r="AE125" i="31"/>
  <c r="AD125" i="31"/>
  <c r="AE124" i="31"/>
  <c r="AD124" i="31"/>
  <c r="AE123" i="31"/>
  <c r="AD123" i="31"/>
  <c r="AE122" i="31"/>
  <c r="AD122" i="31"/>
  <c r="D123" i="31"/>
  <c r="J123" i="31"/>
  <c r="D124" i="31"/>
  <c r="J124" i="31"/>
  <c r="D125" i="31"/>
  <c r="J125" i="31"/>
  <c r="J126" i="31"/>
  <c r="J127" i="31"/>
  <c r="J128" i="31"/>
  <c r="J129" i="31"/>
  <c r="J130" i="31"/>
  <c r="J131" i="31"/>
  <c r="J132" i="31"/>
  <c r="J133" i="31"/>
  <c r="J134" i="31"/>
  <c r="J135" i="31"/>
  <c r="J136" i="31"/>
  <c r="J137" i="31"/>
  <c r="J138" i="31"/>
  <c r="J139" i="31"/>
  <c r="J140" i="31"/>
  <c r="J141" i="31"/>
  <c r="J142" i="31"/>
  <c r="J143" i="31"/>
  <c r="J144" i="31"/>
  <c r="J145" i="31"/>
  <c r="J146" i="31"/>
  <c r="J147" i="31"/>
  <c r="J148" i="31"/>
  <c r="J149" i="31"/>
  <c r="J150" i="31"/>
  <c r="J151" i="31"/>
  <c r="J152" i="31"/>
  <c r="J153" i="31"/>
  <c r="J154" i="31"/>
  <c r="J155" i="31"/>
  <c r="J156" i="31"/>
  <c r="J157" i="31"/>
  <c r="J158" i="31"/>
  <c r="J159" i="31"/>
  <c r="J160" i="31"/>
  <c r="J161" i="31"/>
  <c r="J162" i="31"/>
  <c r="J163" i="31"/>
  <c r="J164" i="31"/>
  <c r="J165" i="31"/>
  <c r="J166" i="31"/>
  <c r="J167" i="31"/>
  <c r="J168" i="31"/>
  <c r="J169" i="31"/>
  <c r="J170" i="31"/>
  <c r="J171" i="31"/>
  <c r="J172" i="31"/>
  <c r="J173" i="31"/>
  <c r="J174" i="31"/>
  <c r="J175" i="31"/>
  <c r="J176" i="31"/>
  <c r="J177" i="31"/>
  <c r="J178" i="31"/>
  <c r="J179" i="31"/>
  <c r="J180" i="31"/>
  <c r="J181" i="31"/>
  <c r="J182" i="31"/>
  <c r="J183" i="31"/>
  <c r="J184" i="31"/>
  <c r="J185" i="31"/>
  <c r="J186" i="31"/>
  <c r="J187" i="31"/>
  <c r="J188" i="31"/>
  <c r="J189" i="31"/>
  <c r="J190" i="31"/>
  <c r="J191" i="31"/>
  <c r="J192" i="31"/>
  <c r="J193" i="31"/>
  <c r="J194" i="31"/>
  <c r="J195" i="31"/>
  <c r="J196" i="31"/>
  <c r="J197" i="31"/>
  <c r="J198" i="31"/>
  <c r="J199" i="31"/>
  <c r="J200" i="31"/>
  <c r="J201" i="31"/>
  <c r="J202" i="31"/>
  <c r="J203" i="31"/>
  <c r="J204" i="31"/>
  <c r="J205" i="31"/>
  <c r="J206" i="31"/>
  <c r="J207" i="31"/>
  <c r="J208" i="31"/>
  <c r="J209" i="31"/>
  <c r="J210" i="31"/>
  <c r="J211" i="31"/>
  <c r="J212" i="31"/>
  <c r="J213" i="31"/>
  <c r="J214" i="31"/>
  <c r="J215" i="31"/>
  <c r="J216" i="31"/>
  <c r="J217" i="31"/>
  <c r="J218" i="31"/>
  <c r="J219" i="31"/>
  <c r="J220" i="31"/>
  <c r="J221" i="31"/>
  <c r="J222" i="31"/>
  <c r="J223" i="31"/>
  <c r="J224" i="31"/>
  <c r="J225" i="31"/>
  <c r="J226" i="31"/>
  <c r="J227" i="31"/>
  <c r="J228" i="31"/>
  <c r="J229" i="31"/>
  <c r="J230" i="31"/>
  <c r="J231" i="31"/>
  <c r="J232" i="31"/>
  <c r="J233" i="31"/>
  <c r="J234" i="31"/>
  <c r="J122" i="31"/>
  <c r="D122" i="31"/>
  <c r="C121" i="31"/>
  <c r="B121" i="31"/>
  <c r="A121" i="31"/>
  <c r="D121" i="31"/>
  <c r="G24" i="31"/>
  <c r="G85" i="31"/>
  <c r="AT86" i="1"/>
  <c r="AZ86" i="1" s="1"/>
  <c r="O83" i="9"/>
  <c r="AE33" i="1"/>
  <c r="Z67" i="31"/>
  <c r="Y86" i="31"/>
  <c r="V62" i="31"/>
  <c r="U31" i="31"/>
  <c r="S83" i="31"/>
  <c r="E50" i="31"/>
  <c r="J87" i="31"/>
  <c r="I87" i="31"/>
  <c r="J86" i="31"/>
  <c r="G86" i="31"/>
  <c r="J85" i="31"/>
  <c r="J84" i="31"/>
  <c r="E84" i="31"/>
  <c r="J83" i="31"/>
  <c r="D83" i="31"/>
  <c r="G81" i="31"/>
  <c r="G80" i="31"/>
  <c r="F79" i="31"/>
  <c r="E78" i="31"/>
  <c r="J70" i="31"/>
  <c r="I70" i="31"/>
  <c r="J69" i="31"/>
  <c r="I69" i="31"/>
  <c r="J68" i="31"/>
  <c r="F68" i="31"/>
  <c r="J67" i="31"/>
  <c r="H67" i="31"/>
  <c r="J66" i="31"/>
  <c r="G66" i="31"/>
  <c r="J65" i="31"/>
  <c r="G65" i="31"/>
  <c r="J64" i="31"/>
  <c r="G64" i="31"/>
  <c r="J63" i="31"/>
  <c r="H63" i="31"/>
  <c r="J62" i="31"/>
  <c r="F62" i="31"/>
  <c r="J53" i="31"/>
  <c r="D53" i="31"/>
  <c r="J52" i="31"/>
  <c r="D52" i="31"/>
  <c r="J51" i="31"/>
  <c r="E51" i="31"/>
  <c r="J50" i="31"/>
  <c r="J39" i="31"/>
  <c r="D39" i="31"/>
  <c r="J38" i="31"/>
  <c r="E38" i="31"/>
  <c r="J37" i="31"/>
  <c r="D37" i="31"/>
  <c r="J32" i="31"/>
  <c r="I32" i="31"/>
  <c r="J31" i="31"/>
  <c r="J27" i="31"/>
  <c r="E27" i="31"/>
  <c r="D19" i="31"/>
  <c r="J19" i="31"/>
  <c r="F22" i="31"/>
  <c r="J22" i="31"/>
  <c r="F23" i="31"/>
  <c r="J23" i="31"/>
  <c r="J24" i="31"/>
  <c r="H25" i="31"/>
  <c r="J25" i="31"/>
  <c r="AF38" i="1"/>
  <c r="AP32" i="1"/>
  <c r="AG32" i="1"/>
  <c r="L32" i="1"/>
  <c r="E31" i="31" s="1"/>
  <c r="AG34" i="1"/>
  <c r="AL34" i="1" s="1"/>
  <c r="AG51" i="1"/>
  <c r="AG50" i="1" s="1"/>
  <c r="AQ63" i="1"/>
  <c r="AY63" i="1" s="1"/>
  <c r="AH63" i="1"/>
  <c r="AL67" i="1"/>
  <c r="AU68" i="1"/>
  <c r="AY68" i="1" s="1"/>
  <c r="AG63" i="34" s="1"/>
  <c r="AJ68" i="1"/>
  <c r="AK33" i="1"/>
  <c r="AG52" i="1"/>
  <c r="AL52" i="1" s="1"/>
  <c r="AC87" i="36"/>
  <c r="Y87" i="36"/>
  <c r="Y83" i="36"/>
  <c r="Y82" i="36"/>
  <c r="Y81" i="36"/>
  <c r="Y80" i="36"/>
  <c r="Y79" i="36"/>
  <c r="AC77" i="36"/>
  <c r="AC76" i="36"/>
  <c r="AC75" i="36"/>
  <c r="AC74" i="36"/>
  <c r="AC47" i="36"/>
  <c r="AC67" i="36"/>
  <c r="Y67" i="36"/>
  <c r="AC66" i="36"/>
  <c r="AC65" i="36"/>
  <c r="AC64" i="36"/>
  <c r="AC63" i="36"/>
  <c r="AC62" i="36"/>
  <c r="AC61" i="36"/>
  <c r="AC60" i="36"/>
  <c r="AC59" i="36"/>
  <c r="AC58" i="36"/>
  <c r="AC49" i="36"/>
  <c r="Y49" i="36"/>
  <c r="AC48" i="36"/>
  <c r="AC46" i="36"/>
  <c r="AC35" i="36"/>
  <c r="AC34" i="36"/>
  <c r="AC33" i="36"/>
  <c r="Y28" i="36"/>
  <c r="Y27" i="36"/>
  <c r="Y26" i="36"/>
  <c r="AC24" i="36"/>
  <c r="AC23" i="36"/>
  <c r="Y31" i="36"/>
  <c r="Y30" i="36"/>
  <c r="AC21" i="36"/>
  <c r="AC20" i="36"/>
  <c r="AC19" i="36"/>
  <c r="AC18" i="36"/>
  <c r="AC17" i="36"/>
  <c r="AC16" i="36"/>
  <c r="Y29" i="36"/>
  <c r="AC15" i="36"/>
  <c r="AC14" i="36"/>
  <c r="V23" i="31"/>
  <c r="V22" i="31"/>
  <c r="AD22" i="31" s="1"/>
  <c r="S115" i="36"/>
  <c r="U115" i="36" s="1"/>
  <c r="S114" i="36"/>
  <c r="U114" i="36" s="1"/>
  <c r="S113" i="36"/>
  <c r="U113" i="36" s="1"/>
  <c r="S112" i="36"/>
  <c r="U112" i="36" s="1"/>
  <c r="S111" i="36"/>
  <c r="U111" i="36" s="1"/>
  <c r="S102" i="36"/>
  <c r="U102" i="36" s="1"/>
  <c r="S103" i="36"/>
  <c r="U103" i="36" s="1"/>
  <c r="S104" i="36"/>
  <c r="U104" i="36" s="1"/>
  <c r="S105" i="36"/>
  <c r="U105" i="36" s="1"/>
  <c r="S106" i="36"/>
  <c r="U106" i="36" s="1"/>
  <c r="S107" i="36"/>
  <c r="U107" i="36" s="1"/>
  <c r="S108" i="36"/>
  <c r="U108" i="36" s="1"/>
  <c r="S109" i="36"/>
  <c r="U109" i="36" s="1"/>
  <c r="S110" i="36"/>
  <c r="U110" i="36" s="1"/>
  <c r="S98" i="36"/>
  <c r="U98" i="36" s="1"/>
  <c r="S97" i="36"/>
  <c r="U97" i="36" s="1"/>
  <c r="S91" i="36"/>
  <c r="U91" i="36" s="1"/>
  <c r="U90" i="36" s="1"/>
  <c r="S92" i="36"/>
  <c r="U92" i="36" s="1"/>
  <c r="S93" i="36"/>
  <c r="U93" i="36" s="1"/>
  <c r="S94" i="36"/>
  <c r="U94" i="36" s="1"/>
  <c r="S95" i="36"/>
  <c r="U95" i="36" s="1"/>
  <c r="S96" i="36"/>
  <c r="U96" i="36" s="1"/>
  <c r="S89" i="36"/>
  <c r="S88" i="36"/>
  <c r="S87" i="36"/>
  <c r="S83" i="36"/>
  <c r="T83" i="36" s="1"/>
  <c r="U83" i="36" s="1"/>
  <c r="S82" i="36"/>
  <c r="S81" i="36"/>
  <c r="T81" i="36" s="1"/>
  <c r="U81" i="36" s="1"/>
  <c r="S80" i="36"/>
  <c r="T80" i="36" s="1"/>
  <c r="U80" i="36" s="1"/>
  <c r="S79" i="36"/>
  <c r="S77" i="36"/>
  <c r="T77" i="36" s="1"/>
  <c r="U77" i="36" s="1"/>
  <c r="S76" i="36"/>
  <c r="T76" i="36" s="1"/>
  <c r="S75" i="36"/>
  <c r="T75" i="36" s="1"/>
  <c r="S74" i="36"/>
  <c r="T74" i="36" s="1"/>
  <c r="S47" i="36"/>
  <c r="S67" i="36"/>
  <c r="T67" i="36" s="1"/>
  <c r="U67" i="36" s="1"/>
  <c r="S65" i="36"/>
  <c r="T65" i="36" s="1"/>
  <c r="U65" i="36" s="1"/>
  <c r="S64" i="36"/>
  <c r="T64" i="36" s="1"/>
  <c r="S63" i="36"/>
  <c r="T63" i="36" s="1"/>
  <c r="S62" i="36"/>
  <c r="T62" i="36" s="1"/>
  <c r="U62" i="36" s="1"/>
  <c r="S61" i="36"/>
  <c r="T61" i="36" s="1"/>
  <c r="S60" i="36"/>
  <c r="T60" i="36" s="1"/>
  <c r="S59" i="36"/>
  <c r="S58" i="36"/>
  <c r="T58" i="36" s="1"/>
  <c r="U58" i="36" s="1"/>
  <c r="S57" i="36"/>
  <c r="S56" i="36"/>
  <c r="S55" i="36"/>
  <c r="S54" i="36"/>
  <c r="S53" i="36"/>
  <c r="S52" i="36"/>
  <c r="S51" i="36"/>
  <c r="S50" i="36"/>
  <c r="S49" i="36"/>
  <c r="S48" i="36"/>
  <c r="S46" i="36"/>
  <c r="T46" i="36" s="1"/>
  <c r="U46" i="36" s="1"/>
  <c r="S42" i="36"/>
  <c r="T42" i="36" s="1"/>
  <c r="U42" i="36" s="1"/>
  <c r="S41" i="36"/>
  <c r="T41" i="36" s="1"/>
  <c r="U41" i="36" s="1"/>
  <c r="S40" i="36"/>
  <c r="S39" i="36"/>
  <c r="T39" i="36" s="1"/>
  <c r="U39" i="36" s="1"/>
  <c r="S38" i="36"/>
  <c r="T38" i="36"/>
  <c r="U38" i="36" s="1"/>
  <c r="S37" i="36"/>
  <c r="T37" i="36" s="1"/>
  <c r="S35" i="36"/>
  <c r="T35" i="36" s="1"/>
  <c r="U35" i="36" s="1"/>
  <c r="S34" i="36"/>
  <c r="S33" i="36"/>
  <c r="T33" i="36" s="1"/>
  <c r="S27" i="36"/>
  <c r="T27" i="36" s="1"/>
  <c r="U27" i="36" s="1"/>
  <c r="S24" i="36"/>
  <c r="U24" i="36"/>
  <c r="S23" i="36"/>
  <c r="T23" i="36" s="1"/>
  <c r="T22" i="36" s="1"/>
  <c r="S21" i="36"/>
  <c r="S20" i="36"/>
  <c r="T20" i="36" s="1"/>
  <c r="U20" i="36" s="1"/>
  <c r="S19" i="36"/>
  <c r="T19" i="36" s="1"/>
  <c r="S18" i="36"/>
  <c r="S17" i="36"/>
  <c r="T17" i="36" s="1"/>
  <c r="S16" i="36"/>
  <c r="T16" i="36" s="1"/>
  <c r="U16" i="36" s="1"/>
  <c r="S29" i="36"/>
  <c r="S15" i="36"/>
  <c r="T15" i="36" s="1"/>
  <c r="U15" i="36" s="1"/>
  <c r="AC87" i="35"/>
  <c r="Y87" i="35"/>
  <c r="Y83" i="35"/>
  <c r="Y82" i="35"/>
  <c r="Y81" i="35"/>
  <c r="Y80" i="35"/>
  <c r="Y79" i="35"/>
  <c r="AC77" i="35"/>
  <c r="AC76" i="35"/>
  <c r="AC75" i="35"/>
  <c r="AC74" i="35"/>
  <c r="AC47" i="35"/>
  <c r="AC67" i="35"/>
  <c r="Y67" i="35"/>
  <c r="AC66" i="35"/>
  <c r="AC65" i="35"/>
  <c r="AC64" i="35"/>
  <c r="AC63" i="35"/>
  <c r="AC62" i="35"/>
  <c r="AC61" i="35"/>
  <c r="AC60" i="35"/>
  <c r="AC59" i="35"/>
  <c r="AC58" i="35"/>
  <c r="AC49" i="35"/>
  <c r="Y49" i="35"/>
  <c r="AC48" i="35"/>
  <c r="AC46" i="35"/>
  <c r="AC35" i="35"/>
  <c r="AC34" i="35"/>
  <c r="AC33" i="35"/>
  <c r="Y28" i="35"/>
  <c r="Y27" i="35"/>
  <c r="Y26" i="35"/>
  <c r="AC24" i="35"/>
  <c r="AC23" i="35"/>
  <c r="Y31" i="35"/>
  <c r="Y30" i="35"/>
  <c r="AC21" i="35"/>
  <c r="AC20" i="35"/>
  <c r="AC19" i="35"/>
  <c r="AC18" i="35"/>
  <c r="AC17" i="35"/>
  <c r="AC16" i="35"/>
  <c r="Y29" i="35"/>
  <c r="AC15" i="35"/>
  <c r="AC14" i="35"/>
  <c r="AC87" i="34"/>
  <c r="Y87" i="34"/>
  <c r="Y83" i="34"/>
  <c r="Y82" i="34"/>
  <c r="Y81" i="34"/>
  <c r="Y80" i="34"/>
  <c r="Y79" i="34"/>
  <c r="AC77" i="34"/>
  <c r="AC76" i="34"/>
  <c r="AC75" i="34"/>
  <c r="AC74" i="34"/>
  <c r="AC47" i="34"/>
  <c r="AC67" i="34"/>
  <c r="Y67" i="34"/>
  <c r="AC66" i="34"/>
  <c r="AC65" i="34"/>
  <c r="AC64" i="34"/>
  <c r="AC63" i="34"/>
  <c r="AC62" i="34"/>
  <c r="AC61" i="34"/>
  <c r="AC60" i="34"/>
  <c r="AC59" i="34"/>
  <c r="AC58" i="34"/>
  <c r="AC49" i="34"/>
  <c r="Y49" i="34"/>
  <c r="AC48" i="34"/>
  <c r="AC46" i="34"/>
  <c r="AC35" i="34"/>
  <c r="AC34" i="34"/>
  <c r="AC33" i="34"/>
  <c r="Y28" i="34"/>
  <c r="Y27" i="34"/>
  <c r="Y26" i="34"/>
  <c r="AC24" i="34"/>
  <c r="AC23" i="34"/>
  <c r="Y31" i="34"/>
  <c r="Y30" i="34"/>
  <c r="AC21" i="34"/>
  <c r="AC20" i="34"/>
  <c r="AC19" i="34"/>
  <c r="AC18" i="34"/>
  <c r="AC17" i="34"/>
  <c r="AC16" i="34"/>
  <c r="Y29" i="34"/>
  <c r="AC15" i="34"/>
  <c r="AC14" i="34"/>
  <c r="S116" i="9"/>
  <c r="Q116" i="9"/>
  <c r="O116" i="9"/>
  <c r="P116" i="9" s="1"/>
  <c r="S115" i="9"/>
  <c r="Q115" i="9"/>
  <c r="O115" i="9"/>
  <c r="P115" i="9" s="1"/>
  <c r="S114" i="9"/>
  <c r="Q114" i="9"/>
  <c r="O114" i="9"/>
  <c r="P114" i="9" s="1"/>
  <c r="S113" i="9"/>
  <c r="Q113" i="9"/>
  <c r="O113" i="9"/>
  <c r="P113" i="9" s="1"/>
  <c r="S112" i="9"/>
  <c r="Q112" i="9"/>
  <c r="O112" i="9"/>
  <c r="P112" i="9" s="1"/>
  <c r="S111" i="9"/>
  <c r="Q111" i="9"/>
  <c r="O111" i="9"/>
  <c r="P111" i="9" s="1"/>
  <c r="S110" i="9"/>
  <c r="Q110" i="9"/>
  <c r="O110" i="9"/>
  <c r="P110" i="9" s="1"/>
  <c r="S109" i="9"/>
  <c r="Q109" i="9"/>
  <c r="O109" i="9"/>
  <c r="P109" i="9" s="1"/>
  <c r="Q108" i="9"/>
  <c r="S107" i="9"/>
  <c r="Q107" i="9"/>
  <c r="O107" i="9"/>
  <c r="P107" i="9" s="1"/>
  <c r="S106" i="9"/>
  <c r="Q106" i="9"/>
  <c r="O106" i="9"/>
  <c r="P106" i="9" s="1"/>
  <c r="S105" i="9"/>
  <c r="Q105" i="9"/>
  <c r="O105" i="9"/>
  <c r="P105" i="9" s="1"/>
  <c r="S104" i="9"/>
  <c r="Q104" i="9"/>
  <c r="O104" i="9"/>
  <c r="P104" i="9" s="1"/>
  <c r="S103" i="9"/>
  <c r="Q103" i="9"/>
  <c r="O103" i="9"/>
  <c r="P103" i="9" s="1"/>
  <c r="J116" i="9"/>
  <c r="I116" i="9"/>
  <c r="J115" i="9"/>
  <c r="I115" i="9"/>
  <c r="J114" i="9"/>
  <c r="I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J103" i="9"/>
  <c r="I103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A105" i="9"/>
  <c r="B105" i="9"/>
  <c r="A116" i="9"/>
  <c r="B116" i="9"/>
  <c r="A115" i="9"/>
  <c r="B115" i="9"/>
  <c r="A114" i="9"/>
  <c r="B114" i="9"/>
  <c r="A113" i="9"/>
  <c r="B113" i="9"/>
  <c r="A112" i="9"/>
  <c r="B112" i="9"/>
  <c r="A111" i="9"/>
  <c r="A110" i="9"/>
  <c r="B110" i="9"/>
  <c r="A109" i="9"/>
  <c r="B109" i="9"/>
  <c r="A108" i="9"/>
  <c r="B108" i="9"/>
  <c r="A107" i="9"/>
  <c r="B107" i="9"/>
  <c r="A106" i="9"/>
  <c r="B106" i="9"/>
  <c r="A104" i="9"/>
  <c r="B104" i="9"/>
  <c r="B103" i="9"/>
  <c r="A103" i="9"/>
  <c r="S99" i="9"/>
  <c r="S98" i="9"/>
  <c r="S97" i="9"/>
  <c r="S96" i="9"/>
  <c r="S95" i="9"/>
  <c r="S94" i="9"/>
  <c r="S93" i="9"/>
  <c r="S92" i="9"/>
  <c r="Q99" i="9"/>
  <c r="O99" i="9"/>
  <c r="P99" i="9" s="1"/>
  <c r="Q98" i="9"/>
  <c r="O98" i="9"/>
  <c r="P98" i="9" s="1"/>
  <c r="Q97" i="9"/>
  <c r="O97" i="9"/>
  <c r="P97" i="9" s="1"/>
  <c r="Q96" i="9"/>
  <c r="O96" i="9"/>
  <c r="P96" i="9" s="1"/>
  <c r="Q95" i="9"/>
  <c r="O95" i="9"/>
  <c r="P95" i="9" s="1"/>
  <c r="Q94" i="9"/>
  <c r="O94" i="9"/>
  <c r="P94" i="9" s="1"/>
  <c r="Q93" i="9"/>
  <c r="O93" i="9"/>
  <c r="P93" i="9" s="1"/>
  <c r="Q92" i="9"/>
  <c r="O92" i="9"/>
  <c r="P92" i="9" s="1"/>
  <c r="J99" i="9"/>
  <c r="I99" i="9"/>
  <c r="J98" i="9"/>
  <c r="I98" i="9"/>
  <c r="J97" i="9"/>
  <c r="I97" i="9"/>
  <c r="J96" i="9"/>
  <c r="I96" i="9"/>
  <c r="J95" i="9"/>
  <c r="I95" i="9"/>
  <c r="J94" i="9"/>
  <c r="I94" i="9"/>
  <c r="J93" i="9"/>
  <c r="I93" i="9"/>
  <c r="J92" i="9"/>
  <c r="I92" i="9"/>
  <c r="E99" i="9"/>
  <c r="E98" i="9"/>
  <c r="E97" i="9"/>
  <c r="E96" i="9"/>
  <c r="E95" i="9"/>
  <c r="E94" i="9"/>
  <c r="E93" i="9"/>
  <c r="E92" i="9"/>
  <c r="S88" i="9"/>
  <c r="Q88" i="9"/>
  <c r="O88" i="9"/>
  <c r="P88" i="9" s="1"/>
  <c r="J88" i="9"/>
  <c r="I88" i="9"/>
  <c r="G90" i="9"/>
  <c r="E89" i="9"/>
  <c r="B88" i="9"/>
  <c r="A88" i="9"/>
  <c r="A99" i="9"/>
  <c r="B99" i="9"/>
  <c r="A98" i="9"/>
  <c r="B98" i="9"/>
  <c r="A93" i="9"/>
  <c r="B93" i="9"/>
  <c r="A94" i="9"/>
  <c r="B94" i="9"/>
  <c r="A95" i="9"/>
  <c r="B95" i="9"/>
  <c r="A96" i="9"/>
  <c r="B96" i="9"/>
  <c r="A97" i="9"/>
  <c r="B97" i="9"/>
  <c r="B92" i="9"/>
  <c r="A92" i="9"/>
  <c r="S84" i="9"/>
  <c r="Q84" i="9"/>
  <c r="O84" i="9"/>
  <c r="P84" i="9" s="1"/>
  <c r="S83" i="9"/>
  <c r="S82" i="9"/>
  <c r="Q82" i="9"/>
  <c r="O82" i="9"/>
  <c r="P82" i="9" s="1"/>
  <c r="S81" i="9"/>
  <c r="Q81" i="9"/>
  <c r="O81" i="9"/>
  <c r="P81" i="9" s="1"/>
  <c r="S80" i="9"/>
  <c r="J84" i="9"/>
  <c r="I84" i="9"/>
  <c r="J83" i="9"/>
  <c r="I83" i="9"/>
  <c r="J82" i="9"/>
  <c r="I82" i="9"/>
  <c r="J81" i="9"/>
  <c r="I81" i="9"/>
  <c r="J80" i="9"/>
  <c r="I80" i="9"/>
  <c r="E84" i="9"/>
  <c r="E83" i="9"/>
  <c r="E82" i="9"/>
  <c r="E81" i="9"/>
  <c r="E80" i="9"/>
  <c r="A84" i="9"/>
  <c r="B84" i="9"/>
  <c r="A82" i="9"/>
  <c r="B82" i="9"/>
  <c r="A83" i="9"/>
  <c r="B83" i="9"/>
  <c r="A81" i="9"/>
  <c r="B81" i="9"/>
  <c r="B80" i="9"/>
  <c r="A80" i="9"/>
  <c r="S78" i="9"/>
  <c r="Q78" i="9"/>
  <c r="O78" i="9"/>
  <c r="P78" i="9" s="1"/>
  <c r="S77" i="9"/>
  <c r="Q77" i="9"/>
  <c r="O77" i="9"/>
  <c r="P77" i="9" s="1"/>
  <c r="S76" i="9"/>
  <c r="Q76" i="9"/>
  <c r="O76" i="9"/>
  <c r="S75" i="9"/>
  <c r="Q75" i="9"/>
  <c r="O75" i="9"/>
  <c r="G78" i="9"/>
  <c r="G77" i="9"/>
  <c r="G76" i="9"/>
  <c r="G75" i="9"/>
  <c r="J78" i="9"/>
  <c r="I78" i="9"/>
  <c r="J77" i="9"/>
  <c r="I77" i="9"/>
  <c r="J76" i="9"/>
  <c r="I76" i="9"/>
  <c r="J75" i="9"/>
  <c r="I75" i="9"/>
  <c r="B78" i="9"/>
  <c r="A78" i="9"/>
  <c r="B77" i="9"/>
  <c r="A77" i="9"/>
  <c r="B76" i="9"/>
  <c r="A76" i="9"/>
  <c r="B75" i="9"/>
  <c r="A75" i="9"/>
  <c r="S48" i="9"/>
  <c r="S68" i="9"/>
  <c r="S67" i="9"/>
  <c r="S66" i="9"/>
  <c r="S65" i="9"/>
  <c r="S64" i="9"/>
  <c r="S63" i="9"/>
  <c r="S62" i="9"/>
  <c r="O62" i="9"/>
  <c r="P62" i="9" s="1"/>
  <c r="Q62" i="9"/>
  <c r="O63" i="9"/>
  <c r="P63" i="9" s="1"/>
  <c r="Q63" i="9"/>
  <c r="O64" i="9"/>
  <c r="P64" i="9" s="1"/>
  <c r="Q64" i="9"/>
  <c r="O65" i="9"/>
  <c r="P65" i="9" s="1"/>
  <c r="Q65" i="9"/>
  <c r="S60" i="9"/>
  <c r="S59" i="9"/>
  <c r="S50" i="9"/>
  <c r="S49" i="9"/>
  <c r="S47" i="9"/>
  <c r="Q48" i="9"/>
  <c r="O48" i="9"/>
  <c r="P48" i="9" s="1"/>
  <c r="Q68" i="9"/>
  <c r="O68" i="9"/>
  <c r="Q67" i="9"/>
  <c r="O67" i="9"/>
  <c r="P67" i="9" s="1"/>
  <c r="Q66" i="9"/>
  <c r="O66" i="9"/>
  <c r="P66" i="9" s="1"/>
  <c r="Q61" i="9"/>
  <c r="O61" i="9"/>
  <c r="P61" i="9" s="1"/>
  <c r="Q60" i="9"/>
  <c r="O60" i="9"/>
  <c r="P60" i="9" s="1"/>
  <c r="Q59" i="9"/>
  <c r="O59" i="9"/>
  <c r="P59" i="9" s="1"/>
  <c r="Q50" i="9"/>
  <c r="O50" i="9"/>
  <c r="P50" i="9" s="1"/>
  <c r="Q49" i="9"/>
  <c r="O49" i="9"/>
  <c r="P49" i="9" s="1"/>
  <c r="Q47" i="9"/>
  <c r="O47" i="9"/>
  <c r="P47" i="9" s="1"/>
  <c r="J48" i="9"/>
  <c r="I48" i="9"/>
  <c r="J68" i="9"/>
  <c r="I68" i="9"/>
  <c r="J67" i="9"/>
  <c r="I67" i="9"/>
  <c r="J66" i="9"/>
  <c r="I66" i="9"/>
  <c r="J65" i="9"/>
  <c r="I65" i="9"/>
  <c r="J64" i="9"/>
  <c r="I64" i="9"/>
  <c r="J63" i="9"/>
  <c r="I63" i="9"/>
  <c r="J62" i="9"/>
  <c r="I62" i="9"/>
  <c r="J61" i="9"/>
  <c r="I61" i="9"/>
  <c r="J60" i="9"/>
  <c r="I60" i="9"/>
  <c r="J59" i="9"/>
  <c r="I59" i="9"/>
  <c r="J50" i="9"/>
  <c r="I50" i="9"/>
  <c r="J49" i="9"/>
  <c r="I49" i="9"/>
  <c r="J47" i="9"/>
  <c r="I47" i="9"/>
  <c r="G48" i="9"/>
  <c r="G68" i="9"/>
  <c r="G67" i="9"/>
  <c r="G66" i="9"/>
  <c r="G65" i="9"/>
  <c r="G64" i="9"/>
  <c r="G63" i="9"/>
  <c r="G62" i="9"/>
  <c r="G61" i="9"/>
  <c r="G60" i="9"/>
  <c r="G59" i="9"/>
  <c r="G49" i="9"/>
  <c r="G47" i="9"/>
  <c r="B48" i="9"/>
  <c r="A48" i="9"/>
  <c r="A68" i="9"/>
  <c r="B68" i="9"/>
  <c r="A67" i="9"/>
  <c r="B67" i="9"/>
  <c r="A66" i="9"/>
  <c r="B66" i="9"/>
  <c r="A62" i="9"/>
  <c r="B62" i="9"/>
  <c r="A63" i="9"/>
  <c r="B63" i="9"/>
  <c r="A64" i="9"/>
  <c r="B64" i="9"/>
  <c r="A65" i="9"/>
  <c r="B65" i="9"/>
  <c r="A61" i="9"/>
  <c r="B61" i="9"/>
  <c r="A60" i="9"/>
  <c r="B60" i="9"/>
  <c r="B59" i="9"/>
  <c r="A59" i="9"/>
  <c r="B51" i="9"/>
  <c r="B50" i="9"/>
  <c r="A50" i="9"/>
  <c r="B49" i="9"/>
  <c r="A49" i="9"/>
  <c r="B47" i="9"/>
  <c r="A47" i="9"/>
  <c r="S43" i="9"/>
  <c r="S42" i="9"/>
  <c r="S41" i="9"/>
  <c r="S40" i="9"/>
  <c r="S39" i="9"/>
  <c r="S38" i="9"/>
  <c r="Q43" i="9"/>
  <c r="O43" i="9"/>
  <c r="P43" i="9" s="1"/>
  <c r="Q42" i="9"/>
  <c r="O42" i="9"/>
  <c r="P42" i="9" s="1"/>
  <c r="Q41" i="9"/>
  <c r="O41" i="9"/>
  <c r="P41" i="9" s="1"/>
  <c r="Q39" i="9"/>
  <c r="O39" i="9"/>
  <c r="P39" i="9" s="1"/>
  <c r="Q38" i="9"/>
  <c r="O38" i="9"/>
  <c r="P38" i="9" s="1"/>
  <c r="I39" i="9"/>
  <c r="J39" i="9"/>
  <c r="I40" i="9"/>
  <c r="J40" i="9"/>
  <c r="I41" i="9"/>
  <c r="I42" i="9"/>
  <c r="J42" i="9"/>
  <c r="I43" i="9"/>
  <c r="J43" i="9"/>
  <c r="A42" i="9"/>
  <c r="B42" i="9"/>
  <c r="A43" i="9"/>
  <c r="B43" i="9"/>
  <c r="J38" i="9"/>
  <c r="I38" i="9"/>
  <c r="A41" i="9"/>
  <c r="B41" i="9"/>
  <c r="A39" i="9"/>
  <c r="B39" i="9"/>
  <c r="A40" i="9"/>
  <c r="B40" i="9"/>
  <c r="B38" i="9"/>
  <c r="A38" i="9"/>
  <c r="S36" i="9"/>
  <c r="S35" i="9"/>
  <c r="S34" i="9"/>
  <c r="Q36" i="9"/>
  <c r="O36" i="9"/>
  <c r="P36" i="9" s="1"/>
  <c r="Q35" i="9"/>
  <c r="O35" i="9"/>
  <c r="P35" i="9" s="1"/>
  <c r="Q34" i="9"/>
  <c r="O34" i="9"/>
  <c r="P34" i="9" s="1"/>
  <c r="J36" i="9"/>
  <c r="I36" i="9"/>
  <c r="J35" i="9"/>
  <c r="I35" i="9"/>
  <c r="J34" i="9"/>
  <c r="I34" i="9"/>
  <c r="E34" i="9"/>
  <c r="B36" i="9"/>
  <c r="A36" i="9"/>
  <c r="B35" i="9"/>
  <c r="A35" i="9"/>
  <c r="B34" i="9"/>
  <c r="A34" i="9"/>
  <c r="S29" i="9"/>
  <c r="Q29" i="9"/>
  <c r="O29" i="9"/>
  <c r="P29" i="9" s="1"/>
  <c r="S28" i="9"/>
  <c r="Q28" i="9"/>
  <c r="O28" i="9"/>
  <c r="P28" i="9" s="1"/>
  <c r="S27" i="9"/>
  <c r="Q27" i="9"/>
  <c r="O27" i="9"/>
  <c r="J29" i="9"/>
  <c r="I29" i="9"/>
  <c r="J28" i="9"/>
  <c r="I28" i="9"/>
  <c r="J27" i="9"/>
  <c r="I27" i="9"/>
  <c r="E28" i="9"/>
  <c r="E29" i="9"/>
  <c r="A28" i="9"/>
  <c r="B28" i="9"/>
  <c r="A29" i="9"/>
  <c r="B29" i="9"/>
  <c r="B27" i="9"/>
  <c r="A27" i="9"/>
  <c r="S25" i="9"/>
  <c r="O25" i="9"/>
  <c r="P25" i="9" s="1"/>
  <c r="Q25" i="9"/>
  <c r="I25" i="9"/>
  <c r="J25" i="9"/>
  <c r="G25" i="9"/>
  <c r="A25" i="9"/>
  <c r="B25" i="9"/>
  <c r="S24" i="9"/>
  <c r="Q24" i="9"/>
  <c r="O24" i="9"/>
  <c r="P24" i="9" s="1"/>
  <c r="J24" i="9"/>
  <c r="I24" i="9"/>
  <c r="G24" i="9"/>
  <c r="B24" i="9"/>
  <c r="A24" i="9"/>
  <c r="Q16" i="9"/>
  <c r="S16" i="9"/>
  <c r="Q30" i="9"/>
  <c r="S30" i="9"/>
  <c r="Q17" i="9"/>
  <c r="S17" i="9"/>
  <c r="Q18" i="9"/>
  <c r="S18" i="9"/>
  <c r="Q19" i="9"/>
  <c r="S19" i="9"/>
  <c r="Q20" i="9"/>
  <c r="S20" i="9"/>
  <c r="Q21" i="9"/>
  <c r="S21" i="9"/>
  <c r="Q22" i="9"/>
  <c r="S22" i="9"/>
  <c r="Q31" i="9"/>
  <c r="S31" i="9"/>
  <c r="O16" i="9"/>
  <c r="P16" i="9" s="1"/>
  <c r="O30" i="9"/>
  <c r="P30" i="9" s="1"/>
  <c r="O17" i="9"/>
  <c r="P17" i="9" s="1"/>
  <c r="O18" i="9"/>
  <c r="P18" i="9" s="1"/>
  <c r="O19" i="9"/>
  <c r="P19" i="9" s="1"/>
  <c r="O20" i="9"/>
  <c r="P20" i="9" s="1"/>
  <c r="O21" i="9"/>
  <c r="P21" i="9" s="1"/>
  <c r="O22" i="9"/>
  <c r="P22" i="9" s="1"/>
  <c r="O31" i="9"/>
  <c r="P31" i="9" s="1"/>
  <c r="O32" i="9"/>
  <c r="P32" i="9" s="1"/>
  <c r="I16" i="9"/>
  <c r="J16" i="9"/>
  <c r="I30" i="9"/>
  <c r="J30" i="9"/>
  <c r="I17" i="9"/>
  <c r="J17" i="9"/>
  <c r="I18" i="9"/>
  <c r="J18" i="9"/>
  <c r="I19" i="9"/>
  <c r="J19" i="9"/>
  <c r="I20" i="9"/>
  <c r="J20" i="9"/>
  <c r="I21" i="9"/>
  <c r="J21" i="9"/>
  <c r="I22" i="9"/>
  <c r="J22" i="9"/>
  <c r="I31" i="9"/>
  <c r="J31" i="9"/>
  <c r="I32" i="9"/>
  <c r="J32" i="9"/>
  <c r="G16" i="9"/>
  <c r="G30" i="9"/>
  <c r="G17" i="9"/>
  <c r="G18" i="9"/>
  <c r="G19" i="9"/>
  <c r="G20" i="9"/>
  <c r="G21" i="9"/>
  <c r="G22" i="9"/>
  <c r="G31" i="9"/>
  <c r="G32" i="9"/>
  <c r="A16" i="9"/>
  <c r="B16" i="9"/>
  <c r="A30" i="9"/>
  <c r="A17" i="9"/>
  <c r="B17" i="9"/>
  <c r="A18" i="9"/>
  <c r="B18" i="9"/>
  <c r="A19" i="9"/>
  <c r="B19" i="9"/>
  <c r="A20" i="9"/>
  <c r="B20" i="9"/>
  <c r="A21" i="9"/>
  <c r="B21" i="9"/>
  <c r="A22" i="9"/>
  <c r="B22" i="9"/>
  <c r="A31" i="9"/>
  <c r="B31" i="9"/>
  <c r="A32" i="9"/>
  <c r="B32" i="9"/>
  <c r="O15" i="9"/>
  <c r="AC241" i="31"/>
  <c r="AB241" i="31"/>
  <c r="AA241" i="31"/>
  <c r="Z241" i="31"/>
  <c r="Y241" i="31"/>
  <c r="X241" i="31"/>
  <c r="W241" i="31"/>
  <c r="AE241" i="31" s="1"/>
  <c r="V241" i="31"/>
  <c r="AE612" i="31"/>
  <c r="AE611" i="31"/>
  <c r="AE610" i="31"/>
  <c r="AE609" i="31"/>
  <c r="AE608" i="31"/>
  <c r="AE607" i="31"/>
  <c r="AE606" i="31"/>
  <c r="AE605" i="31"/>
  <c r="AE604" i="31"/>
  <c r="AE603" i="31"/>
  <c r="AE602" i="31"/>
  <c r="AE601" i="31"/>
  <c r="AE600" i="31"/>
  <c r="AE599" i="31"/>
  <c r="AE598" i="31"/>
  <c r="AE597" i="31"/>
  <c r="AE596" i="31"/>
  <c r="AE595" i="31"/>
  <c r="AE594" i="31"/>
  <c r="AE593" i="31"/>
  <c r="AE592" i="31"/>
  <c r="AE591" i="31"/>
  <c r="AE590" i="31"/>
  <c r="AE589" i="31"/>
  <c r="AE588" i="31"/>
  <c r="AE587" i="31"/>
  <c r="AE586" i="31"/>
  <c r="AE585" i="31"/>
  <c r="AE584" i="31"/>
  <c r="AE583" i="31"/>
  <c r="AE582" i="31"/>
  <c r="AE581" i="31"/>
  <c r="AE580" i="31"/>
  <c r="AE579" i="31"/>
  <c r="AE578" i="31"/>
  <c r="AE577" i="31"/>
  <c r="AE576" i="31"/>
  <c r="AE575" i="31"/>
  <c r="AE574" i="31"/>
  <c r="AE573" i="31"/>
  <c r="AE572" i="31"/>
  <c r="AE571" i="31"/>
  <c r="AE570" i="31"/>
  <c r="AE569" i="31"/>
  <c r="AE568" i="31"/>
  <c r="AE567" i="31"/>
  <c r="AE566" i="31"/>
  <c r="AE565" i="31"/>
  <c r="AE564" i="31"/>
  <c r="AE563" i="31"/>
  <c r="AE562" i="31"/>
  <c r="AE561" i="31"/>
  <c r="AE560" i="31"/>
  <c r="AE559" i="31"/>
  <c r="AE558" i="31"/>
  <c r="AE557" i="31"/>
  <c r="AE556" i="31"/>
  <c r="AE555" i="31"/>
  <c r="AE554" i="31"/>
  <c r="AE553" i="31"/>
  <c r="AE552" i="31"/>
  <c r="AE551" i="31"/>
  <c r="AE550" i="31"/>
  <c r="AE549" i="31"/>
  <c r="AE548" i="31"/>
  <c r="AE547" i="31"/>
  <c r="AE546" i="31"/>
  <c r="AE545" i="31"/>
  <c r="AE544" i="31"/>
  <c r="AE543" i="31"/>
  <c r="AE542" i="31"/>
  <c r="AE541" i="31"/>
  <c r="AE540" i="31"/>
  <c r="AE539" i="31"/>
  <c r="AE538" i="31"/>
  <c r="AE537" i="31"/>
  <c r="AE536" i="31"/>
  <c r="AE535" i="31"/>
  <c r="AE534" i="31"/>
  <c r="AE533" i="31"/>
  <c r="AE532" i="31"/>
  <c r="AE531" i="31"/>
  <c r="AE530" i="31"/>
  <c r="AE529" i="31"/>
  <c r="AE528" i="31"/>
  <c r="AE527" i="31"/>
  <c r="AE526" i="31"/>
  <c r="AE525" i="31"/>
  <c r="AE524" i="31"/>
  <c r="AE523" i="31"/>
  <c r="AE522" i="31"/>
  <c r="AE521" i="31"/>
  <c r="AE520" i="31"/>
  <c r="AE519" i="31"/>
  <c r="AE518" i="31"/>
  <c r="AE517" i="31"/>
  <c r="AE516" i="31"/>
  <c r="AE515" i="31"/>
  <c r="AE514" i="31"/>
  <c r="AE513" i="31"/>
  <c r="AE512" i="31"/>
  <c r="AE511" i="31"/>
  <c r="AE510" i="31"/>
  <c r="AE509" i="31"/>
  <c r="AE508" i="31"/>
  <c r="AE507" i="31"/>
  <c r="AE506" i="31"/>
  <c r="AE505" i="31"/>
  <c r="AE504" i="31"/>
  <c r="AE503" i="31"/>
  <c r="AE502" i="31"/>
  <c r="AE501" i="31"/>
  <c r="AE500" i="31"/>
  <c r="AE499" i="31"/>
  <c r="AE498" i="31"/>
  <c r="AE497" i="31"/>
  <c r="AE496" i="31"/>
  <c r="AE495" i="31"/>
  <c r="AE494" i="31"/>
  <c r="AE493" i="31"/>
  <c r="AE492" i="31"/>
  <c r="AE491" i="31"/>
  <c r="AE490" i="31"/>
  <c r="AE489" i="31"/>
  <c r="AE488" i="31"/>
  <c r="AE487" i="31"/>
  <c r="AE486" i="31"/>
  <c r="AE485" i="31"/>
  <c r="AE484" i="31"/>
  <c r="AE483" i="31"/>
  <c r="AE482" i="31"/>
  <c r="AE481" i="31"/>
  <c r="AE480" i="31"/>
  <c r="AE479" i="31"/>
  <c r="AE478" i="31"/>
  <c r="AE477" i="31"/>
  <c r="AE476" i="31"/>
  <c r="AE475" i="31"/>
  <c r="AE474" i="31"/>
  <c r="AE473" i="31"/>
  <c r="AE472" i="31"/>
  <c r="AE471" i="31"/>
  <c r="AE470" i="31"/>
  <c r="AE469" i="31"/>
  <c r="AE468" i="31"/>
  <c r="AE467" i="31"/>
  <c r="AE466" i="31"/>
  <c r="AE465" i="31"/>
  <c r="AE464" i="31"/>
  <c r="AE463" i="31"/>
  <c r="AE462" i="31"/>
  <c r="AE461" i="31"/>
  <c r="AE460" i="31"/>
  <c r="AE459" i="31"/>
  <c r="AE458" i="31"/>
  <c r="AE457" i="31"/>
  <c r="AE456" i="31"/>
  <c r="AE455" i="31"/>
  <c r="AE454" i="31"/>
  <c r="AE453" i="31"/>
  <c r="AE452" i="31"/>
  <c r="AE451" i="31"/>
  <c r="AE450" i="31"/>
  <c r="AE449" i="31"/>
  <c r="AE448" i="31"/>
  <c r="AE447" i="31"/>
  <c r="AE446" i="31"/>
  <c r="AE445" i="31"/>
  <c r="AE444" i="31"/>
  <c r="AE443" i="31"/>
  <c r="AE442" i="31"/>
  <c r="AE441" i="31"/>
  <c r="AE440" i="31"/>
  <c r="AE439" i="31"/>
  <c r="AE438" i="31"/>
  <c r="AE437" i="31"/>
  <c r="AE436" i="31"/>
  <c r="AE435" i="31"/>
  <c r="AE434" i="31"/>
  <c r="AE433" i="31"/>
  <c r="AE432" i="31"/>
  <c r="AE431" i="31"/>
  <c r="AE430" i="31"/>
  <c r="AE429" i="31"/>
  <c r="AE428" i="31"/>
  <c r="AE427" i="31"/>
  <c r="AE426" i="31"/>
  <c r="AE425" i="31"/>
  <c r="AE424" i="31"/>
  <c r="AE423" i="31"/>
  <c r="AE422" i="31"/>
  <c r="AE421" i="31"/>
  <c r="AE420" i="31"/>
  <c r="AE419" i="31"/>
  <c r="AE418" i="31"/>
  <c r="AE417" i="31"/>
  <c r="AE416" i="31"/>
  <c r="AE415" i="31"/>
  <c r="AE414" i="31"/>
  <c r="AE413" i="31"/>
  <c r="AE412" i="31"/>
  <c r="AE411" i="31"/>
  <c r="AE410" i="31"/>
  <c r="AE409" i="31"/>
  <c r="AE408" i="31"/>
  <c r="AE407" i="31"/>
  <c r="AE406" i="31"/>
  <c r="AE405" i="31"/>
  <c r="AE404" i="31"/>
  <c r="AE403" i="31"/>
  <c r="AE402" i="31"/>
  <c r="AE401" i="31"/>
  <c r="AE400" i="31"/>
  <c r="AE399" i="31"/>
  <c r="AE398" i="31"/>
  <c r="AE397" i="31"/>
  <c r="AE396" i="31"/>
  <c r="AE395" i="31"/>
  <c r="AE394" i="31"/>
  <c r="AE393" i="31"/>
  <c r="AE392" i="31"/>
  <c r="AE391" i="31"/>
  <c r="AE390" i="31"/>
  <c r="AE389" i="31"/>
  <c r="AE388" i="31"/>
  <c r="AE387" i="31"/>
  <c r="AE386" i="31"/>
  <c r="AE385" i="31"/>
  <c r="AE384" i="31"/>
  <c r="AE383" i="31"/>
  <c r="AE382" i="31"/>
  <c r="AE381" i="31"/>
  <c r="AE380" i="31"/>
  <c r="AE379" i="31"/>
  <c r="AE378" i="31"/>
  <c r="AE377" i="31"/>
  <c r="AE376" i="31"/>
  <c r="AE375" i="31"/>
  <c r="AE374" i="31"/>
  <c r="AE373" i="31"/>
  <c r="AE372" i="31"/>
  <c r="AE371" i="31"/>
  <c r="AE370" i="31"/>
  <c r="AE369" i="31"/>
  <c r="AE368" i="31"/>
  <c r="AE367" i="31"/>
  <c r="AE366" i="31"/>
  <c r="AE365" i="31"/>
  <c r="AE364" i="31"/>
  <c r="AE363" i="31"/>
  <c r="AE362" i="31"/>
  <c r="AE361" i="31"/>
  <c r="AE360" i="31"/>
  <c r="AE359" i="31"/>
  <c r="AE358" i="31"/>
  <c r="AE357" i="31"/>
  <c r="AE356" i="31"/>
  <c r="AE355" i="31"/>
  <c r="AE354" i="31"/>
  <c r="AE353" i="31"/>
  <c r="AE352" i="31"/>
  <c r="AE351" i="31"/>
  <c r="AE350" i="31"/>
  <c r="AE349" i="31"/>
  <c r="AE348" i="31"/>
  <c r="AE347" i="31"/>
  <c r="AE346" i="31"/>
  <c r="AE345" i="31"/>
  <c r="AE344" i="31"/>
  <c r="AE343" i="31"/>
  <c r="AE342" i="31"/>
  <c r="AE341" i="31"/>
  <c r="AE340" i="31"/>
  <c r="AE339" i="31"/>
  <c r="AE338" i="31"/>
  <c r="AE337" i="31"/>
  <c r="AE336" i="31"/>
  <c r="AE335" i="31"/>
  <c r="AE334" i="31"/>
  <c r="AE333" i="31"/>
  <c r="AE332" i="31"/>
  <c r="AE331" i="31"/>
  <c r="AE330" i="31"/>
  <c r="AE329" i="31"/>
  <c r="AE328" i="31"/>
  <c r="AE327" i="31"/>
  <c r="AE326" i="31"/>
  <c r="AE325" i="31"/>
  <c r="AE324" i="31"/>
  <c r="AE323" i="31"/>
  <c r="AE322" i="31"/>
  <c r="AE321" i="31"/>
  <c r="AE320" i="31"/>
  <c r="AE319" i="31"/>
  <c r="AE318" i="31"/>
  <c r="AE317" i="31"/>
  <c r="AE316" i="31"/>
  <c r="AE315" i="31"/>
  <c r="AE314" i="31"/>
  <c r="AE313" i="31"/>
  <c r="AE312" i="31"/>
  <c r="AE311" i="31"/>
  <c r="AE310" i="31"/>
  <c r="AE309" i="31"/>
  <c r="AE308" i="31"/>
  <c r="AE307" i="31"/>
  <c r="AE306" i="31"/>
  <c r="AE305" i="31"/>
  <c r="AE304" i="31"/>
  <c r="AE303" i="31"/>
  <c r="AE302" i="31"/>
  <c r="AE301" i="31"/>
  <c r="AE300" i="31"/>
  <c r="AE299" i="31"/>
  <c r="AE298" i="31"/>
  <c r="AE297" i="31"/>
  <c r="AE296" i="31"/>
  <c r="AE295" i="31"/>
  <c r="AE294" i="31"/>
  <c r="AE293" i="31"/>
  <c r="AE292" i="31"/>
  <c r="AE291" i="31"/>
  <c r="AE290" i="31"/>
  <c r="AE289" i="31"/>
  <c r="AE288" i="31"/>
  <c r="AE287" i="31"/>
  <c r="AE286" i="31"/>
  <c r="AE285" i="31"/>
  <c r="AE284" i="31"/>
  <c r="AE283" i="31"/>
  <c r="AE282" i="31"/>
  <c r="AE281" i="31"/>
  <c r="AE280" i="31"/>
  <c r="AE279" i="31"/>
  <c r="AE278" i="31"/>
  <c r="AE277" i="31"/>
  <c r="AE276" i="31"/>
  <c r="AE275" i="31"/>
  <c r="AE274" i="31"/>
  <c r="AE273" i="31"/>
  <c r="AE272" i="31"/>
  <c r="AE271" i="31"/>
  <c r="AE270" i="31"/>
  <c r="AE269" i="31"/>
  <c r="AE268" i="31"/>
  <c r="AE267" i="31"/>
  <c r="AE266" i="31"/>
  <c r="AE265" i="31"/>
  <c r="AE264" i="31"/>
  <c r="AE263" i="31"/>
  <c r="AE262" i="31"/>
  <c r="AE261" i="31"/>
  <c r="AE260" i="31"/>
  <c r="AE259" i="31"/>
  <c r="AE258" i="31"/>
  <c r="AE257" i="31"/>
  <c r="AE256" i="31"/>
  <c r="AE255" i="31"/>
  <c r="AE254" i="31"/>
  <c r="AE253" i="31"/>
  <c r="AE252" i="31"/>
  <c r="AE251" i="31"/>
  <c r="AE250" i="31"/>
  <c r="AE249" i="31"/>
  <c r="AE248" i="31"/>
  <c r="AE247" i="31"/>
  <c r="AE246" i="31"/>
  <c r="AE245" i="31"/>
  <c r="AE244" i="31"/>
  <c r="AE243" i="31"/>
  <c r="AE242" i="31"/>
  <c r="U241" i="31"/>
  <c r="T241" i="31"/>
  <c r="T120" i="31" s="1"/>
  <c r="S241" i="31"/>
  <c r="R241" i="31"/>
  <c r="AE119" i="31"/>
  <c r="AD119" i="31"/>
  <c r="AE118" i="31"/>
  <c r="AD118" i="31"/>
  <c r="AE117" i="31"/>
  <c r="AD117" i="31"/>
  <c r="AE116" i="31"/>
  <c r="AD116" i="31"/>
  <c r="AE115" i="31"/>
  <c r="AD115" i="31"/>
  <c r="AE114" i="31"/>
  <c r="AD114" i="31"/>
  <c r="AE113" i="31"/>
  <c r="AD113" i="31"/>
  <c r="AE112" i="31"/>
  <c r="AD112" i="31"/>
  <c r="AE111" i="31"/>
  <c r="AD111" i="31"/>
  <c r="AE110" i="31"/>
  <c r="AD110" i="31"/>
  <c r="AE109" i="31"/>
  <c r="AD109" i="31"/>
  <c r="AE108" i="31"/>
  <c r="AD108" i="31"/>
  <c r="AE107" i="31"/>
  <c r="AD107" i="31"/>
  <c r="AE106" i="31"/>
  <c r="AD106" i="31"/>
  <c r="AC105" i="31"/>
  <c r="AB105" i="31"/>
  <c r="AA105" i="31"/>
  <c r="Z105" i="31"/>
  <c r="Z77" i="31"/>
  <c r="Z82" i="31"/>
  <c r="Z88" i="31"/>
  <c r="Z89" i="31"/>
  <c r="Z90" i="31"/>
  <c r="Y105" i="31"/>
  <c r="X105" i="31"/>
  <c r="W105" i="31"/>
  <c r="V105" i="31"/>
  <c r="V49" i="31"/>
  <c r="V77" i="31"/>
  <c r="V82" i="31"/>
  <c r="V88" i="31"/>
  <c r="V89" i="31"/>
  <c r="V90" i="31"/>
  <c r="U105" i="31"/>
  <c r="T105" i="31"/>
  <c r="S105" i="31"/>
  <c r="AE102" i="31"/>
  <c r="AD102" i="31"/>
  <c r="AE101" i="31"/>
  <c r="AD101" i="31"/>
  <c r="AE100" i="31"/>
  <c r="AD100" i="31"/>
  <c r="AE99" i="31"/>
  <c r="AD99" i="31"/>
  <c r="AE98" i="31"/>
  <c r="AD98" i="31"/>
  <c r="AE97" i="31"/>
  <c r="AD97" i="31"/>
  <c r="AE96" i="31"/>
  <c r="AD96" i="31"/>
  <c r="AE95" i="31"/>
  <c r="AD95" i="31"/>
  <c r="AE93" i="31"/>
  <c r="AD93" i="31"/>
  <c r="AE92" i="31"/>
  <c r="AD92" i="31"/>
  <c r="AE91" i="31"/>
  <c r="AD91" i="31"/>
  <c r="AC90" i="31"/>
  <c r="AB90" i="31"/>
  <c r="AA90" i="31"/>
  <c r="Y90" i="31"/>
  <c r="X90" i="31"/>
  <c r="W90" i="31"/>
  <c r="U90" i="31"/>
  <c r="T90" i="31"/>
  <c r="S90" i="31"/>
  <c r="AE90" i="31" s="1"/>
  <c r="R90" i="31"/>
  <c r="AC89" i="31"/>
  <c r="AB89" i="31"/>
  <c r="AA89" i="31"/>
  <c r="Y89" i="31"/>
  <c r="X89" i="31"/>
  <c r="W89" i="31"/>
  <c r="U89" i="31"/>
  <c r="T89" i="31"/>
  <c r="S89" i="31"/>
  <c r="R89" i="31"/>
  <c r="AC88" i="31"/>
  <c r="AB88" i="31"/>
  <c r="AA88" i="31"/>
  <c r="Y88" i="31"/>
  <c r="X88" i="31"/>
  <c r="W88" i="31"/>
  <c r="U88" i="31"/>
  <c r="T88" i="31"/>
  <c r="S88" i="31"/>
  <c r="R88" i="31"/>
  <c r="AE87" i="31"/>
  <c r="AD87" i="31"/>
  <c r="AD86" i="31"/>
  <c r="AD85" i="31"/>
  <c r="AE85" i="31"/>
  <c r="AD84" i="31"/>
  <c r="AE84" i="31"/>
  <c r="AD83" i="31"/>
  <c r="AC82" i="31"/>
  <c r="AB82" i="31"/>
  <c r="AB48" i="31" s="1"/>
  <c r="AB47" i="31" s="1"/>
  <c r="AA82" i="31"/>
  <c r="X82" i="31"/>
  <c r="W82" i="31"/>
  <c r="U82" i="31"/>
  <c r="T82" i="31"/>
  <c r="R82" i="31"/>
  <c r="AE81" i="31"/>
  <c r="AD81" i="31"/>
  <c r="AE80" i="31"/>
  <c r="AD80" i="31"/>
  <c r="AE79" i="31"/>
  <c r="AD79" i="31"/>
  <c r="AE78" i="31"/>
  <c r="AD78" i="31"/>
  <c r="AC77" i="31"/>
  <c r="AB77" i="31"/>
  <c r="AA77" i="31"/>
  <c r="Y77" i="31"/>
  <c r="X77" i="31"/>
  <c r="W77" i="31"/>
  <c r="U77" i="31"/>
  <c r="T77" i="31"/>
  <c r="S77" i="31"/>
  <c r="R77" i="31"/>
  <c r="AE51" i="31"/>
  <c r="AD51" i="31"/>
  <c r="AE76" i="31"/>
  <c r="AD76" i="31"/>
  <c r="AE75" i="31"/>
  <c r="AD75" i="31"/>
  <c r="AE74" i="31"/>
  <c r="AD74" i="31"/>
  <c r="AE73" i="31"/>
  <c r="AD73" i="31"/>
  <c r="AE72" i="31"/>
  <c r="AD72" i="31"/>
  <c r="AE71" i="31"/>
  <c r="AD71" i="31"/>
  <c r="AE70" i="31"/>
  <c r="AD70" i="31"/>
  <c r="AE69" i="31"/>
  <c r="AD69" i="31"/>
  <c r="AE68" i="31"/>
  <c r="AD68" i="31"/>
  <c r="AE67" i="31"/>
  <c r="AE66" i="31"/>
  <c r="AD66" i="31"/>
  <c r="AE65" i="31"/>
  <c r="AD65" i="31"/>
  <c r="AE64" i="31"/>
  <c r="AD64" i="31"/>
  <c r="AE63" i="31"/>
  <c r="AD63" i="31"/>
  <c r="AE62" i="31"/>
  <c r="AD62" i="31"/>
  <c r="AE61" i="31"/>
  <c r="AD61" i="31"/>
  <c r="AE60" i="31"/>
  <c r="AD60" i="31"/>
  <c r="AE59" i="31"/>
  <c r="AD59" i="31"/>
  <c r="AE58" i="31"/>
  <c r="AD58" i="31"/>
  <c r="AE57" i="31"/>
  <c r="AD57" i="31"/>
  <c r="AE56" i="31"/>
  <c r="AD56" i="31"/>
  <c r="AE55" i="31"/>
  <c r="AD55" i="31"/>
  <c r="AE54" i="31"/>
  <c r="AD54" i="31"/>
  <c r="AE53" i="31"/>
  <c r="AD53" i="31"/>
  <c r="AE52" i="31"/>
  <c r="AD52" i="31"/>
  <c r="AE50" i="31"/>
  <c r="AD50" i="31"/>
  <c r="AC49" i="31"/>
  <c r="AB49" i="31"/>
  <c r="AA49" i="31"/>
  <c r="Y49" i="31"/>
  <c r="X49" i="31"/>
  <c r="W49" i="31"/>
  <c r="U49" i="31"/>
  <c r="T49" i="31"/>
  <c r="S49" i="31"/>
  <c r="R49" i="31"/>
  <c r="AE46" i="31"/>
  <c r="AD46" i="31"/>
  <c r="AE45" i="31"/>
  <c r="AD45" i="31"/>
  <c r="AE44" i="31"/>
  <c r="AD44" i="31"/>
  <c r="AE43" i="31"/>
  <c r="AD43" i="31"/>
  <c r="AE42" i="31"/>
  <c r="AD42" i="31"/>
  <c r="AE41" i="31"/>
  <c r="AD41" i="31"/>
  <c r="AC40" i="31"/>
  <c r="AB40" i="31"/>
  <c r="AA40" i="31"/>
  <c r="Z40" i="31"/>
  <c r="Y40" i="31"/>
  <c r="X40" i="31"/>
  <c r="W40" i="31"/>
  <c r="V40" i="31"/>
  <c r="U40" i="31"/>
  <c r="T40" i="31"/>
  <c r="S40" i="31"/>
  <c r="AE39" i="31"/>
  <c r="AD39" i="31"/>
  <c r="AE38" i="31"/>
  <c r="AD38" i="31"/>
  <c r="AE37" i="31"/>
  <c r="AD37" i="31"/>
  <c r="AC36" i="31"/>
  <c r="AB36" i="31"/>
  <c r="AA36" i="31"/>
  <c r="Z36" i="31"/>
  <c r="Y36" i="31"/>
  <c r="X36" i="31"/>
  <c r="W36" i="31"/>
  <c r="V36" i="31"/>
  <c r="U36" i="31"/>
  <c r="T36" i="31"/>
  <c r="S36" i="31"/>
  <c r="AD32" i="31"/>
  <c r="AE32" i="31"/>
  <c r="AD31" i="31"/>
  <c r="AE30" i="31"/>
  <c r="AD30" i="31"/>
  <c r="AE28" i="31"/>
  <c r="AD28" i="31"/>
  <c r="AE27" i="31"/>
  <c r="AD27" i="31"/>
  <c r="AC26" i="31"/>
  <c r="AB26" i="31"/>
  <c r="AA26" i="31"/>
  <c r="Z26" i="31"/>
  <c r="Y26" i="31"/>
  <c r="X26" i="31"/>
  <c r="W26" i="31"/>
  <c r="V26" i="31"/>
  <c r="U26" i="31"/>
  <c r="T26" i="31"/>
  <c r="S26" i="31"/>
  <c r="AE35" i="31"/>
  <c r="AD35" i="31"/>
  <c r="AE34" i="31"/>
  <c r="AD34" i="31"/>
  <c r="AE25" i="31"/>
  <c r="AD25" i="31"/>
  <c r="AE24" i="31"/>
  <c r="AD24" i="31"/>
  <c r="AE23" i="31"/>
  <c r="AE22" i="31"/>
  <c r="AE21" i="31"/>
  <c r="AD21" i="31"/>
  <c r="AE20" i="31"/>
  <c r="AD20" i="31"/>
  <c r="AE33" i="31"/>
  <c r="AD33" i="31"/>
  <c r="AE19" i="31"/>
  <c r="AD19" i="31"/>
  <c r="AE18" i="31"/>
  <c r="AD18" i="31"/>
  <c r="T16" i="31"/>
  <c r="T15" i="31" s="1"/>
  <c r="I27" i="1"/>
  <c r="S23" i="9" s="1"/>
  <c r="H27" i="1"/>
  <c r="AH35" i="36"/>
  <c r="AH34" i="36"/>
  <c r="AH33" i="36"/>
  <c r="AH98" i="36"/>
  <c r="AH97" i="36"/>
  <c r="AH96" i="36"/>
  <c r="AH95" i="36"/>
  <c r="AH94" i="36"/>
  <c r="AH93" i="36"/>
  <c r="AH92" i="36"/>
  <c r="AH91" i="36"/>
  <c r="AH102" i="36"/>
  <c r="AH103" i="36"/>
  <c r="AH104" i="36"/>
  <c r="AH105" i="36"/>
  <c r="AH106" i="36"/>
  <c r="AH107" i="36"/>
  <c r="AH108" i="36"/>
  <c r="AH109" i="36"/>
  <c r="AH110" i="36"/>
  <c r="AH111" i="36"/>
  <c r="AH112" i="36"/>
  <c r="AH113" i="36"/>
  <c r="AH114" i="36"/>
  <c r="AH115" i="36"/>
  <c r="V111" i="36"/>
  <c r="X111" i="36" s="1"/>
  <c r="V110" i="36"/>
  <c r="X110" i="36" s="1"/>
  <c r="V108" i="36"/>
  <c r="X108" i="36" s="1"/>
  <c r="V107" i="36"/>
  <c r="X107" i="36" s="1"/>
  <c r="V106" i="36"/>
  <c r="X106" i="36" s="1"/>
  <c r="V105" i="36"/>
  <c r="X105" i="36" s="1"/>
  <c r="V104" i="36"/>
  <c r="X104" i="36" s="1"/>
  <c r="V103" i="36"/>
  <c r="X103" i="36" s="1"/>
  <c r="V102" i="36"/>
  <c r="X102" i="36" s="1"/>
  <c r="V96" i="36"/>
  <c r="X96" i="36" s="1"/>
  <c r="V95" i="36"/>
  <c r="X95" i="36" s="1"/>
  <c r="V94" i="36"/>
  <c r="X94" i="36" s="1"/>
  <c r="V93" i="36"/>
  <c r="X93" i="36" s="1"/>
  <c r="V92" i="36"/>
  <c r="X92" i="36" s="1"/>
  <c r="V91" i="36"/>
  <c r="X91" i="36" s="1"/>
  <c r="V89" i="36"/>
  <c r="V88" i="36"/>
  <c r="V87" i="36"/>
  <c r="X87" i="36" s="1"/>
  <c r="X86" i="36" s="1"/>
  <c r="V82" i="36"/>
  <c r="X82" i="36" s="1"/>
  <c r="V81" i="36"/>
  <c r="X81" i="36" s="1"/>
  <c r="V80" i="36"/>
  <c r="X80" i="36" s="1"/>
  <c r="V79" i="36"/>
  <c r="X79" i="36" s="1"/>
  <c r="V77" i="36"/>
  <c r="X77" i="36" s="1"/>
  <c r="V76" i="36"/>
  <c r="X76" i="36" s="1"/>
  <c r="V75" i="36"/>
  <c r="X75" i="36" s="1"/>
  <c r="X73" i="36" s="1"/>
  <c r="V74" i="36"/>
  <c r="X74" i="36" s="1"/>
  <c r="V67" i="36"/>
  <c r="X67" i="36" s="1"/>
  <c r="V64" i="36"/>
  <c r="X64" i="36" s="1"/>
  <c r="V63" i="36"/>
  <c r="X63" i="36" s="1"/>
  <c r="V60" i="36"/>
  <c r="X60" i="36" s="1"/>
  <c r="V59" i="36"/>
  <c r="X59" i="36" s="1"/>
  <c r="V58" i="36"/>
  <c r="X58" i="36" s="1"/>
  <c r="V57" i="36"/>
  <c r="V56" i="36"/>
  <c r="V55" i="36"/>
  <c r="V54" i="36"/>
  <c r="V53" i="36"/>
  <c r="V52" i="36"/>
  <c r="V51" i="36"/>
  <c r="V50" i="36"/>
  <c r="V49" i="36"/>
  <c r="X49" i="36" s="1"/>
  <c r="V48" i="36"/>
  <c r="X48" i="36" s="1"/>
  <c r="V46" i="36"/>
  <c r="X46" i="36" s="1"/>
  <c r="V42" i="36"/>
  <c r="X42" i="36" s="1"/>
  <c r="V40" i="36"/>
  <c r="X40" i="36" s="1"/>
  <c r="V39" i="36"/>
  <c r="X39" i="36" s="1"/>
  <c r="V38" i="36"/>
  <c r="X38" i="36" s="1"/>
  <c r="V37" i="36"/>
  <c r="X37" i="36" s="1"/>
  <c r="V35" i="36"/>
  <c r="X35" i="36" s="1"/>
  <c r="V34" i="36"/>
  <c r="X34" i="36" s="1"/>
  <c r="V33" i="36"/>
  <c r="X33" i="36" s="1"/>
  <c r="V27" i="36"/>
  <c r="X27" i="36" s="1"/>
  <c r="V26" i="36"/>
  <c r="X26" i="36" s="1"/>
  <c r="V24" i="36"/>
  <c r="X24" i="36" s="1"/>
  <c r="V23" i="36"/>
  <c r="X23" i="36" s="1"/>
  <c r="V21" i="36"/>
  <c r="X21" i="36" s="1"/>
  <c r="V20" i="36"/>
  <c r="X20" i="36" s="1"/>
  <c r="V19" i="36"/>
  <c r="X19" i="36" s="1"/>
  <c r="V18" i="36"/>
  <c r="X18" i="36" s="1"/>
  <c r="V17" i="36"/>
  <c r="X17" i="36" s="1"/>
  <c r="V16" i="36"/>
  <c r="X16" i="36" s="1"/>
  <c r="V29" i="36"/>
  <c r="X29" i="36" s="1"/>
  <c r="V15" i="36"/>
  <c r="X15" i="36" s="1"/>
  <c r="S119" i="36"/>
  <c r="S118" i="36"/>
  <c r="T118" i="36" s="1"/>
  <c r="U118" i="36" s="1"/>
  <c r="S117" i="36"/>
  <c r="T117" i="36" s="1"/>
  <c r="N119" i="36"/>
  <c r="P119" i="36" s="1"/>
  <c r="N118" i="36"/>
  <c r="P118" i="36" s="1"/>
  <c r="N117" i="36"/>
  <c r="P117" i="36" s="1"/>
  <c r="N115" i="36"/>
  <c r="R115" i="36" s="1"/>
  <c r="N114" i="36"/>
  <c r="R114" i="36" s="1"/>
  <c r="N113" i="36"/>
  <c r="R113" i="36" s="1"/>
  <c r="N112" i="36"/>
  <c r="R112" i="36" s="1"/>
  <c r="N111" i="36"/>
  <c r="R111" i="36" s="1"/>
  <c r="N110" i="36"/>
  <c r="R110" i="36" s="1"/>
  <c r="N109" i="36"/>
  <c r="R109" i="36" s="1"/>
  <c r="N108" i="36"/>
  <c r="R108" i="36" s="1"/>
  <c r="N107" i="36"/>
  <c r="R107" i="36" s="1"/>
  <c r="N106" i="36"/>
  <c r="R106" i="36" s="1"/>
  <c r="N105" i="36"/>
  <c r="R105" i="36" s="1"/>
  <c r="N104" i="36"/>
  <c r="R104" i="36" s="1"/>
  <c r="N103" i="36"/>
  <c r="R103" i="36" s="1"/>
  <c r="N102" i="36"/>
  <c r="R102" i="36" s="1"/>
  <c r="N98" i="36"/>
  <c r="N97" i="36"/>
  <c r="Q97" i="36" s="1"/>
  <c r="R97" i="36" s="1"/>
  <c r="N96" i="36"/>
  <c r="Q96" i="36" s="1"/>
  <c r="R96" i="36" s="1"/>
  <c r="N95" i="36"/>
  <c r="Q95" i="36" s="1"/>
  <c r="R95" i="36" s="1"/>
  <c r="N94" i="36"/>
  <c r="Q94" i="36" s="1"/>
  <c r="N93" i="36"/>
  <c r="Q93" i="36" s="1"/>
  <c r="N92" i="36"/>
  <c r="Q92" i="36" s="1"/>
  <c r="R92" i="36" s="1"/>
  <c r="N91" i="36"/>
  <c r="Q91" i="36" s="1"/>
  <c r="N89" i="36"/>
  <c r="N88" i="36"/>
  <c r="N87" i="36"/>
  <c r="Q87" i="36" s="1"/>
  <c r="Q86" i="36" s="1"/>
  <c r="N83" i="36"/>
  <c r="P83" i="36" s="1"/>
  <c r="N82" i="36"/>
  <c r="R82" i="36" s="1"/>
  <c r="N81" i="36"/>
  <c r="R81" i="36" s="1"/>
  <c r="N80" i="36"/>
  <c r="R80" i="36" s="1"/>
  <c r="N79" i="36"/>
  <c r="R79" i="36" s="1"/>
  <c r="N77" i="36"/>
  <c r="P77" i="36" s="1"/>
  <c r="N76" i="36"/>
  <c r="P76" i="36" s="1"/>
  <c r="N75" i="36"/>
  <c r="Q75" i="36" s="1"/>
  <c r="N74" i="36"/>
  <c r="Q74" i="36" s="1"/>
  <c r="N47" i="36"/>
  <c r="P47" i="36" s="1"/>
  <c r="N67" i="36"/>
  <c r="P67" i="36" s="1"/>
  <c r="N65" i="36"/>
  <c r="N64" i="36"/>
  <c r="N63" i="36"/>
  <c r="N62" i="36"/>
  <c r="O62" i="36" s="1"/>
  <c r="Q62" i="36" s="1"/>
  <c r="N61" i="36"/>
  <c r="O61" i="36" s="1"/>
  <c r="Q61" i="36" s="1"/>
  <c r="N60" i="36"/>
  <c r="N59" i="36"/>
  <c r="O59" i="36" s="1"/>
  <c r="N58" i="36"/>
  <c r="P58" i="36" s="1"/>
  <c r="R58" i="36" s="1"/>
  <c r="N57" i="36"/>
  <c r="N56" i="36"/>
  <c r="N55" i="36"/>
  <c r="N54" i="36"/>
  <c r="N53" i="36"/>
  <c r="N52" i="36"/>
  <c r="N51" i="36"/>
  <c r="N50" i="36"/>
  <c r="N49" i="36"/>
  <c r="N48" i="36"/>
  <c r="O48" i="36" s="1"/>
  <c r="N46" i="36"/>
  <c r="P46" i="36" s="1"/>
  <c r="N42" i="36"/>
  <c r="Q42" i="36" s="1"/>
  <c r="N41" i="36"/>
  <c r="N40" i="36"/>
  <c r="Q40" i="36" s="1"/>
  <c r="N39" i="36"/>
  <c r="N38" i="36"/>
  <c r="Q38" i="36" s="1"/>
  <c r="N37" i="36"/>
  <c r="O37" i="36" s="1"/>
  <c r="N35" i="36"/>
  <c r="R35" i="36" s="1"/>
  <c r="N34" i="36"/>
  <c r="N33" i="36"/>
  <c r="P33" i="36" s="1"/>
  <c r="N28" i="36"/>
  <c r="N27" i="36"/>
  <c r="R27" i="36" s="1"/>
  <c r="N24" i="36"/>
  <c r="N23" i="36"/>
  <c r="N31" i="36"/>
  <c r="O31" i="36" s="1"/>
  <c r="N21" i="36"/>
  <c r="N20" i="36"/>
  <c r="N19" i="36"/>
  <c r="O19" i="36" s="1"/>
  <c r="P19" i="36" s="1"/>
  <c r="N18" i="36"/>
  <c r="N17" i="36"/>
  <c r="N16" i="36"/>
  <c r="N29" i="36"/>
  <c r="O29" i="36" s="1"/>
  <c r="N15" i="36"/>
  <c r="P15" i="36" s="1"/>
  <c r="Q116" i="36"/>
  <c r="A116" i="36"/>
  <c r="A117" i="36" s="1"/>
  <c r="A118" i="36" s="1"/>
  <c r="A119" i="36" s="1"/>
  <c r="A115" i="36"/>
  <c r="A109" i="36"/>
  <c r="A110" i="36" s="1"/>
  <c r="W101" i="36"/>
  <c r="T101" i="36"/>
  <c r="Q101" i="36"/>
  <c r="P101" i="36"/>
  <c r="O101" i="36"/>
  <c r="A101" i="36"/>
  <c r="A111" i="36" s="1"/>
  <c r="A112" i="36" s="1"/>
  <c r="A102" i="36" s="1"/>
  <c r="A113" i="36" s="1"/>
  <c r="A103" i="36" s="1"/>
  <c r="A104" i="36" s="1"/>
  <c r="A114" i="36" s="1"/>
  <c r="A107" i="36" s="1"/>
  <c r="W90" i="36"/>
  <c r="T90" i="36"/>
  <c r="P90" i="36"/>
  <c r="O90" i="36"/>
  <c r="A90" i="36"/>
  <c r="A97" i="36" s="1"/>
  <c r="A98" i="36" s="1"/>
  <c r="W86" i="36"/>
  <c r="O86" i="36"/>
  <c r="A86" i="36"/>
  <c r="A87" i="36" s="1"/>
  <c r="A88" i="36" s="1"/>
  <c r="A89" i="36" s="1"/>
  <c r="X85" i="36"/>
  <c r="W85" i="36"/>
  <c r="U85" i="36"/>
  <c r="T85" i="36"/>
  <c r="R85" i="36"/>
  <c r="Q85" i="36"/>
  <c r="P85" i="36"/>
  <c r="O85" i="36"/>
  <c r="X84" i="36"/>
  <c r="W84" i="36"/>
  <c r="U84" i="36"/>
  <c r="T84" i="36"/>
  <c r="R84" i="36"/>
  <c r="Q84" i="36"/>
  <c r="P84" i="36"/>
  <c r="O84" i="36"/>
  <c r="T82" i="36"/>
  <c r="U82" i="36" s="1"/>
  <c r="W78" i="36"/>
  <c r="O78" i="36"/>
  <c r="A74" i="36"/>
  <c r="A76" i="36" s="1"/>
  <c r="A77" i="36" s="1"/>
  <c r="A78" i="36" s="1"/>
  <c r="A82" i="36" s="1"/>
  <c r="A80" i="36" s="1"/>
  <c r="A79" i="36" s="1"/>
  <c r="A83" i="36" s="1"/>
  <c r="A84" i="36" s="1"/>
  <c r="T47" i="36"/>
  <c r="A47" i="36"/>
  <c r="A65" i="36" s="1"/>
  <c r="A66" i="36" s="1"/>
  <c r="A46" i="36" s="1"/>
  <c r="A73" i="36" s="1"/>
  <c r="A75" i="36" s="1"/>
  <c r="A60" i="36"/>
  <c r="A59" i="36" s="1"/>
  <c r="A49" i="36"/>
  <c r="A50" i="36" s="1"/>
  <c r="A51" i="36" s="1"/>
  <c r="A52" i="36" s="1"/>
  <c r="A53" i="36" s="1"/>
  <c r="A54" i="36" s="1"/>
  <c r="A55" i="36" s="1"/>
  <c r="A56" i="36" s="1"/>
  <c r="A57" i="36" s="1"/>
  <c r="A85" i="36" s="1"/>
  <c r="W45" i="36"/>
  <c r="A43" i="36"/>
  <c r="A44" i="36" s="1"/>
  <c r="A45" i="36" s="1"/>
  <c r="A67" i="36" s="1"/>
  <c r="A68" i="36" s="1"/>
  <c r="A69" i="36" s="1"/>
  <c r="A70" i="36" s="1"/>
  <c r="A71" i="36" s="1"/>
  <c r="A72" i="36" s="1"/>
  <c r="A48" i="36" s="1"/>
  <c r="A58" i="36" s="1"/>
  <c r="A37" i="36"/>
  <c r="A40" i="36" s="1"/>
  <c r="W36" i="36"/>
  <c r="A35" i="36"/>
  <c r="A36" i="36" s="1"/>
  <c r="W32" i="36"/>
  <c r="T28" i="36"/>
  <c r="A25" i="36"/>
  <c r="A26" i="36" s="1"/>
  <c r="A28" i="36" s="1"/>
  <c r="A32" i="36" s="1"/>
  <c r="A33" i="36" s="1"/>
  <c r="A34" i="36" s="1"/>
  <c r="W22" i="36"/>
  <c r="O22" i="36"/>
  <c r="T21" i="36"/>
  <c r="T29" i="36"/>
  <c r="U29" i="36" s="1"/>
  <c r="A11" i="36"/>
  <c r="A12" i="36" s="1"/>
  <c r="A13" i="36" s="1"/>
  <c r="A14" i="36" s="1"/>
  <c r="A20" i="36" s="1"/>
  <c r="A21" i="36" s="1"/>
  <c r="A30" i="36" s="1"/>
  <c r="A31" i="36" s="1"/>
  <c r="A22" i="36" s="1"/>
  <c r="A23" i="36" s="1"/>
  <c r="AH35" i="35"/>
  <c r="AH34" i="35"/>
  <c r="AH33" i="35"/>
  <c r="AH98" i="35"/>
  <c r="AH97" i="35"/>
  <c r="AH96" i="35"/>
  <c r="AH95" i="35"/>
  <c r="AH94" i="35"/>
  <c r="AH93" i="35"/>
  <c r="AH92" i="35"/>
  <c r="AH91" i="35"/>
  <c r="AH102" i="35"/>
  <c r="AH103" i="35"/>
  <c r="AH104" i="35"/>
  <c r="AH105" i="35"/>
  <c r="AH106" i="35"/>
  <c r="AH107" i="35"/>
  <c r="AH108" i="35"/>
  <c r="AH109" i="35"/>
  <c r="AH110" i="35"/>
  <c r="AH111" i="35"/>
  <c r="AH112" i="35"/>
  <c r="AH113" i="35"/>
  <c r="AH114" i="35"/>
  <c r="AH115" i="35"/>
  <c r="V115" i="35"/>
  <c r="X115" i="35" s="1"/>
  <c r="V114" i="35"/>
  <c r="X114" i="35" s="1"/>
  <c r="V113" i="35"/>
  <c r="X113" i="35" s="1"/>
  <c r="V112" i="35"/>
  <c r="X112" i="35" s="1"/>
  <c r="V109" i="35"/>
  <c r="X109" i="35" s="1"/>
  <c r="V108" i="35"/>
  <c r="X108" i="35" s="1"/>
  <c r="V107" i="35"/>
  <c r="X107" i="35" s="1"/>
  <c r="V106" i="35"/>
  <c r="X106" i="35" s="1"/>
  <c r="V105" i="35"/>
  <c r="X105" i="35" s="1"/>
  <c r="V104" i="35"/>
  <c r="X104" i="35" s="1"/>
  <c r="V103" i="35"/>
  <c r="X103" i="35" s="1"/>
  <c r="V102" i="35"/>
  <c r="X102" i="35" s="1"/>
  <c r="V98" i="35"/>
  <c r="X98" i="35" s="1"/>
  <c r="V97" i="35"/>
  <c r="X97" i="35" s="1"/>
  <c r="V96" i="35"/>
  <c r="X96" i="35" s="1"/>
  <c r="V95" i="35"/>
  <c r="X95" i="35" s="1"/>
  <c r="V94" i="35"/>
  <c r="X94" i="35" s="1"/>
  <c r="V93" i="35"/>
  <c r="X93" i="35" s="1"/>
  <c r="V92" i="35"/>
  <c r="X92" i="35" s="1"/>
  <c r="V91" i="35"/>
  <c r="X91" i="35" s="1"/>
  <c r="V89" i="35"/>
  <c r="V88" i="35"/>
  <c r="V87" i="35"/>
  <c r="X87" i="35" s="1"/>
  <c r="X86" i="35" s="1"/>
  <c r="V83" i="35"/>
  <c r="X83" i="35" s="1"/>
  <c r="V82" i="35"/>
  <c r="X82" i="35" s="1"/>
  <c r="V81" i="35"/>
  <c r="X81" i="35" s="1"/>
  <c r="V80" i="35"/>
  <c r="X80" i="35" s="1"/>
  <c r="X78" i="35" s="1"/>
  <c r="V79" i="35"/>
  <c r="X79" i="35" s="1"/>
  <c r="V77" i="35"/>
  <c r="X77" i="35" s="1"/>
  <c r="V76" i="35"/>
  <c r="X76" i="35" s="1"/>
  <c r="V75" i="35"/>
  <c r="X75" i="35" s="1"/>
  <c r="X73" i="35" s="1"/>
  <c r="V74" i="35"/>
  <c r="X74" i="35" s="1"/>
  <c r="V47" i="35"/>
  <c r="X47" i="35" s="1"/>
  <c r="V67" i="35"/>
  <c r="X67" i="35" s="1"/>
  <c r="V66" i="35"/>
  <c r="X66" i="35" s="1"/>
  <c r="V65" i="35"/>
  <c r="X65" i="35" s="1"/>
  <c r="V64" i="35"/>
  <c r="X64" i="35" s="1"/>
  <c r="V62" i="35"/>
  <c r="X62" i="35" s="1"/>
  <c r="V61" i="35"/>
  <c r="X61" i="35" s="1"/>
  <c r="V58" i="35"/>
  <c r="X58" i="35" s="1"/>
  <c r="V57" i="35"/>
  <c r="V56" i="35"/>
  <c r="V55" i="35"/>
  <c r="V54" i="35"/>
  <c r="V53" i="35"/>
  <c r="V52" i="35"/>
  <c r="V51" i="35"/>
  <c r="V50" i="35"/>
  <c r="V49" i="35"/>
  <c r="X49" i="35" s="1"/>
  <c r="V48" i="35"/>
  <c r="X48" i="35" s="1"/>
  <c r="V46" i="35"/>
  <c r="X46" i="35" s="1"/>
  <c r="V41" i="35"/>
  <c r="X41" i="35" s="1"/>
  <c r="V40" i="35"/>
  <c r="X40" i="35" s="1"/>
  <c r="V39" i="35"/>
  <c r="X39" i="35" s="1"/>
  <c r="V38" i="35"/>
  <c r="X38" i="35" s="1"/>
  <c r="V37" i="35"/>
  <c r="X37" i="35" s="1"/>
  <c r="V35" i="35"/>
  <c r="X35" i="35" s="1"/>
  <c r="V34" i="35"/>
  <c r="X34" i="35" s="1"/>
  <c r="V33" i="35"/>
  <c r="X33" i="35" s="1"/>
  <c r="V28" i="35"/>
  <c r="X28" i="35" s="1"/>
  <c r="V27" i="35"/>
  <c r="X27" i="35" s="1"/>
  <c r="V26" i="35"/>
  <c r="X26" i="35" s="1"/>
  <c r="V24" i="35"/>
  <c r="X24" i="35" s="1"/>
  <c r="V23" i="35"/>
  <c r="X23" i="35" s="1"/>
  <c r="V31" i="35"/>
  <c r="X31" i="35" s="1"/>
  <c r="V30" i="35"/>
  <c r="X30" i="35" s="1"/>
  <c r="V20" i="35"/>
  <c r="X20" i="35" s="1"/>
  <c r="V19" i="35"/>
  <c r="X19" i="35" s="1"/>
  <c r="V18" i="35"/>
  <c r="X18" i="35" s="1"/>
  <c r="V17" i="35"/>
  <c r="X17" i="35" s="1"/>
  <c r="V16" i="35"/>
  <c r="X16" i="35" s="1"/>
  <c r="V29" i="35"/>
  <c r="X29" i="35" s="1"/>
  <c r="V15" i="35"/>
  <c r="X15" i="35" s="1"/>
  <c r="V14" i="35"/>
  <c r="S115" i="35"/>
  <c r="U115" i="35" s="1"/>
  <c r="S114" i="35"/>
  <c r="U114" i="35" s="1"/>
  <c r="S113" i="35"/>
  <c r="U113" i="35" s="1"/>
  <c r="S112" i="35"/>
  <c r="U112" i="35" s="1"/>
  <c r="S111" i="35"/>
  <c r="U111" i="35" s="1"/>
  <c r="S110" i="35"/>
  <c r="U110" i="35" s="1"/>
  <c r="S109" i="35"/>
  <c r="U109" i="35" s="1"/>
  <c r="S108" i="35"/>
  <c r="U108" i="35" s="1"/>
  <c r="S107" i="35"/>
  <c r="U107" i="35" s="1"/>
  <c r="S106" i="35"/>
  <c r="U106" i="35" s="1"/>
  <c r="S105" i="35"/>
  <c r="U105" i="35" s="1"/>
  <c r="S104" i="35"/>
  <c r="U104" i="35" s="1"/>
  <c r="S103" i="35"/>
  <c r="U103" i="35" s="1"/>
  <c r="S102" i="35"/>
  <c r="U102" i="35" s="1"/>
  <c r="S98" i="35"/>
  <c r="U98" i="35" s="1"/>
  <c r="S97" i="35"/>
  <c r="U97" i="35" s="1"/>
  <c r="S96" i="35"/>
  <c r="U96" i="35" s="1"/>
  <c r="S95" i="35"/>
  <c r="U95" i="35" s="1"/>
  <c r="S94" i="35"/>
  <c r="U94" i="35" s="1"/>
  <c r="S93" i="35"/>
  <c r="U93" i="35" s="1"/>
  <c r="S92" i="35"/>
  <c r="U92" i="35" s="1"/>
  <c r="S91" i="35"/>
  <c r="U91" i="35" s="1"/>
  <c r="S89" i="35"/>
  <c r="S88" i="35"/>
  <c r="S87" i="35"/>
  <c r="T87" i="35" s="1"/>
  <c r="T86" i="35" s="1"/>
  <c r="S83" i="35"/>
  <c r="T83" i="35" s="1"/>
  <c r="U83" i="35" s="1"/>
  <c r="S82" i="35"/>
  <c r="T82" i="35" s="1"/>
  <c r="U82" i="35" s="1"/>
  <c r="S81" i="35"/>
  <c r="T81" i="35" s="1"/>
  <c r="U81" i="35" s="1"/>
  <c r="S80" i="35"/>
  <c r="T80" i="35" s="1"/>
  <c r="S79" i="35"/>
  <c r="T79" i="35" s="1"/>
  <c r="U79" i="35" s="1"/>
  <c r="S77" i="35"/>
  <c r="T77" i="35" s="1"/>
  <c r="S76" i="35"/>
  <c r="T76" i="35" s="1"/>
  <c r="S75" i="35"/>
  <c r="T75" i="35" s="1"/>
  <c r="S74" i="35"/>
  <c r="T74" i="35" s="1"/>
  <c r="S47" i="35"/>
  <c r="T47" i="35" s="1"/>
  <c r="S67" i="35"/>
  <c r="T67" i="35" s="1"/>
  <c r="U67" i="35" s="1"/>
  <c r="S66" i="35"/>
  <c r="T66" i="35" s="1"/>
  <c r="U66" i="35" s="1"/>
  <c r="S65" i="35"/>
  <c r="T65" i="35" s="1"/>
  <c r="U65" i="35" s="1"/>
  <c r="S64" i="35"/>
  <c r="T64" i="35" s="1"/>
  <c r="U64" i="35" s="1"/>
  <c r="S62" i="35"/>
  <c r="T62" i="35" s="1"/>
  <c r="U62" i="35" s="1"/>
  <c r="S61" i="35"/>
  <c r="T61" i="35" s="1"/>
  <c r="U61" i="35" s="1"/>
  <c r="S57" i="35"/>
  <c r="S56" i="35"/>
  <c r="S55" i="35"/>
  <c r="S54" i="35"/>
  <c r="S53" i="35"/>
  <c r="S52" i="35"/>
  <c r="S51" i="35"/>
  <c r="S50" i="35"/>
  <c r="S49" i="35"/>
  <c r="S48" i="35"/>
  <c r="S46" i="35"/>
  <c r="T46" i="35" s="1"/>
  <c r="S42" i="35"/>
  <c r="T42" i="35" s="1"/>
  <c r="U42" i="35" s="1"/>
  <c r="S41" i="35"/>
  <c r="T41" i="35" s="1"/>
  <c r="U41" i="35" s="1"/>
  <c r="S40" i="35"/>
  <c r="T40" i="35" s="1"/>
  <c r="U40" i="35" s="1"/>
  <c r="S39" i="35"/>
  <c r="T39" i="35" s="1"/>
  <c r="U39" i="35" s="1"/>
  <c r="S38" i="35"/>
  <c r="T38" i="35" s="1"/>
  <c r="U38" i="35" s="1"/>
  <c r="S37" i="35"/>
  <c r="S35" i="35"/>
  <c r="T35" i="35" s="1"/>
  <c r="U35" i="35" s="1"/>
  <c r="S34" i="35"/>
  <c r="T34" i="35" s="1"/>
  <c r="S33" i="35"/>
  <c r="T33" i="35" s="1"/>
  <c r="S28" i="35"/>
  <c r="T28" i="35" s="1"/>
  <c r="S27" i="35"/>
  <c r="T27" i="35" s="1"/>
  <c r="U27" i="35" s="1"/>
  <c r="S26" i="35"/>
  <c r="T26" i="35" s="1"/>
  <c r="S24" i="35"/>
  <c r="U24" i="35" s="1"/>
  <c r="S23" i="35"/>
  <c r="T23" i="35" s="1"/>
  <c r="S31" i="35"/>
  <c r="T31" i="35" s="1"/>
  <c r="U31" i="35" s="1"/>
  <c r="S30" i="35"/>
  <c r="T30" i="35" s="1"/>
  <c r="U30" i="35" s="1"/>
  <c r="S21" i="35"/>
  <c r="T21" i="35" s="1"/>
  <c r="U21" i="35" s="1"/>
  <c r="S20" i="35"/>
  <c r="T20" i="35" s="1"/>
  <c r="U20" i="35" s="1"/>
  <c r="S19" i="35"/>
  <c r="S18" i="35"/>
  <c r="T18" i="35" s="1"/>
  <c r="U18" i="35" s="1"/>
  <c r="S17" i="35"/>
  <c r="T17" i="35" s="1"/>
  <c r="U17" i="35" s="1"/>
  <c r="S16" i="35"/>
  <c r="T16" i="35" s="1"/>
  <c r="U16" i="35" s="1"/>
  <c r="S29" i="35"/>
  <c r="T29" i="35" s="1"/>
  <c r="U29" i="35" s="1"/>
  <c r="S15" i="35"/>
  <c r="S119" i="35"/>
  <c r="T119" i="35" s="1"/>
  <c r="U119" i="35" s="1"/>
  <c r="S118" i="35"/>
  <c r="T118" i="35" s="1"/>
  <c r="U118" i="35" s="1"/>
  <c r="N119" i="35"/>
  <c r="P119" i="35" s="1"/>
  <c r="N118" i="35"/>
  <c r="P118" i="35" s="1"/>
  <c r="N115" i="35"/>
  <c r="R115" i="35" s="1"/>
  <c r="N114" i="35"/>
  <c r="R114" i="35" s="1"/>
  <c r="N113" i="35"/>
  <c r="R113" i="35" s="1"/>
  <c r="N112" i="35"/>
  <c r="R112" i="35" s="1"/>
  <c r="N111" i="35"/>
  <c r="R111" i="35" s="1"/>
  <c r="N110" i="35"/>
  <c r="R110" i="35" s="1"/>
  <c r="N109" i="35"/>
  <c r="R109" i="35" s="1"/>
  <c r="N108" i="35"/>
  <c r="R108" i="35" s="1"/>
  <c r="N107" i="35"/>
  <c r="R107" i="35" s="1"/>
  <c r="N106" i="35"/>
  <c r="R106" i="35" s="1"/>
  <c r="N105" i="35"/>
  <c r="R105" i="35" s="1"/>
  <c r="N104" i="35"/>
  <c r="R104" i="35" s="1"/>
  <c r="N103" i="35"/>
  <c r="R103" i="35" s="1"/>
  <c r="N102" i="35"/>
  <c r="R102" i="35" s="1"/>
  <c r="N98" i="35"/>
  <c r="Q98" i="35" s="1"/>
  <c r="R98" i="35" s="1"/>
  <c r="N97" i="35"/>
  <c r="N96" i="35"/>
  <c r="Q96" i="35" s="1"/>
  <c r="R96" i="35" s="1"/>
  <c r="N95" i="35"/>
  <c r="Q95" i="35" s="1"/>
  <c r="R95" i="35" s="1"/>
  <c r="N94" i="35"/>
  <c r="Q94" i="35" s="1"/>
  <c r="N93" i="35"/>
  <c r="Q93" i="35" s="1"/>
  <c r="N92" i="35"/>
  <c r="Q92" i="35" s="1"/>
  <c r="N91" i="35"/>
  <c r="Q91" i="35" s="1"/>
  <c r="N89" i="35"/>
  <c r="N88" i="35"/>
  <c r="N87" i="35"/>
  <c r="Q87" i="35" s="1"/>
  <c r="Q86" i="35" s="1"/>
  <c r="N83" i="35"/>
  <c r="P83" i="35" s="1"/>
  <c r="N82" i="35"/>
  <c r="R82" i="35" s="1"/>
  <c r="N81" i="35"/>
  <c r="R81" i="35" s="1"/>
  <c r="N80" i="35"/>
  <c r="R80" i="35" s="1"/>
  <c r="N79" i="35"/>
  <c r="R79" i="35" s="1"/>
  <c r="N77" i="35"/>
  <c r="P77" i="35" s="1"/>
  <c r="N76" i="35"/>
  <c r="P76" i="35" s="1"/>
  <c r="N75" i="35"/>
  <c r="P75" i="35" s="1"/>
  <c r="N74" i="35"/>
  <c r="P74" i="35" s="1"/>
  <c r="N47" i="35"/>
  <c r="N67" i="35"/>
  <c r="N66" i="35"/>
  <c r="O66" i="35" s="1"/>
  <c r="N65" i="35"/>
  <c r="O65" i="35" s="1"/>
  <c r="N64" i="35"/>
  <c r="O64" i="35" s="1"/>
  <c r="N62" i="35"/>
  <c r="O62" i="35" s="1"/>
  <c r="N61" i="35"/>
  <c r="O61" i="35" s="1"/>
  <c r="Q61" i="35" s="1"/>
  <c r="N57" i="35"/>
  <c r="N56" i="35"/>
  <c r="N55" i="35"/>
  <c r="N54" i="35"/>
  <c r="N53" i="35"/>
  <c r="N52" i="35"/>
  <c r="N51" i="35"/>
  <c r="N50" i="35"/>
  <c r="N49" i="35"/>
  <c r="P49" i="35" s="1"/>
  <c r="N48" i="35"/>
  <c r="O48" i="35" s="1"/>
  <c r="N46" i="35"/>
  <c r="N42" i="35"/>
  <c r="Q42" i="35" s="1"/>
  <c r="R42" i="35" s="1"/>
  <c r="N41" i="35"/>
  <c r="P41" i="35" s="1"/>
  <c r="N40" i="35"/>
  <c r="Q40" i="35" s="1"/>
  <c r="N39" i="35"/>
  <c r="Q39" i="35" s="1"/>
  <c r="N38" i="35"/>
  <c r="Q38" i="35" s="1"/>
  <c r="N37" i="35"/>
  <c r="N35" i="35"/>
  <c r="R35" i="35" s="1"/>
  <c r="N34" i="35"/>
  <c r="P34" i="35" s="1"/>
  <c r="N33" i="35"/>
  <c r="Q33" i="35" s="1"/>
  <c r="N28" i="35"/>
  <c r="R28" i="35" s="1"/>
  <c r="N27" i="35"/>
  <c r="R27" i="35" s="1"/>
  <c r="N26" i="35"/>
  <c r="P26" i="35" s="1"/>
  <c r="N24" i="35"/>
  <c r="Q24" i="35" s="1"/>
  <c r="N23" i="35"/>
  <c r="Q23" i="35" s="1"/>
  <c r="N31" i="35"/>
  <c r="O31" i="35" s="1"/>
  <c r="N30" i="35"/>
  <c r="O30" i="35" s="1"/>
  <c r="N21" i="35"/>
  <c r="Q21" i="35" s="1"/>
  <c r="N20" i="35"/>
  <c r="N19" i="35"/>
  <c r="O19" i="35" s="1"/>
  <c r="N18" i="35"/>
  <c r="O18" i="35" s="1"/>
  <c r="N17" i="35"/>
  <c r="O17" i="35" s="1"/>
  <c r="N16" i="35"/>
  <c r="O16" i="35" s="1"/>
  <c r="N29" i="35"/>
  <c r="O29" i="35" s="1"/>
  <c r="N15" i="35"/>
  <c r="Q15" i="35" s="1"/>
  <c r="Q116" i="35"/>
  <c r="A116" i="35"/>
  <c r="A117" i="35"/>
  <c r="A118" i="35" s="1"/>
  <c r="A119" i="35" s="1"/>
  <c r="A115" i="35"/>
  <c r="A109" i="35"/>
  <c r="A110" i="35" s="1"/>
  <c r="W101" i="35"/>
  <c r="T101" i="35"/>
  <c r="Q101" i="35"/>
  <c r="P101" i="35"/>
  <c r="O101" i="35"/>
  <c r="A101" i="35"/>
  <c r="A111" i="35" s="1"/>
  <c r="A112" i="35" s="1"/>
  <c r="A102" i="35" s="1"/>
  <c r="A113" i="35" s="1"/>
  <c r="A103" i="35" s="1"/>
  <c r="A104" i="35" s="1"/>
  <c r="A114" i="35" s="1"/>
  <c r="A107" i="35" s="1"/>
  <c r="W90" i="35"/>
  <c r="T90" i="35"/>
  <c r="P90" i="35"/>
  <c r="O90" i="35"/>
  <c r="A90" i="35"/>
  <c r="A97" i="35" s="1"/>
  <c r="A98" i="35" s="1"/>
  <c r="W86" i="35"/>
  <c r="O86" i="35"/>
  <c r="A86" i="35"/>
  <c r="A87" i="35" s="1"/>
  <c r="A88" i="35" s="1"/>
  <c r="A89" i="35" s="1"/>
  <c r="X85" i="35"/>
  <c r="W85" i="35"/>
  <c r="U85" i="35"/>
  <c r="T85" i="35"/>
  <c r="R85" i="35"/>
  <c r="Q85" i="35"/>
  <c r="P85" i="35"/>
  <c r="O85" i="35"/>
  <c r="X84" i="35"/>
  <c r="W84" i="35"/>
  <c r="U84" i="35"/>
  <c r="T84" i="35"/>
  <c r="R84" i="35"/>
  <c r="Q84" i="35"/>
  <c r="P84" i="35"/>
  <c r="O84" i="35"/>
  <c r="W78" i="35"/>
  <c r="O78" i="35"/>
  <c r="A74" i="35"/>
  <c r="A76" i="35" s="1"/>
  <c r="A77" i="35" s="1"/>
  <c r="A78" i="35" s="1"/>
  <c r="A82" i="35" s="1"/>
  <c r="A80" i="35" s="1"/>
  <c r="A79" i="35" s="1"/>
  <c r="A83" i="35" s="1"/>
  <c r="A84" i="35" s="1"/>
  <c r="A47" i="35"/>
  <c r="A65" i="35" s="1"/>
  <c r="A66" i="35" s="1"/>
  <c r="A46" i="35" s="1"/>
  <c r="A73" i="35" s="1"/>
  <c r="A75" i="35" s="1"/>
  <c r="A60" i="35"/>
  <c r="A59" i="35" s="1"/>
  <c r="A49" i="35"/>
  <c r="A50" i="35" s="1"/>
  <c r="A51" i="35" s="1"/>
  <c r="A52" i="35" s="1"/>
  <c r="A53" i="35" s="1"/>
  <c r="A54" i="35" s="1"/>
  <c r="A55" i="35" s="1"/>
  <c r="A56" i="35" s="1"/>
  <c r="A57" i="35" s="1"/>
  <c r="A85" i="35" s="1"/>
  <c r="A43" i="35"/>
  <c r="A44" i="35" s="1"/>
  <c r="A45" i="35" s="1"/>
  <c r="A67" i="35" s="1"/>
  <c r="A68" i="35" s="1"/>
  <c r="A69" i="35" s="1"/>
  <c r="A70" i="35" s="1"/>
  <c r="A71" i="35" s="1"/>
  <c r="A72" i="35" s="1"/>
  <c r="A48" i="35" s="1"/>
  <c r="A58" i="35" s="1"/>
  <c r="A37" i="35"/>
  <c r="A40" i="35" s="1"/>
  <c r="W36" i="35"/>
  <c r="A35" i="35"/>
  <c r="A36" i="35" s="1"/>
  <c r="W32" i="35"/>
  <c r="A25" i="35"/>
  <c r="A26" i="35" s="1"/>
  <c r="A28" i="35" s="1"/>
  <c r="A32" i="35" s="1"/>
  <c r="A33" i="35" s="1"/>
  <c r="A34" i="35" s="1"/>
  <c r="W22" i="35"/>
  <c r="O22" i="35"/>
  <c r="A11" i="35"/>
  <c r="A12" i="35" s="1"/>
  <c r="A13" i="35" s="1"/>
  <c r="A14" i="35" s="1"/>
  <c r="A20" i="35" s="1"/>
  <c r="A21" i="35" s="1"/>
  <c r="A30" i="35" s="1"/>
  <c r="A31" i="35" s="1"/>
  <c r="A22" i="35" s="1"/>
  <c r="A23" i="35" s="1"/>
  <c r="AH115" i="34"/>
  <c r="AH114" i="34"/>
  <c r="AH113" i="34"/>
  <c r="AH112" i="34"/>
  <c r="AH111" i="34"/>
  <c r="AH110" i="34"/>
  <c r="AH109" i="34"/>
  <c r="AH108" i="34"/>
  <c r="AH107" i="34"/>
  <c r="AH106" i="34"/>
  <c r="AH105" i="34"/>
  <c r="AH104" i="34"/>
  <c r="AH103" i="34"/>
  <c r="AH102" i="34"/>
  <c r="AH92" i="34"/>
  <c r="AH93" i="34"/>
  <c r="AH94" i="34"/>
  <c r="AH95" i="34"/>
  <c r="AH96" i="34"/>
  <c r="AH97" i="34"/>
  <c r="AH98" i="34"/>
  <c r="AH91" i="34"/>
  <c r="AH34" i="34"/>
  <c r="AH35" i="34"/>
  <c r="AH33" i="34"/>
  <c r="V115" i="34"/>
  <c r="X115" i="34" s="1"/>
  <c r="V114" i="34"/>
  <c r="X114" i="34" s="1"/>
  <c r="V113" i="34"/>
  <c r="X113" i="34" s="1"/>
  <c r="V112" i="34"/>
  <c r="X112" i="34" s="1"/>
  <c r="V110" i="34"/>
  <c r="X110" i="34" s="1"/>
  <c r="V109" i="34"/>
  <c r="X109" i="34" s="1"/>
  <c r="V106" i="34"/>
  <c r="X106" i="34" s="1"/>
  <c r="V105" i="34"/>
  <c r="X105" i="34" s="1"/>
  <c r="V104" i="34"/>
  <c r="X104" i="34" s="1"/>
  <c r="V103" i="34"/>
  <c r="X103" i="34" s="1"/>
  <c r="V102" i="34"/>
  <c r="X102" i="34" s="1"/>
  <c r="V98" i="34"/>
  <c r="X98" i="34" s="1"/>
  <c r="V97" i="34"/>
  <c r="X97" i="34" s="1"/>
  <c r="V96" i="34"/>
  <c r="X96" i="34" s="1"/>
  <c r="V95" i="34"/>
  <c r="X95" i="34" s="1"/>
  <c r="V94" i="34"/>
  <c r="X94" i="34" s="1"/>
  <c r="V93" i="34"/>
  <c r="X93" i="34" s="1"/>
  <c r="V92" i="34"/>
  <c r="X92" i="34" s="1"/>
  <c r="V91" i="34"/>
  <c r="X91" i="34" s="1"/>
  <c r="V89" i="34"/>
  <c r="V88" i="34"/>
  <c r="V87" i="34"/>
  <c r="X87" i="34" s="1"/>
  <c r="X86" i="34" s="1"/>
  <c r="V83" i="34"/>
  <c r="X83" i="34" s="1"/>
  <c r="V80" i="34"/>
  <c r="X80" i="34" s="1"/>
  <c r="V79" i="34"/>
  <c r="X79" i="34" s="1"/>
  <c r="V75" i="34"/>
  <c r="X75" i="34" s="1"/>
  <c r="V74" i="34"/>
  <c r="X74" i="34" s="1"/>
  <c r="V47" i="34"/>
  <c r="X47" i="34" s="1"/>
  <c r="V72" i="34"/>
  <c r="V71" i="34"/>
  <c r="V70" i="34"/>
  <c r="V69" i="34"/>
  <c r="V68" i="34"/>
  <c r="V67" i="34"/>
  <c r="X67" i="34" s="1"/>
  <c r="V66" i="34"/>
  <c r="X66" i="34" s="1"/>
  <c r="V65" i="34"/>
  <c r="X65" i="34" s="1"/>
  <c r="V64" i="34"/>
  <c r="X64" i="34" s="1"/>
  <c r="V57" i="34"/>
  <c r="V56" i="34"/>
  <c r="V55" i="34"/>
  <c r="V54" i="34"/>
  <c r="V53" i="34"/>
  <c r="V52" i="34"/>
  <c r="V51" i="34"/>
  <c r="V50" i="34"/>
  <c r="V49" i="34"/>
  <c r="X49" i="34" s="1"/>
  <c r="V48" i="34"/>
  <c r="X48" i="34" s="1"/>
  <c r="V46" i="34"/>
  <c r="X46" i="34" s="1"/>
  <c r="V42" i="34"/>
  <c r="X42" i="34" s="1"/>
  <c r="V41" i="34"/>
  <c r="X41" i="34" s="1"/>
  <c r="V39" i="34"/>
  <c r="X39" i="34" s="1"/>
  <c r="V38" i="34"/>
  <c r="X38" i="34" s="1"/>
  <c r="V37" i="34"/>
  <c r="V35" i="34"/>
  <c r="X35" i="34" s="1"/>
  <c r="V34" i="34"/>
  <c r="X34" i="34" s="1"/>
  <c r="V33" i="34"/>
  <c r="X33" i="34" s="1"/>
  <c r="V24" i="34"/>
  <c r="X24" i="34" s="1"/>
  <c r="V23" i="34"/>
  <c r="X23" i="34" s="1"/>
  <c r="V30" i="34"/>
  <c r="X30" i="34" s="1"/>
  <c r="V21" i="34"/>
  <c r="X21" i="34" s="1"/>
  <c r="V19" i="34"/>
  <c r="X19" i="34" s="1"/>
  <c r="V18" i="34"/>
  <c r="X18" i="34" s="1"/>
  <c r="V17" i="34"/>
  <c r="X17" i="34" s="1"/>
  <c r="V16" i="34"/>
  <c r="X16" i="34" s="1"/>
  <c r="V15" i="34"/>
  <c r="X15" i="34" s="1"/>
  <c r="V14" i="34"/>
  <c r="X14" i="34" s="1"/>
  <c r="S115" i="34"/>
  <c r="U115" i="34" s="1"/>
  <c r="S114" i="34"/>
  <c r="U114" i="34" s="1"/>
  <c r="S113" i="34"/>
  <c r="U113" i="34" s="1"/>
  <c r="S112" i="34"/>
  <c r="U112" i="34" s="1"/>
  <c r="S111" i="34"/>
  <c r="U111" i="34" s="1"/>
  <c r="S110" i="34"/>
  <c r="U110" i="34" s="1"/>
  <c r="S109" i="34"/>
  <c r="U109" i="34" s="1"/>
  <c r="S108" i="34"/>
  <c r="U108" i="34" s="1"/>
  <c r="S106" i="34"/>
  <c r="U106" i="34" s="1"/>
  <c r="S105" i="34"/>
  <c r="U105" i="34" s="1"/>
  <c r="S104" i="34"/>
  <c r="U104" i="34" s="1"/>
  <c r="S103" i="34"/>
  <c r="U103" i="34" s="1"/>
  <c r="S102" i="34"/>
  <c r="U102" i="34" s="1"/>
  <c r="S98" i="34"/>
  <c r="U98" i="34" s="1"/>
  <c r="S97" i="34"/>
  <c r="U97" i="34" s="1"/>
  <c r="S96" i="34"/>
  <c r="U96" i="34" s="1"/>
  <c r="S95" i="34"/>
  <c r="U95" i="34" s="1"/>
  <c r="S94" i="34"/>
  <c r="U94" i="34" s="1"/>
  <c r="S93" i="34"/>
  <c r="U93" i="34" s="1"/>
  <c r="S92" i="34"/>
  <c r="U92" i="34" s="1"/>
  <c r="S91" i="34"/>
  <c r="U91" i="34" s="1"/>
  <c r="S89" i="34"/>
  <c r="S88" i="34"/>
  <c r="S87" i="34"/>
  <c r="T87" i="34" s="1"/>
  <c r="T86" i="34" s="1"/>
  <c r="S83" i="34"/>
  <c r="T83" i="34" s="1"/>
  <c r="S80" i="34"/>
  <c r="T80" i="34" s="1"/>
  <c r="S79" i="34"/>
  <c r="T79" i="34" s="1"/>
  <c r="U79" i="34" s="1"/>
  <c r="S75" i="34"/>
  <c r="T75" i="34" s="1"/>
  <c r="S74" i="34"/>
  <c r="T74" i="34" s="1"/>
  <c r="S47" i="34"/>
  <c r="T47" i="34" s="1"/>
  <c r="U47" i="34" s="1"/>
  <c r="S72" i="34"/>
  <c r="S71" i="34"/>
  <c r="S70" i="34"/>
  <c r="S69" i="34"/>
  <c r="S68" i="34"/>
  <c r="S67" i="34"/>
  <c r="T67" i="34" s="1"/>
  <c r="U67" i="34" s="1"/>
  <c r="S66" i="34"/>
  <c r="T66" i="34" s="1"/>
  <c r="S65" i="34"/>
  <c r="T65" i="34" s="1"/>
  <c r="U65" i="34" s="1"/>
  <c r="S64" i="34"/>
  <c r="T64" i="34" s="1"/>
  <c r="U64" i="34" s="1"/>
  <c r="S57" i="34"/>
  <c r="S56" i="34"/>
  <c r="S55" i="34"/>
  <c r="S54" i="34"/>
  <c r="S53" i="34"/>
  <c r="S52" i="34"/>
  <c r="S51" i="34"/>
  <c r="S50" i="34"/>
  <c r="S49" i="34"/>
  <c r="T49" i="34" s="1"/>
  <c r="U49" i="34" s="1"/>
  <c r="S48" i="34"/>
  <c r="T48" i="34" s="1"/>
  <c r="U48" i="34" s="1"/>
  <c r="S46" i="34"/>
  <c r="T46" i="34" s="1"/>
  <c r="U46" i="34" s="1"/>
  <c r="S42" i="34"/>
  <c r="S41" i="34"/>
  <c r="T41" i="34" s="1"/>
  <c r="U41" i="34" s="1"/>
  <c r="S39" i="34"/>
  <c r="T39" i="34" s="1"/>
  <c r="S38" i="34"/>
  <c r="T38" i="34" s="1"/>
  <c r="U38" i="34" s="1"/>
  <c r="S37" i="34"/>
  <c r="T37" i="34" s="1"/>
  <c r="S35" i="34"/>
  <c r="T35" i="34" s="1"/>
  <c r="S34" i="34"/>
  <c r="S33" i="34"/>
  <c r="T33" i="34" s="1"/>
  <c r="U33" i="34" s="1"/>
  <c r="S28" i="34"/>
  <c r="S27" i="34"/>
  <c r="T27" i="34" s="1"/>
  <c r="S24" i="34"/>
  <c r="U24" i="34" s="1"/>
  <c r="S23" i="34"/>
  <c r="T23" i="34" s="1"/>
  <c r="S30" i="34"/>
  <c r="T30" i="34" s="1"/>
  <c r="U30" i="34" s="1"/>
  <c r="S21" i="34"/>
  <c r="S19" i="34"/>
  <c r="S18" i="34"/>
  <c r="S17" i="34"/>
  <c r="T17" i="34" s="1"/>
  <c r="U17" i="34" s="1"/>
  <c r="S16" i="34"/>
  <c r="T16" i="34" s="1"/>
  <c r="S29" i="34"/>
  <c r="T29" i="34" s="1"/>
  <c r="S15" i="34"/>
  <c r="T15" i="34" s="1"/>
  <c r="U15" i="34" s="1"/>
  <c r="N115" i="34"/>
  <c r="R115" i="34" s="1"/>
  <c r="N114" i="34"/>
  <c r="R114" i="34" s="1"/>
  <c r="N113" i="34"/>
  <c r="R113" i="34" s="1"/>
  <c r="N112" i="34"/>
  <c r="R112" i="34" s="1"/>
  <c r="N111" i="34"/>
  <c r="R111" i="34" s="1"/>
  <c r="N110" i="34"/>
  <c r="R110" i="34" s="1"/>
  <c r="N109" i="34"/>
  <c r="R109" i="34" s="1"/>
  <c r="N108" i="34"/>
  <c r="R108" i="34" s="1"/>
  <c r="N106" i="34"/>
  <c r="R106" i="34" s="1"/>
  <c r="N105" i="34"/>
  <c r="R105" i="34" s="1"/>
  <c r="N104" i="34"/>
  <c r="R104" i="34" s="1"/>
  <c r="N103" i="34"/>
  <c r="R103" i="34" s="1"/>
  <c r="N102" i="34"/>
  <c r="R102" i="34" s="1"/>
  <c r="N98" i="34"/>
  <c r="Q98" i="34" s="1"/>
  <c r="R98" i="34" s="1"/>
  <c r="N97" i="34"/>
  <c r="Q97" i="34" s="1"/>
  <c r="R97" i="34" s="1"/>
  <c r="N96" i="34"/>
  <c r="Q96" i="34" s="1"/>
  <c r="R96" i="34" s="1"/>
  <c r="N95" i="34"/>
  <c r="Q95" i="34" s="1"/>
  <c r="R95" i="34" s="1"/>
  <c r="N94" i="34"/>
  <c r="Q94" i="34" s="1"/>
  <c r="N93" i="34"/>
  <c r="Q93" i="34" s="1"/>
  <c r="N92" i="34"/>
  <c r="Q92" i="34" s="1"/>
  <c r="R92" i="34" s="1"/>
  <c r="N91" i="34"/>
  <c r="Q91" i="34" s="1"/>
  <c r="N89" i="34"/>
  <c r="N88" i="34"/>
  <c r="N87" i="34"/>
  <c r="Q87" i="34" s="1"/>
  <c r="N83" i="34"/>
  <c r="R83" i="34" s="1"/>
  <c r="N80" i="34"/>
  <c r="R80" i="34" s="1"/>
  <c r="N79" i="34"/>
  <c r="R79" i="34" s="1"/>
  <c r="N75" i="34"/>
  <c r="Q75" i="34" s="1"/>
  <c r="N74" i="34"/>
  <c r="Q74" i="34" s="1"/>
  <c r="N47" i="34"/>
  <c r="P47" i="34" s="1"/>
  <c r="N72" i="34"/>
  <c r="N71" i="34"/>
  <c r="N70" i="34"/>
  <c r="N69" i="34"/>
  <c r="N68" i="34"/>
  <c r="N67" i="34"/>
  <c r="Q67" i="34" s="1"/>
  <c r="N66" i="34"/>
  <c r="O66" i="34" s="1"/>
  <c r="N65" i="34"/>
  <c r="O65" i="34" s="1"/>
  <c r="N64" i="34"/>
  <c r="N57" i="34"/>
  <c r="N56" i="34"/>
  <c r="N55" i="34"/>
  <c r="N54" i="34"/>
  <c r="N53" i="34"/>
  <c r="N52" i="34"/>
  <c r="N51" i="34"/>
  <c r="N50" i="34"/>
  <c r="N49" i="34"/>
  <c r="Q49" i="34" s="1"/>
  <c r="N48" i="34"/>
  <c r="O48" i="34" s="1"/>
  <c r="N46" i="34"/>
  <c r="Q46" i="34" s="1"/>
  <c r="N42" i="34"/>
  <c r="Q42" i="34" s="1"/>
  <c r="R42" i="34" s="1"/>
  <c r="N41" i="34"/>
  <c r="N39" i="34"/>
  <c r="P39" i="34" s="1"/>
  <c r="N38" i="34"/>
  <c r="Q38" i="34" s="1"/>
  <c r="N37" i="34"/>
  <c r="O37" i="34" s="1"/>
  <c r="N35" i="34"/>
  <c r="R35" i="34" s="1"/>
  <c r="N34" i="34"/>
  <c r="Q34" i="34" s="1"/>
  <c r="N33" i="34"/>
  <c r="N28" i="34"/>
  <c r="P28" i="34" s="1"/>
  <c r="N27" i="34"/>
  <c r="P27" i="34" s="1"/>
  <c r="N24" i="34"/>
  <c r="N23" i="34"/>
  <c r="Q23" i="34" s="1"/>
  <c r="N31" i="34"/>
  <c r="O31" i="34" s="1"/>
  <c r="P31" i="34" s="1"/>
  <c r="N30" i="34"/>
  <c r="O30" i="34" s="1"/>
  <c r="N21" i="34"/>
  <c r="Q21" i="34" s="1"/>
  <c r="N19" i="34"/>
  <c r="O19" i="34" s="1"/>
  <c r="N18" i="34"/>
  <c r="O18" i="34" s="1"/>
  <c r="N17" i="34"/>
  <c r="O17" i="34" s="1"/>
  <c r="P17" i="34" s="1"/>
  <c r="N16" i="34"/>
  <c r="O16" i="34" s="1"/>
  <c r="P16" i="34" s="1"/>
  <c r="N29" i="34"/>
  <c r="O29" i="34" s="1"/>
  <c r="N15" i="34"/>
  <c r="A116" i="34"/>
  <c r="A117" i="34" s="1"/>
  <c r="A118" i="34" s="1"/>
  <c r="A119" i="34" s="1"/>
  <c r="A115" i="34"/>
  <c r="A109" i="34"/>
  <c r="A110" i="34" s="1"/>
  <c r="W101" i="34"/>
  <c r="T101" i="34"/>
  <c r="Q101" i="34"/>
  <c r="P101" i="34"/>
  <c r="O101" i="34"/>
  <c r="A101" i="34"/>
  <c r="A111" i="34" s="1"/>
  <c r="A112" i="34" s="1"/>
  <c r="A102" i="34" s="1"/>
  <c r="A113" i="34" s="1"/>
  <c r="A103" i="34" s="1"/>
  <c r="A104" i="34" s="1"/>
  <c r="A114" i="34" s="1"/>
  <c r="A107" i="34" s="1"/>
  <c r="W90" i="34"/>
  <c r="T90" i="34"/>
  <c r="P90" i="34"/>
  <c r="O90" i="34"/>
  <c r="A90" i="34"/>
  <c r="A97" i="34" s="1"/>
  <c r="A98" i="34" s="1"/>
  <c r="W86" i="34"/>
  <c r="O86" i="34"/>
  <c r="A86" i="34"/>
  <c r="A87" i="34" s="1"/>
  <c r="A88" i="34" s="1"/>
  <c r="A89" i="34" s="1"/>
  <c r="X85" i="34"/>
  <c r="W85" i="34"/>
  <c r="U85" i="34"/>
  <c r="T85" i="34"/>
  <c r="R85" i="34"/>
  <c r="Q85" i="34"/>
  <c r="P85" i="34"/>
  <c r="O85" i="34"/>
  <c r="X84" i="34"/>
  <c r="W84" i="34"/>
  <c r="U84" i="34"/>
  <c r="T84" i="34"/>
  <c r="R84" i="34"/>
  <c r="Q84" i="34"/>
  <c r="P84" i="34"/>
  <c r="O84" i="34"/>
  <c r="W78" i="34"/>
  <c r="O78" i="34"/>
  <c r="A74" i="34"/>
  <c r="A76" i="34" s="1"/>
  <c r="A77" i="34" s="1"/>
  <c r="A78" i="34" s="1"/>
  <c r="A82" i="34" s="1"/>
  <c r="A80" i="34" s="1"/>
  <c r="A79" i="34" s="1"/>
  <c r="A83" i="34" s="1"/>
  <c r="A84" i="34" s="1"/>
  <c r="A47" i="34"/>
  <c r="A65" i="34" s="1"/>
  <c r="A66" i="34" s="1"/>
  <c r="A46" i="34" s="1"/>
  <c r="A73" i="34" s="1"/>
  <c r="A75" i="34" s="1"/>
  <c r="A60" i="34"/>
  <c r="A59" i="34" s="1"/>
  <c r="A49" i="34"/>
  <c r="A50" i="34" s="1"/>
  <c r="A51" i="34" s="1"/>
  <c r="A52" i="34" s="1"/>
  <c r="A53" i="34" s="1"/>
  <c r="A54" i="34" s="1"/>
  <c r="A55" i="34" s="1"/>
  <c r="A56" i="34" s="1"/>
  <c r="A57" i="34" s="1"/>
  <c r="A85" i="34" s="1"/>
  <c r="W45" i="34"/>
  <c r="A43" i="34"/>
  <c r="A44" i="34" s="1"/>
  <c r="A45" i="34" s="1"/>
  <c r="A67" i="34" s="1"/>
  <c r="A68" i="34" s="1"/>
  <c r="A69" i="34" s="1"/>
  <c r="A70" i="34" s="1"/>
  <c r="A71" i="34" s="1"/>
  <c r="A72" i="34" s="1"/>
  <c r="A48" i="34" s="1"/>
  <c r="A58" i="34" s="1"/>
  <c r="X37" i="34"/>
  <c r="A37" i="34"/>
  <c r="A40" i="34" s="1"/>
  <c r="W36" i="34"/>
  <c r="A35" i="34"/>
  <c r="A36" i="34" s="1"/>
  <c r="T34" i="34"/>
  <c r="U34" i="34" s="1"/>
  <c r="W32" i="34"/>
  <c r="T28" i="34"/>
  <c r="U28" i="34" s="1"/>
  <c r="A25" i="34"/>
  <c r="A26" i="34" s="1"/>
  <c r="A28" i="34" s="1"/>
  <c r="A32" i="34" s="1"/>
  <c r="A33" i="34" s="1"/>
  <c r="A34" i="34" s="1"/>
  <c r="W22" i="34"/>
  <c r="O22" i="34"/>
  <c r="T18" i="34"/>
  <c r="A11" i="34"/>
  <c r="A12" i="34" s="1"/>
  <c r="A13" i="34" s="1"/>
  <c r="A14" i="34" s="1"/>
  <c r="A20" i="34" s="1"/>
  <c r="A21" i="34" s="1"/>
  <c r="A30" i="34" s="1"/>
  <c r="A31" i="34" s="1"/>
  <c r="A22" i="34" s="1"/>
  <c r="A23" i="34" s="1"/>
  <c r="J119" i="31"/>
  <c r="J118" i="31"/>
  <c r="J117" i="31"/>
  <c r="J116" i="31"/>
  <c r="J115" i="31"/>
  <c r="J114" i="31"/>
  <c r="J113" i="31"/>
  <c r="J112" i="31"/>
  <c r="J111" i="31"/>
  <c r="J110" i="31"/>
  <c r="J109" i="31"/>
  <c r="J108" i="31"/>
  <c r="J107" i="31"/>
  <c r="J106" i="31"/>
  <c r="J102" i="31"/>
  <c r="J101" i="31"/>
  <c r="J100" i="31"/>
  <c r="J99" i="31"/>
  <c r="J98" i="31"/>
  <c r="J97" i="31"/>
  <c r="J96" i="31"/>
  <c r="J95" i="31"/>
  <c r="I102" i="31"/>
  <c r="I101" i="31"/>
  <c r="J1331" i="31"/>
  <c r="I1331" i="31"/>
  <c r="H1331" i="31"/>
  <c r="G1331" i="31"/>
  <c r="F1331" i="31"/>
  <c r="E1331" i="31"/>
  <c r="D1331" i="31"/>
  <c r="J121" i="31"/>
  <c r="I121" i="31"/>
  <c r="H121" i="31"/>
  <c r="G121" i="31"/>
  <c r="F121" i="31"/>
  <c r="E121" i="31"/>
  <c r="J120" i="31"/>
  <c r="I120" i="31"/>
  <c r="H120" i="31"/>
  <c r="G120" i="31"/>
  <c r="F120" i="31"/>
  <c r="E120" i="31"/>
  <c r="D120" i="31"/>
  <c r="J47" i="31"/>
  <c r="I47" i="31"/>
  <c r="H47" i="31"/>
  <c r="G47" i="31"/>
  <c r="F47" i="31"/>
  <c r="E47" i="31"/>
  <c r="D47" i="31"/>
  <c r="D106" i="31"/>
  <c r="D100" i="31"/>
  <c r="D99" i="31"/>
  <c r="D98" i="31"/>
  <c r="D97" i="31"/>
  <c r="D96" i="31"/>
  <c r="D95" i="31"/>
  <c r="D15" i="31"/>
  <c r="J15" i="31"/>
  <c r="I15" i="31"/>
  <c r="H15" i="31"/>
  <c r="G15" i="31"/>
  <c r="F15" i="31"/>
  <c r="E15" i="31"/>
  <c r="E14" i="31"/>
  <c r="F14" i="31"/>
  <c r="G14" i="31"/>
  <c r="H14" i="31"/>
  <c r="I14" i="31"/>
  <c r="J14" i="31"/>
  <c r="D14" i="31"/>
  <c r="Q15" i="36"/>
  <c r="R15" i="36" s="1"/>
  <c r="O18" i="36"/>
  <c r="P18" i="36" s="1"/>
  <c r="U37" i="36"/>
  <c r="P40" i="36"/>
  <c r="T40" i="36"/>
  <c r="U40" i="36" s="1"/>
  <c r="O58" i="36"/>
  <c r="Q58" i="36" s="1"/>
  <c r="P59" i="36"/>
  <c r="O60" i="36"/>
  <c r="Q60" i="36" s="1"/>
  <c r="O63" i="36"/>
  <c r="Q63" i="36" s="1"/>
  <c r="O64" i="36"/>
  <c r="Q64" i="36" s="1"/>
  <c r="R94" i="36"/>
  <c r="Q98" i="36"/>
  <c r="R98" i="36" s="1"/>
  <c r="O34" i="35"/>
  <c r="Q49" i="35"/>
  <c r="R93" i="35"/>
  <c r="Q97" i="35"/>
  <c r="R97" i="35" s="1"/>
  <c r="O20" i="35"/>
  <c r="P20" i="35" s="1"/>
  <c r="O37" i="35"/>
  <c r="O64" i="34"/>
  <c r="P64" i="34" s="1"/>
  <c r="AY19" i="1"/>
  <c r="AG14" i="35" s="1"/>
  <c r="AZ19" i="1"/>
  <c r="AY20" i="1"/>
  <c r="AG15" i="35" s="1"/>
  <c r="AZ20" i="1"/>
  <c r="AY34" i="1"/>
  <c r="AZ34" i="1"/>
  <c r="AY21" i="1"/>
  <c r="AG16" i="36" s="1"/>
  <c r="AZ21" i="1"/>
  <c r="AY22" i="1"/>
  <c r="AG17" i="36" s="1"/>
  <c r="AZ22" i="1"/>
  <c r="AZ23" i="1"/>
  <c r="AZ24" i="1"/>
  <c r="AY25" i="1"/>
  <c r="AG20" i="36" s="1"/>
  <c r="AZ25" i="1"/>
  <c r="AY26" i="1"/>
  <c r="AG21" i="36" s="1"/>
  <c r="AZ26" i="1"/>
  <c r="AY35" i="1"/>
  <c r="AZ35" i="1"/>
  <c r="AY36" i="1"/>
  <c r="AY30" i="1" s="1"/>
  <c r="AZ36" i="1"/>
  <c r="AZ28" i="1"/>
  <c r="AY29" i="1"/>
  <c r="AG24" i="36" s="1"/>
  <c r="AZ29" i="1"/>
  <c r="AY31" i="1"/>
  <c r="AZ31" i="1"/>
  <c r="AY32" i="1"/>
  <c r="AY33" i="1"/>
  <c r="AY38" i="1"/>
  <c r="AG33" i="36" s="1"/>
  <c r="AZ38" i="1"/>
  <c r="AZ39" i="1"/>
  <c r="AY40" i="1"/>
  <c r="AZ40" i="1"/>
  <c r="AZ37" i="1" s="1"/>
  <c r="AY42" i="1"/>
  <c r="AZ42" i="1"/>
  <c r="AY43" i="1"/>
  <c r="AZ43" i="1"/>
  <c r="AY44" i="1"/>
  <c r="AZ44" i="1"/>
  <c r="AY45" i="1"/>
  <c r="AZ45" i="1"/>
  <c r="AY46" i="1"/>
  <c r="AZ46" i="1"/>
  <c r="AY47" i="1"/>
  <c r="AZ47" i="1"/>
  <c r="AY51" i="1"/>
  <c r="AZ51" i="1"/>
  <c r="AY53" i="1"/>
  <c r="AZ53" i="1"/>
  <c r="AY55" i="1"/>
  <c r="AZ55" i="1"/>
  <c r="AY56" i="1"/>
  <c r="AZ56" i="1"/>
  <c r="AY57" i="1"/>
  <c r="AZ57" i="1"/>
  <c r="AY58" i="1"/>
  <c r="AZ58" i="1"/>
  <c r="AY59" i="1"/>
  <c r="AZ59" i="1"/>
  <c r="AY60" i="1"/>
  <c r="AZ60" i="1"/>
  <c r="AY61" i="1"/>
  <c r="AZ61" i="1"/>
  <c r="AY62" i="1"/>
  <c r="AZ62" i="1"/>
  <c r="AZ63" i="1"/>
  <c r="AY64" i="1"/>
  <c r="AG59" i="36" s="1"/>
  <c r="AZ64" i="1"/>
  <c r="AY65" i="1"/>
  <c r="AZ65" i="1"/>
  <c r="AY66" i="1"/>
  <c r="AG61" i="36" s="1"/>
  <c r="AZ66" i="1"/>
  <c r="AY67" i="1"/>
  <c r="AG62" i="36" s="1"/>
  <c r="AZ67" i="1"/>
  <c r="AZ68" i="1"/>
  <c r="AY69" i="1"/>
  <c r="AZ69" i="1"/>
  <c r="AY70" i="1"/>
  <c r="AG65" i="36" s="1"/>
  <c r="AZ70" i="1"/>
  <c r="AY71" i="1"/>
  <c r="AZ71" i="1"/>
  <c r="AY73" i="1"/>
  <c r="AZ73" i="1"/>
  <c r="AY74" i="1"/>
  <c r="AZ74" i="1"/>
  <c r="AY75" i="1"/>
  <c r="AZ75" i="1"/>
  <c r="AY76" i="1"/>
  <c r="AZ76" i="1"/>
  <c r="AY77" i="1"/>
  <c r="AZ77" i="1"/>
  <c r="AY52" i="1"/>
  <c r="AZ52" i="1"/>
  <c r="AG74" i="35"/>
  <c r="AZ79" i="1"/>
  <c r="AY80" i="1"/>
  <c r="AZ80" i="1"/>
  <c r="AY81" i="1"/>
  <c r="AG76" i="35" s="1"/>
  <c r="AZ81" i="1"/>
  <c r="AY82" i="1"/>
  <c r="AZ82" i="1"/>
  <c r="AY84" i="1"/>
  <c r="AY85" i="1"/>
  <c r="AY86" i="1"/>
  <c r="AY87" i="1"/>
  <c r="AY88" i="1"/>
  <c r="AZ88" i="1"/>
  <c r="AZ92" i="1"/>
  <c r="AY93" i="1"/>
  <c r="AZ93" i="1"/>
  <c r="AY94" i="1"/>
  <c r="AZ94" i="1"/>
  <c r="AY96" i="1"/>
  <c r="AY95" i="1" s="1"/>
  <c r="AZ96" i="1"/>
  <c r="AY97" i="1"/>
  <c r="AZ97" i="1"/>
  <c r="AY98" i="1"/>
  <c r="AZ98" i="1"/>
  <c r="AY99" i="1"/>
  <c r="AZ99" i="1"/>
  <c r="AY100" i="1"/>
  <c r="AZ100" i="1"/>
  <c r="AY101" i="1"/>
  <c r="AZ101" i="1"/>
  <c r="AY102" i="1"/>
  <c r="AZ102" i="1"/>
  <c r="AY103" i="1"/>
  <c r="AZ103" i="1"/>
  <c r="AY107" i="1"/>
  <c r="AZ107" i="1"/>
  <c r="AY108" i="1"/>
  <c r="AZ108" i="1"/>
  <c r="AY109" i="1"/>
  <c r="AZ109" i="1"/>
  <c r="AY110" i="1"/>
  <c r="AZ110" i="1"/>
  <c r="AY111" i="1"/>
  <c r="AZ111" i="1"/>
  <c r="AY112" i="1"/>
  <c r="AZ112" i="1"/>
  <c r="AY113" i="1"/>
  <c r="AZ113" i="1"/>
  <c r="AY114" i="1"/>
  <c r="AZ114" i="1"/>
  <c r="AY115" i="1"/>
  <c r="AZ115" i="1"/>
  <c r="AY116" i="1"/>
  <c r="AZ116" i="1"/>
  <c r="AY117" i="1"/>
  <c r="AZ117" i="1"/>
  <c r="AY118" i="1"/>
  <c r="AZ118" i="1"/>
  <c r="AY119" i="1"/>
  <c r="AZ119" i="1"/>
  <c r="AY120" i="1"/>
  <c r="AZ120" i="1"/>
  <c r="A15" i="9"/>
  <c r="B15" i="9"/>
  <c r="G15" i="9"/>
  <c r="I15" i="9"/>
  <c r="J15" i="9"/>
  <c r="Q15" i="9"/>
  <c r="S15" i="9"/>
  <c r="A23" i="9"/>
  <c r="B23" i="9"/>
  <c r="Q23" i="9"/>
  <c r="A26" i="9"/>
  <c r="B26" i="9"/>
  <c r="E27" i="9"/>
  <c r="A33" i="9"/>
  <c r="B33" i="9"/>
  <c r="G35" i="9"/>
  <c r="G36" i="9"/>
  <c r="A37" i="9"/>
  <c r="B37" i="9"/>
  <c r="A44" i="9"/>
  <c r="A45" i="9"/>
  <c r="A46" i="9"/>
  <c r="B69" i="9"/>
  <c r="B70" i="9"/>
  <c r="B71" i="9"/>
  <c r="B72" i="9"/>
  <c r="B73" i="9"/>
  <c r="B52" i="9"/>
  <c r="B53" i="9"/>
  <c r="B54" i="9"/>
  <c r="B55" i="9"/>
  <c r="B56" i="9"/>
  <c r="B57" i="9"/>
  <c r="B58" i="9"/>
  <c r="A74" i="9"/>
  <c r="S74" i="9"/>
  <c r="A79" i="9"/>
  <c r="A85" i="9"/>
  <c r="Q85" i="9"/>
  <c r="S85" i="9"/>
  <c r="A86" i="9"/>
  <c r="Q86" i="9"/>
  <c r="S86" i="9"/>
  <c r="A87" i="9"/>
  <c r="B89" i="9"/>
  <c r="B90" i="9"/>
  <c r="A91" i="9"/>
  <c r="A117" i="9"/>
  <c r="B118" i="9"/>
  <c r="B119" i="9"/>
  <c r="B120" i="9"/>
  <c r="A15" i="31"/>
  <c r="A16" i="31" s="1"/>
  <c r="A17" i="31" s="1"/>
  <c r="J19" i="1"/>
  <c r="J18" i="1" s="1"/>
  <c r="V14" i="36"/>
  <c r="AF20" i="1"/>
  <c r="AF18" i="1" s="1"/>
  <c r="J34" i="1"/>
  <c r="V29" i="34"/>
  <c r="X29" i="34" s="1"/>
  <c r="J21" i="1"/>
  <c r="AH21" i="1"/>
  <c r="AL21" i="1" s="1"/>
  <c r="J22" i="1"/>
  <c r="AH22" i="1"/>
  <c r="J23" i="1"/>
  <c r="X23" i="1"/>
  <c r="AB23" i="1" s="1"/>
  <c r="AH23" i="1"/>
  <c r="AL23" i="1" s="1"/>
  <c r="AQ23" i="1"/>
  <c r="J24" i="1"/>
  <c r="AH24" i="1"/>
  <c r="AL24" i="1" s="1"/>
  <c r="AQ24" i="1"/>
  <c r="J25" i="1"/>
  <c r="J26" i="1"/>
  <c r="X26" i="1"/>
  <c r="AB26" i="1" s="1"/>
  <c r="AJ26" i="1"/>
  <c r="V21" i="35" s="1"/>
  <c r="X21" i="35" s="1"/>
  <c r="J35" i="1"/>
  <c r="AK35" i="1"/>
  <c r="J36" i="1"/>
  <c r="AK36" i="1"/>
  <c r="R27" i="1"/>
  <c r="V22" i="34"/>
  <c r="V22" i="36"/>
  <c r="J28" i="1"/>
  <c r="J27" i="1" s="1"/>
  <c r="X28" i="1"/>
  <c r="AB28" i="1" s="1"/>
  <c r="AG28" i="1"/>
  <c r="AL28" i="1" s="1"/>
  <c r="J29" i="1"/>
  <c r="X29" i="1"/>
  <c r="AB29" i="1" s="1"/>
  <c r="N25" i="35"/>
  <c r="J31" i="1"/>
  <c r="AL31" i="1"/>
  <c r="J32" i="1"/>
  <c r="X32" i="1"/>
  <c r="AB32" i="1" s="1"/>
  <c r="V27" i="34"/>
  <c r="X27" i="34" s="1"/>
  <c r="J33" i="1"/>
  <c r="X33" i="1"/>
  <c r="AB33" i="1" s="1"/>
  <c r="V28" i="34"/>
  <c r="X28" i="34" s="1"/>
  <c r="AZ33" i="1"/>
  <c r="H37" i="1"/>
  <c r="Q33" i="9" s="1"/>
  <c r="I37" i="1"/>
  <c r="R37" i="1"/>
  <c r="N32" i="34"/>
  <c r="V32" i="35"/>
  <c r="J38" i="1"/>
  <c r="X38" i="1"/>
  <c r="AB38" i="1" s="1"/>
  <c r="J39" i="1"/>
  <c r="X39" i="1"/>
  <c r="AB39" i="1" s="1"/>
  <c r="AG39" i="1"/>
  <c r="AL39" i="1" s="1"/>
  <c r="J40" i="1"/>
  <c r="X40" i="1"/>
  <c r="AB40" i="1" s="1"/>
  <c r="AF40" i="1"/>
  <c r="AL40" i="1" s="1"/>
  <c r="H41" i="1"/>
  <c r="Q37" i="9" s="1"/>
  <c r="I41" i="1"/>
  <c r="S36" i="34"/>
  <c r="J42" i="1"/>
  <c r="X42" i="1"/>
  <c r="AB42" i="1" s="1"/>
  <c r="AF42" i="1"/>
  <c r="J43" i="1"/>
  <c r="X43" i="1"/>
  <c r="AB43" i="1" s="1"/>
  <c r="AF43" i="1"/>
  <c r="AL43" i="1" s="1"/>
  <c r="X44" i="1"/>
  <c r="AB44" i="1" s="1"/>
  <c r="AF44" i="1"/>
  <c r="G45" i="1"/>
  <c r="J41" i="9" s="1"/>
  <c r="J45" i="1"/>
  <c r="X45" i="1"/>
  <c r="AB45" i="1" s="1"/>
  <c r="J46" i="1"/>
  <c r="X46" i="1"/>
  <c r="AB46" i="1" s="1"/>
  <c r="AK46" i="1"/>
  <c r="V41" i="36" s="1"/>
  <c r="X41" i="36" s="1"/>
  <c r="J47" i="1"/>
  <c r="X47" i="1"/>
  <c r="AB47" i="1" s="1"/>
  <c r="AJ47" i="1"/>
  <c r="H50" i="1"/>
  <c r="Q46" i="9" s="1"/>
  <c r="R50" i="1"/>
  <c r="J51" i="1"/>
  <c r="X51" i="1"/>
  <c r="AB51" i="1" s="1"/>
  <c r="X53" i="1"/>
  <c r="AB53" i="1" s="1"/>
  <c r="AF53" i="1"/>
  <c r="AL53" i="1" s="1"/>
  <c r="X54" i="1"/>
  <c r="AB54" i="1" s="1"/>
  <c r="AF54" i="1"/>
  <c r="AL54" i="1" s="1"/>
  <c r="AN54" i="1"/>
  <c r="AN50" i="1" s="1"/>
  <c r="AL55" i="1"/>
  <c r="AL56" i="1"/>
  <c r="AL57" i="1"/>
  <c r="AL58" i="1"/>
  <c r="AL59" i="1"/>
  <c r="AL60" i="1"/>
  <c r="AL61" i="1"/>
  <c r="AL62" i="1"/>
  <c r="J63" i="1"/>
  <c r="V58" i="34"/>
  <c r="X58" i="34" s="1"/>
  <c r="AL63" i="1"/>
  <c r="J64" i="1"/>
  <c r="AJ64" i="1"/>
  <c r="AJ50" i="1" s="1"/>
  <c r="V45" i="35" s="1"/>
  <c r="J65" i="1"/>
  <c r="V60" i="35"/>
  <c r="X60" i="35" s="1"/>
  <c r="J66" i="1"/>
  <c r="X66" i="1"/>
  <c r="AB66" i="1" s="1"/>
  <c r="V61" i="36"/>
  <c r="X61" i="36" s="1"/>
  <c r="J67" i="1"/>
  <c r="V62" i="36"/>
  <c r="X62" i="36" s="1"/>
  <c r="J68" i="1"/>
  <c r="J69" i="1"/>
  <c r="X69" i="1"/>
  <c r="AB69" i="1" s="1"/>
  <c r="AH69" i="1"/>
  <c r="AL69" i="1" s="1"/>
  <c r="J70" i="1"/>
  <c r="X70" i="1"/>
  <c r="AB70" i="1" s="1"/>
  <c r="AK70" i="1"/>
  <c r="AK50" i="1" s="1"/>
  <c r="V45" i="36" s="1"/>
  <c r="J71" i="1"/>
  <c r="AK71" i="1"/>
  <c r="V47" i="36"/>
  <c r="X47" i="36" s="1"/>
  <c r="AL73" i="1"/>
  <c r="AL74" i="1"/>
  <c r="AL75" i="1"/>
  <c r="AL76" i="1"/>
  <c r="AL77" i="1"/>
  <c r="J52" i="1"/>
  <c r="X52" i="1"/>
  <c r="AB52" i="1" s="1"/>
  <c r="Q74" i="9"/>
  <c r="S73" i="35"/>
  <c r="V73" i="35"/>
  <c r="V73" i="36"/>
  <c r="J79" i="1"/>
  <c r="J78" i="1" s="1"/>
  <c r="AL79" i="1"/>
  <c r="X80" i="1"/>
  <c r="AB80" i="1" s="1"/>
  <c r="AH80" i="1"/>
  <c r="J81" i="1"/>
  <c r="J82" i="1"/>
  <c r="X82" i="1"/>
  <c r="AB82" i="1" s="1"/>
  <c r="I83" i="1"/>
  <c r="R83" i="1"/>
  <c r="J84" i="1"/>
  <c r="AE84" i="1"/>
  <c r="X84" i="1"/>
  <c r="AB84" i="1" s="1"/>
  <c r="AN84" i="1"/>
  <c r="AZ84" i="1" s="1"/>
  <c r="J85" i="1"/>
  <c r="AG85" i="1"/>
  <c r="AP85" i="1"/>
  <c r="AZ85" i="1" s="1"/>
  <c r="J86" i="1"/>
  <c r="X86" i="1"/>
  <c r="AB86" i="1" s="1"/>
  <c r="J87" i="1"/>
  <c r="X87" i="1"/>
  <c r="AB87" i="1" s="1"/>
  <c r="AT87" i="1"/>
  <c r="J88" i="1"/>
  <c r="X88" i="1"/>
  <c r="AB88" i="1" s="1"/>
  <c r="AK88" i="1"/>
  <c r="R89" i="1"/>
  <c r="N84" i="35"/>
  <c r="N84" i="36"/>
  <c r="V84" i="34"/>
  <c r="R90" i="1"/>
  <c r="S85" i="36"/>
  <c r="V85" i="34"/>
  <c r="V85" i="35"/>
  <c r="H91" i="1"/>
  <c r="Q87" i="9" s="1"/>
  <c r="I91" i="1"/>
  <c r="S87" i="9" s="1"/>
  <c r="R91" i="1"/>
  <c r="S86" i="34"/>
  <c r="S86" i="36"/>
  <c r="V86" i="34"/>
  <c r="V86" i="35"/>
  <c r="J92" i="1"/>
  <c r="J91" i="1" s="1"/>
  <c r="AH92" i="1"/>
  <c r="AL92" i="1" s="1"/>
  <c r="AL91" i="1" s="1"/>
  <c r="AY92" i="1"/>
  <c r="AG87" i="34" s="1"/>
  <c r="AL93" i="1"/>
  <c r="AL94" i="1"/>
  <c r="S91" i="9"/>
  <c r="N90" i="35"/>
  <c r="V90" i="34"/>
  <c r="V90" i="35"/>
  <c r="J96" i="1"/>
  <c r="X96" i="1"/>
  <c r="AB96" i="1" s="1"/>
  <c r="AF96" i="1"/>
  <c r="J97" i="1"/>
  <c r="X97" i="1"/>
  <c r="AB97" i="1" s="1"/>
  <c r="AF97" i="1"/>
  <c r="J98" i="1"/>
  <c r="X98" i="1"/>
  <c r="AB98" i="1" s="1"/>
  <c r="AF98" i="1"/>
  <c r="AL98" i="1" s="1"/>
  <c r="J99" i="1"/>
  <c r="X99" i="1"/>
  <c r="AB99" i="1" s="1"/>
  <c r="AF99" i="1"/>
  <c r="J100" i="1"/>
  <c r="X100" i="1"/>
  <c r="AB100" i="1" s="1"/>
  <c r="AF100" i="1"/>
  <c r="X101" i="1"/>
  <c r="AB101" i="1" s="1"/>
  <c r="J102" i="1"/>
  <c r="X102" i="1"/>
  <c r="AB102" i="1" s="1"/>
  <c r="AK102" i="1"/>
  <c r="AK95" i="1" s="1"/>
  <c r="V90" i="36" s="1"/>
  <c r="J103" i="1"/>
  <c r="X103" i="1"/>
  <c r="AB103" i="1" s="1"/>
  <c r="AK103" i="1"/>
  <c r="I106" i="1"/>
  <c r="S102" i="9" s="1"/>
  <c r="N101" i="34"/>
  <c r="S101" i="35"/>
  <c r="J107" i="1"/>
  <c r="X107" i="1"/>
  <c r="AB107" i="1" s="1"/>
  <c r="AF107" i="1"/>
  <c r="J108" i="1"/>
  <c r="X108" i="1"/>
  <c r="AB108" i="1" s="1"/>
  <c r="AF108" i="1"/>
  <c r="J109" i="1"/>
  <c r="X109" i="1"/>
  <c r="AB109" i="1" s="1"/>
  <c r="J110" i="1"/>
  <c r="X110" i="1"/>
  <c r="AB110" i="1" s="1"/>
  <c r="AF110" i="1"/>
  <c r="J112" i="1"/>
  <c r="X112" i="1"/>
  <c r="AB112" i="1" s="1"/>
  <c r="J113" i="1"/>
  <c r="X113" i="1"/>
  <c r="AB113" i="1" s="1"/>
  <c r="J114" i="1"/>
  <c r="X114" i="1"/>
  <c r="AB114" i="1" s="1"/>
  <c r="J115" i="1"/>
  <c r="X115" i="1"/>
  <c r="AB115" i="1" s="1"/>
  <c r="J116" i="1"/>
  <c r="X116" i="1"/>
  <c r="AB116" i="1" s="1"/>
  <c r="AI116" i="1"/>
  <c r="AJ116" i="1"/>
  <c r="J117" i="1"/>
  <c r="X117" i="1"/>
  <c r="AB117" i="1" s="1"/>
  <c r="AK117" i="1"/>
  <c r="AL117" i="1" s="1"/>
  <c r="J118" i="1"/>
  <c r="X118" i="1"/>
  <c r="AB118" i="1" s="1"/>
  <c r="AK118" i="1"/>
  <c r="AL118" i="1" s="1"/>
  <c r="J119" i="1"/>
  <c r="X119" i="1"/>
  <c r="AB119" i="1" s="1"/>
  <c r="AK119" i="1"/>
  <c r="J120" i="1"/>
  <c r="X120" i="1"/>
  <c r="AB120" i="1" s="1"/>
  <c r="AK120" i="1"/>
  <c r="V121" i="1"/>
  <c r="S116" i="35" s="1"/>
  <c r="W121" i="1"/>
  <c r="N116" i="36" s="1"/>
  <c r="V117" i="36"/>
  <c r="W117" i="36" s="1"/>
  <c r="V118" i="36"/>
  <c r="W118" i="36" s="1"/>
  <c r="X118" i="36" s="1"/>
  <c r="Q120" i="9"/>
  <c r="S120" i="9"/>
  <c r="V119" i="35"/>
  <c r="W119" i="35" s="1"/>
  <c r="X119" i="35" s="1"/>
  <c r="V119" i="36"/>
  <c r="W119" i="36" s="1"/>
  <c r="X119" i="36" s="1"/>
  <c r="AX121" i="1"/>
  <c r="AV121" i="1"/>
  <c r="AT121" i="1"/>
  <c r="AK121" i="1"/>
  <c r="V116" i="36" s="1"/>
  <c r="V117" i="35"/>
  <c r="W117" i="35" s="1"/>
  <c r="AW121" i="1"/>
  <c r="AU121" i="1"/>
  <c r="AS121" i="1"/>
  <c r="AL19" i="1"/>
  <c r="N78" i="35"/>
  <c r="S78" i="35"/>
  <c r="S60" i="35"/>
  <c r="T60" i="35" s="1"/>
  <c r="U60" i="35" s="1"/>
  <c r="N60" i="35"/>
  <c r="O60" i="35" s="1"/>
  <c r="N36" i="34"/>
  <c r="S14" i="35"/>
  <c r="T14" i="35" s="1"/>
  <c r="AY27" i="1"/>
  <c r="S90" i="34"/>
  <c r="N90" i="34"/>
  <c r="S84" i="34"/>
  <c r="S32" i="34"/>
  <c r="S25" i="35"/>
  <c r="S14" i="34"/>
  <c r="T14" i="34" s="1"/>
  <c r="N14" i="34"/>
  <c r="Q14" i="34" s="1"/>
  <c r="AJ121" i="1"/>
  <c r="V116" i="35" s="1"/>
  <c r="X92" i="1"/>
  <c r="X91" i="1" s="1"/>
  <c r="AZ78" i="1"/>
  <c r="AL68" i="1"/>
  <c r="AL66" i="1"/>
  <c r="AL47" i="1"/>
  <c r="AL38" i="1"/>
  <c r="AL33" i="1"/>
  <c r="V25" i="34"/>
  <c r="AL29" i="1"/>
  <c r="AZ27" i="1"/>
  <c r="AL36" i="1"/>
  <c r="AL25" i="1"/>
  <c r="S14" i="36"/>
  <c r="T14" i="36" s="1"/>
  <c r="U14" i="36" s="1"/>
  <c r="S58" i="34"/>
  <c r="T58" i="34" s="1"/>
  <c r="U58" i="34" s="1"/>
  <c r="N58" i="34"/>
  <c r="O58" i="34" s="1"/>
  <c r="T59" i="36"/>
  <c r="U59" i="36" s="1"/>
  <c r="U47" i="36"/>
  <c r="T48" i="36"/>
  <c r="U48" i="36" s="1"/>
  <c r="U60" i="36"/>
  <c r="U63" i="36"/>
  <c r="N22" i="36"/>
  <c r="N32" i="36"/>
  <c r="AL80" i="1"/>
  <c r="AG20" i="34"/>
  <c r="AG23" i="34"/>
  <c r="AG61" i="34"/>
  <c r="AG64" i="34"/>
  <c r="AG17" i="35"/>
  <c r="AG21" i="35"/>
  <c r="AG59" i="35"/>
  <c r="AG61" i="35"/>
  <c r="AG64" i="35"/>
  <c r="AG14" i="36"/>
  <c r="AG35" i="36"/>
  <c r="AG47" i="36"/>
  <c r="AG14" i="34"/>
  <c r="AG34" i="34"/>
  <c r="AG67" i="34"/>
  <c r="AG77" i="34"/>
  <c r="Q27" i="34"/>
  <c r="Q83" i="35"/>
  <c r="Q78" i="35" s="1"/>
  <c r="S58" i="35"/>
  <c r="T58" i="35" s="1"/>
  <c r="U58" i="35" s="1"/>
  <c r="N58" i="35"/>
  <c r="O58" i="35" s="1"/>
  <c r="N14" i="36"/>
  <c r="Q14" i="36" s="1"/>
  <c r="N73" i="36"/>
  <c r="N36" i="36"/>
  <c r="N63" i="35"/>
  <c r="O63" i="35" s="1"/>
  <c r="S63" i="35"/>
  <c r="T63" i="35" s="1"/>
  <c r="U63" i="35" s="1"/>
  <c r="S84" i="36"/>
  <c r="AL20" i="1"/>
  <c r="P31" i="36"/>
  <c r="AL114" i="1"/>
  <c r="AL82" i="1"/>
  <c r="AZ91" i="1"/>
  <c r="AY83" i="1"/>
  <c r="AR121" i="1"/>
  <c r="AL112" i="1"/>
  <c r="AG76" i="34"/>
  <c r="AG48" i="34"/>
  <c r="AG77" i="36"/>
  <c r="AG75" i="36"/>
  <c r="AG67" i="36"/>
  <c r="AG34" i="36"/>
  <c r="AG65" i="35"/>
  <c r="AG66" i="34"/>
  <c r="S36" i="35"/>
  <c r="N86" i="34"/>
  <c r="N101" i="35"/>
  <c r="N73" i="35"/>
  <c r="S84" i="35"/>
  <c r="S90" i="35"/>
  <c r="AL64" i="1"/>
  <c r="Q20" i="35"/>
  <c r="AZ89" i="1"/>
  <c r="X20" i="1"/>
  <c r="AB20" i="1" s="1"/>
  <c r="AL81" i="1"/>
  <c r="N85" i="36"/>
  <c r="AL119" i="1"/>
  <c r="AG15" i="36"/>
  <c r="AG62" i="35"/>
  <c r="AG23" i="35"/>
  <c r="AG20" i="35"/>
  <c r="AG16" i="35"/>
  <c r="AG24" i="34"/>
  <c r="AG21" i="34"/>
  <c r="AG16" i="34"/>
  <c r="N22" i="35"/>
  <c r="AL42" i="1"/>
  <c r="AZ90" i="1"/>
  <c r="P63" i="36"/>
  <c r="AZ106" i="1"/>
  <c r="AZ18" i="1"/>
  <c r="P21" i="34"/>
  <c r="R21" i="34" s="1"/>
  <c r="Q24" i="34"/>
  <c r="P24" i="34"/>
  <c r="P22" i="34" s="1"/>
  <c r="Q33" i="34"/>
  <c r="P67" i="34"/>
  <c r="Q47" i="34"/>
  <c r="P75" i="34"/>
  <c r="R75" i="34" s="1"/>
  <c r="P87" i="34"/>
  <c r="P86" i="34" s="1"/>
  <c r="T19" i="34"/>
  <c r="U19" i="34" s="1"/>
  <c r="U35" i="34"/>
  <c r="T42" i="34"/>
  <c r="U42" i="34" s="1"/>
  <c r="O119" i="35"/>
  <c r="T15" i="35"/>
  <c r="U15" i="35" s="1"/>
  <c r="T37" i="35"/>
  <c r="U37" i="35" s="1"/>
  <c r="T49" i="35"/>
  <c r="U49" i="35" s="1"/>
  <c r="T36" i="36"/>
  <c r="AL96" i="1"/>
  <c r="N86" i="36"/>
  <c r="AG74" i="36"/>
  <c r="AG24" i="35"/>
  <c r="AG65" i="34"/>
  <c r="AG59" i="34"/>
  <c r="AG17" i="34"/>
  <c r="AL116" i="1"/>
  <c r="S101" i="34"/>
  <c r="R38" i="34"/>
  <c r="Q39" i="34"/>
  <c r="P66" i="35"/>
  <c r="Q34" i="35"/>
  <c r="Q41" i="35"/>
  <c r="Q74" i="35"/>
  <c r="O16" i="36"/>
  <c r="Q16" i="36" s="1"/>
  <c r="O33" i="36"/>
  <c r="Q33" i="36"/>
  <c r="P74" i="36"/>
  <c r="P87" i="36"/>
  <c r="P86" i="36" s="1"/>
  <c r="T119" i="36"/>
  <c r="U119" i="36" s="1"/>
  <c r="Q18" i="36"/>
  <c r="AD23" i="31"/>
  <c r="W12" i="36"/>
  <c r="W11" i="36" s="1"/>
  <c r="O67" i="35"/>
  <c r="Q67" i="35" s="1"/>
  <c r="X34" i="1"/>
  <c r="AB34" i="1" s="1"/>
  <c r="X24" i="1"/>
  <c r="AB24" i="1" s="1"/>
  <c r="AF243" i="1"/>
  <c r="V120" i="31"/>
  <c r="X120" i="31"/>
  <c r="Z120" i="31"/>
  <c r="AB120" i="31"/>
  <c r="AD241" i="31"/>
  <c r="P64" i="36"/>
  <c r="Q46" i="36"/>
  <c r="R46" i="36" s="1"/>
  <c r="AB92" i="1"/>
  <c r="I18" i="1"/>
  <c r="S79" i="9"/>
  <c r="S37" i="9"/>
  <c r="S33" i="9"/>
  <c r="U29" i="34"/>
  <c r="P34" i="34"/>
  <c r="O34" i="34"/>
  <c r="P24" i="35"/>
  <c r="P23" i="35"/>
  <c r="P87" i="35"/>
  <c r="P86" i="35" s="1"/>
  <c r="P21" i="35"/>
  <c r="U33" i="35"/>
  <c r="Q65" i="35"/>
  <c r="P65" i="35"/>
  <c r="Q26" i="35"/>
  <c r="P15" i="35"/>
  <c r="V112" i="36"/>
  <c r="X112" i="36" s="1"/>
  <c r="V111" i="34"/>
  <c r="X111" i="34" s="1"/>
  <c r="V97" i="36"/>
  <c r="X97" i="36" s="1"/>
  <c r="AL85" i="1"/>
  <c r="AG83" i="1"/>
  <c r="V59" i="35"/>
  <c r="W59" i="35" s="1"/>
  <c r="AF84" i="1"/>
  <c r="AF83" i="1" s="1"/>
  <c r="V42" i="35"/>
  <c r="X42" i="35" s="1"/>
  <c r="AJ41" i="1"/>
  <c r="V36" i="35" s="1"/>
  <c r="AG37" i="1"/>
  <c r="AQ50" i="1"/>
  <c r="AQ49" i="1" s="1"/>
  <c r="AY41" i="1"/>
  <c r="AK30" i="1"/>
  <c r="AK17" i="1" s="1"/>
  <c r="V111" i="35"/>
  <c r="X111" i="35" s="1"/>
  <c r="AJ106" i="1"/>
  <c r="V101" i="35" s="1"/>
  <c r="V83" i="36"/>
  <c r="X83" i="36" s="1"/>
  <c r="AK83" i="1"/>
  <c r="V78" i="36" s="1"/>
  <c r="AP83" i="1"/>
  <c r="AP49" i="1" s="1"/>
  <c r="AN83" i="1"/>
  <c r="AK41" i="1"/>
  <c r="V36" i="36" s="1"/>
  <c r="AF37" i="1"/>
  <c r="AI78" i="1"/>
  <c r="V73" i="34" s="1"/>
  <c r="AQ18" i="1"/>
  <c r="AQ17" i="1" s="1"/>
  <c r="AZ41" i="1"/>
  <c r="AH50" i="1"/>
  <c r="J30" i="1"/>
  <c r="H18" i="1"/>
  <c r="S22" i="36"/>
  <c r="S22" i="35"/>
  <c r="R18" i="1"/>
  <c r="V28" i="36"/>
  <c r="X28" i="36" s="1"/>
  <c r="X14" i="36"/>
  <c r="X14" i="35"/>
  <c r="X22" i="36"/>
  <c r="U74" i="35"/>
  <c r="Q29" i="36"/>
  <c r="O118" i="36"/>
  <c r="R92" i="35"/>
  <c r="R91" i="35"/>
  <c r="V113" i="36"/>
  <c r="X113" i="36" s="1"/>
  <c r="AL107" i="1"/>
  <c r="S101" i="36"/>
  <c r="N101" i="36"/>
  <c r="V98" i="36"/>
  <c r="X98" i="36" s="1"/>
  <c r="AL103" i="1"/>
  <c r="AL100" i="1"/>
  <c r="S85" i="35"/>
  <c r="N85" i="35"/>
  <c r="AG77" i="35"/>
  <c r="AG76" i="36"/>
  <c r="AG75" i="35"/>
  <c r="AG75" i="34"/>
  <c r="AG47" i="35"/>
  <c r="AG47" i="34"/>
  <c r="AG67" i="35"/>
  <c r="AG66" i="36"/>
  <c r="AG66" i="35"/>
  <c r="AG64" i="36"/>
  <c r="AG48" i="35"/>
  <c r="AG48" i="36"/>
  <c r="AG46" i="34"/>
  <c r="AG35" i="35"/>
  <c r="AG35" i="34"/>
  <c r="AG34" i="35"/>
  <c r="O36" i="35"/>
  <c r="P37" i="35"/>
  <c r="R37" i="35" s="1"/>
  <c r="P23" i="34"/>
  <c r="Q28" i="34"/>
  <c r="P49" i="34"/>
  <c r="AY90" i="1"/>
  <c r="P14" i="34"/>
  <c r="AL70" i="1"/>
  <c r="AG63" i="35"/>
  <c r="AZ54" i="1"/>
  <c r="AL26" i="1"/>
  <c r="AY23" i="1"/>
  <c r="AG18" i="36" s="1"/>
  <c r="P33" i="35"/>
  <c r="Q77" i="35"/>
  <c r="T19" i="35"/>
  <c r="U19" i="35" s="1"/>
  <c r="T48" i="35"/>
  <c r="U48" i="35" s="1"/>
  <c r="O17" i="36"/>
  <c r="P17" i="36" s="1"/>
  <c r="Q21" i="36"/>
  <c r="P21" i="36"/>
  <c r="Q28" i="36"/>
  <c r="P28" i="36"/>
  <c r="O65" i="36"/>
  <c r="Q65" i="36" s="1"/>
  <c r="Q77" i="36"/>
  <c r="R77" i="36" s="1"/>
  <c r="T18" i="36"/>
  <c r="U18" i="36" s="1"/>
  <c r="AL32" i="1"/>
  <c r="AE87" i="1"/>
  <c r="Q83" i="9"/>
  <c r="P29" i="36"/>
  <c r="Q31" i="36"/>
  <c r="R31" i="36" s="1"/>
  <c r="P78" i="35"/>
  <c r="Z16" i="31"/>
  <c r="Z15" i="31" s="1"/>
  <c r="W12" i="35"/>
  <c r="W11" i="35" s="1"/>
  <c r="S116" i="36"/>
  <c r="J95" i="1"/>
  <c r="X68" i="1"/>
  <c r="AB68" i="1" s="1"/>
  <c r="P74" i="34"/>
  <c r="R74" i="34" s="1"/>
  <c r="Q76" i="35"/>
  <c r="P46" i="34"/>
  <c r="R46" i="34" s="1"/>
  <c r="P78" i="36"/>
  <c r="U80" i="34"/>
  <c r="AB16" i="31"/>
  <c r="AB15" i="31" s="1"/>
  <c r="AB14" i="31" s="1"/>
  <c r="AL88" i="1"/>
  <c r="O80" i="9"/>
  <c r="P80" i="9" s="1"/>
  <c r="Q80" i="9"/>
  <c r="H83" i="1"/>
  <c r="AZ95" i="1"/>
  <c r="X22" i="1"/>
  <c r="U28" i="35"/>
  <c r="Q48" i="36"/>
  <c r="P48" i="36"/>
  <c r="P18" i="34"/>
  <c r="W44" i="36"/>
  <c r="W43" i="36" s="1"/>
  <c r="U74" i="34"/>
  <c r="Q59" i="36"/>
  <c r="R59" i="36" s="1"/>
  <c r="U17" i="36"/>
  <c r="U21" i="36"/>
  <c r="Q46" i="35"/>
  <c r="P46" i="35"/>
  <c r="S14" i="9"/>
  <c r="I17" i="1"/>
  <c r="S13" i="9" s="1"/>
  <c r="R65" i="35"/>
  <c r="N13" i="35"/>
  <c r="AL87" i="1"/>
  <c r="N12" i="35"/>
  <c r="N11" i="35"/>
  <c r="H122" i="1"/>
  <c r="H121" i="1" s="1"/>
  <c r="Q117" i="9" s="1"/>
  <c r="AG141" i="1"/>
  <c r="S118" i="9"/>
  <c r="U37" i="34"/>
  <c r="P62" i="35"/>
  <c r="Q62" i="35"/>
  <c r="R93" i="34"/>
  <c r="U74" i="36"/>
  <c r="U16" i="34"/>
  <c r="U76" i="35"/>
  <c r="P75" i="36"/>
  <c r="R75" i="36" s="1"/>
  <c r="AL105" i="1"/>
  <c r="AY18" i="1"/>
  <c r="AL97" i="1"/>
  <c r="Q16" i="34"/>
  <c r="Q18" i="34"/>
  <c r="AL137" i="1"/>
  <c r="AA1030" i="1"/>
  <c r="BL122" i="1"/>
  <c r="AL138" i="1"/>
  <c r="AF122" i="1"/>
  <c r="BL243" i="1"/>
  <c r="BF121" i="1"/>
  <c r="X1342" i="1"/>
  <c r="AB1342" i="1" s="1"/>
  <c r="AP30" i="1" l="1"/>
  <c r="AP17" i="1" s="1"/>
  <c r="AZ32" i="1"/>
  <c r="AZ30" i="1" s="1"/>
  <c r="AG63" i="36"/>
  <c r="AL51" i="1"/>
  <c r="AE83" i="31"/>
  <c r="S82" i="31"/>
  <c r="H363" i="1"/>
  <c r="Y361" i="1" s="1"/>
  <c r="R33" i="36"/>
  <c r="AT83" i="1"/>
  <c r="AT49" i="1" s="1"/>
  <c r="AT48" i="1" s="1"/>
  <c r="AB393" i="1"/>
  <c r="AB411" i="1"/>
  <c r="AB591" i="1"/>
  <c r="J1067" i="1"/>
  <c r="AA1066" i="1"/>
  <c r="J1283" i="1"/>
  <c r="AA1282" i="1"/>
  <c r="W12" i="34"/>
  <c r="W11" i="34" s="1"/>
  <c r="N32" i="35"/>
  <c r="S32" i="35"/>
  <c r="V78" i="35"/>
  <c r="AJ49" i="1"/>
  <c r="V44" i="35" s="1"/>
  <c r="AO49" i="1"/>
  <c r="AO48" i="1" s="1"/>
  <c r="AY89" i="1"/>
  <c r="N85" i="34"/>
  <c r="S85" i="34"/>
  <c r="N86" i="35"/>
  <c r="S86" i="35"/>
  <c r="S90" i="36"/>
  <c r="N90" i="36"/>
  <c r="R33" i="34"/>
  <c r="AG60" i="36"/>
  <c r="AG60" i="34"/>
  <c r="AG33" i="34"/>
  <c r="AY37" i="1"/>
  <c r="T49" i="36"/>
  <c r="U49" i="36"/>
  <c r="T87" i="36"/>
  <c r="T86" i="36" s="1"/>
  <c r="U87" i="36"/>
  <c r="U86" i="36" s="1"/>
  <c r="T34" i="36"/>
  <c r="U34" i="36"/>
  <c r="Z49" i="31"/>
  <c r="Z48" i="31" s="1"/>
  <c r="Z47" i="31" s="1"/>
  <c r="Z14" i="31" s="1"/>
  <c r="AD67" i="31"/>
  <c r="U78" i="1"/>
  <c r="S73" i="34" s="1"/>
  <c r="S76" i="34"/>
  <c r="T76" i="34" s="1"/>
  <c r="U76" i="34" s="1"/>
  <c r="X81" i="1"/>
  <c r="AB81" i="1" s="1"/>
  <c r="U30" i="1"/>
  <c r="S26" i="34"/>
  <c r="T26" i="34" s="1"/>
  <c r="U26" i="34" s="1"/>
  <c r="W31" i="1"/>
  <c r="AG87" i="36"/>
  <c r="AL30" i="1"/>
  <c r="AG33" i="35"/>
  <c r="X41" i="1"/>
  <c r="AB41" i="1" s="1"/>
  <c r="P32" i="34"/>
  <c r="U61" i="36"/>
  <c r="U45" i="36" s="1"/>
  <c r="AL45" i="1"/>
  <c r="P33" i="34"/>
  <c r="O33" i="34"/>
  <c r="T21" i="34"/>
  <c r="U21" i="34" s="1"/>
  <c r="Q23" i="36"/>
  <c r="P23" i="36"/>
  <c r="R23" i="36" s="1"/>
  <c r="R94" i="34"/>
  <c r="S13" i="36"/>
  <c r="U75" i="34"/>
  <c r="AG87" i="35"/>
  <c r="AY243" i="1"/>
  <c r="U75" i="35"/>
  <c r="Q76" i="36"/>
  <c r="AG62" i="34"/>
  <c r="AG60" i="35"/>
  <c r="AL86" i="1"/>
  <c r="V30" i="36"/>
  <c r="X30" i="36" s="1"/>
  <c r="AL35" i="1"/>
  <c r="AG46" i="36"/>
  <c r="AG46" i="35"/>
  <c r="O20" i="36"/>
  <c r="Q20" i="36" s="1"/>
  <c r="P20" i="36"/>
  <c r="AA1132" i="1"/>
  <c r="AB1142" i="1"/>
  <c r="AB1167" i="1"/>
  <c r="AA1228" i="1"/>
  <c r="AB1235" i="1"/>
  <c r="AB1260" i="1"/>
  <c r="S83" i="1"/>
  <c r="S49" i="1" s="1"/>
  <c r="X85" i="1"/>
  <c r="AB85" i="1" s="1"/>
  <c r="S30" i="36"/>
  <c r="T30" i="36" s="1"/>
  <c r="U30" i="36" s="1"/>
  <c r="X35" i="1"/>
  <c r="AB35" i="1" s="1"/>
  <c r="N30" i="36"/>
  <c r="O30" i="36" s="1"/>
  <c r="AF111" i="1"/>
  <c r="J111" i="1"/>
  <c r="J106" i="1" s="1"/>
  <c r="R106" i="1"/>
  <c r="AY122" i="1"/>
  <c r="AM121" i="1"/>
  <c r="AY121" i="1" s="1"/>
  <c r="N22" i="34"/>
  <c r="S22" i="34"/>
  <c r="BL1333" i="1"/>
  <c r="S31" i="36"/>
  <c r="T31" i="36" s="1"/>
  <c r="U31" i="36" s="1"/>
  <c r="X36" i="1"/>
  <c r="AB36" i="1" s="1"/>
  <c r="U65" i="1"/>
  <c r="U18" i="1"/>
  <c r="N13" i="34" s="1"/>
  <c r="S20" i="34"/>
  <c r="T20" i="34" s="1"/>
  <c r="U20" i="34" s="1"/>
  <c r="X48" i="31"/>
  <c r="R120" i="31"/>
  <c r="Q64" i="35"/>
  <c r="P40" i="35"/>
  <c r="R40" i="35" s="1"/>
  <c r="AP48" i="1"/>
  <c r="AG15" i="34"/>
  <c r="AZ50" i="1"/>
  <c r="P15" i="34"/>
  <c r="Q15" i="34"/>
  <c r="X22" i="35"/>
  <c r="Q41" i="36"/>
  <c r="P41" i="36"/>
  <c r="R41" i="36" s="1"/>
  <c r="P49" i="36"/>
  <c r="R49" i="36" s="1"/>
  <c r="Q49" i="36"/>
  <c r="Y16" i="31"/>
  <c r="T48" i="31"/>
  <c r="AD90" i="31"/>
  <c r="AA1171" i="1"/>
  <c r="BG16" i="1"/>
  <c r="BJ49" i="1"/>
  <c r="BJ48" i="1" s="1"/>
  <c r="BL106" i="1"/>
  <c r="S117" i="35"/>
  <c r="T117" i="35" s="1"/>
  <c r="N117" i="35"/>
  <c r="R49" i="1"/>
  <c r="R48" i="1" s="1"/>
  <c r="J41" i="1"/>
  <c r="AD26" i="31"/>
  <c r="X16" i="31"/>
  <c r="AD36" i="31"/>
  <c r="AE40" i="31"/>
  <c r="W48" i="31"/>
  <c r="V48" i="31"/>
  <c r="AG30" i="1"/>
  <c r="AA1120" i="1"/>
  <c r="AA1099" i="1"/>
  <c r="AA985" i="1"/>
  <c r="AB324" i="1"/>
  <c r="AB345" i="1"/>
  <c r="AB429" i="1"/>
  <c r="AB434" i="1"/>
  <c r="AB486" i="1"/>
  <c r="AB623" i="1"/>
  <c r="AB897" i="1"/>
  <c r="AA904" i="1"/>
  <c r="AB933" i="1"/>
  <c r="AA943" i="1"/>
  <c r="AB1037" i="1"/>
  <c r="AB1065" i="1"/>
  <c r="AB1089" i="1"/>
  <c r="AB1098" i="1"/>
  <c r="AB1110" i="1"/>
  <c r="AA1135" i="1"/>
  <c r="AA1186" i="1"/>
  <c r="AA1234" i="1"/>
  <c r="AB1311" i="1"/>
  <c r="BH49" i="1"/>
  <c r="AN17" i="1"/>
  <c r="AN16" i="1" s="1"/>
  <c r="AX17" i="1"/>
  <c r="AX16" i="1" s="1"/>
  <c r="AX15" i="1" s="1"/>
  <c r="AI106" i="1"/>
  <c r="V101" i="34" s="1"/>
  <c r="W16" i="31"/>
  <c r="AE36" i="31"/>
  <c r="U48" i="31"/>
  <c r="U47" i="31" s="1"/>
  <c r="AD105" i="31"/>
  <c r="AE30" i="1"/>
  <c r="AA1141" i="1"/>
  <c r="AE121" i="31"/>
  <c r="AB270" i="1"/>
  <c r="AB294" i="1"/>
  <c r="AB414" i="1"/>
  <c r="AB563" i="1"/>
  <c r="AB849" i="1"/>
  <c r="AA997" i="1"/>
  <c r="AA1057" i="1"/>
  <c r="AB1299" i="1"/>
  <c r="AH1333" i="1"/>
  <c r="I121" i="1"/>
  <c r="S117" i="9" s="1"/>
  <c r="AZ122" i="1"/>
  <c r="W44" i="34"/>
  <c r="W43" i="34" s="1"/>
  <c r="AC16" i="31"/>
  <c r="T32" i="36"/>
  <c r="U33" i="36"/>
  <c r="U32" i="36" s="1"/>
  <c r="AG58" i="36"/>
  <c r="AG58" i="34"/>
  <c r="AI17" i="1"/>
  <c r="V12" i="34" s="1"/>
  <c r="V13" i="34"/>
  <c r="X13" i="36"/>
  <c r="AI49" i="1"/>
  <c r="V44" i="34" s="1"/>
  <c r="V78" i="34"/>
  <c r="U50" i="1"/>
  <c r="S60" i="34"/>
  <c r="T60" i="34" s="1"/>
  <c r="U60" i="34" s="1"/>
  <c r="X65" i="1"/>
  <c r="AB65" i="1" s="1"/>
  <c r="AL84" i="1"/>
  <c r="O13" i="36"/>
  <c r="AG58" i="35"/>
  <c r="AD120" i="31"/>
  <c r="AE26" i="31"/>
  <c r="T79" i="36"/>
  <c r="T78" i="36" s="1"/>
  <c r="AL259" i="1"/>
  <c r="AG243" i="1"/>
  <c r="AL243" i="1" s="1"/>
  <c r="S66" i="36"/>
  <c r="T66" i="36" s="1"/>
  <c r="U66" i="36" s="1"/>
  <c r="N66" i="36"/>
  <c r="X71" i="1"/>
  <c r="AB71" i="1" s="1"/>
  <c r="AA16" i="31"/>
  <c r="AD29" i="31"/>
  <c r="S122" i="1"/>
  <c r="X122" i="1" s="1"/>
  <c r="AB122" i="1" s="1"/>
  <c r="O119" i="36"/>
  <c r="R119" i="36" s="1"/>
  <c r="AE83" i="1"/>
  <c r="R121" i="1"/>
  <c r="AH18" i="1"/>
  <c r="AH17" i="1" s="1"/>
  <c r="AH16" i="1" s="1"/>
  <c r="AG27" i="1"/>
  <c r="X78" i="36"/>
  <c r="AK106" i="1"/>
  <c r="V101" i="36" s="1"/>
  <c r="X27" i="1"/>
  <c r="AB27" i="1" s="1"/>
  <c r="R74" i="36"/>
  <c r="AB91" i="1"/>
  <c r="S16" i="31"/>
  <c r="S15" i="31" s="1"/>
  <c r="X25" i="1"/>
  <c r="AB25" i="1" s="1"/>
  <c r="S78" i="34"/>
  <c r="N73" i="34"/>
  <c r="X111" i="1"/>
  <c r="AB111" i="1" s="1"/>
  <c r="J83" i="1"/>
  <c r="AB498" i="1"/>
  <c r="AB672" i="1"/>
  <c r="AB677" i="1"/>
  <c r="AB720" i="1"/>
  <c r="AB777" i="1"/>
  <c r="AB791" i="1"/>
  <c r="AB828" i="1"/>
  <c r="AB836" i="1"/>
  <c r="AB852" i="1"/>
  <c r="AB866" i="1"/>
  <c r="AB948" i="1"/>
  <c r="AB954" i="1"/>
  <c r="AB960" i="1"/>
  <c r="J1040" i="1"/>
  <c r="AA1039" i="1" s="1"/>
  <c r="AB1067" i="1"/>
  <c r="AB1107" i="1"/>
  <c r="AB1283" i="1"/>
  <c r="AB1293" i="1"/>
  <c r="AB1329" i="1"/>
  <c r="U28" i="36"/>
  <c r="AE112" i="1"/>
  <c r="AE106" i="1" s="1"/>
  <c r="O108" i="9"/>
  <c r="P108" i="9" s="1"/>
  <c r="S108" i="9"/>
  <c r="Q92" i="1"/>
  <c r="J91" i="31" s="1"/>
  <c r="F91" i="31"/>
  <c r="AE44" i="1"/>
  <c r="Q40" i="9"/>
  <c r="AE104" i="1"/>
  <c r="AE95" i="1" s="1"/>
  <c r="O100" i="9"/>
  <c r="P100" i="9" s="1"/>
  <c r="AF104" i="1"/>
  <c r="AE65" i="1"/>
  <c r="S61" i="9"/>
  <c r="S12" i="35"/>
  <c r="S13" i="35"/>
  <c r="U76" i="36"/>
  <c r="R83" i="36"/>
  <c r="R78" i="36" s="1"/>
  <c r="S13" i="34"/>
  <c r="R83" i="35"/>
  <c r="R78" i="35" s="1"/>
  <c r="P61" i="36"/>
  <c r="R61" i="36" s="1"/>
  <c r="H17" i="1"/>
  <c r="H16" i="1" s="1"/>
  <c r="X37" i="1"/>
  <c r="AB37" i="1" s="1"/>
  <c r="X106" i="1"/>
  <c r="AB106" i="1" s="1"/>
  <c r="X83" i="1"/>
  <c r="AB83" i="1" s="1"/>
  <c r="AF41" i="1"/>
  <c r="AF16" i="1" s="1"/>
  <c r="AF50" i="1"/>
  <c r="X95" i="1"/>
  <c r="AB95" i="1" s="1"/>
  <c r="S120" i="31"/>
  <c r="AN121" i="1"/>
  <c r="Q83" i="36"/>
  <c r="Q78" i="36" s="1"/>
  <c r="U23" i="36"/>
  <c r="U22" i="36" s="1"/>
  <c r="Q41" i="34"/>
  <c r="Q36" i="34" s="1"/>
  <c r="P41" i="34"/>
  <c r="O117" i="36"/>
  <c r="AB420" i="1"/>
  <c r="AB632" i="1"/>
  <c r="AB756" i="1"/>
  <c r="AB807" i="1"/>
  <c r="AB821" i="1"/>
  <c r="AB834" i="1"/>
  <c r="AB846" i="1"/>
  <c r="AB879" i="1"/>
  <c r="AB891" i="1"/>
  <c r="AB915" i="1"/>
  <c r="AB975" i="1"/>
  <c r="AB981" i="1"/>
  <c r="AB1013" i="1"/>
  <c r="AB1025" i="1"/>
  <c r="AB1049" i="1"/>
  <c r="AB1131" i="1"/>
  <c r="AM50" i="1"/>
  <c r="AY54" i="1"/>
  <c r="BL78" i="1"/>
  <c r="BL83" i="1"/>
  <c r="V64" i="1"/>
  <c r="AE64" i="1"/>
  <c r="AE50" i="1" s="1"/>
  <c r="I50" i="1"/>
  <c r="W15" i="31"/>
  <c r="W14" i="31" s="1"/>
  <c r="AC48" i="31"/>
  <c r="Y120" i="31"/>
  <c r="AC120" i="31"/>
  <c r="AB263" i="1"/>
  <c r="AB300" i="1"/>
  <c r="AB437" i="1"/>
  <c r="AB453" i="1"/>
  <c r="AB471" i="1"/>
  <c r="AB510" i="1"/>
  <c r="AA595" i="1"/>
  <c r="AB602" i="1"/>
  <c r="AB699" i="1"/>
  <c r="AB711" i="1"/>
  <c r="AB753" i="1"/>
  <c r="AB786" i="1"/>
  <c r="AB831" i="1"/>
  <c r="AB855" i="1"/>
  <c r="AB888" i="1"/>
  <c r="AA901" i="1"/>
  <c r="AB1224" i="1"/>
  <c r="AB1242" i="1"/>
  <c r="AB1332" i="1"/>
  <c r="AS17" i="1"/>
  <c r="AS16" i="1" s="1"/>
  <c r="AW17" i="1"/>
  <c r="AW16" i="1" s="1"/>
  <c r="AW15" i="1" s="1"/>
  <c r="AM17" i="1"/>
  <c r="AM16" i="1" s="1"/>
  <c r="AO17" i="1"/>
  <c r="AO16" i="1" s="1"/>
  <c r="AD40" i="31"/>
  <c r="W120" i="31"/>
  <c r="AA120" i="31"/>
  <c r="AP16" i="1"/>
  <c r="AB255" i="1"/>
  <c r="AB282" i="1"/>
  <c r="AB465" i="1"/>
  <c r="AA634" i="1"/>
  <c r="AB656" i="1"/>
  <c r="AB669" i="1"/>
  <c r="AB692" i="1"/>
  <c r="AB696" i="1"/>
  <c r="AB705" i="1"/>
  <c r="AB713" i="1"/>
  <c r="AB725" i="1"/>
  <c r="AB729" i="1"/>
  <c r="AB759" i="1"/>
  <c r="AB768" i="1"/>
  <c r="AB912" i="1"/>
  <c r="AB1005" i="1"/>
  <c r="AB1020" i="1"/>
  <c r="AB1083" i="1"/>
  <c r="AB1113" i="1"/>
  <c r="AB1218" i="1"/>
  <c r="AB1248" i="1"/>
  <c r="AB1266" i="1"/>
  <c r="AB1280" i="1"/>
  <c r="AB1314" i="1"/>
  <c r="AB1326" i="1"/>
  <c r="BI49" i="1"/>
  <c r="BI48" i="1" s="1"/>
  <c r="AD17" i="1"/>
  <c r="AD16" i="1" s="1"/>
  <c r="AU17" i="1"/>
  <c r="AU16" i="1" s="1"/>
  <c r="BL51" i="1"/>
  <c r="BL50" i="1" s="1"/>
  <c r="H49" i="1"/>
  <c r="Q45" i="9" s="1"/>
  <c r="AV48" i="1"/>
  <c r="R17" i="1"/>
  <c r="AZ121" i="1"/>
  <c r="AL108" i="1"/>
  <c r="AL102" i="1"/>
  <c r="AL78" i="1"/>
  <c r="AL27" i="1"/>
  <c r="AA48" i="31"/>
  <c r="U29" i="31"/>
  <c r="AE29" i="31" s="1"/>
  <c r="AE31" i="31"/>
  <c r="AE86" i="31"/>
  <c r="Y82" i="31"/>
  <c r="Q47" i="35"/>
  <c r="P47" i="35"/>
  <c r="R47" i="35" s="1"/>
  <c r="P24" i="36"/>
  <c r="Q24" i="36"/>
  <c r="O34" i="36"/>
  <c r="O32" i="36" s="1"/>
  <c r="Q34" i="36"/>
  <c r="Q32" i="36" s="1"/>
  <c r="P34" i="36"/>
  <c r="P32" i="36" s="1"/>
  <c r="P39" i="36"/>
  <c r="Q39" i="36"/>
  <c r="R39" i="36" s="1"/>
  <c r="V63" i="35"/>
  <c r="W63" i="35" s="1"/>
  <c r="W45" i="35" s="1"/>
  <c r="W44" i="35" s="1"/>
  <c r="W43" i="35" s="1"/>
  <c r="AL1342" i="1"/>
  <c r="AG1333" i="1"/>
  <c r="AL1343" i="1"/>
  <c r="AF1333" i="1"/>
  <c r="AC15" i="31"/>
  <c r="AD49" i="31"/>
  <c r="T47" i="31"/>
  <c r="T14" i="31" s="1"/>
  <c r="W47" i="31"/>
  <c r="Y48" i="31"/>
  <c r="Y47" i="31" s="1"/>
  <c r="Q100" i="9"/>
  <c r="H95" i="1"/>
  <c r="Q91" i="9" s="1"/>
  <c r="AA1300" i="1"/>
  <c r="AA1114" i="1"/>
  <c r="AB276" i="1"/>
  <c r="AB279" i="1"/>
  <c r="AB297" i="1"/>
  <c r="AB312" i="1"/>
  <c r="AB327" i="1"/>
  <c r="AB354" i="1"/>
  <c r="AB480" i="1"/>
  <c r="AB492" i="1"/>
  <c r="AB507" i="1"/>
  <c r="AB645" i="1"/>
  <c r="X913" i="1"/>
  <c r="AB913" i="1" s="1"/>
  <c r="AB971" i="1"/>
  <c r="AB1011" i="1"/>
  <c r="AB1034" i="1"/>
  <c r="AB1092" i="1"/>
  <c r="AB1307" i="1"/>
  <c r="BL31" i="1"/>
  <c r="BL30" i="1" s="1"/>
  <c r="BK30" i="1"/>
  <c r="BK18" i="1" s="1"/>
  <c r="BK17" i="1" s="1"/>
  <c r="BK16" i="1" s="1"/>
  <c r="X19" i="1"/>
  <c r="AB19" i="1" s="1"/>
  <c r="AM49" i="1"/>
  <c r="AM48" i="1" s="1"/>
  <c r="BK49" i="1"/>
  <c r="BK48" i="1" s="1"/>
  <c r="BH121" i="1"/>
  <c r="AI48" i="1"/>
  <c r="V43" i="34" s="1"/>
  <c r="AG49" i="1"/>
  <c r="T1333" i="1"/>
  <c r="AR17" i="1"/>
  <c r="AZ17" i="1" s="1"/>
  <c r="AT17" i="1"/>
  <c r="AT16" i="1" s="1"/>
  <c r="AV17" i="1"/>
  <c r="AV16" i="1" s="1"/>
  <c r="AV15" i="1" s="1"/>
  <c r="AB22" i="1"/>
  <c r="AT15" i="1"/>
  <c r="S26" i="36"/>
  <c r="T26" i="36" s="1"/>
  <c r="X7" i="1"/>
  <c r="W30" i="1"/>
  <c r="S25" i="36" s="1"/>
  <c r="X31" i="1"/>
  <c r="X30" i="1" s="1"/>
  <c r="AB30" i="1" s="1"/>
  <c r="AF49" i="1"/>
  <c r="V115" i="36"/>
  <c r="X115" i="36" s="1"/>
  <c r="AH91" i="1"/>
  <c r="AZ87" i="1"/>
  <c r="AH78" i="1"/>
  <c r="V66" i="36"/>
  <c r="X66" i="36" s="1"/>
  <c r="X45" i="35"/>
  <c r="AL46" i="1"/>
  <c r="V31" i="36"/>
  <c r="X31" i="36" s="1"/>
  <c r="X25" i="36" s="1"/>
  <c r="X12" i="36" s="1"/>
  <c r="X11" i="36" s="1"/>
  <c r="AJ18" i="1"/>
  <c r="AL1418" i="1"/>
  <c r="AL1439" i="1"/>
  <c r="AL1440" i="1"/>
  <c r="AL1441" i="1"/>
  <c r="AL1442" i="1"/>
  <c r="AL230" i="1"/>
  <c r="AL175" i="1"/>
  <c r="AL169" i="1"/>
  <c r="AL154" i="1"/>
  <c r="AL127" i="1"/>
  <c r="AL134" i="1"/>
  <c r="AQ91" i="1"/>
  <c r="AY91" i="1" s="1"/>
  <c r="V107" i="34"/>
  <c r="X107" i="34" s="1"/>
  <c r="X101" i="34" s="1"/>
  <c r="V81" i="34"/>
  <c r="X81" i="34" s="1"/>
  <c r="V76" i="34"/>
  <c r="V62" i="34"/>
  <c r="X62" i="34" s="1"/>
  <c r="V60" i="34"/>
  <c r="X60" i="34" s="1"/>
  <c r="V40" i="34"/>
  <c r="X40" i="34" s="1"/>
  <c r="X36" i="34" s="1"/>
  <c r="V20" i="34"/>
  <c r="X20" i="34" s="1"/>
  <c r="N59" i="34"/>
  <c r="N26" i="34"/>
  <c r="O26" i="34" s="1"/>
  <c r="V114" i="36"/>
  <c r="X114" i="36" s="1"/>
  <c r="V65" i="36"/>
  <c r="AY24" i="1"/>
  <c r="AU50" i="1"/>
  <c r="AU49" i="1" s="1"/>
  <c r="AU48" i="1" s="1"/>
  <c r="AU15" i="1" s="1"/>
  <c r="AL1335" i="1"/>
  <c r="AL1353" i="1"/>
  <c r="AL1357" i="1"/>
  <c r="AL1419" i="1"/>
  <c r="AL1421" i="1"/>
  <c r="AL1422" i="1"/>
  <c r="AL1423" i="1"/>
  <c r="AL1430" i="1"/>
  <c r="AL1433" i="1"/>
  <c r="AL1434" i="1"/>
  <c r="AL1453" i="1"/>
  <c r="AL147" i="1"/>
  <c r="AL163" i="1"/>
  <c r="AL159" i="1"/>
  <c r="AL149" i="1"/>
  <c r="AL146" i="1"/>
  <c r="U1419" i="1"/>
  <c r="X1419" i="1" s="1"/>
  <c r="AB1419" i="1" s="1"/>
  <c r="V82" i="34"/>
  <c r="X82" i="34" s="1"/>
  <c r="V77" i="34"/>
  <c r="X77" i="34" s="1"/>
  <c r="V61" i="34"/>
  <c r="X61" i="34" s="1"/>
  <c r="X45" i="34" s="1"/>
  <c r="W83" i="1"/>
  <c r="N81" i="34"/>
  <c r="R81" i="34" s="1"/>
  <c r="N76" i="34"/>
  <c r="P76" i="34" s="1"/>
  <c r="N20" i="34"/>
  <c r="V25" i="36"/>
  <c r="N77" i="34"/>
  <c r="N63" i="34"/>
  <c r="O63" i="34" s="1"/>
  <c r="P63" i="34" s="1"/>
  <c r="AF17" i="1"/>
  <c r="N26" i="36"/>
  <c r="Q26" i="36" s="1"/>
  <c r="I16" i="1"/>
  <c r="S12" i="9" s="1"/>
  <c r="T91" i="1"/>
  <c r="N62" i="34"/>
  <c r="P62" i="34" s="1"/>
  <c r="N60" i="34"/>
  <c r="BF16" i="1"/>
  <c r="BH16" i="1"/>
  <c r="BH8" i="1" s="1"/>
  <c r="BH9" i="1" s="1"/>
  <c r="BJ16" i="1"/>
  <c r="BH48" i="1"/>
  <c r="T78" i="1"/>
  <c r="V50" i="1"/>
  <c r="X1371" i="1"/>
  <c r="AB1371" i="1" s="1"/>
  <c r="AC17" i="1"/>
  <c r="AC16" i="1" s="1"/>
  <c r="N61" i="34"/>
  <c r="P61" i="34" s="1"/>
  <c r="AL83" i="1"/>
  <c r="U87" i="35"/>
  <c r="U86" i="35" s="1"/>
  <c r="AD77" i="31"/>
  <c r="AD82" i="31"/>
  <c r="AE105" i="31"/>
  <c r="BF49" i="1"/>
  <c r="BF48" i="1" s="1"/>
  <c r="AC121" i="1"/>
  <c r="P48" i="34"/>
  <c r="Q48" i="34"/>
  <c r="BI15" i="1"/>
  <c r="BI8" i="1"/>
  <c r="BI9" i="1" s="1"/>
  <c r="P65" i="36"/>
  <c r="R65" i="36" s="1"/>
  <c r="R16" i="1"/>
  <c r="Q79" i="9"/>
  <c r="R29" i="36"/>
  <c r="J17" i="1"/>
  <c r="BL37" i="1"/>
  <c r="BG49" i="1"/>
  <c r="BG48" i="1" s="1"/>
  <c r="BG8" i="1" s="1"/>
  <c r="BG9" i="1" s="1"/>
  <c r="AD121" i="1"/>
  <c r="P65" i="34"/>
  <c r="Q65" i="34"/>
  <c r="R76" i="36"/>
  <c r="R73" i="36" s="1"/>
  <c r="J37" i="1"/>
  <c r="S48" i="1"/>
  <c r="AJ48" i="1"/>
  <c r="V43" i="35" s="1"/>
  <c r="AG18" i="35"/>
  <c r="AN49" i="1"/>
  <c r="AN48" i="1" s="1"/>
  <c r="V17" i="31"/>
  <c r="AD17" i="31" s="1"/>
  <c r="AI16" i="1"/>
  <c r="V11" i="34" s="1"/>
  <c r="S1333" i="1"/>
  <c r="S121" i="1" s="1"/>
  <c r="T18" i="1"/>
  <c r="S30" i="1"/>
  <c r="S17" i="1" s="1"/>
  <c r="AD88" i="31"/>
  <c r="P63" i="35"/>
  <c r="Q63" i="35"/>
  <c r="P58" i="35"/>
  <c r="Q58" i="35"/>
  <c r="AG122" i="1"/>
  <c r="AL141" i="1"/>
  <c r="AG19" i="35"/>
  <c r="AG19" i="36"/>
  <c r="AG19" i="34"/>
  <c r="BL121" i="1"/>
  <c r="R91" i="36"/>
  <c r="Q90" i="36"/>
  <c r="AL111" i="1"/>
  <c r="AF106" i="1"/>
  <c r="Q14" i="9"/>
  <c r="R28" i="36"/>
  <c r="R21" i="36"/>
  <c r="AG17" i="1"/>
  <c r="AK49" i="1"/>
  <c r="AK48" i="1" s="1"/>
  <c r="J50" i="1"/>
  <c r="R77" i="35"/>
  <c r="T73" i="35"/>
  <c r="Q67" i="36"/>
  <c r="R67" i="36" s="1"/>
  <c r="AD49" i="1"/>
  <c r="AD48" i="1" s="1"/>
  <c r="R40" i="34"/>
  <c r="AE17" i="1"/>
  <c r="AL37" i="1"/>
  <c r="Q22" i="34"/>
  <c r="U18" i="34"/>
  <c r="R118" i="36"/>
  <c r="Y15" i="31"/>
  <c r="Y14" i="31" s="1"/>
  <c r="AD89" i="31"/>
  <c r="J363" i="1"/>
  <c r="AA361" i="1" s="1"/>
  <c r="AA472" i="1"/>
  <c r="AE78" i="1"/>
  <c r="T63" i="1"/>
  <c r="W50" i="1"/>
  <c r="AC49" i="1"/>
  <c r="AC48" i="1" s="1"/>
  <c r="N117" i="34"/>
  <c r="BG121" i="1"/>
  <c r="AM15" i="1"/>
  <c r="Q118" i="9"/>
  <c r="Q66" i="34"/>
  <c r="P66" i="34"/>
  <c r="T116" i="36"/>
  <c r="U117" i="36"/>
  <c r="U116" i="36" s="1"/>
  <c r="X90" i="34"/>
  <c r="P116" i="36"/>
  <c r="R117" i="36"/>
  <c r="U64" i="36"/>
  <c r="T45" i="36"/>
  <c r="U75" i="36"/>
  <c r="U73" i="36" s="1"/>
  <c r="T73" i="36"/>
  <c r="U77" i="34"/>
  <c r="U73" i="34" s="1"/>
  <c r="T73" i="34"/>
  <c r="X32" i="35"/>
  <c r="Q82" i="34"/>
  <c r="P118" i="34"/>
  <c r="R118" i="34" s="1"/>
  <c r="X101" i="35"/>
  <c r="R16" i="34"/>
  <c r="Q17" i="34"/>
  <c r="R87" i="35"/>
  <c r="R86" i="35" s="1"/>
  <c r="Q17" i="36"/>
  <c r="R17" i="36" s="1"/>
  <c r="Q64" i="34"/>
  <c r="R64" i="34" s="1"/>
  <c r="P73" i="36"/>
  <c r="R62" i="35"/>
  <c r="P61" i="35"/>
  <c r="R61" i="35" s="1"/>
  <c r="R34" i="34"/>
  <c r="R20" i="36"/>
  <c r="P64" i="35"/>
  <c r="R64" i="35" s="1"/>
  <c r="Q19" i="36"/>
  <c r="R19" i="36" s="1"/>
  <c r="O33" i="35"/>
  <c r="O32" i="35" s="1"/>
  <c r="X13" i="35"/>
  <c r="Q75" i="35"/>
  <c r="Q73" i="35" s="1"/>
  <c r="O118" i="35"/>
  <c r="U47" i="35"/>
  <c r="O32" i="34"/>
  <c r="P16" i="36"/>
  <c r="R16" i="36" s="1"/>
  <c r="P14" i="36"/>
  <c r="R14" i="36" s="1"/>
  <c r="Q66" i="35"/>
  <c r="R66" i="35" s="1"/>
  <c r="R39" i="34"/>
  <c r="P62" i="36"/>
  <c r="R62" i="36" s="1"/>
  <c r="Q32" i="34"/>
  <c r="U77" i="35"/>
  <c r="U73" i="35" s="1"/>
  <c r="R27" i="34"/>
  <c r="P60" i="36"/>
  <c r="R60" i="36" s="1"/>
  <c r="Q31" i="34"/>
  <c r="R31" i="34" s="1"/>
  <c r="X25" i="35"/>
  <c r="R101" i="36"/>
  <c r="R48" i="36"/>
  <c r="T36" i="35"/>
  <c r="R28" i="34"/>
  <c r="P22" i="35"/>
  <c r="U36" i="36"/>
  <c r="R40" i="36"/>
  <c r="U32" i="34"/>
  <c r="P39" i="35"/>
  <c r="R39" i="35" s="1"/>
  <c r="X90" i="35"/>
  <c r="X32" i="36"/>
  <c r="U83" i="34"/>
  <c r="U78" i="34" s="1"/>
  <c r="T78" i="34"/>
  <c r="P30" i="36"/>
  <c r="Q30" i="36"/>
  <c r="O25" i="36"/>
  <c r="O12" i="36" s="1"/>
  <c r="R38" i="36"/>
  <c r="P30" i="35"/>
  <c r="Q30" i="35"/>
  <c r="O36" i="36"/>
  <c r="P37" i="36"/>
  <c r="U19" i="36"/>
  <c r="U13" i="36" s="1"/>
  <c r="T13" i="36"/>
  <c r="R18" i="34"/>
  <c r="R49" i="34"/>
  <c r="R23" i="34"/>
  <c r="X36" i="36"/>
  <c r="X36" i="35"/>
  <c r="T32" i="34"/>
  <c r="U87" i="34"/>
  <c r="U86" i="34" s="1"/>
  <c r="P67" i="35"/>
  <c r="R67" i="35" s="1"/>
  <c r="R24" i="34"/>
  <c r="R21" i="35"/>
  <c r="Q73" i="36"/>
  <c r="R18" i="36"/>
  <c r="P119" i="34"/>
  <c r="R119" i="34" s="1"/>
  <c r="AQ48" i="1"/>
  <c r="AJ17" i="1"/>
  <c r="V12" i="35" s="1"/>
  <c r="V13" i="35"/>
  <c r="P29" i="34"/>
  <c r="Q29" i="34"/>
  <c r="X22" i="34"/>
  <c r="X32" i="34"/>
  <c r="AQ16" i="1"/>
  <c r="AK16" i="1"/>
  <c r="V11" i="36" s="1"/>
  <c r="V12" i="36"/>
  <c r="Q58" i="34"/>
  <c r="P58" i="34"/>
  <c r="W116" i="36"/>
  <c r="W126" i="36" s="1"/>
  <c r="X117" i="36"/>
  <c r="X116" i="36" s="1"/>
  <c r="R46" i="35"/>
  <c r="AG18" i="34"/>
  <c r="R14" i="34"/>
  <c r="R87" i="36"/>
  <c r="R86" i="36" s="1"/>
  <c r="AL71" i="1"/>
  <c r="AL50" i="1" s="1"/>
  <c r="R47" i="34"/>
  <c r="N116" i="35"/>
  <c r="AL44" i="1"/>
  <c r="AL110" i="1"/>
  <c r="AL22" i="1"/>
  <c r="AL18" i="1" s="1"/>
  <c r="AL99" i="1"/>
  <c r="AL120" i="1"/>
  <c r="X25" i="34"/>
  <c r="U36" i="35"/>
  <c r="R64" i="36"/>
  <c r="R67" i="34"/>
  <c r="U90" i="34"/>
  <c r="U101" i="34"/>
  <c r="R24" i="35"/>
  <c r="X44" i="35"/>
  <c r="R20" i="35"/>
  <c r="R63" i="36"/>
  <c r="R119" i="35"/>
  <c r="T116" i="34"/>
  <c r="T124" i="34" s="1"/>
  <c r="U117" i="34"/>
  <c r="U116" i="34" s="1"/>
  <c r="V47" i="31"/>
  <c r="U101" i="36"/>
  <c r="R15" i="35"/>
  <c r="R49" i="35"/>
  <c r="R76" i="35"/>
  <c r="U101" i="35"/>
  <c r="AA15" i="31"/>
  <c r="AC47" i="31"/>
  <c r="AE49" i="31"/>
  <c r="X47" i="31"/>
  <c r="AA47" i="31"/>
  <c r="AE77" i="31"/>
  <c r="AE82" i="31"/>
  <c r="AE88" i="31"/>
  <c r="AE89" i="31"/>
  <c r="Q104" i="1"/>
  <c r="J103" i="31" s="1"/>
  <c r="J243" i="1"/>
  <c r="BL27" i="1"/>
  <c r="BL41" i="1"/>
  <c r="BL95" i="1"/>
  <c r="AS49" i="1"/>
  <c r="AS48" i="1" s="1"/>
  <c r="BJ121" i="1"/>
  <c r="BJ15" i="1" s="1"/>
  <c r="AE41" i="1"/>
  <c r="AH106" i="1"/>
  <c r="AG106" i="1"/>
  <c r="J122" i="1"/>
  <c r="R17" i="34"/>
  <c r="U14" i="35"/>
  <c r="T13" i="35"/>
  <c r="Q60" i="35"/>
  <c r="P60" i="35"/>
  <c r="X65" i="36"/>
  <c r="X45" i="36" s="1"/>
  <c r="X44" i="36" s="1"/>
  <c r="R87" i="34"/>
  <c r="R86" i="34" s="1"/>
  <c r="Q86" i="34"/>
  <c r="T36" i="34"/>
  <c r="U39" i="34"/>
  <c r="U36" i="34" s="1"/>
  <c r="U66" i="34"/>
  <c r="O25" i="35"/>
  <c r="Q29" i="35"/>
  <c r="P29" i="35"/>
  <c r="Q17" i="35"/>
  <c r="P17" i="35"/>
  <c r="P19" i="35"/>
  <c r="Q19" i="35"/>
  <c r="Q31" i="35"/>
  <c r="P31" i="35"/>
  <c r="Q32" i="35"/>
  <c r="R38" i="35"/>
  <c r="Q36" i="35"/>
  <c r="P48" i="35"/>
  <c r="Q48" i="35"/>
  <c r="U46" i="35"/>
  <c r="T78" i="35"/>
  <c r="U80" i="35"/>
  <c r="U78" i="35" s="1"/>
  <c r="X90" i="36"/>
  <c r="R101" i="35"/>
  <c r="U90" i="35"/>
  <c r="U14" i="34"/>
  <c r="P14" i="35"/>
  <c r="O13" i="35"/>
  <c r="Q14" i="35"/>
  <c r="W116" i="35"/>
  <c r="X117" i="35"/>
  <c r="X116" i="35" s="1"/>
  <c r="X127" i="35" s="1"/>
  <c r="Q19" i="34"/>
  <c r="P19" i="34"/>
  <c r="Q30" i="34"/>
  <c r="P30" i="34"/>
  <c r="O36" i="34"/>
  <c r="P37" i="34"/>
  <c r="R91" i="34"/>
  <c r="Q90" i="34"/>
  <c r="T22" i="34"/>
  <c r="U23" i="34"/>
  <c r="U22" i="34" s="1"/>
  <c r="T25" i="34"/>
  <c r="U27" i="34"/>
  <c r="U25" i="34" s="1"/>
  <c r="Q16" i="35"/>
  <c r="P16" i="35"/>
  <c r="P18" i="35"/>
  <c r="Q18" i="35"/>
  <c r="R23" i="35"/>
  <c r="Q22" i="35"/>
  <c r="R26" i="35"/>
  <c r="R34" i="35"/>
  <c r="P32" i="35"/>
  <c r="R41" i="35"/>
  <c r="P73" i="35"/>
  <c r="R74" i="35"/>
  <c r="R94" i="35"/>
  <c r="R90" i="35" s="1"/>
  <c r="Q90" i="35"/>
  <c r="U117" i="35"/>
  <c r="U116" i="35" s="1"/>
  <c r="T116" i="35"/>
  <c r="T22" i="35"/>
  <c r="U23" i="35"/>
  <c r="U22" i="35" s="1"/>
  <c r="U26" i="35"/>
  <c r="U25" i="35" s="1"/>
  <c r="T25" i="35"/>
  <c r="T32" i="35"/>
  <c r="U34" i="35"/>
  <c r="U32" i="35" s="1"/>
  <c r="X101" i="36"/>
  <c r="R101" i="34"/>
  <c r="X13" i="34"/>
  <c r="R42" i="36"/>
  <c r="Q47" i="36"/>
  <c r="R93" i="36"/>
  <c r="X15" i="31"/>
  <c r="R48" i="31"/>
  <c r="S48" i="31"/>
  <c r="D103" i="31"/>
  <c r="Q76" i="34"/>
  <c r="Q62" i="34"/>
  <c r="O60" i="34"/>
  <c r="P60" i="34" s="1"/>
  <c r="W116" i="34"/>
  <c r="W124" i="34" s="1"/>
  <c r="X117" i="34"/>
  <c r="X116" i="34" s="1"/>
  <c r="X76" i="34"/>
  <c r="X73" i="34" s="1"/>
  <c r="N116" i="34"/>
  <c r="S116" i="34"/>
  <c r="P77" i="34"/>
  <c r="Q77" i="34"/>
  <c r="O59" i="34"/>
  <c r="P59" i="34" s="1"/>
  <c r="X79" i="1"/>
  <c r="BK8" i="1" l="1"/>
  <c r="BK9" i="1" s="1"/>
  <c r="BK15" i="1"/>
  <c r="T25" i="36"/>
  <c r="T12" i="36" s="1"/>
  <c r="T11" i="36" s="1"/>
  <c r="AP15" i="1"/>
  <c r="AE120" i="31"/>
  <c r="R15" i="34"/>
  <c r="Q61" i="34"/>
  <c r="R61" i="34" s="1"/>
  <c r="S124" i="34"/>
  <c r="R90" i="34"/>
  <c r="Q13" i="9"/>
  <c r="U45" i="34"/>
  <c r="U44" i="34" s="1"/>
  <c r="U43" i="34" s="1"/>
  <c r="AC14" i="31"/>
  <c r="U16" i="31"/>
  <c r="AL17" i="1"/>
  <c r="AL16" i="1" s="1"/>
  <c r="AZ83" i="1"/>
  <c r="P36" i="36"/>
  <c r="Q36" i="36"/>
  <c r="O116" i="35"/>
  <c r="V127" i="35"/>
  <c r="V130" i="35" s="1"/>
  <c r="N126" i="36"/>
  <c r="J49" i="1"/>
  <c r="J48" i="1" s="1"/>
  <c r="AG121" i="1"/>
  <c r="U26" i="36"/>
  <c r="U25" i="36" s="1"/>
  <c r="U12" i="36" s="1"/>
  <c r="U11" i="36" s="1"/>
  <c r="U10" i="36" s="1"/>
  <c r="U127" i="36" s="1"/>
  <c r="AB31" i="1"/>
  <c r="O117" i="35"/>
  <c r="P117" i="35"/>
  <c r="P116" i="35" s="1"/>
  <c r="U13" i="34"/>
  <c r="N25" i="34"/>
  <c r="S25" i="34"/>
  <c r="T45" i="34"/>
  <c r="AS15" i="1"/>
  <c r="AL41" i="1"/>
  <c r="AY17" i="1"/>
  <c r="R32" i="34"/>
  <c r="T126" i="36"/>
  <c r="R34" i="36"/>
  <c r="R32" i="36" s="1"/>
  <c r="N124" i="34"/>
  <c r="AO15" i="1"/>
  <c r="P36" i="35"/>
  <c r="P36" i="34"/>
  <c r="W127" i="35"/>
  <c r="T13" i="34"/>
  <c r="AJ16" i="1"/>
  <c r="V11" i="35" s="1"/>
  <c r="U124" i="34"/>
  <c r="H48" i="1"/>
  <c r="Q44" i="9" s="1"/>
  <c r="S126" i="36"/>
  <c r="BJ8" i="1"/>
  <c r="BJ9" i="1" s="1"/>
  <c r="X78" i="34"/>
  <c r="U17" i="1"/>
  <c r="P22" i="36"/>
  <c r="O116" i="36"/>
  <c r="P26" i="34"/>
  <c r="P25" i="34" s="1"/>
  <c r="O25" i="34"/>
  <c r="P26" i="36"/>
  <c r="P25" i="36" s="1"/>
  <c r="P12" i="36" s="1"/>
  <c r="P11" i="36" s="1"/>
  <c r="R116" i="36"/>
  <c r="W17" i="1"/>
  <c r="S12" i="36" s="1"/>
  <c r="AR16" i="1"/>
  <c r="AL104" i="1"/>
  <c r="AF95" i="1"/>
  <c r="AF48" i="1" s="1"/>
  <c r="AF15" i="1" s="1"/>
  <c r="O66" i="36"/>
  <c r="Q66" i="36"/>
  <c r="O20" i="34"/>
  <c r="P20" i="34" s="1"/>
  <c r="P13" i="34" s="1"/>
  <c r="AL95" i="1"/>
  <c r="AE49" i="1"/>
  <c r="AE48" i="1" s="1"/>
  <c r="N25" i="36"/>
  <c r="S46" i="9"/>
  <c r="I49" i="1"/>
  <c r="R41" i="34"/>
  <c r="U79" i="36"/>
  <c r="U78" i="36" s="1"/>
  <c r="AG49" i="34"/>
  <c r="AG49" i="36"/>
  <c r="AG49" i="35"/>
  <c r="N45" i="34"/>
  <c r="U49" i="1"/>
  <c r="S45" i="34"/>
  <c r="V126" i="36"/>
  <c r="AY50" i="1"/>
  <c r="BL49" i="1"/>
  <c r="BL48" i="1" s="1"/>
  <c r="S59" i="35"/>
  <c r="X64" i="1"/>
  <c r="AB64" i="1" s="1"/>
  <c r="N59" i="35"/>
  <c r="AZ49" i="1"/>
  <c r="AL1333" i="1"/>
  <c r="U16" i="1"/>
  <c r="N12" i="34"/>
  <c r="S12" i="34"/>
  <c r="R24" i="36"/>
  <c r="R22" i="36" s="1"/>
  <c r="Q22" i="36"/>
  <c r="X18" i="1"/>
  <c r="X17" i="1" s="1"/>
  <c r="X16" i="1" s="1"/>
  <c r="AF121" i="1"/>
  <c r="R48" i="34"/>
  <c r="R22" i="34"/>
  <c r="Q126" i="36"/>
  <c r="O11" i="36"/>
  <c r="V16" i="31"/>
  <c r="V15" i="31" s="1"/>
  <c r="V14" i="31" s="1"/>
  <c r="AL49" i="1"/>
  <c r="AG16" i="1"/>
  <c r="AG15" i="1" s="1"/>
  <c r="R66" i="34"/>
  <c r="T121" i="1"/>
  <c r="U44" i="36"/>
  <c r="U43" i="36" s="1"/>
  <c r="BH15" i="1"/>
  <c r="P25" i="35"/>
  <c r="X126" i="36"/>
  <c r="X12" i="35"/>
  <c r="X11" i="35" s="1"/>
  <c r="Q13" i="36"/>
  <c r="T17" i="1"/>
  <c r="T16" i="1" s="1"/>
  <c r="W10" i="35"/>
  <c r="W128" i="35" s="1"/>
  <c r="BL18" i="1"/>
  <c r="BL17" i="1" s="1"/>
  <c r="BL16" i="1" s="1"/>
  <c r="P13" i="36"/>
  <c r="R75" i="35"/>
  <c r="R73" i="35" s="1"/>
  <c r="R13" i="36"/>
  <c r="BG15" i="1"/>
  <c r="R58" i="35"/>
  <c r="R65" i="34"/>
  <c r="AC15" i="1"/>
  <c r="Q20" i="34"/>
  <c r="Q13" i="34" s="1"/>
  <c r="V124" i="34"/>
  <c r="R90" i="36"/>
  <c r="X12" i="34"/>
  <c r="R118" i="35"/>
  <c r="R33" i="35"/>
  <c r="R32" i="35" s="1"/>
  <c r="AE16" i="1"/>
  <c r="X43" i="35"/>
  <c r="R15" i="1"/>
  <c r="R8" i="1"/>
  <c r="R9" i="1" s="1"/>
  <c r="AD15" i="1"/>
  <c r="BF8" i="1"/>
  <c r="BF9" i="1" s="1"/>
  <c r="AH49" i="1"/>
  <c r="V44" i="36"/>
  <c r="V43" i="36"/>
  <c r="AK15" i="1"/>
  <c r="V10" i="36" s="1"/>
  <c r="V127" i="36" s="1"/>
  <c r="V128" i="36" s="1"/>
  <c r="N78" i="36"/>
  <c r="S78" i="36"/>
  <c r="J16" i="1"/>
  <c r="V49" i="1"/>
  <c r="N45" i="35"/>
  <c r="S45" i="35"/>
  <c r="BF15" i="1"/>
  <c r="AL106" i="1"/>
  <c r="R63" i="35"/>
  <c r="R29" i="34"/>
  <c r="Q25" i="36"/>
  <c r="X1333" i="1"/>
  <c r="AB1333" i="1" s="1"/>
  <c r="W16" i="1"/>
  <c r="N12" i="36"/>
  <c r="AI15" i="1"/>
  <c r="V10" i="34" s="1"/>
  <c r="V125" i="34" s="1"/>
  <c r="V126" i="34" s="1"/>
  <c r="Q59" i="34"/>
  <c r="Q63" i="34"/>
  <c r="R63" i="34" s="1"/>
  <c r="R77" i="34"/>
  <c r="X124" i="34"/>
  <c r="V127" i="34" s="1"/>
  <c r="Q60" i="34"/>
  <c r="T50" i="1"/>
  <c r="X63" i="1"/>
  <c r="R30" i="35"/>
  <c r="R30" i="36"/>
  <c r="O117" i="34"/>
  <c r="P117" i="34"/>
  <c r="P116" i="34" s="1"/>
  <c r="W49" i="1"/>
  <c r="N45" i="36"/>
  <c r="S45" i="36"/>
  <c r="AD16" i="31"/>
  <c r="X121" i="1"/>
  <c r="AB121" i="1" s="1"/>
  <c r="R82" i="34"/>
  <c r="R78" i="34" s="1"/>
  <c r="Q78" i="34"/>
  <c r="T44" i="36"/>
  <c r="T43" i="36" s="1"/>
  <c r="R37" i="36"/>
  <c r="R36" i="36" s="1"/>
  <c r="R18" i="35"/>
  <c r="R16" i="35"/>
  <c r="R19" i="35"/>
  <c r="R17" i="35"/>
  <c r="R60" i="34"/>
  <c r="R62" i="34"/>
  <c r="R22" i="35"/>
  <c r="O12" i="35"/>
  <c r="O11" i="35" s="1"/>
  <c r="T44" i="34"/>
  <c r="T43" i="34" s="1"/>
  <c r="S16" i="1"/>
  <c r="U15" i="31"/>
  <c r="AE16" i="31"/>
  <c r="AQ15" i="1"/>
  <c r="AY16" i="1"/>
  <c r="X44" i="34"/>
  <c r="X43" i="34" s="1"/>
  <c r="X11" i="34"/>
  <c r="X43" i="36"/>
  <c r="X10" i="36" s="1"/>
  <c r="X127" i="36" s="1"/>
  <c r="X128" i="36" s="1"/>
  <c r="R31" i="35"/>
  <c r="R29" i="35"/>
  <c r="R60" i="35"/>
  <c r="J121" i="1"/>
  <c r="Q26" i="34"/>
  <c r="Q25" i="34" s="1"/>
  <c r="R58" i="34"/>
  <c r="W10" i="36"/>
  <c r="W127" i="36" s="1"/>
  <c r="W128" i="36" s="1"/>
  <c r="AY48" i="1"/>
  <c r="AA14" i="31"/>
  <c r="AH48" i="1"/>
  <c r="AG48" i="1"/>
  <c r="AY49" i="1"/>
  <c r="W129" i="35"/>
  <c r="P45" i="34"/>
  <c r="S127" i="34"/>
  <c r="AD48" i="31"/>
  <c r="R47" i="31"/>
  <c r="P13" i="35"/>
  <c r="P12" i="35" s="1"/>
  <c r="U13" i="35"/>
  <c r="U12" i="35" s="1"/>
  <c r="U11" i="35" s="1"/>
  <c r="AN15" i="1"/>
  <c r="AZ48" i="1"/>
  <c r="Q73" i="34"/>
  <c r="R76" i="34"/>
  <c r="R37" i="34"/>
  <c r="R36" i="34" s="1"/>
  <c r="U12" i="34"/>
  <c r="U11" i="34" s="1"/>
  <c r="R48" i="35"/>
  <c r="R36" i="35"/>
  <c r="T12" i="35"/>
  <c r="T11" i="35" s="1"/>
  <c r="AB79" i="1"/>
  <c r="X78" i="1"/>
  <c r="O45" i="34"/>
  <c r="O44" i="34" s="1"/>
  <c r="O43" i="34" s="1"/>
  <c r="AE48" i="31"/>
  <c r="S47" i="31"/>
  <c r="X14" i="31"/>
  <c r="Q45" i="36"/>
  <c r="Q44" i="36" s="1"/>
  <c r="Q43" i="36" s="1"/>
  <c r="R47" i="36"/>
  <c r="Q13" i="35"/>
  <c r="Q12" i="9"/>
  <c r="H15" i="1"/>
  <c r="Q11" i="9" s="1"/>
  <c r="AJ15" i="1"/>
  <c r="V10" i="35" s="1"/>
  <c r="V128" i="35" s="1"/>
  <c r="V129" i="35" s="1"/>
  <c r="P73" i="34"/>
  <c r="W10" i="34"/>
  <c r="W125" i="34" s="1"/>
  <c r="W126" i="34" s="1"/>
  <c r="R30" i="34"/>
  <c r="R19" i="34"/>
  <c r="R14" i="35"/>
  <c r="T12" i="34"/>
  <c r="T11" i="34" s="1"/>
  <c r="Q25" i="35"/>
  <c r="R26" i="36" l="1"/>
  <c r="AL48" i="1"/>
  <c r="V129" i="36"/>
  <c r="AE15" i="1"/>
  <c r="R117" i="35"/>
  <c r="R116" i="35" s="1"/>
  <c r="U10" i="34"/>
  <c r="U125" i="34" s="1"/>
  <c r="U126" i="34" s="1"/>
  <c r="Q124" i="34"/>
  <c r="X10" i="35"/>
  <c r="X128" i="35" s="1"/>
  <c r="X129" i="35" s="1"/>
  <c r="AY15" i="1"/>
  <c r="P11" i="35"/>
  <c r="R20" i="34"/>
  <c r="T10" i="36"/>
  <c r="T127" i="36" s="1"/>
  <c r="T128" i="36" s="1"/>
  <c r="Q12" i="36"/>
  <c r="Q11" i="36" s="1"/>
  <c r="O13" i="34"/>
  <c r="O12" i="34" s="1"/>
  <c r="O11" i="34" s="1"/>
  <c r="U126" i="36"/>
  <c r="U128" i="36" s="1"/>
  <c r="O59" i="35"/>
  <c r="P59" i="35" s="1"/>
  <c r="Q59" i="35"/>
  <c r="U48" i="1"/>
  <c r="S44" i="34"/>
  <c r="N44" i="34"/>
  <c r="N127" i="35"/>
  <c r="T59" i="35"/>
  <c r="S127" i="35"/>
  <c r="AZ16" i="1"/>
  <c r="AR15" i="1"/>
  <c r="AZ15" i="1" s="1"/>
  <c r="R73" i="34"/>
  <c r="P124" i="34"/>
  <c r="S45" i="9"/>
  <c r="I48" i="1"/>
  <c r="P66" i="36"/>
  <c r="R66" i="36" s="1"/>
  <c r="R45" i="36" s="1"/>
  <c r="R44" i="36" s="1"/>
  <c r="R43" i="36" s="1"/>
  <c r="O45" i="36"/>
  <c r="O44" i="36" s="1"/>
  <c r="O43" i="36" s="1"/>
  <c r="O10" i="36" s="1"/>
  <c r="O127" i="36" s="1"/>
  <c r="O126" i="36"/>
  <c r="N11" i="34"/>
  <c r="S11" i="34"/>
  <c r="U8" i="1"/>
  <c r="U9" i="1" s="1"/>
  <c r="P12" i="34"/>
  <c r="P11" i="34" s="1"/>
  <c r="Q45" i="34"/>
  <c r="Q44" i="34" s="1"/>
  <c r="Q43" i="34" s="1"/>
  <c r="R13" i="34"/>
  <c r="R59" i="34"/>
  <c r="AD15" i="31"/>
  <c r="J15" i="1"/>
  <c r="R25" i="35"/>
  <c r="X10" i="34"/>
  <c r="X125" i="34" s="1"/>
  <c r="X126" i="34" s="1"/>
  <c r="T10" i="34"/>
  <c r="T125" i="34" s="1"/>
  <c r="T126" i="34" s="1"/>
  <c r="Q10" i="36"/>
  <c r="Q127" i="36" s="1"/>
  <c r="Q128" i="36" s="1"/>
  <c r="Q12" i="34"/>
  <c r="Q11" i="34" s="1"/>
  <c r="V48" i="1"/>
  <c r="S44" i="35"/>
  <c r="N44" i="35"/>
  <c r="N11" i="36"/>
  <c r="S11" i="36"/>
  <c r="W48" i="1"/>
  <c r="S44" i="36"/>
  <c r="N44" i="36"/>
  <c r="O116" i="34"/>
  <c r="O124" i="34" s="1"/>
  <c r="R117" i="34"/>
  <c r="R116" i="34" s="1"/>
  <c r="R124" i="34" s="1"/>
  <c r="T49" i="1"/>
  <c r="O10" i="34"/>
  <c r="O125" i="34" s="1"/>
  <c r="AB63" i="1"/>
  <c r="X50" i="1"/>
  <c r="AB50" i="1" s="1"/>
  <c r="BL8" i="1"/>
  <c r="BL9" i="1" s="1"/>
  <c r="BL15" i="1"/>
  <c r="S8" i="1"/>
  <c r="S9" i="1" s="1"/>
  <c r="S15" i="1"/>
  <c r="R26" i="34"/>
  <c r="R25" i="34" s="1"/>
  <c r="U14" i="31"/>
  <c r="AE15" i="31"/>
  <c r="R13" i="35"/>
  <c r="R12" i="35" s="1"/>
  <c r="R11" i="35" s="1"/>
  <c r="R14" i="31"/>
  <c r="AD14" i="31" s="1"/>
  <c r="AD47" i="31"/>
  <c r="O126" i="34"/>
  <c r="P44" i="34"/>
  <c r="P43" i="34" s="1"/>
  <c r="R45" i="34"/>
  <c r="AE47" i="31"/>
  <c r="S14" i="31"/>
  <c r="AB78" i="1"/>
  <c r="Q12" i="35"/>
  <c r="Q11" i="35" s="1"/>
  <c r="Q10" i="34"/>
  <c r="Q125" i="34" s="1"/>
  <c r="Q126" i="34" s="1"/>
  <c r="R126" i="36" l="1"/>
  <c r="R25" i="36"/>
  <c r="R12" i="36" s="1"/>
  <c r="R11" i="36" s="1"/>
  <c r="R59" i="35"/>
  <c r="S129" i="36"/>
  <c r="R44" i="34"/>
  <c r="R43" i="34" s="1"/>
  <c r="N43" i="34"/>
  <c r="S43" i="34"/>
  <c r="R10" i="36"/>
  <c r="R127" i="36" s="1"/>
  <c r="R128" i="36" s="1"/>
  <c r="P127" i="35"/>
  <c r="P45" i="35"/>
  <c r="P44" i="35" s="1"/>
  <c r="P43" i="35" s="1"/>
  <c r="P10" i="35" s="1"/>
  <c r="P128" i="35" s="1"/>
  <c r="P45" i="36"/>
  <c r="P44" i="36" s="1"/>
  <c r="P43" i="36" s="1"/>
  <c r="P10" i="36" s="1"/>
  <c r="P127" i="36" s="1"/>
  <c r="P126" i="36"/>
  <c r="U59" i="35"/>
  <c r="T45" i="35"/>
  <c r="T44" i="35" s="1"/>
  <c r="T43" i="35" s="1"/>
  <c r="T10" i="35" s="1"/>
  <c r="T128" i="35" s="1"/>
  <c r="T127" i="35"/>
  <c r="Q127" i="35"/>
  <c r="Q45" i="35"/>
  <c r="Q44" i="35" s="1"/>
  <c r="Q43" i="35" s="1"/>
  <c r="Q10" i="35" s="1"/>
  <c r="Q128" i="35" s="1"/>
  <c r="U15" i="1"/>
  <c r="N10" i="34" s="1"/>
  <c r="N125" i="34" s="1"/>
  <c r="N126" i="34" s="1"/>
  <c r="O128" i="36"/>
  <c r="S44" i="9"/>
  <c r="I15" i="1"/>
  <c r="S11" i="9" s="1"/>
  <c r="O45" i="35"/>
  <c r="O44" i="35" s="1"/>
  <c r="O43" i="35" s="1"/>
  <c r="O10" i="35" s="1"/>
  <c r="O128" i="35" s="1"/>
  <c r="O127" i="35"/>
  <c r="X49" i="1"/>
  <c r="AB49" i="1" s="1"/>
  <c r="P10" i="34"/>
  <c r="P125" i="34" s="1"/>
  <c r="P126" i="34" s="1"/>
  <c r="R12" i="34"/>
  <c r="R11" i="34" s="1"/>
  <c r="R10" i="34" s="1"/>
  <c r="R125" i="34" s="1"/>
  <c r="R126" i="34" s="1"/>
  <c r="S10" i="34"/>
  <c r="S125" i="34" s="1"/>
  <c r="S126" i="34" s="1"/>
  <c r="N43" i="35"/>
  <c r="V8" i="1"/>
  <c r="V9" i="1" s="1"/>
  <c r="S43" i="35"/>
  <c r="V15" i="1"/>
  <c r="T48" i="1"/>
  <c r="S43" i="36"/>
  <c r="N43" i="36"/>
  <c r="W8" i="1"/>
  <c r="W9" i="1" s="1"/>
  <c r="W15" i="1"/>
  <c r="AE14" i="31"/>
  <c r="N127" i="34"/>
  <c r="X48" i="1"/>
  <c r="T129" i="35" l="1"/>
  <c r="Q129" i="35"/>
  <c r="O129" i="35"/>
  <c r="R45" i="35"/>
  <c r="R44" i="35" s="1"/>
  <c r="R43" i="35" s="1"/>
  <c r="R10" i="35" s="1"/>
  <c r="R128" i="35" s="1"/>
  <c r="R129" i="35" s="1"/>
  <c r="R127" i="35"/>
  <c r="P128" i="36"/>
  <c r="P129" i="35"/>
  <c r="N130" i="35"/>
  <c r="U127" i="35"/>
  <c r="S130" i="35" s="1"/>
  <c r="U45" i="35"/>
  <c r="U44" i="35" s="1"/>
  <c r="U43" i="35" s="1"/>
  <c r="U10" i="35" s="1"/>
  <c r="U128" i="35" s="1"/>
  <c r="N129" i="36"/>
  <c r="S10" i="35"/>
  <c r="S128" i="35" s="1"/>
  <c r="S129" i="35" s="1"/>
  <c r="N10" i="35"/>
  <c r="N128" i="35" s="1"/>
  <c r="N129" i="35" s="1"/>
  <c r="S10" i="36"/>
  <c r="S127" i="36" s="1"/>
  <c r="S128" i="36" s="1"/>
  <c r="N10" i="36"/>
  <c r="N127" i="36" s="1"/>
  <c r="N128" i="36" s="1"/>
  <c r="T15" i="1"/>
  <c r="T8" i="1"/>
  <c r="T9" i="1" s="1"/>
  <c r="X8" i="1"/>
  <c r="X9" i="1" s="1"/>
  <c r="X15" i="1"/>
  <c r="AB48" i="1"/>
  <c r="U129" i="35" l="1"/>
  <c r="AH122" i="1"/>
  <c r="AH121" i="1" s="1"/>
  <c r="AL121" i="1" l="1"/>
  <c r="AL15" i="1" s="1"/>
  <c r="AH15" i="1"/>
  <c r="AL122" i="1"/>
  <c r="F376" i="88" l="1"/>
  <c r="F375" i="88" l="1"/>
  <c r="F374" i="88" l="1"/>
  <c r="F373" i="88" l="1"/>
  <c r="N382" i="88"/>
  <c r="H376" i="88"/>
  <c r="H375" i="88" s="1"/>
  <c r="H374" i="88" s="1"/>
  <c r="N376" i="88" l="1"/>
  <c r="H373" i="88"/>
  <c r="N373" i="88" s="1"/>
  <c r="N374" i="88"/>
  <c r="N375" i="88"/>
</calcChain>
</file>

<file path=xl/comments1.xml><?xml version="1.0" encoding="utf-8"?>
<comments xmlns="http://schemas.openxmlformats.org/spreadsheetml/2006/main">
  <authors>
    <author>malkova_na</author>
  </authors>
  <commentList>
    <comment ref="X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Y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Z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AA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AB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AC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</commentList>
</comments>
</file>

<file path=xl/sharedStrings.xml><?xml version="1.0" encoding="utf-8"?>
<sst xmlns="http://schemas.openxmlformats.org/spreadsheetml/2006/main" count="12986" uniqueCount="3602">
  <si>
    <t>Строительство РП "Новая Гагарина" и кабельной сети 6 кВ от ПС "Трубная 2"</t>
  </si>
  <si>
    <t xml:space="preserve">Начальник управления                                                                                                                                                                   В.И. Чунихин </t>
  </si>
  <si>
    <t xml:space="preserve">Начальник управления                                                                                                                                                                                                                           В.И. Чунихин  </t>
  </si>
  <si>
    <t xml:space="preserve">Начальник управления                                                                                                                                                                                                                      В.И. Чунихин  </t>
  </si>
  <si>
    <t xml:space="preserve">Начальник управления                                                                                                                                                   В.И. Чунихин  </t>
  </si>
  <si>
    <t xml:space="preserve">Начальник управления                                                                                                                                                                   В.И. Чунихин  </t>
  </si>
  <si>
    <t>Строительство ВЛ-0,4 кВ от КТП-91 до садового домика по адресу: г. Липецк, СНТ "Тракторостроитель-1", ул. Юбилейная, зем. уч. № 34 для электроснабжения садового домика по адресу: г. Липецк, СНТ "Тракторостроитель-1", ул. Юбилейная, зем. уч. № 34.</t>
  </si>
  <si>
    <t>Строительство КЛ-10 кВ от ТП-517 до ТП-517 а для электроснабжения ТП-517 а по адресу: г. Липецк, ул. Адмирала Макарова, д. 1 К</t>
  </si>
  <si>
    <t>Монтаж узла учета на опоре ВЛ-0,4 кВ в СНТ "Горняк", смонтированной по п. 4.1.82/09 программы перспективного развития, от ТП-642 для электроснабжения садового домика по адресу: г. Липецк, СНТ "Горняк", уч. № 46</t>
  </si>
  <si>
    <t>Электроснабжение садовых домиков в потребительском обществе пенсионеров и инвалидов "Сокол-1"</t>
  </si>
  <si>
    <t>0,5 км/ 0,25 МВА</t>
  </si>
  <si>
    <t>0,4 км/ 0,25 МВА</t>
  </si>
  <si>
    <t>0,3 км/ 0,16 МВА</t>
  </si>
  <si>
    <t>0,3 км/ 0,4 МВА</t>
  </si>
  <si>
    <t>3,0 км/ 0,4 МВА</t>
  </si>
  <si>
    <t>2 км/ 0,25 МВА</t>
  </si>
  <si>
    <t>0,3 км/ 0,1 МВА</t>
  </si>
  <si>
    <t>0,5 км/ 0,4 МВА</t>
  </si>
  <si>
    <t>0,5 км/ 0,1 МВА</t>
  </si>
  <si>
    <t>2 км/ 0 МВА</t>
  </si>
  <si>
    <t>0,5 км / 0 МВА</t>
  </si>
  <si>
    <t>0,45 км / 0 МВА</t>
  </si>
  <si>
    <t>0,3 км / 0 МВА</t>
  </si>
  <si>
    <t>0,2 км / 0 МВА</t>
  </si>
  <si>
    <t>0,075 км /0 МВА</t>
  </si>
  <si>
    <t>0,05 км / 0 МВА</t>
  </si>
  <si>
    <t>0,1 км / 0 МВА</t>
  </si>
  <si>
    <t>0 км / 0 МВА</t>
  </si>
  <si>
    <t>0,35 км / 0 МВА</t>
  </si>
  <si>
    <t>0,4 км / 0 МВА</t>
  </si>
  <si>
    <t>0,4 км / 2 МВА</t>
  </si>
  <si>
    <t>0,36 км / 0,16 МВА</t>
  </si>
  <si>
    <t xml:space="preserve"> 0,2 км/0,1 МВА</t>
  </si>
  <si>
    <t xml:space="preserve"> 0,15 км/0 МВА</t>
  </si>
  <si>
    <t xml:space="preserve"> 0,3 км/0 МВА</t>
  </si>
  <si>
    <t xml:space="preserve"> 1,7 км/0 МВА</t>
  </si>
  <si>
    <t xml:space="preserve"> 0,2 км/0 МВА</t>
  </si>
  <si>
    <t>3.3.70</t>
  </si>
  <si>
    <t>3.3.71</t>
  </si>
  <si>
    <t>3.3.72</t>
  </si>
  <si>
    <t>3.3.73</t>
  </si>
  <si>
    <t>3.3.74</t>
  </si>
  <si>
    <t>3.3.75</t>
  </si>
  <si>
    <t>3.3.76</t>
  </si>
  <si>
    <t>3.3.77</t>
  </si>
  <si>
    <t>3.3.78</t>
  </si>
  <si>
    <t>3.3.79</t>
  </si>
  <si>
    <t>3.3.80</t>
  </si>
  <si>
    <t>3.3.81</t>
  </si>
  <si>
    <t>3.3.82</t>
  </si>
  <si>
    <t>3.3.83</t>
  </si>
  <si>
    <t>3.3.84</t>
  </si>
  <si>
    <t>3.3.85</t>
  </si>
  <si>
    <t>3.3.86</t>
  </si>
  <si>
    <t>3.3.87</t>
  </si>
  <si>
    <t xml:space="preserve"> 0,05 км/0 МВА</t>
  </si>
  <si>
    <t>3.3.88</t>
  </si>
  <si>
    <t>3.3.89</t>
  </si>
  <si>
    <t>Монтаж оборудования в РП-50 для электроснабжения комбината школьного питания мощностью 60 тысяч обедов в сутки по ул. Минская в 34 микр., запитанного от РУ-10 кВ РП-50, 2002 кВт, 10 кВ, II категория</t>
  </si>
  <si>
    <t>Строительство КЛ-10 кВ от ТП-810 до ТП-839а для электроснабжения группы жилых домов с объектами соцкультбыта по адресу: г. Липецк, ул. Фрунзе, запитанного от РУ-10 кВ ТП-810 и ТП-377; 540 кВт, 10 кВ, II категория</t>
  </si>
  <si>
    <t>Реконструкция КЛ-0,4 кВ "ТП-107 - ул. Гагарина, д. 60 "а" для электроснабжения здания лабораторного корпуса по адресу: г. Липецк, ул. Гагарина, д. 60 "а" (инв. № 341211)</t>
  </si>
  <si>
    <t>Монтаж УСПД в ТП-283 для электроснабжения магазина по адресу: г. Липецк, пр. 60 лет СССР, д. 2</t>
  </si>
  <si>
    <t>Монтаж оборудования в РУ-10 кВ РП-32 и монтаж узла учета в РУ-10 кВ в РП-32 для электроснабжения комплекса зданий и сооружений, связанных с организацией отдыха на воде по адресу: г. Липецк, прибрежная зона реки Воронеж по ул. 50 лет НЛМК</t>
  </si>
  <si>
    <t>Строительство новой КТП (взамен КТП-558), КЛ-6 кВ от ТП-712 до новой КТП, реконструкция оборудования РУ-6 кВ ТП-712 для электроснабжения объекта: "Здание автосалона и станции технического обслуживания по ул. Краснозаводская, стр. 2В, запитанного от новой КТП; 333 кВт, 6 кВ, III категория</t>
  </si>
  <si>
    <t>Монтаж новой ТП 2х630, строительство КЛ-6 кВ от ПС "Трубная-2" до новой ТП, строительство КЛ-6 кВ от ТП-45 до новой ТП, монтаж оборудования в ТП-45 для электроснабжения кирпичного склада (лит. Д) подлежащего реконструкции под здание цеха по производству 3-х компонентной пластиковой пробки "Spirit" по пр. Боевой, д. 1, запитанного от РУ-6 кВ ПС "Трубная-2"; 540 кВт, 380 В, II категория</t>
  </si>
  <si>
    <t>Монтаж оборудования в РП-32, строительство КЛ-10 кВ от ПС "Манежная" до РП-32, монтаж оборудования в ТП-339, перезавод КЛ-10 кВ из ПС "Южная" в ТП-339 для электроснабжения административного здания по ул. 50 лет НЛМК, запитанного от РУ-10 кВ ПС "Манежная"; 256,6 кВт, 380 В, II категория</t>
  </si>
  <si>
    <t>Монтаж оборудования в ТП-131, монтаж трансформаторов в ТП-131, монтаж оборудования в ТП-11 (с целью перевода на 10 кВ), строительство КЛ-10 кВ от ТП-11 до ТП-176 и от ТП-11 до ТП-178, строительство КЛ-6 кВ для электроснабжения жилого дома с объектами соцкультбыта в цокольном этаже, запитанного от ТП-131; 205 кВт; 380 В, II категория</t>
  </si>
  <si>
    <t>Строительство новой ТП-1 (взамен старой ТП-1), строительство КЛ-6 кВ от РП-3 до новой ТП-1 для электроснабжения жилого здания с объектами соцкультбыта на пересечении ул. Карьерная и ул. Студеновская, запитанного от ТП-1; 236 кВт, 380 В, II категория</t>
  </si>
  <si>
    <t xml:space="preserve"> г. Липецк, ул. Гагарина, ш. Лебедянское</t>
  </si>
  <si>
    <t>(+)</t>
  </si>
  <si>
    <t>(-)</t>
  </si>
  <si>
    <t>не требуется</t>
  </si>
  <si>
    <t>увеличение пропускной способности для обеспечения нового строительства</t>
  </si>
  <si>
    <t>обязательства ОАО "ЛГЭК" по заключенным договорам тех.присоединения</t>
  </si>
  <si>
    <t>областная программа приведения социально-значимых объектов к требуемой категории электроснабжения</t>
  </si>
  <si>
    <t>увеличение пропускной способности, приведение к категорийности КНС</t>
  </si>
  <si>
    <t>увеличение установленной мощности для обеспечения нового строительства</t>
  </si>
  <si>
    <t>увеличение пропускной способности для поддержания режима работы сетей</t>
  </si>
  <si>
    <t>обеспечение категорийности</t>
  </si>
  <si>
    <t>областная программа приведения  объектов здравоохранения к требуемой категории электроснабжения</t>
  </si>
  <si>
    <t>обязательства ОАО "ЛГЭК" по заключенным договорам тех.присоединения в соответствии с ОПР г. Липецка</t>
  </si>
  <si>
    <t>новое строительство</t>
  </si>
  <si>
    <t>АПВПУ с изоляцией из сшитого полиэтилена</t>
  </si>
  <si>
    <t>1962</t>
  </si>
  <si>
    <t>металлические</t>
  </si>
  <si>
    <t>АС-95</t>
  </si>
  <si>
    <t>4,95</t>
  </si>
  <si>
    <t>25 МВА (пропускная способность)</t>
  </si>
  <si>
    <t>КЛ</t>
  </si>
  <si>
    <t>1967</t>
  </si>
  <si>
    <t>ААБ с пропитанной бумажной изоляцией</t>
  </si>
  <si>
    <t>0,8</t>
  </si>
  <si>
    <t>1980</t>
  </si>
  <si>
    <t>1х3,51
1х3,32</t>
  </si>
  <si>
    <t>1976</t>
  </si>
  <si>
    <t>деревянные, ж/б</t>
  </si>
  <si>
    <t>2,35</t>
  </si>
  <si>
    <t>СИП, ААПВПУ с изоляцией из сшитого полиэтилена</t>
  </si>
  <si>
    <t>1974</t>
  </si>
  <si>
    <t>3</t>
  </si>
  <si>
    <t>1988</t>
  </si>
  <si>
    <t>1956</t>
  </si>
  <si>
    <t>АСБ с пропитанной бумажной изоляцией</t>
  </si>
  <si>
    <t>0,12</t>
  </si>
  <si>
    <t>0,2</t>
  </si>
  <si>
    <t>1979</t>
  </si>
  <si>
    <t>1968</t>
  </si>
  <si>
    <t>0,3</t>
  </si>
  <si>
    <t>АВБШВ с виниловой изоляцией</t>
  </si>
  <si>
    <t>1970</t>
  </si>
  <si>
    <t>1х0,4МВА</t>
  </si>
  <si>
    <t>1995</t>
  </si>
  <si>
    <t>2х0,4МВА</t>
  </si>
  <si>
    <t>АВБШв 2х(4х50) с виниловой изоляцией</t>
  </si>
  <si>
    <t>1960</t>
  </si>
  <si>
    <t>дерев</t>
  </si>
  <si>
    <t>А-35</t>
  </si>
  <si>
    <t>0,25</t>
  </si>
  <si>
    <t>2х0,4 МВА</t>
  </si>
  <si>
    <t>Наименование объекта</t>
  </si>
  <si>
    <t>Стадия реали-
зации проекта</t>
  </si>
  <si>
    <t>Год начала строитель-
ства</t>
  </si>
  <si>
    <t>Год окончания строитель-
ства</t>
  </si>
  <si>
    <t>Остаточная стоимость строитель-
ства</t>
  </si>
  <si>
    <t>Ввод мощностей</t>
  </si>
  <si>
    <t>итого</t>
  </si>
  <si>
    <t>С/П</t>
  </si>
  <si>
    <t>млн. рублей</t>
  </si>
  <si>
    <t>ВСЕГО</t>
  </si>
  <si>
    <t>1</t>
  </si>
  <si>
    <t>Техническое перевооружение и реконструкция</t>
  </si>
  <si>
    <t>1.1</t>
  </si>
  <si>
    <t>Энергосбережение и повышение энергетической эффективности</t>
  </si>
  <si>
    <t>1.1.1</t>
  </si>
  <si>
    <t>Сети среднего напряжения</t>
  </si>
  <si>
    <t>1.1.1.1</t>
  </si>
  <si>
    <t>С</t>
  </si>
  <si>
    <t>1.1.1.2</t>
  </si>
  <si>
    <t>0,7 км</t>
  </si>
  <si>
    <t>1.1.2</t>
  </si>
  <si>
    <t>Сети низкого напряжения</t>
  </si>
  <si>
    <t>1.1.3</t>
  </si>
  <si>
    <t>Объекты электросетевого хозяйства</t>
  </si>
  <si>
    <t>1.1.3.1</t>
  </si>
  <si>
    <t>1.1.3.2</t>
  </si>
  <si>
    <t>П+С</t>
  </si>
  <si>
    <t>1х0,63 МВА</t>
  </si>
  <si>
    <t>2х0,63 МВА</t>
  </si>
  <si>
    <t>2х25 МВА</t>
  </si>
  <si>
    <t>1.2</t>
  </si>
  <si>
    <t>1.2.1</t>
  </si>
  <si>
    <t>1.2.2</t>
  </si>
  <si>
    <t>Монтаж устройств сбора-передачи данных (УСПД)</t>
  </si>
  <si>
    <t>1.3</t>
  </si>
  <si>
    <t>Создание систем телемеханики и связи</t>
  </si>
  <si>
    <t>1.3.1</t>
  </si>
  <si>
    <t>1.3.2</t>
  </si>
  <si>
    <t>1.3.3</t>
  </si>
  <si>
    <t>1.3.4</t>
  </si>
  <si>
    <t>1.3.5</t>
  </si>
  <si>
    <t>2</t>
  </si>
  <si>
    <t>Новое строительство</t>
  </si>
  <si>
    <t>2.1</t>
  </si>
  <si>
    <t>2.1.1</t>
  </si>
  <si>
    <t>2.1.1.1</t>
  </si>
  <si>
    <t>2.1.1.2</t>
  </si>
  <si>
    <t>2.1.1.3</t>
  </si>
  <si>
    <t>Строительство ВЛ, КЛ-35 кВ от ПС "Бугор" до ПС "Город" с отпайкой на ПС "Водозабор №2"</t>
  </si>
  <si>
    <t>2.1.1.4</t>
  </si>
  <si>
    <t>0,8 км</t>
  </si>
  <si>
    <t>Строительство новой КТП-259 взамен существующей (инв. № 100907) для объекта технологического присоединения: "Электроснабжение гаража № 1 в ГПК автолюбителей "Металлист-23", ряд 1"</t>
  </si>
  <si>
    <t>Реконструкция ВЛ-0,4 кВ от КТП-546 по ул. Липецкая (инв. № 346169) для объекта технологического присоединения: "Электроснабжение индивидуального жилого дома и хозяйственных построек по ул. Липецкая, д. 27"</t>
  </si>
  <si>
    <t>Строительство КВЛ-0,4 кВ от ТП-388 по ул. Терешковой для электроснабжения здания склада по адресу: г. Липецк, ул. В.Терешковой, строение 33в</t>
  </si>
  <si>
    <t>Строительство ВЛ-0,4 кВ от опоры проектируемой ВЛ-0,4 кВ от ТП-642 (код 4.1.26/09 программы перспективного развития ОАО "ЛГЭК" на 2011 год) до зем. уч. № 68 в СНТ "Горняк"</t>
  </si>
  <si>
    <t xml:space="preserve">Электроснабжение гаража по адресу: г. Липецк, ул. Депутатская, владение 58, гараж 24 </t>
  </si>
  <si>
    <t>Электроснабжение кирпичного гаража с погребом по адресу: г. Липецк, ГСК "Монтажник-2", ряд № 19, гараж № 13</t>
  </si>
  <si>
    <t>Строительство КЛ-0,4 кВ от ТП-877 до автоматической мини-АЗС по адресу: г. Липецк, ул. Меркулова</t>
  </si>
  <si>
    <t>Строительство КЛ-0,4 кВ от ТП-809 до автоматической мини-АЗС по адресу: г. Липецк, ул. Неделина</t>
  </si>
  <si>
    <t>Электроснабжение садовых домиков в потребительском обществе пенсионеров и инвалидов "Сокол-1", г. Липецк</t>
  </si>
  <si>
    <t>Электроснабжение жилого дома по адресу: г. Липецк, пр. Комсомольский, д. 7</t>
  </si>
  <si>
    <t>Электроснабжение индивидуального жилого дома по адресу: г. Липецк, ул. Днепровская, д. 9</t>
  </si>
  <si>
    <t>Монтаж коммутационного аппарата РУ-0,4 кВ ТП-163 для электроснабжения автостоянки закрытого типа (гаражей), бытовых зданий по адресу: г. Липецк, ул. Коммунальная, стр.8а</t>
  </si>
  <si>
    <t>Электроснабжение части II жилого дома по адресу: г. Липецк, ул. Большие ключи, д. 14,часть II</t>
  </si>
  <si>
    <t>Строительство ВЛ-0,4 кВ от опоры ВЛ-0,4 кВ смонтированной по п. 4.1.66/09 ППР, до земельного участка по адресу: г. Липецк, потребительское общество пенсионеров и инвалидов "Сокол-1", зем. уч. № 637</t>
  </si>
  <si>
    <t>Электроснабжение жилого дома по адресу: г. Липецк, ул. Локомотивная, д. 3</t>
  </si>
  <si>
    <t>Электроснабжение производственной базы (участок В) по адресу: г. Липецк, проезд Поперечный, строение 13б</t>
  </si>
  <si>
    <t>Строительство ВЛ-0,4 кВ от ВЛ-0,4 кВ, смонтированной по п.4.1.60/09 ППР, до границ земельного участка № 30 в СНТ "Металлург-1", III квартал</t>
  </si>
  <si>
    <t>Электроснабжение кирпичного гаража по адресу: ул. Терешковой, д. 10/2</t>
  </si>
  <si>
    <t>Электроснабжение киосков № К-4616, 1/2 части № К-4617 по адресу: г. Липецк, ул. Космонавтов, район д. 30</t>
  </si>
  <si>
    <t>Электроснабжение помещений по адресу: г. Липецк, ул. Неделина, д. 1"б"</t>
  </si>
  <si>
    <t>Электроснабжение гаража по адресу: г. Липецк, ул. Российская, гараж № 4</t>
  </si>
  <si>
    <t>Электроснабжение административного здания с СТО легковых автомобилей и автомойкой на 2 поста по адресу: г. Липецк, ул. Баумана, строение № 297б</t>
  </si>
  <si>
    <t>Электроснабжение индивидуального жилого дома усадебного типа по адресу: г. Липецк, ул. Грушевая, район д. № 51</t>
  </si>
  <si>
    <t>Электроснабжение садового домика по адресу: г. Липецк, потребительское садовое общество пенсионеров и инвалидов "Речное", ул. Сокольский лог, зем. уч. № 583</t>
  </si>
  <si>
    <t>Монтаж оборудования РУ-0,4кВ ТП-178 взамен существующего (инв. №410100А), монтаж оборудования РУ-6кВ ТП-178 взамен существующего (инв. №410100А), монтаж трансформаторов в ТП-178 взамен существующих (инв. №41132А), монтаж ячеек в РУ-10кВ РП-Центр, строительство КЛ-10кВ от РП-Центр до ТП-178,реконструкция КЛ-6кВ "ТП-128 - ТП-178" (инв. №345449) и "ТП-176 - ТП-178" (инв. №345448), реконструкция КЛ-6кВ "ТП-128 - ТП-178" (инв. №345449) и "ТП-11 - ТП-178" (инв. №345354) для электроснабжения жилого здания с объектами соцкультбыта и подземной автостоянкой по ул. Неделина, запитанного от РУ-0,4 кВ ТП-178; 404,09 кВт, 380В, 2 категория</t>
  </si>
  <si>
    <t>основание включения инвестиционного
проекта в инвести-
ционную программу (решение Правительства Российской Федерации, федеральные, региональные
и муниципальные)</t>
  </si>
  <si>
    <t>доходность</t>
  </si>
  <si>
    <t>срок
окупаемости</t>
  </si>
  <si>
    <t>АС-50</t>
  </si>
  <si>
    <t>АПвПу с изоляцией из сшитого полиэтилена</t>
  </si>
  <si>
    <t>ААБ с бумажной изоляцией</t>
  </si>
  <si>
    <t>Ж/Б</t>
  </si>
  <si>
    <t>Ж/Б, деревянные</t>
  </si>
  <si>
    <t>1969</t>
  </si>
  <si>
    <t>1х0,56 МВА
1х0,63 МВА
(мощность трансформаторов)</t>
  </si>
  <si>
    <t>25</t>
  </si>
  <si>
    <t>2х0,63 МВА (мощность трансформаторов)</t>
  </si>
  <si>
    <t>2х10 МВА (мощность трансформаторов)</t>
  </si>
  <si>
    <t>2х25 МВА (мощность трансформаторов)</t>
  </si>
  <si>
    <t>Низковольтный СИП-2</t>
  </si>
  <si>
    <t>Технические характеристики реконструируемых  объектов</t>
  </si>
  <si>
    <t>1982</t>
  </si>
  <si>
    <t>-</t>
  </si>
  <si>
    <t>ААШВ с пропитанной бумажной изоляцией</t>
  </si>
  <si>
    <t>30</t>
  </si>
  <si>
    <t>Липецкая область</t>
  </si>
  <si>
    <t>г. Липецк от ПС "Цементная" р-он Цемзавода до ПС "Студеновская" по ул. Ф. Энгельса</t>
  </si>
  <si>
    <t>г. Липецк от РП-15 по пр. Мира, 4а до ТП-505 по пр. Мира, 1</t>
  </si>
  <si>
    <t>г.Липецк</t>
  </si>
  <si>
    <t>г. Липецк, от ТП-27 по ул. Новокарьерная, д. 58 до ТП-127 по ул. Шевченко, д. 116</t>
  </si>
  <si>
    <t xml:space="preserve"> г. Липецк, от ПС "Правобережная" с.Ленино до ТП-616 по ул. Исполкомовская </t>
  </si>
  <si>
    <t xml:space="preserve"> г. Липецк, от ТП-68 по ул. Зегеля до жилого дома № 2 по ул. Зегеля</t>
  </si>
  <si>
    <t xml:space="preserve"> г. Липецк, от ТП-704 по ул. Ильича до МОУ СШ № 25 по ул. Ильича</t>
  </si>
  <si>
    <t xml:space="preserve"> г. Липецк, от ТП-104 по ул. Советская до школы №2</t>
  </si>
  <si>
    <t xml:space="preserve"> г. Липецк, ул. Исполкомовская</t>
  </si>
  <si>
    <t>г. Липецк, пос. Северный Рудник</t>
  </si>
  <si>
    <t>г. Липецк, ул. Аксакова</t>
  </si>
  <si>
    <t>Реконструкция ВЛ-0,4 кВ от ТП-379 по ул. Винницкая (инв. № 346034) для электроснабжения кирпичного садового домика по адресу: г. Липецк, СНТ "Металлург-2" ОАО НЛМК, уч. № 1487</t>
  </si>
  <si>
    <t>3.2.183</t>
  </si>
  <si>
    <t>1.1.5.3.45/13</t>
  </si>
  <si>
    <t>Строительство КЛ-0,4 кВ от ТП-112 до жилого дома № 63 а по пр. Победы для электроснабжения магазина непродовольственных товаров по адресу: г. Липецк, пр. Победы, д. 63, корп. А, кв. 1</t>
  </si>
  <si>
    <t>3.2.184</t>
  </si>
  <si>
    <t>1.1.5.3.46/13</t>
  </si>
  <si>
    <t>Реконструкция ВЛ-0,4 кВ в СНТ "Сокол-2", смонтированной по п. 1.1.6.3.57/10 ППР, от ТП-480 для электроснабжения садового домика по адресу: г. Липецк, СНТ "Сокол-2", зем. уч. № 892 а</t>
  </si>
  <si>
    <t>3.2.185</t>
  </si>
  <si>
    <t>1.1.6.2.11/12</t>
  </si>
  <si>
    <t>3.2.186</t>
  </si>
  <si>
    <t>1.1.6.2.31/11</t>
  </si>
  <si>
    <t>3.2.187</t>
  </si>
  <si>
    <t>1.1.6.3.31/10</t>
  </si>
  <si>
    <t>3.2.188</t>
  </si>
  <si>
    <t>1.1.6.2.108/11</t>
  </si>
  <si>
    <t>3.2.189</t>
  </si>
  <si>
    <t>1.1.6.2.109/11</t>
  </si>
  <si>
    <t>3.2.190</t>
  </si>
  <si>
    <t>1.1.6.2.18/12</t>
  </si>
  <si>
    <t>3.2.191</t>
  </si>
  <si>
    <t>1.1.6.2.23/11</t>
  </si>
  <si>
    <t>3.2.192</t>
  </si>
  <si>
    <t>1.1.6.2.26/12</t>
  </si>
  <si>
    <t>3.2.193</t>
  </si>
  <si>
    <t>1.1.6.2.27/12</t>
  </si>
  <si>
    <t>3.2.194</t>
  </si>
  <si>
    <t>1.1.6.2.30/12</t>
  </si>
  <si>
    <t>3.2.195</t>
  </si>
  <si>
    <t>1.1.6.2.34/12</t>
  </si>
  <si>
    <t>3.2.196</t>
  </si>
  <si>
    <t>1.1.6.2.35/12</t>
  </si>
  <si>
    <t>3.2.197</t>
  </si>
  <si>
    <t>1.1.6.2.37/11</t>
  </si>
  <si>
    <t>3.2.198</t>
  </si>
  <si>
    <t>1.1.6.2.7/12</t>
  </si>
  <si>
    <t>3.2.199</t>
  </si>
  <si>
    <t>1.1.6.2.77/12</t>
  </si>
  <si>
    <t>3.2.200</t>
  </si>
  <si>
    <t>4.1.68/09</t>
  </si>
  <si>
    <t>3.2.201</t>
  </si>
  <si>
    <t>4.1.73/09</t>
  </si>
  <si>
    <t>Электроснабжение стройплощадки садового домика в с/т "Строитель", уч. № 683, запитанной от КТП-413; 10 кВт, 380 В, 3 категория</t>
  </si>
  <si>
    <t>3.2.202</t>
  </si>
  <si>
    <t>1.1.6.3.1/10</t>
  </si>
  <si>
    <t>3.2.203</t>
  </si>
  <si>
    <t>1.1.6.3.2/10</t>
  </si>
  <si>
    <t>Электроснабжение жилых домов по ул. Ушинского, запитанных от ТП-400; 25 кВт, 380 В, 3 категория</t>
  </si>
  <si>
    <t>3.2.204</t>
  </si>
  <si>
    <t>1.1.6.3.24/10</t>
  </si>
  <si>
    <t>3.2.205</t>
  </si>
  <si>
    <t>1.1.6.3.29/10</t>
  </si>
  <si>
    <t>Электроснабжение парикмахерской по ул. Гагарина, д. 65, кв. 20, запитанной от ТП-212; 15 кВт, 380 В, 3 категория</t>
  </si>
  <si>
    <t>3.2.206</t>
  </si>
  <si>
    <t>1.1.6.3.39/10</t>
  </si>
  <si>
    <t>3.2.207</t>
  </si>
  <si>
    <t>1.1.6.3.46/10</t>
  </si>
  <si>
    <t>3.2.208</t>
  </si>
  <si>
    <t>1.1.6.3.55/10</t>
  </si>
  <si>
    <t>3.2.209</t>
  </si>
  <si>
    <t>1.1.6.3.61/10</t>
  </si>
  <si>
    <t>3.2.210</t>
  </si>
  <si>
    <t>1.1.5.3.42/13</t>
  </si>
  <si>
    <t>3.2.211</t>
  </si>
  <si>
    <t>1.1.5.3.47/13</t>
  </si>
  <si>
    <t>Электроснабжение садовых домиков в СНТ "Машиностроитель"</t>
  </si>
  <si>
    <t>3.2.212</t>
  </si>
  <si>
    <t>1.1.5.3.48/13</t>
  </si>
  <si>
    <t>Электроснабжение жилого дома по адресу: г. Липецк, ул. Передельческая, д. 20</t>
  </si>
  <si>
    <t>3.2.213</t>
  </si>
  <si>
    <t>1.1.5.3.49/13</t>
  </si>
  <si>
    <t>Электроснабжение кирпичного гаража № 2415 с погребом по адресу: г. Липецк, район овощной базы по проезд Базовый</t>
  </si>
  <si>
    <t>3.2.214</t>
  </si>
  <si>
    <t>1.1.5.3.50/13</t>
  </si>
  <si>
    <t>Реконструкция ВЛ-0,4 кВ от КТП, смонтированных по п. 1.1.6.2.2/11 ППР, для электроснабжения садового домика по адресу: г. Липецк, СНП "Спутник", I массив, участок № 188</t>
  </si>
  <si>
    <t>3.2.215</t>
  </si>
  <si>
    <t>1.1.5.3.51/13</t>
  </si>
  <si>
    <t>Строительство КЛ-0,4 кВ от ТП-76 до жилого дома № 104 по ул. Гагарина для электроснабжения магазина непродовольственных товаров по адресу: г. Липецк, ул. Гагарина, д. 104, кв. 12</t>
  </si>
  <si>
    <t>3.2.216</t>
  </si>
  <si>
    <t>1.1.5.3.52/13</t>
  </si>
  <si>
    <t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699 а</t>
  </si>
  <si>
    <t>3.2.217</t>
  </si>
  <si>
    <t>1.1.5.3.53/13</t>
  </si>
  <si>
    <t>Монтаж узла учета на опоре ВЛ-0,4 кВ в СНТ "Горняк", смонтированной по п. 1.1.6.3.45/10 ППР, от ТП-642 для электроснабжения садового домика по адресу: г. Липецк, СНТ "Горняк", зем. уч. № 12 а (кадастровый номер 48:20:011102:1683)</t>
  </si>
  <si>
    <t>3.2.218</t>
  </si>
  <si>
    <t>1.1.5.3.54/13</t>
  </si>
  <si>
    <t>Электроснабжение жилого дома по адресу: г. Липецк, ул. Череповецкая, д. 4</t>
  </si>
  <si>
    <t>3.2.219</t>
  </si>
  <si>
    <t>1.1.5.3.55/13</t>
  </si>
  <si>
    <t>Монтаж узла учета на опоре № 91 ВЛ-0,4 кВ по ул. З. Космодемьянской от КТП-544 для электроснабжения индивидуального жилого дома по адресу: г. Липецк, ул. Боровая (на месте снесенного жилого дома № 15 по ул. Боровой)</t>
  </si>
  <si>
    <t>3.2.220</t>
  </si>
  <si>
    <t>1.1.5.3.64/13</t>
  </si>
  <si>
    <t>Реконструкция оборудования в РУ-0,4 кВ КТП-347 (инв. № 400613) для электроснабжения павильона № П-5197 по адресу: г. Липецк, район Косыревского кладбища, кадастровый № 48:20:0210509:24</t>
  </si>
  <si>
    <t>3.2.221</t>
  </si>
  <si>
    <t>1.1.5.3.65/13</t>
  </si>
  <si>
    <t>3.2.222</t>
  </si>
  <si>
    <t>1.1.5.3.66/13</t>
  </si>
  <si>
    <t>Монтаж узла учета на опоре № 13 ВЛ-0,4 кВ по ул. Поселковая от КТП-615 для электроснабжения жилого дома по адресу: г. Липецк, ул. Поселковая, д. 28 в (по схеме № 3)</t>
  </si>
  <si>
    <t>3.2.223</t>
  </si>
  <si>
    <t>1.1.5.3.67/13</t>
  </si>
  <si>
    <t>Электроснабжение нежилого помещения № 1 по адресу: г. Липецк, пр. Шишкина, д. № 1 А</t>
  </si>
  <si>
    <t>3.2.224</t>
  </si>
  <si>
    <t>1.1.5.3.68/13</t>
  </si>
  <si>
    <t>2.1.1.5</t>
  </si>
  <si>
    <t>Приложение 1 к постановлению</t>
  </si>
  <si>
    <t>0,8 км/ 0 МВА</t>
  </si>
  <si>
    <t>0,7 км/ 0,25 МВА</t>
  </si>
  <si>
    <t>0,3 км/ 0 МВА</t>
  </si>
  <si>
    <t>3,0 км/ 0,25 МВА</t>
  </si>
  <si>
    <t>0,1 км/ 0 МВА</t>
  </si>
  <si>
    <t>1,0 км/ 0,1 МВА</t>
  </si>
  <si>
    <t>4,0 км/ 0,4 МВА</t>
  </si>
  <si>
    <t>2,0 км/ 0,25 МВА</t>
  </si>
  <si>
    <t>0,3 км/ 0,25 МВА</t>
  </si>
  <si>
    <t>0,2 км/ 0 МВА</t>
  </si>
  <si>
    <t>0,1 км/ 0,4 МВА</t>
  </si>
  <si>
    <t>0,7 км/ 0 МВА</t>
  </si>
  <si>
    <t>0,4 км/ 0 МВА</t>
  </si>
  <si>
    <t>0,0 км/ 0,4 МВА</t>
  </si>
  <si>
    <t>1,5 км/ 0,25 МВА</t>
  </si>
  <si>
    <t>0,15 км/ 0 МВА</t>
  </si>
  <si>
    <t>0,05 км/ 0 МВА</t>
  </si>
  <si>
    <t>0,2 км/ 0,4 МВА</t>
  </si>
  <si>
    <t>0,25 км/ 0 МВА</t>
  </si>
  <si>
    <t>0,1 км/ 0,1 МВА</t>
  </si>
  <si>
    <t>0,05 км/ 0,1 МВА</t>
  </si>
  <si>
    <t>0,6 км/ 0 МВА</t>
  </si>
  <si>
    <t>0,03 км/ 0 МВА</t>
  </si>
  <si>
    <t>1,0 км/ 0,25 МВА</t>
  </si>
  <si>
    <t>0,04 км/ 0 МВА</t>
  </si>
  <si>
    <t>0,08 км/ 0 МВА</t>
  </si>
  <si>
    <t>0,5 км/ 0,16 МВА</t>
  </si>
  <si>
    <t>0,2 км/ 0,1 МВА</t>
  </si>
  <si>
    <t>0,06 км/ 0 МВА</t>
  </si>
  <si>
    <t>0,9 км/ 0 МВА</t>
  </si>
  <si>
    <t>0,12 км/ 0 МВА</t>
  </si>
  <si>
    <t>6,4 км/ 1,26 МВА</t>
  </si>
  <si>
    <t>0 км/0 МВА</t>
  </si>
  <si>
    <t xml:space="preserve"> 0 км/0 МВА</t>
  </si>
  <si>
    <t xml:space="preserve"> 0 км/0,0 МВА</t>
  </si>
  <si>
    <t xml:space="preserve"> 0,1 км/0 МВА</t>
  </si>
  <si>
    <t>3.2.24</t>
  </si>
  <si>
    <t>3.2.25</t>
  </si>
  <si>
    <t>3.2.26</t>
  </si>
  <si>
    <t>3.2.27</t>
  </si>
  <si>
    <t>3.2.28</t>
  </si>
  <si>
    <t>3.2.29</t>
  </si>
  <si>
    <t>3.2.30</t>
  </si>
  <si>
    <t>3.2.31</t>
  </si>
  <si>
    <t>3.2.32</t>
  </si>
  <si>
    <t>3.2.33</t>
  </si>
  <si>
    <t>3.2.34</t>
  </si>
  <si>
    <t>3.2.35</t>
  </si>
  <si>
    <t>3.2.36</t>
  </si>
  <si>
    <t>3.2.37</t>
  </si>
  <si>
    <t>3.2.38</t>
  </si>
  <si>
    <t>3.2.39</t>
  </si>
  <si>
    <t>3.2.40</t>
  </si>
  <si>
    <t>3.2.41</t>
  </si>
  <si>
    <t>3.2.42</t>
  </si>
  <si>
    <t>Строительство комплектной трансформаторной подстанции с демонтажем ТП-402 на пл. Аксакова</t>
  </si>
  <si>
    <t>Строительство КЛ-0,4 кВ от КТП до здания диспансерного отделения на пл. Аксакова, 4</t>
  </si>
  <si>
    <t>Монтаж оборудования РУ-6 кВ во вновь смонтированной КТП</t>
  </si>
  <si>
    <t>Монтаж оборудования РУ-0,4 кВ во вновь смонтированной КТП</t>
  </si>
  <si>
    <t>Монтаж трансформатора №1 во вновь смонтированной КТП</t>
  </si>
  <si>
    <t>Монтаж трансформатора №2 во вновь смонтированной КТП</t>
  </si>
  <si>
    <t>Монтаж узла учета во вновь смонтированной КТП</t>
  </si>
  <si>
    <t>Монтаж охранно-пожарной сигнализации во вновь смонтированной КТП</t>
  </si>
  <si>
    <t>2.1.1.12</t>
  </si>
  <si>
    <t>2.1.1.13</t>
  </si>
  <si>
    <t>2.4.4</t>
  </si>
  <si>
    <t>П+С
(тех присоед.)</t>
  </si>
  <si>
    <t>Строительство РП "Новая Гагарина" 6 кВ по ул. Гагарина</t>
  </si>
  <si>
    <t>Полная стоимость строитель-
ства (в текущих ценах)</t>
  </si>
  <si>
    <t>Строительство КЛ-6 кВ сети электроснабжения от ПС "Трубная-2" до РП по ул. Гагарина</t>
  </si>
  <si>
    <t>2.4.5</t>
  </si>
  <si>
    <t>2.4.6</t>
  </si>
  <si>
    <t>2.5</t>
  </si>
  <si>
    <t>Оборудование, не входящее в сметы строек</t>
  </si>
  <si>
    <t>2.5.1</t>
  </si>
  <si>
    <t>1 шт.</t>
  </si>
  <si>
    <t>2.5.2</t>
  </si>
  <si>
    <t>3 шт.</t>
  </si>
  <si>
    <t>2.5.3</t>
  </si>
  <si>
    <t>2.5.4</t>
  </si>
  <si>
    <t>Поисковый комплект КП-100</t>
  </si>
  <si>
    <t>2.5.5</t>
  </si>
  <si>
    <t>2.5.6</t>
  </si>
  <si>
    <t>2.5.7</t>
  </si>
  <si>
    <t>2 шт.</t>
  </si>
  <si>
    <t>2.5.8</t>
  </si>
  <si>
    <t>2.5.9</t>
  </si>
  <si>
    <t>Автотранспортное обеспечение</t>
  </si>
  <si>
    <t>Самосвал КАМАЗ-53605</t>
  </si>
  <si>
    <t>Бортовой КАМАЗ-53215</t>
  </si>
  <si>
    <t>Экскаватор-погрузчик Volvo BL71B с гидромолотом</t>
  </si>
  <si>
    <t>Бортовой КАМАЗ с манипулятором</t>
  </si>
  <si>
    <t>Грузопассажирский УАЗ-390994</t>
  </si>
  <si>
    <t>Автомастерская на базе ГАЗ-3309</t>
  </si>
  <si>
    <t>Автокран МАЗ-5337 А2 КС-35715</t>
  </si>
  <si>
    <t>3.</t>
  </si>
  <si>
    <t>Объекты техприсоединения</t>
  </si>
  <si>
    <t>3.1</t>
  </si>
  <si>
    <t>Реконструкция объектов электросетевого хозяйства с целью обеспечения возможности технологического присоединения (с пообъектной расшифровкой)</t>
  </si>
  <si>
    <t>Планируемый ввод, млн. руб.</t>
  </si>
  <si>
    <t>надежность электроснабжения</t>
  </si>
  <si>
    <t>план 2017 года</t>
  </si>
  <si>
    <t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t>
  </si>
  <si>
    <t>* в формате приложения  № 2.2 к приказу Минэнерго России от «24» марта 2010 г. № 114</t>
  </si>
  <si>
    <t>0,4 МВА</t>
  </si>
  <si>
    <t>12 МВА</t>
  </si>
  <si>
    <t>Выполнение объектов за счет платы за технологическое присоединение</t>
  </si>
  <si>
    <t>управления энергетики и тарифов Липецкой области</t>
  </si>
  <si>
    <t>от 02 сентября 2011 года № 40/8</t>
  </si>
  <si>
    <t>в том числе</t>
  </si>
  <si>
    <t>Расширение существующей системы учета электроэнергии</t>
  </si>
  <si>
    <t>3.3</t>
  </si>
  <si>
    <t>20,0 км</t>
  </si>
  <si>
    <t>снижение потерь, увеличение пропускной способности, улучшение качества электроэнергии</t>
  </si>
  <si>
    <t>снижение потерь, автоматизация технологических процессов в системах учета электроэнергии</t>
  </si>
  <si>
    <t>г. Липецк, район Сселки</t>
  </si>
  <si>
    <t>1614 аб.</t>
  </si>
  <si>
    <t>Технические характеристики создаваемых объектов</t>
  </si>
  <si>
    <t>12 МВА (пропускная способность)</t>
  </si>
  <si>
    <t>Замена морально и физически изношенного автотранспорта и специальной техники для обеспечения основного вида деятельности КЭС ОАО "ЛГЭК"</t>
  </si>
  <si>
    <t>г. Липецк, с. Ленино, от ПС "Правобережная" до РП-17 по адресу Воронежское шоссе, водозабор №5</t>
  </si>
  <si>
    <t xml:space="preserve">УАЗ-39099 </t>
  </si>
  <si>
    <t>Бурильно-крановая установка БМ-302 на базе МТЗ-82</t>
  </si>
  <si>
    <t>2.4.2</t>
  </si>
  <si>
    <t>2.4.3</t>
  </si>
  <si>
    <t>1 полугодие</t>
  </si>
  <si>
    <t>2 полугодие</t>
  </si>
  <si>
    <t>План финансиро-вания текущего года</t>
  </si>
  <si>
    <t>км/МВА/
МВАр/МВт</t>
  </si>
  <si>
    <t>1.2.3</t>
  </si>
  <si>
    <t>3.2</t>
  </si>
  <si>
    <t>2.1.3.2</t>
  </si>
  <si>
    <t>план 
01.01.2014г.-31.12.2014г.</t>
  </si>
  <si>
    <t>план 
01.01.2015г.-31.12.2015г.</t>
  </si>
  <si>
    <t>план 
01.01.2016г.-31.12.2016г.</t>
  </si>
  <si>
    <t>всего</t>
  </si>
  <si>
    <t>Электроснабжение 1/2 доли жилого дома с пристройками и хозяйственной постройкой по адресу: г. Липецк, ул. Урицкого, д. 118</t>
  </si>
  <si>
    <t>Монтаж узла учета на опоре ВЛ-0,4 кВ по ул. Маршала Рыбалко от ТП-379 для электроснабжения магазина непродовольственных товаров по адресу: г. Липецк, ул. Маршала Рыбалко, район стр. 4</t>
  </si>
  <si>
    <t>Электроснабжение 1/2 доли пристройки к зданию гаражей (лит. В5) по адресу: г. Липецк, ул. Пугачева, строение 1 б</t>
  </si>
  <si>
    <t>Монтаж узла учета на опоре № 5 ВЛ-0,4 кВ по ул. Муравьева от ТП-379 для электроснабжения 1/2 доли жилого дома с пристройками по адресу: г. Липецк, ул. Муравьева, д. 5</t>
  </si>
  <si>
    <t>Монтаж узла учета на опоре № 11 ВЛ-0,4 кВ по ул. Крайняя от КТП-620 для электроснабжения гаража по адресу: Липецкая область, Липецкий район, с. Подгорное, ул. Крайняя, кадастровый № 48:20:046402:40</t>
  </si>
  <si>
    <t>Строительство ВЛ-0,4 кВ от МТП, смонтированной по п. 1.1.6.2.41/12 программы перспективного развития, до склада металлоконструкций по адресу: г. Липецк, ул. Ковалева (кадастровый № 48:20:0027501:35)</t>
  </si>
  <si>
    <t>Электроснабжение 1/2 доли жилого дома по адресу: г. Липецк, ул. Пригородная, д. № 2</t>
  </si>
  <si>
    <t>Электроснабжение гаража № 8 по адресу: г. Липецк, ул. А.Г. Стаханова, строение 45 а</t>
  </si>
  <si>
    <t>Электроснабжение индивидуального жилого дома по адресу: г. Липецк, ул. М. Горького, д. № 81</t>
  </si>
  <si>
    <t>Реконструкция ВЛ-0,4 кВ в СТ "Строитель", смонтированной по п. 4.1.73/09 программы перспективного развития, от КТП-413 для электроснабжения садовых домиков в СТ "Строитель"</t>
  </si>
  <si>
    <t>Электроснабжение административно-бытового здания по адресу: г. Липецк, ул. Баумана, 299 Е</t>
  </si>
  <si>
    <t>Электроснабжение садового домика по адресу: г. Липецк, СНТ "Горняк", уч. № 550</t>
  </si>
  <si>
    <t>Строительство ВЛ-0,4 кВ от СТП, смонтированной по п. 1.1.6.2.107/12 программы перспективного развития, до садового домика по адресу: г. Липецк, НТС "Металлург-3", участок № 2</t>
  </si>
  <si>
    <t>Строительство КВЛ-0,4 кВ от ТП-173 до киоска в остановочном павильоне № К-4951 по адресу: г. Липецк, остановка "Кольцевая", пр. Победы со стороны а/к 1415</t>
  </si>
  <si>
    <t>Монтаж узла учета на опоре № 6 ВЛ-0,4 кВ в СПО "Металург-1", смонтированной по п. 4.1.24/09 программы перспективного развития, от КТП-92 для электроснабжения садового домика по адресу: г. Липецк, СПО "Металлург-1", зем. уч. № 64</t>
  </si>
  <si>
    <t>Монтаж узла учета на опоре № 12 ВЛ-0,4 кВ по ул. Ярославская от ТП-549 для электроснабжения 1/2 доли жилого дома по адресу: г. Липецк, ул. Ярославская, д. 24</t>
  </si>
  <si>
    <t>Реконструкция ВЛ-0,4 кВ по ул. Техническая от КТП-611 (инв. № 346328) для электроснабжения жилого дома по адресу: г. Липецк, ул. Техническая, д. № 6 а</t>
  </si>
  <si>
    <t>Реконструкция ВЛ-0,4 кВ в СНТ "Кооператор", смонтированной по п. 1.1.6.3.53/10 программы перспективного развития, от ТП-263 для электроснабжения садовых домиков в СНТ "Кооператор"</t>
  </si>
  <si>
    <t>Электроснабжение садового домика по адресу: г. Липецк, СНТ "Горняк", земельный участок № 532 А</t>
  </si>
  <si>
    <t>Электроснабжение жилого дома по адресу: г. Липецк, ул. Чаплыгина, д. 1</t>
  </si>
  <si>
    <t>Строительство КЛ-0,4 кВ от ТП-220 до гаража по адресу: г. Липецк, ул. Германа Титова, строение 8а/2</t>
  </si>
  <si>
    <t>Электроснабжение садовых домиков в СНТ "Кооператор"</t>
  </si>
  <si>
    <t>Электроснабжение садовых домиков в СНТ "Сокол-2"</t>
  </si>
  <si>
    <t>Реконструкция КЛ-0,4 кВ "ТП-504 - пр. Мира, д. 9" для электроснабжения нежилых помещений по адресу: г. Липецк, пр. Мира, д. 9 (инв. № 344022)</t>
  </si>
  <si>
    <t>Строительство КЛ-0,4 кВ от ТП, смонтированной по п. 1.1.6.1.49/12 ППР, до мини-автозаправочной станции по адресу: г. Липецк, ул. Полиграфическая, в районе пересечения с ул. Л. Кривенкова</t>
  </si>
  <si>
    <t>Монтаж узла учета на опоре № 41 ВЛ-0,4 кВ по ул. Бурлакова от ТП-549 для электроснабжения индивидуального жилого дома по адресу: г. Липецк, ул. И.С. Бурлакова, д. 30 в</t>
  </si>
  <si>
    <t>Монтаж узла учета в РУ-0,4 кВ ТП-79 для электроснабжения трансформаторной подстанции - 79 (старое здание) по адресу: г. Липецк, проезд Универсальный</t>
  </si>
  <si>
    <t>Реконструкция ВЛ-0,4 кВ в СНТ "Металлург-1", смонтированной по п. 1.1.6.2.31/12 ППР, от МТП-953 для электроснабжения садовых домиков в СНТ "Металлург-1"</t>
  </si>
  <si>
    <t>Электроснабжение гаража по адресу: г. Липецк, пер. Попова, во дворе д. № 5</t>
  </si>
  <si>
    <t>от 15 августа 2014 года № 30/1</t>
  </si>
  <si>
    <t>от 15 августа 2014 года № 31/1</t>
  </si>
  <si>
    <t>Монтаж трансформаторов в ТП-51, монтаж оборудования в ТП-51, строительство нового РП-1 (взамен старого РП-1) для электроснабжения объекта: "Реконструкция ДОУ № 119 по ул. Айвазовского", запитанного от ТП-51; 95 кВт (в том числе существующая 40 кВт), 380 В, II категория</t>
  </si>
  <si>
    <t>Замена трансформатора 400 кВА на 630 кВА в ТП-280, реконструкция оборудования РУ-0,4 кВ ТП-280, для электроснабжения объекта: "Коммутатор по ул. Московская, вл. 83а, запитанного от РУ-0,4 кВ ТП-280, 100 кВт, II категория"</t>
  </si>
  <si>
    <t>Реконструкция ВЛ-0,4 кВ от КТП-416 по ул. Курчатова (инв. № 346153) для объекта технологического присоединения: "Электроснабжение садового домика в СНТ пенсионеров и инвалидов "Речное", ул. Сокольский лог, уч. № 579, запитанного от КТП-416; 5 кВт, 220 В, 3 категория</t>
  </si>
  <si>
    <t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t>
  </si>
  <si>
    <t>3.1.53</t>
  </si>
  <si>
    <t>Реконструкция узла учета в ТП-630 (инв. № 414063) для электроснабжения здания магазина продовольственных товаров по адресу: г. Липецк, пос. Матырский, в районе пересечения ул. Надежды и пер. Каштанового</t>
  </si>
  <si>
    <t>1 км/2,0МВА</t>
  </si>
  <si>
    <t>2,0 км/ 2,0 МВА</t>
  </si>
  <si>
    <t>5 км/ 1,26 МВА</t>
  </si>
  <si>
    <t xml:space="preserve"> 2 км/2,0 МВА</t>
  </si>
  <si>
    <t xml:space="preserve"> 0 км/2,0 МВА</t>
  </si>
  <si>
    <t>проверка</t>
  </si>
  <si>
    <t xml:space="preserve"> 0 км/1,0 МВА</t>
  </si>
  <si>
    <t>Электроснабжение здания магазина по адресу: г. Липецк, ул. З. Космодемьянской, д. 222б</t>
  </si>
  <si>
    <t>Электроснабжение нежилых помещений №№ 9, 10, 12, 13, 11 по адресу: г. Липецк, пр. Победы, д. 49</t>
  </si>
  <si>
    <t>Монтаж шкафа учета на опоре № 7 ВЛ-0,4 кВ по пер. Попова от ТП-24 для электроснабжения гаража по адресу: г. Липецк, пер. Попова, строение 3А</t>
  </si>
  <si>
    <t>Монтаж ВЛ-0,4 кВ от КТП, смонтированной по п. 4.1.60/09 программы перспективного развития, для электроснабжения жилого дома по адресу: г. Липецк, СНТ "Металлург-1", квартал III, зем. уч. № 2</t>
  </si>
  <si>
    <t>Электроснабжение индивидуального жилого дома усадебного типа и хозяйственных построек по адресу: г. Липецк, пер. Верещагина, 13.</t>
  </si>
  <si>
    <t>Реконструкция ВЛ-0,4 кВ по ул. З. Космодемьянской от ТП-507 для электроснабжения киоска по адресу: г. Липецк, пр. Осенний, между домами № 2 и № 4 (инв. № 346092)</t>
  </si>
  <si>
    <t>Строительство КЛ-0,4 кВ от ТП-66 до жилого дома № 29 по ул. Гагарина для электроснабжения магазина непродовольственных товаров по адресу: г. Липецк, ул. Гагарина, д. 29, кв. 2</t>
  </si>
  <si>
    <t>Строительство ВЛ-0,4 кВ от КТП-266 от ВЛ-0,4 кВ, смонтированной по п. 1.1.6.2.3/11 программы перспективного развития, для электроснабжения садового домика по адресу: г. Липецк, СНТ "им. И.В. Мичурина", ул. Вишневая, зем. уч. № 32</t>
  </si>
  <si>
    <t>Электроснабжение кирпичного гаража № 36 по адресу: г. Липецк, ул. Циолковского, во дворе дома № 30/4</t>
  </si>
  <si>
    <t>Электроснабжение гаража по адресу: г. Липецк, во дворе дома № 3 по ул. Горького</t>
  </si>
  <si>
    <t>Строительство ВЛ-0,4 кВ от ближайшей опоры ВЛ-0,4 кВ, смонтированной по п.1.1.6.3.2/10 ППР от КТП-400 для электроснабжения садового домика по адресу: г. Липецк, ПОПиИ "Сокол-1", зем. уч. № 826</t>
  </si>
  <si>
    <t>Строительство ВЛ-0,4 кВ от опоры № 26 ВЛ-0,4 кВ по ул. Садовая от КТПН-399 для электроснабжения садового домика по адресу: г. Липецк, СНТ "Металлург-2" ОАО "НЛМК", уч. № 1994</t>
  </si>
  <si>
    <t>Строительство ВЛ-0,4 кВ от МТП, смонтированной по п.1.1.6.3.40/10 ППР, для электроснабжения гаража по адресу: г. Липецк, ПОПиИ "Сокол-1", зем. уч. № 264</t>
  </si>
  <si>
    <t>Электроснабжение садового домика по адресу: г. Липецк, садоводческое общество "Сокол-3", массив 1, участок № 212</t>
  </si>
  <si>
    <t>Монтаж узла учета в РУ-0,4 кВ ТП-203 для электроснабжения киоска К-5156 по адресу: г. Липецк, ул. Гагарина, в районе дома № 103/1</t>
  </si>
  <si>
    <t>Иные объекты</t>
  </si>
  <si>
    <t>Монтаж трансформатора № 1 в ТП-241 взамен существующего (инв. № 41315 А), монтаж трансформатора № 2 в ТП-241 взамен существующего (инв. № 41332 А), реконструкция оборудования в РУ-6 кВ ТП-241 (инв. № 400713), реконструкция оборудования в РУ-0,4 кВ ТП-241 (инв. № 400713), монтаж узла учета в РУ-0,4 кВ ТП-241 для электроснабжения здания магазина по адресу: г. Липецк, пр. Победы</t>
  </si>
  <si>
    <t>Монтаж оборудования в РУ-0,4 кВ ТП-649, монтаж узла учета в РУ-0,4 кВ ТП-649 для электроснабжения здания спортивного клуба по адресу: г. Липецк, ул. Геологическая</t>
  </si>
  <si>
    <t>Монтаж трансформаторов в ТП-183 взамен существующих (инв.№41251А, №41140А), монтаж оборудования в РУ-0,4 кВ ТП-183, строительство КЛ-10 кВ от РП "Центр" до ТП-380, реконструкция КЛ-6 кВ "ТП-180 - ТП-380" (инв.№345665) и "ТП-56 - ТП-380" (инв.№345666), строительство КЛ-6 кВ "ТП-16 - ТП-176" для электроснабжения жилого дома строительный №1 с предприятиями соцкультбыта по ул. Неделина, запитанного от ТП-183</t>
  </si>
  <si>
    <t>Строительство КЛ-6кВ от ТП-43 до ТП-63, монтаж трансформатора в ТП-62 взамен существующего (инв. №41208А), монтаж панели в РУ-0,4 кВ ТП-62 для электроснабжение здания с административными, жилыми помещениями и подземной автостоянкой по ул.Плеханова</t>
  </si>
  <si>
    <t xml:space="preserve">Реконструкция оборудования РУ-0,4 кВ КТП-571 (инв. № 340408), реконструкция узла учета в КТП-571 (инв. № 414089) для электроснабжения магазина продовольственных и непродовольственных товаров по адресу: г. Липецк, 
ул. Владимирская, район д. № 42 </t>
  </si>
  <si>
    <t>Монтаж оборудования в РУ-10 кВ РП-15, монтаж оборудования в РУ-10 кВ ТП-555, строительство КЛ-10кВ от РП-15, яч.13 до ТП-555, строительство КЛ-10кВ от РП-15, яч.14 до ТП-555, монтаж узла учета в РУ-10кВ РП-15 для электроснабжения основной пристройки к административно-бытовому комплексу по адресу: г. Липецк, проезд Осенний, владение 1г.</t>
  </si>
  <si>
    <t>Монтаж оборудования в РУ-10 кВ РП-33, монтаж узла учета в РУ-10 кВ РП-33 для электроснабжения здания КНС для 7-го жилого района в составе объекта: "Многофункциональный спортивный комплекс" по адресу: г. Липецк, Молодежный парк по ул. Леонтия Кривенкова</t>
  </si>
  <si>
    <t>Монтаж оборудования в РУ-0,4 кВ ТП-580,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t>
  </si>
  <si>
    <t>Монтаж оборудования в РУ-10 кВ РП-50, монтаж узла учета в РУ-10 кВ РП-50 для электроснабжения стройплощадки многоквартирного жилого дома по адресу: г. Липецк, 7-й жилой район, 33 микрорайон</t>
  </si>
  <si>
    <t>Монтаж оборудования в РУ-0,4 кВ ТП-264, монтаж узла учета в РУ-0,4 кВ ТП-264 для электроснабжения многоэтажной автостоянки по адресу: г. Липецк, ул. Космонавтов</t>
  </si>
  <si>
    <t>Строительство КЛ-0,4 кВ от ТП-122 до опоры № 1 ВЛ-0,4 кВ по ул. Доватора, реконструкция ВЛ-0,4 кВ по ул. Доватора от ТП-122 (инв. № 346077) для электроснабжения многоквартирного жилого дома по адресу: г. Липецк, ул. Доватора, д. 49, 51</t>
  </si>
  <si>
    <t>Монтаж узла учета на опоре ВЛ-0,4 кВ по ул. Апраксина от ТП-857 для электроснабжения жилого дома по адресу: г. Липецк, с. Сселки, д. 429 (по схеме)</t>
  </si>
  <si>
    <t>Монтаж узла учета на опоре ВЛ-0,4 кВ по ул. Жемчужная, смонтированной по п. 1.1.6.2.33/12 программы перспективного развития, от КТП-854 для электроснабжения жилого дома по адресу: г. Липецк, ул. Жемчужная, д. 6</t>
  </si>
  <si>
    <t>Строительство КЛ-0,4 кВ от ТП-642 до здания аптеки по адресу: г. Липецк, ул. Ударников, д. 7 а</t>
  </si>
  <si>
    <t>Электроснабжение жилого дома по адресу: г. Липецк, ул. Поселковая, д. 30 в</t>
  </si>
  <si>
    <t>Электроснабжение садового домика в с/т "Строитель", зем. уч. № 1941, запитанного от КТП-412; 5 кВт, 220 В, 3 категория</t>
  </si>
  <si>
    <t>Электроснабжение садового домика в СНТ "Монтажник" уч. № 1107, запитанного от вновь смонтированной КТП по инвестиционной программе ОАО "ЛГЭК"; 10 кВт, 380 В, 3 категория</t>
  </si>
  <si>
    <t>Электроснабжение 2/3 доли индивидуального жилого дома по ул. Ореховая, д. 37, запитанного от вновь смонтированной КТП по инвестиционной программе ОАО "ЛГЭК"; 5 кВт, 380 В, 3 категория</t>
  </si>
  <si>
    <t xml:space="preserve">Строительство ВЛ-0,4 кВ от проектируемой КТП (код 1.1.6.3.35/10 программы перспективного развития ОАО "ЛГЭК" на 2010 год) в районе ул. Листопадная до потребителей по ул. Провинциальная для объекта технологического присоединения: "Электроснабжение жилых домов по ул. Провинциальная и ул. Кирова" </t>
  </si>
  <si>
    <t>Электроснабжение кирпичного садового домика с мансардой в СНТ "Липецкстрой", зем. уч. № 97, 5-ая аллея</t>
  </si>
  <si>
    <t>Электроснабжение садового дома по адресу: г. Липецк, СПО "Металлург-1", I квартал, зем. уч. № 176</t>
  </si>
  <si>
    <t>Электроснабжение здания склада по ул. Краснозаводская, строение 6/1</t>
  </si>
  <si>
    <t>Реконструкция ВЛ-0,4 кВ "ТП-312 - ДК Рудника" (инв. № 346331) для электроснабжения индивидуального жилого дома по адресу: г. Липецк, ул. Юношеская, № 4 (по схеме)</t>
  </si>
  <si>
    <t>Электроснабжение жилого дома по адресу: г. Липецк, ул. Барабанщиков, д. 1</t>
  </si>
  <si>
    <t>Электроснабжение кирпичного садового домика по адресу: г. Липецк, потребительское садовое общество пенсионеров и инвалидов "Речное", зем. уч. № 573 по ул. Садовый тупик</t>
  </si>
  <si>
    <t>Электроснабжение садовых домиков по адресу: г. Липецк, с/о "Сокол-2", зем. уч. № 1143, 1138</t>
  </si>
  <si>
    <t>Электроснабжение садового домика по адресу: г. Липецк, СНТ "Металлург-1", квартал IIIа, зем. уч. № 2</t>
  </si>
  <si>
    <t>Электроснабжение помещения № 15 по адресу: г. Липецк, ул. Космонавтов, д. 43</t>
  </si>
  <si>
    <t>Электроснабжение садового домика по адресу: г. Липецк, СНТ "Машиностроитель-1", зем. уч. № 777</t>
  </si>
  <si>
    <t>Электроснабжение индивидуального жилого дома по адресу: г. Липецк, ул. Ново-Весовая, д. 12 а (почтовый адрес ориентира)</t>
  </si>
  <si>
    <t xml:space="preserve">Строительство КЛ-0,4 кВ от вновь смонтированной ТП до здания трансформаторной подстанции № 528 по адресу: г. Липецк, пр. Осенний, у дома № 6 </t>
  </si>
  <si>
    <t>Электроснабжение жилого дома по адресу: г. Липецк, ул. Свободный Сокол, д. 75</t>
  </si>
  <si>
    <t>Строительство КВЛ-0,4 кВ от РП-36 до терминала по оплате услуг ЖКХ, сотовой связи, коммерческого телевидения, Интернета по адресу: г. Липецк, пр. 60 лет СССР, район остановки "Октябрьский рынок"</t>
  </si>
  <si>
    <t>Электроснабжение садового домика в СНТ "Монтажник" уч. № 1051, запитанного от вновь смонтированной КТП по инвестиционной программе ОАО "ЛГЭК"; 15 кВт, 380 В, 3 категория</t>
  </si>
  <si>
    <t>Строительство ВЛ-0,4 кВ от ближайшей опоры ВЛ-0,4 кВ, смонтированной по п. 1.1.6.3.1.1/10, до земельного участка № 648 в с/о "Сокол-2"</t>
  </si>
  <si>
    <t>Электроснабжение индивидуального жилого дома усадебного типа с хозяйственными постройками по ул. Свердлова, № 3 (по схеме), запитанного от КТП-465; 5 кВт, 220 В, 3 категория</t>
  </si>
  <si>
    <t>Строительство КЛ-0,4 кВ от ТП-41 до нежилого помещения № 2 дома № 65 по ул. Плеханова для объекта технологического присоединения: "Электроснабжение нежилого помещения № 2 по ул. Плеханова, д. 65"</t>
  </si>
  <si>
    <t>Монтаж узла учета на ближайшей опоре ВЛ-0,4 кВ по ул. Баумана от ТП-480 для электроснабжения блочного гаража по адресу: г. Липецк, район ул. Баумана, у д. № 333/14</t>
  </si>
  <si>
    <t>Реконструкция ВЛ-0,4 кВ по ул. Асфальтная от КТП-547 (инв. № 345989) для электроснабжения киоска по адресу: г. Липецк, ул. Асфальтная в районе остановки "Станция Казинка", кадастровый № 48:20:0038502:125</t>
  </si>
  <si>
    <t>Электроснабжение индивидуального жилого дома по ул. Буденного, д. 229, запитанного от ВЛ-6 кВ отпайки на КТП-303; 15 кВт, 380 В, 3 категория; Строительство МТП; Строительство ВЛ-6 кВ от концевой опоры ВЛ-6 кВ отпайки на КТП-303 до МТП; Реконструкция ВЛ-0,4 кВ от КТП-303 (инв.№346021)</t>
  </si>
  <si>
    <t>Электроснабжение индивидуального жилого дома усадебного типа и хозяйственных построек по ул. Салтыкова-Щедрина, № 2 (по схеме), запитанного от КТП-37; 15 кВт, 380 В, 3 категория; Строительство КЛ-0,4 кВ от опоры №3 ВЛ-0,4 кВ от КТП-37 до земельного участка по ул. Салтыкова-Щедрина, №2 (по схеме)</t>
  </si>
  <si>
    <t>Электроснабжение индивидуальных жилых домов усадебного типа с хозяйственными постройками в с. Сселки, ул. Листопадная, № 17, № 30 (по схеме), запитанных от РУ-10 кВ КТП-854; 20 кВт, 220 В, 3 категория; Строительство КТП; Строительство ВЛ-10кВ от опоры ВЛ-10кВ "ТП-458 - КТП-854" до вновь смонтированной КТП ; Строительство ВЛ-0,4кВ от вновь смонтированной КТП до ул.Листопадная; Монтаж учета электрической энергии в РУ-0,4 кВ новой МТП; Монтаж пожарно-охранной сигнализации в новой МТП</t>
  </si>
  <si>
    <t>Электроснабжение садового домика в п/о пенсионеров и инвалидов, "Сокол-1", зем. уч. № 226, запитанного от РП-27 - ТП-407; 15 кВт, 380 В, 3 категория; Строительство ВЛ-6кВ от опоры ВЛ-6кВ РП-27-ТП-407 до МТП; Строительство МТП; Строительство ВЛ-0,4кВ от МТП до земельного участка</t>
  </si>
  <si>
    <t>Электроснабжение жилого дома по ул. Архангельская, д. 20а, запитанного от КТП-569; 5 кВт, 220 В, 3 категория; Реконструкция оборудования РУ-0,4 кВ КТП-569 (100920); Строительство КЛ-0,4кВ от ТП-569 до дома №20а по ул. Архангельская</t>
  </si>
  <si>
    <t>Электроснабжение стройплощадки садового домика в СНТ "Горняк", зем. уч. № 481, запитанной от ТП-642; 15 кВт, 380 В, 3 категория; Строительство КВЛ-0,4 кВ от ТП-642 до опоры № 5/11 по ул. Ударников; Реконструкция ВЛ-0,4 кВ по ул. Ударников (инв. № 346337); Строительство ВЛ-0,4 кВ от ближайшей опоры ВЛ-0,4 кВ по ул. Ново-Весовая до садовых домиков в СНТ «Горняк»; Монтаж устройства передачи данных (УСПД) в РУ-0,4 кВ ТП-642</t>
  </si>
  <si>
    <t>Электроснабжение магазина продовольственных товаров по ул. 40 лет Октября, запитанного от ТП-460; 15 кВт, 380 В, 3 категория; Строительство кабельной сети от ТП-460 до магазина по ул. 40 лет Октября</t>
  </si>
  <si>
    <t>Электроснабжение садового домика в с/т "Кооператор", линия № 7, уч. № 285, запитанного от ТП-263; 15 кВт, 380 В, 3 категория; Строительство ВЛ-0,4кВ от ТП-263 до уч.№285 в СНТ "Кооператор"; Монтаж приборов учета в РУ-0,4кВ ТП-263</t>
  </si>
  <si>
    <t>Электроснабжение садовых домиков в СНП "Спутник"; Строительство ВЛ-10кВ от ближайшей опоры ВЛ-10кВ ТП-606 - ТП-607 до вновь смонтированной МТП; Строительство МТП-160/10/0,4; Строительство ВЛ-0,4кВ от вновь смонтированной МТП до потребителей в СНП "Спутник"; Монтаж нового трансформатора в КТП-610 взамен существующего (инв. №41487А); Монтаж охранно-пожарной сигнализации во вновь смонтированной МТП; Монтаж устройства передачи данных (УСПД) во вновь смонтированной МТП в РУ-0,4кВ</t>
  </si>
  <si>
    <t>Электроснабжение гаражей по адресу: г. Липецк, пр. Победы, строение 29б/16 (район фабрики "Бумиз"); Строительство КЛ-0,4 кВ от ТП-241 до РШ-0,4 кВ ; Монтаж РШ-0,4кВ; Строительство ЛЭП-0,4кВ от РШ-0,4кВ до гаражей в районе фабрики "Бумиз"</t>
  </si>
  <si>
    <t>1.1.6.2.92/12</t>
  </si>
  <si>
    <t>3.2.260</t>
  </si>
  <si>
    <t>Монтаж узла учета на опоре № 22 ВЛ-0,4 кВ по ул. Зоологическая от КТП-308 для электроснабжения индивидуального жилого дома по адресу: г.Липецк, ул. Зоологическая, д. 27</t>
  </si>
  <si>
    <t>1.1.5.2.109/13</t>
  </si>
  <si>
    <t>3.2.261</t>
  </si>
  <si>
    <t>Электроснабжение гаражей по ул. 40 лет Октября</t>
  </si>
  <si>
    <t>1.1.5.2.110/13</t>
  </si>
  <si>
    <t>3.2.262</t>
  </si>
  <si>
    <t>Электроснабжение здания хранилища по адресу: г. Липецк, ул. Базарная, строение № 3/7</t>
  </si>
  <si>
    <t>1.1.5.2.111/13</t>
  </si>
  <si>
    <t>3.2.263</t>
  </si>
  <si>
    <t>Электроснабжение садового домика по адресу: г. Липецк, СО "Сокол-3", I массив, уч. № 674</t>
  </si>
  <si>
    <t>1.1.5.2.112/13</t>
  </si>
  <si>
    <t>3.2.264</t>
  </si>
  <si>
    <t>Электроснабжение магазина непродовольственных товаров по адресу: г.Липецк, ул. Космонавтов, д.39, корпус 1, кв. 84</t>
  </si>
  <si>
    <t>1.1.5.2.113/13</t>
  </si>
  <si>
    <t>3.2.265</t>
  </si>
  <si>
    <t>Электроснабжение садового домика с пристройкой и мансардой по адресу: г. Липецк, ПОПиИ имени И.В.Мичурина, улица Общественная, земельный участок № 31</t>
  </si>
  <si>
    <t>Монтаж узла учета на ближайшей опоре ВЛ-0,4 кВ по пер. Космический от КТП-429 для электроснабжения садового домика по адресу: г. Липецк, СНТ "Сокол-2", участок № 1136 а</t>
  </si>
  <si>
    <t>Электроснабжение блочного гаража № 1 по адресу: г. Липецк, ул. Ворошилова, около дома № 11 в блоке гаражей (лит. Г)</t>
  </si>
  <si>
    <t>Реконструкция ВЛ-0,4 кВ "ТП-312 - ДК Рудника" (инв. № 346331) от опоры № 2 ВЛ-0,4 кВ, смонтированной по п. 1.1.6.2.108/11 ППР, от ТП-312 для электроснабжения индивидуального жилого дома усадебного типа с хозяйственными постройками по адресу: г. Липецк, ул. Юношеская, № 4 (по схеме)</t>
  </si>
  <si>
    <t>Монтаж узла учета на ближайшей опоре № 3 ВЛ-0,4 кВ в ЛСПО "Металлург-1" от МТП-953 для электроснабжения садового домика по адресу: г. Липецк, ЛСПО "Металлург-1", квартал Iа, зем. уч. № 42</t>
  </si>
  <si>
    <t>Электроснабжение садового домика по адресу: г. Липецк, СНП "Спутник", массив II, участок № 6</t>
  </si>
  <si>
    <t>Строительство ВЛ-0,4 кВ от СТП, смонтированной по п. 1.1.6.1.59/12 ППР, до границ земельного участка по адресу: г. Липецк, ул. Брюллова в районе строения 7 б</t>
  </si>
  <si>
    <t>Монтаж узла учета на ближайшей опоре ВЛ-0,4 кВ по ул. Ореховой от КТП-669 для электроснабжения индивидуального жилого дома усадебного типа и хозяйственных построек по адресу: г. Липецк, ул. Ореховая, № 149 (по схеме)</t>
  </si>
  <si>
    <t>Монтаж узла учета на ближайшей опоре ВЛ-0,4 кВ в СНТ "Дачный-3" от КТП-499 для электроснабжения садового домика по адресу: г. Липецк, СНТ "Дачный-3", уч. № 377</t>
  </si>
  <si>
    <t>Электроснабжение стройплощадки жилого дома по адресу: г. Липецк, с. Сселки, уч. № 101</t>
  </si>
  <si>
    <t>Электроснабжение 43/100 долей жилого дома по адресу: г. Липецк, ул. Краснодонская, д. 15.</t>
  </si>
  <si>
    <t>Реконструкция ВЛ-0,4 кВ от КТП-471 по ул. Гагарина от опоры № 134 до опоры № 134/1 (инв. № 346047) для электроснабжения индивидуального жилого дома усадебного типа с хозяйственными постройками по адресу: г. Липецк, ул. 1 Мая, д. 5</t>
  </si>
  <si>
    <t>Электроснабжение индивидуального жилого дома усадебного типа с хозяйственными постройками по адресу: г. Липецк, ул. Салтыкова-Щедрина, д. 70</t>
  </si>
  <si>
    <t>Реконструкция ВЛ-0,4 кВ, смонтированной по п. 1.1.6.3.13/10 программы перспективного развития, от КТП-412 для электроснабжения садового домика по адресу: г. Липецк, СТ "Строитель", земельный участок № 1933</t>
  </si>
  <si>
    <t>Строительство КЛ-0,4 кВ от ТП-590 до владения 3 по ул. Имени Рихарда Зорге в пос. Дачный для электроснабжения объекта: "Водоснабжение поселков Новая Жизнь, Матырский, Дачный, ст. Казинка, в/ч 11700"</t>
  </si>
  <si>
    <t>Реконструкция ВЛ-0,4 кВ, смонтированной по п. 4.1.26/09 программы перспективного развития, от КТП-642 для электроснабжения садового домика по адресу: г. Липецк, СНТ "Горняк", земельный участок № 67</t>
  </si>
  <si>
    <t>Строительство ВЛ-0,4 кВ от новой МТП до садового домика по адресу: г. Липецк, СТ "Сокол-1", линия № 4, земельный участок № 564</t>
  </si>
  <si>
    <t>Строительство ВЛ-0,4 кВ от КТП-854 до уч.4 (по схеме) и д. 32 по ул. Жемчужная для объекта технологического присоединения: "Электроснабжение индивидуальных жилых домов в с. Сселки, запитанных от КТП-854; 15 кВт, 220 В, 3 категория"</t>
  </si>
  <si>
    <t>Электроснабжение жилых домов по ул. Минская, д. 45, ул. Медицинская, д. 32, д. 30, запитанных от КТП-614; 36 кВт, 380 В, 3 категория</t>
  </si>
  <si>
    <t>Строительство ВЛ-0,4 кВ от жилого дома № 45 по ул. Московская до светофорного объекта по ул. Московская -пр. Поперечный для объекта технологического присоединения: "Электроснабжение светофорного объекта по ул. Московская -пр. Поперечный, запитанного от ТП-255; 2 кВт, 220 В, 3 категория"</t>
  </si>
  <si>
    <t>Реконструкция ВЛ-0,4 кВ, смонтированной по п. 1.1.6.2.24/11 программы перспективного развития, от КТП-478 для электроснабжения индивидуального жилого дома по адресу: г. Липецк, с. Сселки, ул. Сокольская, участок № 1 "б" (по схеме).</t>
  </si>
  <si>
    <t>Электроснабжение садового домика в СНТ "Машиностроитель", уч. № 808, запитанного от КТП-620; 5 кВт, 220 В, 3 категория</t>
  </si>
  <si>
    <t>Электроснабжение индивидуальных жилых домов по ул. Еловая и садовых домиков в с/о "Сокол-2", запитанных от ТП-437; 97 кВт, 220 В, 3 категория</t>
  </si>
  <si>
    <t>Реконструкция ВЛ-0,4 кВ, смонтированной по п. 1.1.6.3.13/10 ППР, от КТП-412 для электроснабжения жилого дома по адресу: г. Липецк, ул. Римского-Корсакова, д. 22</t>
  </si>
  <si>
    <t>3.2.328</t>
  </si>
  <si>
    <t>1.1.5.2.179/13</t>
  </si>
  <si>
    <t>3.2.329</t>
  </si>
  <si>
    <t>Электроснабжение кирпичного садового домика по адресу: г. Липецк, ПСОПиИ им. И.В. Мичурина, ул. Коллективная, земельный участок № 44</t>
  </si>
  <si>
    <t>1.1.5.2.180/13</t>
  </si>
  <si>
    <t>3.2.330</t>
  </si>
  <si>
    <t>1.1.5.2.181/13</t>
  </si>
  <si>
    <t>3.2.331</t>
  </si>
  <si>
    <t>1.1.5.2.182/13</t>
  </si>
  <si>
    <t>3.2.332</t>
  </si>
  <si>
    <t>1.1.5.2.183/13</t>
  </si>
  <si>
    <t>3.2.333</t>
  </si>
  <si>
    <t>Электроснабжение гаража по адресу: Липецкая обл., Грязинский р-он, с. Казинка, район мастерской, гараж № 3</t>
  </si>
  <si>
    <t>1.1.5.2.184/13</t>
  </si>
  <si>
    <t>3.2.334</t>
  </si>
  <si>
    <t>1.1.5.2.185/13</t>
  </si>
  <si>
    <t>3.2.335</t>
  </si>
  <si>
    <t>3.2.336</t>
  </si>
  <si>
    <t>3.2.337</t>
  </si>
  <si>
    <t>1.1.5.2.188/13</t>
  </si>
  <si>
    <t>3.2.338</t>
  </si>
  <si>
    <t xml:space="preserve">Электроснабжение жилого дома по адресу: г. Липецк, ул. Жактовская, д. 68 </t>
  </si>
  <si>
    <t>1.1.5.2.189/13</t>
  </si>
  <si>
    <t>3.2.339</t>
  </si>
  <si>
    <t>1.1.5.2.190/13</t>
  </si>
  <si>
    <t>3.2.340</t>
  </si>
  <si>
    <t>1.1.5.2.191/13</t>
  </si>
  <si>
    <t>3.2.341</t>
  </si>
  <si>
    <t>Электроснабжение гаража по адресу: г. Липецк, во дворе дома №4 по ул. Б.Хмельницкого</t>
  </si>
  <si>
    <t>1.1.5.2.192/13</t>
  </si>
  <si>
    <t>3.2.342</t>
  </si>
  <si>
    <t>Электроснабжение садовых домиков в СНТ "Дачный-3"</t>
  </si>
  <si>
    <t>1.1.5.2.193/13</t>
  </si>
  <si>
    <t>3.2.343</t>
  </si>
  <si>
    <t>Электроснабжение садовых домиков в СНТ "Цементник"</t>
  </si>
  <si>
    <t>1.1.5.2.194/13</t>
  </si>
  <si>
    <t>3.2.344</t>
  </si>
  <si>
    <t>1.1.5.2.195/13</t>
  </si>
  <si>
    <t>3.2.345</t>
  </si>
  <si>
    <t>Электроснабжение гаража по адресу: г. Липецк, ГК "Пришвинский", гараж № 264</t>
  </si>
  <si>
    <t>1.1.5.2.196/13</t>
  </si>
  <si>
    <t>3.2.346</t>
  </si>
  <si>
    <t xml:space="preserve">Электроснабжение садового домика по адресу: г. Липецк, СНТ "Цементник", уч. № 316 </t>
  </si>
  <si>
    <t>1.1.5.2.197/13</t>
  </si>
  <si>
    <t>3.2.347</t>
  </si>
  <si>
    <t>1.1.5.2.198/13</t>
  </si>
  <si>
    <t>3.2.348</t>
  </si>
  <si>
    <t>Электроснабжение садового домика по адресу: г. Липецк, СНТ "Машиностроитель-1", земельный участок № 836</t>
  </si>
  <si>
    <t>1.1.5.2.199/13</t>
  </si>
  <si>
    <t>3.2.349</t>
  </si>
  <si>
    <t>Электроснабжение автосервиса по адресу: г. Липецк, по ул. Московской в районе ул. Минской</t>
  </si>
  <si>
    <t>1.1.5.2.200/13</t>
  </si>
  <si>
    <t>3.2.350</t>
  </si>
  <si>
    <t>Электроснабжение садового домика по адресу: г. Липецк, ПОПиИ "Сокол-1", земельный участок № 197</t>
  </si>
  <si>
    <t>1.1.5.2.1/14</t>
  </si>
  <si>
    <t>3.2.351</t>
  </si>
  <si>
    <t>1.1.5.2.100/13</t>
  </si>
  <si>
    <t>3.2.352</t>
  </si>
  <si>
    <t>1.1.5.2.103/13</t>
  </si>
  <si>
    <t>3.2.353</t>
  </si>
  <si>
    <t>Электроснабжение объектов в с. Сселки по ул. Советская</t>
  </si>
  <si>
    <t>1.1.6.2.45/11</t>
  </si>
  <si>
    <t>3.2.354</t>
  </si>
  <si>
    <t>Электроснабжение кирпичного гаража по адресу: г.Липецк, ул.Угловая, около школы №44 и дома №12, корп.а</t>
  </si>
  <si>
    <t>1.1.5.2.94/13</t>
  </si>
  <si>
    <t>3.2.355</t>
  </si>
  <si>
    <t>Электроснабжение садового домика по адресу: г. Липецк, СНТ "Дачный-3", зем. уч. № 43</t>
  </si>
  <si>
    <t>1.1.5.2.95/13</t>
  </si>
  <si>
    <t>3.2.356</t>
  </si>
  <si>
    <t>Электроснабжение садовых домиков в СНТ "Липецкстрой"</t>
  </si>
  <si>
    <t>3.2.357</t>
  </si>
  <si>
    <t>3.2.358</t>
  </si>
  <si>
    <t>1.1.5.2.98/13</t>
  </si>
  <si>
    <t>3.2.359</t>
  </si>
  <si>
    <t>Электроснабжение садовых домиков в с/о "Сокол-3"</t>
  </si>
  <si>
    <t>1.1.5.2.99/13</t>
  </si>
  <si>
    <t>3.2.360</t>
  </si>
  <si>
    <t>Электроснабжение индивидуального жилого дома усадебного типа по адресу: г. Липецк, с/о "Сокол-3", уч. № 664</t>
  </si>
  <si>
    <t>1.1.5.2.101/13</t>
  </si>
  <si>
    <t>3.2.361</t>
  </si>
  <si>
    <t>1.1.5.2.104/13</t>
  </si>
  <si>
    <t>3.2.362</t>
  </si>
  <si>
    <t>Электроснабжение жилого дома с пристройкой по адресу: г. Липецк, ул. Шахтерская, дом № 7 а</t>
  </si>
  <si>
    <t>1.1.5.2.105/13</t>
  </si>
  <si>
    <t>3.2.363</t>
  </si>
  <si>
    <t>Электроснабжение 51/100 доли помещения с полуподвалом № 12 по адресу: г. Липецк, Универсальный проезд, д. 14</t>
  </si>
  <si>
    <t>1.1.5.2.106/13</t>
  </si>
  <si>
    <t>Электроснабжение гаражного бокса № 19 по адресу: г. Липецк, ул. Неделина, д. 1 "б"</t>
  </si>
  <si>
    <t>1.1.5.2.107/13</t>
  </si>
  <si>
    <t>Электроснабжение кирпичного гаража № 830 по адресу: г. Липецк, ГПК "Сырский", ряд 9</t>
  </si>
  <si>
    <t>4.1.24/09</t>
  </si>
  <si>
    <t>1.1.5.2.2/14</t>
  </si>
  <si>
    <t>Электроснабжение садового домика по адресу: г. Липецк, СНТ "Металлург-2" ОАО "НЛМК", участок № 1947 а</t>
  </si>
  <si>
    <t>1.1.5.2.3/14</t>
  </si>
  <si>
    <t>Электроснабжение садового домика по адресу: г. Липецк, СНТ "Металлур-2" ОАО НЛМК, участок № 1913</t>
  </si>
  <si>
    <t>1.1.5.2.4/14</t>
  </si>
  <si>
    <t>1.1.5.2.5/14</t>
  </si>
  <si>
    <t>1.1.5.2.6/14</t>
  </si>
  <si>
    <t>1.1.5.2.8/14</t>
  </si>
  <si>
    <t>Электроснабжение садовых домиков в СНТ "Тракторостроитель-1"</t>
  </si>
  <si>
    <t>Строительство КЛ-0,4 кВ от РУ-0,4 кВ РП-53 до здания Арбитражного суда Липецкой области на пл. Петра Великого, запитанного от РУ-0,4 кВ нового РП на пл. Петра Великого; 764 кВт, 380 В, 2 и 1 категория для электроснабжение здания Арбитражного суда Липецкой области на пл.Петра Великого, запитанного от РУ-0,4кВ нового РП на пл.Петра Великого</t>
  </si>
  <si>
    <t>1.1.6.4.14ПМ/10</t>
  </si>
  <si>
    <t>Электроснабжение здания магазина продовольственных и непродовольственных товаров с административными помещениями по ул. Прокатная, запитанного от ТП-514; 45 кВт, 380В, 3 категория</t>
  </si>
  <si>
    <t>1.1.6.4.24ПМ/10</t>
  </si>
  <si>
    <t>Строительство КВЛ-0,4кВ от ТП-79 до здания №2а по пр. Поперечный для электроснабжение кирпичного здания склада с пристройками по пр. поперечный, д. 2 "а", запитанного от ТП-79; 70 кВт, 380 В, 3 категория</t>
  </si>
  <si>
    <t>1.1.6.4.25ПМ/10</t>
  </si>
  <si>
    <t>Строительство КЛ-0,4 кВ от ТП-5 до административно-бытового здания с участком по эксплуатации газового оборудования по ул. Крайняя для объекта технологического присоединения: Электроснабжение административно-бытового здания с участком по эксплуатации газового оборудования по ул. Крайняя</t>
  </si>
  <si>
    <t>1.1.6.3.67/10</t>
  </si>
  <si>
    <t>1.1.6.2.2/11</t>
  </si>
  <si>
    <t>1.1.6.2.4/11</t>
  </si>
  <si>
    <t>1.1.6.2.9/11</t>
  </si>
  <si>
    <t>1.1.6.2.10/11</t>
  </si>
  <si>
    <t>1.1.6.2.13/11</t>
  </si>
  <si>
    <t>1.1.6.2.20/11</t>
  </si>
  <si>
    <t>1.1.6.2.21/11</t>
  </si>
  <si>
    <t>1.1.6.2.24/11</t>
  </si>
  <si>
    <t>1.1.6.2.28/11</t>
  </si>
  <si>
    <t>1.1.6.2.43/11</t>
  </si>
  <si>
    <t>1.1.6.2.47/11</t>
  </si>
  <si>
    <t>1.1.6.2.48/11</t>
  </si>
  <si>
    <t>1.1.6.2.49/11</t>
  </si>
  <si>
    <t>1.1.6.2.52/11</t>
  </si>
  <si>
    <t>1.1.6.2.53/11</t>
  </si>
  <si>
    <t>1.1.6.2.61/11</t>
  </si>
  <si>
    <t>1.1.6.2.65/11</t>
  </si>
  <si>
    <t>1.1.6.2.66/11</t>
  </si>
  <si>
    <t>1.1.6.2.86/11</t>
  </si>
  <si>
    <t>1.1.6.2.91/11</t>
  </si>
  <si>
    <t>1.1.6.2.93/11</t>
  </si>
  <si>
    <t>1.1.6.2.100/11</t>
  </si>
  <si>
    <t>1.1.6.2.106/11</t>
  </si>
  <si>
    <t>1.1.6.2.111/11</t>
  </si>
  <si>
    <t>1.1.6.2.114/11</t>
  </si>
  <si>
    <t>1.1.6.2.117/11</t>
  </si>
  <si>
    <t>1.1.6.2.120/11</t>
  </si>
  <si>
    <t>1.1.6.2.121/11</t>
  </si>
  <si>
    <t>1.1.6.2.1/12</t>
  </si>
  <si>
    <t>1.1.6.2.2/12</t>
  </si>
  <si>
    <t>1.1.6.2.4/12</t>
  </si>
  <si>
    <t>1.1.6.2.12/12</t>
  </si>
  <si>
    <t>1.1.6.2.13/12</t>
  </si>
  <si>
    <t>1.1.6.2.20/12</t>
  </si>
  <si>
    <t>1.1.6.2.21/12</t>
  </si>
  <si>
    <t>1.1.6.2.23/12</t>
  </si>
  <si>
    <t>1.1.6.2.24/12</t>
  </si>
  <si>
    <t>1.1.6.2.28/12</t>
  </si>
  <si>
    <t>1.1.6.2.31/12</t>
  </si>
  <si>
    <t>1.1.6.2.36/12</t>
  </si>
  <si>
    <t>1.1.6.2.37/12</t>
  </si>
  <si>
    <t>1.1.6.2.41/12</t>
  </si>
  <si>
    <t>1.1.6.2.43/12</t>
  </si>
  <si>
    <t>1.1.6.2.46/12</t>
  </si>
  <si>
    <t>1.1.6.2.53/12</t>
  </si>
  <si>
    <t>1.1.6.2.54/12</t>
  </si>
  <si>
    <t>1.1.6.2.55/12</t>
  </si>
  <si>
    <t>1.1.6.2.56/12</t>
  </si>
  <si>
    <t>1.1.6.2.57/12</t>
  </si>
  <si>
    <t>1.1.6.2.58/12</t>
  </si>
  <si>
    <t>1.1.6.2.60/12</t>
  </si>
  <si>
    <t>1.1.6.2.61/12</t>
  </si>
  <si>
    <t>1.1.6.2.62/12</t>
  </si>
  <si>
    <t>1.1.6.2.63/12</t>
  </si>
  <si>
    <t>1.1.6.2.64/12</t>
  </si>
  <si>
    <t>1.1.6.2.65/12</t>
  </si>
  <si>
    <t>1.1.6.2.66/12</t>
  </si>
  <si>
    <t>1.1.6.2.67/12</t>
  </si>
  <si>
    <t>1.1.6.2.68/12</t>
  </si>
  <si>
    <t>1.1.6.2.69/12</t>
  </si>
  <si>
    <t>1.1.6.2.70/12</t>
  </si>
  <si>
    <t>1.1.6.2.71/12</t>
  </si>
  <si>
    <t>1.1.6.2.72/12</t>
  </si>
  <si>
    <t>1.1.6.2.73/12</t>
  </si>
  <si>
    <t>1.1.6.2.74/12</t>
  </si>
  <si>
    <t>1.1.6.2.75/12</t>
  </si>
  <si>
    <t>1.1.6.2.76/12</t>
  </si>
  <si>
    <t>1.1.6.2.78/12</t>
  </si>
  <si>
    <t>1.1.6.2.80/12</t>
  </si>
  <si>
    <t>1.1.6.2.81/12</t>
  </si>
  <si>
    <t>1.1.6.2.82/12</t>
  </si>
  <si>
    <t>1.1.6.2.85/12</t>
  </si>
  <si>
    <t>1.1.6.2.86/12</t>
  </si>
  <si>
    <t>1.1.6.2.87/12</t>
  </si>
  <si>
    <t>1.1.6.2.88/12</t>
  </si>
  <si>
    <t>1.1.6.2.89/12</t>
  </si>
  <si>
    <t>1.1.6.2.90/12</t>
  </si>
  <si>
    <t>1.1.6.2.96/12</t>
  </si>
  <si>
    <t>1.1.6.2.97/12</t>
  </si>
  <si>
    <t>1.1.6.2.98/12</t>
  </si>
  <si>
    <t>1.1.6.2.99/12</t>
  </si>
  <si>
    <t>1.1.6.2.100/12</t>
  </si>
  <si>
    <t>1.1.6.2.101/12</t>
  </si>
  <si>
    <t>1.1.6.2.102/12</t>
  </si>
  <si>
    <t>1.1.6.2.103/12</t>
  </si>
  <si>
    <t>1.1.6.2.104/12</t>
  </si>
  <si>
    <t>1.1.6.2.84/12</t>
  </si>
  <si>
    <t>1.1.6.2.91/12</t>
  </si>
  <si>
    <t>1.1.6.2.93/12</t>
  </si>
  <si>
    <t>1.1.6.2.95/12</t>
  </si>
  <si>
    <t>1.1.6.2.105/12</t>
  </si>
  <si>
    <t>1.1.6.2.106/12</t>
  </si>
  <si>
    <t>1.1.6.2.107/12</t>
  </si>
  <si>
    <t>1.1.6.2.108/12</t>
  </si>
  <si>
    <t>1.1.6.2.109/12</t>
  </si>
  <si>
    <t>1.1.6.2.110/12</t>
  </si>
  <si>
    <t>1.1.6.2.111/12</t>
  </si>
  <si>
    <t>1.1.6.2.112/12</t>
  </si>
  <si>
    <t>1.1.6.2.113/12</t>
  </si>
  <si>
    <t>1.1.6.2.114/12</t>
  </si>
  <si>
    <t>1.1.6.2.115/12</t>
  </si>
  <si>
    <t>1.1.6.2.83/12</t>
  </si>
  <si>
    <t>1.1.6.2.94/12</t>
  </si>
  <si>
    <t>1.1.6.2.116/12</t>
  </si>
  <si>
    <t>1.1.6.2.117/12</t>
  </si>
  <si>
    <t>1.1.6.2.119/12</t>
  </si>
  <si>
    <t>1.1.6.2.120/12</t>
  </si>
  <si>
    <t>1.1.6.2.121/12</t>
  </si>
  <si>
    <t>1.1.6.2.122/12</t>
  </si>
  <si>
    <t>1.1.6.2.123/12</t>
  </si>
  <si>
    <t>1.1.5.3.1/13</t>
  </si>
  <si>
    <t>1.1.5.3.2/13</t>
  </si>
  <si>
    <t>1.1.5.3.3/13</t>
  </si>
  <si>
    <t>1.1.5.3.4/13</t>
  </si>
  <si>
    <t>1.1.5.3.5/13</t>
  </si>
  <si>
    <t>1.1.5.3.6/13</t>
  </si>
  <si>
    <t>1.1.5.3.7/13</t>
  </si>
  <si>
    <t>1.1.5.3.8/13</t>
  </si>
  <si>
    <t>1.1.5.3.9/13</t>
  </si>
  <si>
    <t>1.1.5.3.10/13</t>
  </si>
  <si>
    <t>1.1.5.3.11/13</t>
  </si>
  <si>
    <t>1.1.5.3.12/13</t>
  </si>
  <si>
    <t>1.1.5.3.13/13</t>
  </si>
  <si>
    <t>1.1.5.3.14/13</t>
  </si>
  <si>
    <t>1.1.5.3.15/13</t>
  </si>
  <si>
    <t>1.1.5.3.16/13</t>
  </si>
  <si>
    <t>1.1.5.3.17/13</t>
  </si>
  <si>
    <t>1.1.5.3.18/13</t>
  </si>
  <si>
    <t>1.1.5.3.19/13</t>
  </si>
  <si>
    <t>1.1.5.3.20/13</t>
  </si>
  <si>
    <t>1.1.5.3.21/13</t>
  </si>
  <si>
    <t>1.1.5.3.22/13</t>
  </si>
  <si>
    <t>1.1.5.3.23/13</t>
  </si>
  <si>
    <t>1.1.5.3.24/13</t>
  </si>
  <si>
    <t>1.1.5.3.25/13</t>
  </si>
  <si>
    <t>1.1.5.3.26/13</t>
  </si>
  <si>
    <t>1.1.5.3.27/13</t>
  </si>
  <si>
    <t>1.1.5.3.28/13</t>
  </si>
  <si>
    <t>1.1.5.3.29/13</t>
  </si>
  <si>
    <t>1.1.5.3.30/13</t>
  </si>
  <si>
    <t>1.1.5.3.31/13</t>
  </si>
  <si>
    <t>1.1.5.3.32/13</t>
  </si>
  <si>
    <t>1.1.5.3.33/13</t>
  </si>
  <si>
    <t>1.1.5.3.34/13</t>
  </si>
  <si>
    <t>1.1.5.3.36/13</t>
  </si>
  <si>
    <t>1.1.5.3.37/13</t>
  </si>
  <si>
    <t>3.2.168</t>
  </si>
  <si>
    <t>1.1.6.3.13/10</t>
  </si>
  <si>
    <t>3.2.169</t>
  </si>
  <si>
    <t>1.1.6.3.27/10</t>
  </si>
  <si>
    <t>3.2.170</t>
  </si>
  <si>
    <t>1.1.6.3.28/10</t>
  </si>
  <si>
    <t>3.2.171</t>
  </si>
  <si>
    <t>3.2.172</t>
  </si>
  <si>
    <t>3.2.173</t>
  </si>
  <si>
    <t>1.1.6.2.22/11</t>
  </si>
  <si>
    <t>3.2.174</t>
  </si>
  <si>
    <t>4.1.63/09</t>
  </si>
  <si>
    <t>3.2.175</t>
  </si>
  <si>
    <t>4.1.64/09</t>
  </si>
  <si>
    <t>Электроснабжение садовых домиков в с/о "Сокол-2" и жилых домов по пер. Космический, запитанных от КТП-429, 114 кВт, 220 В, 3 категория</t>
  </si>
  <si>
    <t>3.2.176</t>
  </si>
  <si>
    <t>1.1.6.2.12/11</t>
  </si>
  <si>
    <t>3.2.177</t>
  </si>
  <si>
    <t>1.1.5.3.38/13</t>
  </si>
  <si>
    <t>Электроснабжение гаража № 29 по адресу: г. Липецк, 15 микрорайон, строение 34</t>
  </si>
  <si>
    <t>3.2.178</t>
  </si>
  <si>
    <t>1.1.5.3.39/13</t>
  </si>
  <si>
    <t>Электроснабжение садового домика по адресу: г. Липецк, СНТ "Металлург-1", квартал II, участок № 48</t>
  </si>
  <si>
    <t>3.2.179</t>
  </si>
  <si>
    <t>1.1.5.3.40/13</t>
  </si>
  <si>
    <t>Электроснабжение киоска № К-4500 по адресу: г. Липецк, ул. Ленинградская, пос. ЛТЗ, район магазина "Пятерочка"</t>
  </si>
  <si>
    <t>3.2.180</t>
  </si>
  <si>
    <t>3.2.181</t>
  </si>
  <si>
    <t>3.2.182</t>
  </si>
  <si>
    <t>1.1.5.3.44/13</t>
  </si>
  <si>
    <t>Строительство КЛ-0,4 кВ от РП-24 до объекта для электроснабжения здания автосервиса с магазином по адресу: г. Липецк, проезд Трубный, владение 11 г</t>
  </si>
  <si>
    <t>3.2.7</t>
  </si>
  <si>
    <t>3.2.10</t>
  </si>
  <si>
    <t>3.2.22</t>
  </si>
  <si>
    <t>3.2.23</t>
  </si>
  <si>
    <t>Обеспечение пожарной безопасности людей в помещениях и зданиях компании, предотвращение незаконного проникновения на объекты ОАО «ЛГЭК»</t>
  </si>
  <si>
    <t>Предписание управления государственного пожарного надзора ГУ МЧС РОССИИ по Липецкой области за № 453 от 29.08.2008 г.</t>
  </si>
  <si>
    <t xml:space="preserve">обязательства ОАО "ЛГЭК" по заключенным договорам тех.присоединения </t>
  </si>
  <si>
    <t>Приобретение нового оборудования для обеспечения основного вида деятельности КЭС ОАО "ЛГЭК"</t>
  </si>
  <si>
    <t>С.А. Коваль</t>
  </si>
  <si>
    <t>2х1 МВА</t>
  </si>
  <si>
    <t>Асфальторезная машина</t>
  </si>
  <si>
    <t>Палатка кабельщика</t>
  </si>
  <si>
    <t>Установка поверки счетчиков</t>
  </si>
  <si>
    <t>Строительство КЛ-6 кВ ЦРП "Город" яч. 12 - ТП-101 яч. 6</t>
  </si>
  <si>
    <t>1.1.1.3</t>
  </si>
  <si>
    <t>1.1.1.4</t>
  </si>
  <si>
    <t>1.1.2.2</t>
  </si>
  <si>
    <t>2.1.1.10</t>
  </si>
  <si>
    <t>2.1.1.11</t>
  </si>
  <si>
    <t>2.5.10</t>
  </si>
  <si>
    <t>2.5.11</t>
  </si>
  <si>
    <t>2.5.12</t>
  </si>
  <si>
    <t>2.5.14</t>
  </si>
  <si>
    <t>0,4 км</t>
  </si>
  <si>
    <t>2 (масляные)</t>
  </si>
  <si>
    <t>2х1 МВА (мощность трансформаторов)</t>
  </si>
  <si>
    <t>25 
(для силового оборудования)</t>
  </si>
  <si>
    <t>2 
(масляные герметичные)</t>
  </si>
  <si>
    <t>1959</t>
  </si>
  <si>
    <t>АСБГ с пропитанной бумажной изоляцией</t>
  </si>
  <si>
    <t>710</t>
  </si>
  <si>
    <t>район с. Сселки</t>
  </si>
  <si>
    <t>снижение потерь, компенсация реактивной мощности</t>
  </si>
  <si>
    <t>программа приведения  объектов ОАО "ЛГЭК" к требуемой категории электроснабжения</t>
  </si>
  <si>
    <t>г. Липецк, от ЦРП "Город" по ул. Кузнечная до ТП-101 по ул. Театральная</t>
  </si>
  <si>
    <t>г. Липецк, от ТП-93по ул. Советской до ТП-101 по ул. Театральная</t>
  </si>
  <si>
    <t>1.1.1.5</t>
  </si>
  <si>
    <t>Строительство КЛ-6 кВ от РП-Вилли Огнева до ТП-732</t>
  </si>
  <si>
    <t>Реконструкция РУ-6 кВ ТП-732</t>
  </si>
  <si>
    <t>Реконструкция РУ-6 кВ ТП-709</t>
  </si>
  <si>
    <t>0,05 км</t>
  </si>
  <si>
    <t>АС-35</t>
  </si>
  <si>
    <t>1.1.1.6</t>
  </si>
  <si>
    <t>1.1.3.3</t>
  </si>
  <si>
    <t>1.3.6</t>
  </si>
  <si>
    <t>20 шт.</t>
  </si>
  <si>
    <t>3.1.97</t>
  </si>
  <si>
    <t>3.1.102</t>
  </si>
  <si>
    <t>3.1.117</t>
  </si>
  <si>
    <t>4.1.69/09</t>
  </si>
  <si>
    <t>4.1.70/09</t>
  </si>
  <si>
    <t>1.1.6.4.31/10</t>
  </si>
  <si>
    <t>1.1.6.4.11/10</t>
  </si>
  <si>
    <t>1.1.6.4.50/10</t>
  </si>
  <si>
    <t>1.1.6.4.51/10</t>
  </si>
  <si>
    <t>4.1.57/09</t>
  </si>
  <si>
    <t>1.1.6.4.47/10</t>
  </si>
  <si>
    <t>1.1.6.4.52/10</t>
  </si>
  <si>
    <t>1.1.6.4.41/10</t>
  </si>
  <si>
    <t>1.1.6.4.35/10</t>
  </si>
  <si>
    <t>1.1.6.4.29/10</t>
  </si>
  <si>
    <t>1 км/ 0 МВА</t>
  </si>
  <si>
    <t>1.1.6.4.7/10</t>
  </si>
  <si>
    <t>1.1.6.1.12/11</t>
  </si>
  <si>
    <t xml:space="preserve"> 1 км/0 МВА</t>
  </si>
  <si>
    <t>1.1.6.1.16/11</t>
  </si>
  <si>
    <t>1.1.6.1.38/11</t>
  </si>
  <si>
    <t>1.1.6.1.43/11</t>
  </si>
  <si>
    <t xml:space="preserve"> 0,5 км/0 МВА</t>
  </si>
  <si>
    <t>1.1.6.1.44/11</t>
  </si>
  <si>
    <t>1.1.6.1.49/11</t>
  </si>
  <si>
    <t>1.1.6.1.51/11</t>
  </si>
  <si>
    <t>1.1.6.1.55/11</t>
  </si>
  <si>
    <t>1.1.6.1.2/12</t>
  </si>
  <si>
    <t>1.1.6.1.10/12</t>
  </si>
  <si>
    <t>1.1.6.1.12/12</t>
  </si>
  <si>
    <t>1.1.6.1.14/12</t>
  </si>
  <si>
    <t>1.1.6.1.16/12</t>
  </si>
  <si>
    <t>1.1.6.1.18/12</t>
  </si>
  <si>
    <t>1.1.6.1.20/12</t>
  </si>
  <si>
    <t>1.1.6.1.21/12</t>
  </si>
  <si>
    <t>1.1.6.1.30/12</t>
  </si>
  <si>
    <t>1.1.6.1.31/12</t>
  </si>
  <si>
    <t>1.1.6.1.32/12</t>
  </si>
  <si>
    <t>1.1.6.1.33/12</t>
  </si>
  <si>
    <t>1.1.6.1.40/12</t>
  </si>
  <si>
    <t>1.1.6.1.46/12</t>
  </si>
  <si>
    <t>1.1.6.1.50/12</t>
  </si>
  <si>
    <t>1.1.6.1.53/12</t>
  </si>
  <si>
    <t>1.1.6.1.57/12</t>
  </si>
  <si>
    <t>1.1.6.1.58/12</t>
  </si>
  <si>
    <t>1.1.6.1.66/12</t>
  </si>
  <si>
    <t>1.1.6.1.72/12</t>
  </si>
  <si>
    <t>1.1.6.1.74/12</t>
  </si>
  <si>
    <t>3.1.73</t>
  </si>
  <si>
    <t>1.1.6.1.75/12</t>
  </si>
  <si>
    <t>3.1.74</t>
  </si>
  <si>
    <t>1.1.6.1.62/12</t>
  </si>
  <si>
    <t>3.1.75</t>
  </si>
  <si>
    <t>1.1.6.1.76/12</t>
  </si>
  <si>
    <t>3.1.76</t>
  </si>
  <si>
    <t>1.1.6.1.79/12</t>
  </si>
  <si>
    <t>3.1.77</t>
  </si>
  <si>
    <t>3.1.78</t>
  </si>
  <si>
    <t>1.1.5.1.1/13</t>
  </si>
  <si>
    <t>3.1.79</t>
  </si>
  <si>
    <t>1.1.5.1.2/13</t>
  </si>
  <si>
    <t>3.1.80</t>
  </si>
  <si>
    <t>3.1.81</t>
  </si>
  <si>
    <t>1.1.6.1.45/11</t>
  </si>
  <si>
    <t>3.1.82</t>
  </si>
  <si>
    <t>3.1.83</t>
  </si>
  <si>
    <t>1.1.5.1.3/13</t>
  </si>
  <si>
    <t>3.1.84</t>
  </si>
  <si>
    <t>3.1.85</t>
  </si>
  <si>
    <t>1.1.5.1.5/13</t>
  </si>
  <si>
    <t xml:space="preserve"> 0,3 км/0,25 МВА</t>
  </si>
  <si>
    <t>3.1.86</t>
  </si>
  <si>
    <t>1.1.5.1.6/13</t>
  </si>
  <si>
    <t>3.1.87</t>
  </si>
  <si>
    <t>1.1.5.1.7/13</t>
  </si>
  <si>
    <t>3.1.88</t>
  </si>
  <si>
    <t>1.1.5.1.8/13</t>
  </si>
  <si>
    <t>3.1.89</t>
  </si>
  <si>
    <t>1.1.5.1.9/13</t>
  </si>
  <si>
    <t>3.1.90</t>
  </si>
  <si>
    <t>3.1.91</t>
  </si>
  <si>
    <t>3.1.92</t>
  </si>
  <si>
    <t>3.1.93</t>
  </si>
  <si>
    <t>3.1.94</t>
  </si>
  <si>
    <t>3.1.95</t>
  </si>
  <si>
    <t>3.1.96</t>
  </si>
  <si>
    <t>1.1.5.1.10/13</t>
  </si>
  <si>
    <t>Электроснабжение здания спортивного клуба по адресу: г. Липецк, ул. Геологическая</t>
  </si>
  <si>
    <t>3.1.98</t>
  </si>
  <si>
    <t>1.1.5.1.11/13</t>
  </si>
  <si>
    <t>3.1.99</t>
  </si>
  <si>
    <t>1.1.5.1.14/13</t>
  </si>
  <si>
    <t>3.1.100</t>
  </si>
  <si>
    <t>3.1.101</t>
  </si>
  <si>
    <t>1.1.5.1.17/13</t>
  </si>
  <si>
    <t>3.1.103</t>
  </si>
  <si>
    <t>1.1.5.1.18/13</t>
  </si>
  <si>
    <t>3.1.104</t>
  </si>
  <si>
    <t>1.1.6.1.43/12</t>
  </si>
  <si>
    <t>4.1.60/09</t>
  </si>
  <si>
    <t>4.1.74/09</t>
  </si>
  <si>
    <t>1.1.6.3.4/10</t>
  </si>
  <si>
    <t>1.1.6.3.37/10</t>
  </si>
  <si>
    <t>1.1.6.3.38/10</t>
  </si>
  <si>
    <t>1.1.6.3.48/10</t>
  </si>
  <si>
    <t>1.1.6.3.54/10</t>
  </si>
  <si>
    <t>1.1.6.3.59/10</t>
  </si>
  <si>
    <t>1.1.6.3.5/10</t>
  </si>
  <si>
    <t>1.1.6.3.9/10</t>
  </si>
  <si>
    <t>1.1.6.3.33/10</t>
  </si>
  <si>
    <t>1.1.6.3.35/10</t>
  </si>
  <si>
    <t>1.1.6.3.40/10</t>
  </si>
  <si>
    <t>1.1.6.3.41/10</t>
  </si>
  <si>
    <t>1.1.6.3.45/10</t>
  </si>
  <si>
    <t>1.1.6.3.47/10</t>
  </si>
  <si>
    <t>1.1.6.3.49/10</t>
  </si>
  <si>
    <t>1.1.6.3.52/10</t>
  </si>
  <si>
    <t>1.1.6.3.53/10</t>
  </si>
  <si>
    <t>линии электропередач</t>
  </si>
  <si>
    <t>иные объекты</t>
  </si>
  <si>
    <t>год ввода в экс-
плуата-
цию</t>
  </si>
  <si>
    <t>норма-
тивный срок службы, лет</t>
  </si>
  <si>
    <t>количество и марка силовых трансформа-
торов, шт.</t>
  </si>
  <si>
    <t>мощ-
ность, МВА</t>
  </si>
  <si>
    <t>тип опор</t>
  </si>
  <si>
    <t>марка кабеля</t>
  </si>
  <si>
    <t>протя-
женность, км</t>
  </si>
  <si>
    <t>ПИР</t>
  </si>
  <si>
    <t>СМР</t>
  </si>
  <si>
    <t>оборудо-
вание и материа-
лы</t>
  </si>
  <si>
    <t>прочие</t>
  </si>
  <si>
    <t>Вывод мощностей</t>
  </si>
  <si>
    <t>Наименование направления/
проекта инвестиционной программы</t>
  </si>
  <si>
    <t>Монтаж узла учета на опоре № 18 ВЛ-0,4 кВ по ул. Неделина, смонтированной по п. 1.1.6.2.4/12 ППР, от ТП-339 для электроснабжения помещения № 2 (гараж № 3) по адресу: г. Липецк, ул. Неделина, д. 1 "б"</t>
  </si>
  <si>
    <t>3.2.225</t>
  </si>
  <si>
    <t>1.1.5.3.69/13</t>
  </si>
  <si>
    <t>3.2.226</t>
  </si>
  <si>
    <t>1.1.5.3.70/13</t>
  </si>
  <si>
    <t>Электроснабжение помещений по адресу: г. Липецк, ул. Коммунальная, д. № 9</t>
  </si>
  <si>
    <t>3.2.227</t>
  </si>
  <si>
    <t>1.1.5.3.71/13</t>
  </si>
  <si>
    <t>3.2.228</t>
  </si>
  <si>
    <t>1.1.5.3.72/13</t>
  </si>
  <si>
    <t>Монтаж узла учета на опоре № 29 ВЛ-0,4 кВ по ул. Бригадная от КТП-560 для электроснабжения жилого дома с пристройками по адресу: г. Липецк, ул. Бригадная, д. 19</t>
  </si>
  <si>
    <t>3.2.229</t>
  </si>
  <si>
    <t>1.1.5.3.73/13</t>
  </si>
  <si>
    <t>Электроснабжение садовых домиков в СНТ "Металлург-2" (МТП № 2)</t>
  </si>
  <si>
    <t>3.2.230</t>
  </si>
  <si>
    <t>1.1.5.3.74/13</t>
  </si>
  <si>
    <t>Электроснабжение административного здания по адресу: г. Липецк, пр-т Мира, 35 А</t>
  </si>
  <si>
    <t>3.2.231</t>
  </si>
  <si>
    <t>1.1.5.3.75/13</t>
  </si>
  <si>
    <t>3.2.232</t>
  </si>
  <si>
    <t>1.1.5.3.76/13</t>
  </si>
  <si>
    <t>Электроснабжение жилого дома по адресу: г. Липецк, ул. Уральская, д. 7</t>
  </si>
  <si>
    <t>3.2.233</t>
  </si>
  <si>
    <t>1.1.5.3.77/13</t>
  </si>
  <si>
    <t>3.2.234</t>
  </si>
  <si>
    <t>1.1.5.3.78/13</t>
  </si>
  <si>
    <t>3.2.235</t>
  </si>
  <si>
    <t>1.1.5.3.79/13</t>
  </si>
  <si>
    <t>Монтаж узла учета на ближайшей опоре ВЛ-0,4 кВ по ул. Винницкая от ТП-379 для электроснабжения садового домика по адресу: г. Липецк, СНТ "Металлург-2", земельный участок № 1490</t>
  </si>
  <si>
    <t>3.2.236</t>
  </si>
  <si>
    <t>1.1.5.3.80/13</t>
  </si>
  <si>
    <t>Монтаж узла учета на ближайшей опоре ВЛ-0,4 кВ по ул. Винницкая от ТП-379 для электроснабжения садового домика по адресу: г. Липецк, СНТ "Металлург-2" ОАО "НЛМК", земельный участок № 1491</t>
  </si>
  <si>
    <t>3.2.237</t>
  </si>
  <si>
    <t>1.1.5.3.81/13</t>
  </si>
  <si>
    <t>Реконструкция ВЛ-0,4 кВ от КТП, смонтированных по п. 1.1.6.2.2/11 ППР, для электроснабжения садового домика по адресу: г. Липецк, СНП "Спутник", массив I, участок № 326</t>
  </si>
  <si>
    <t>3.2.238</t>
  </si>
  <si>
    <t>1.1.5.3.83/13</t>
  </si>
  <si>
    <t>Электроснабжение гаража с подвалом по адресу: г. Липецк, ГК "Защитник", гараж № 22</t>
  </si>
  <si>
    <t>3.2.239</t>
  </si>
  <si>
    <t>1.1.5.3.84/13</t>
  </si>
  <si>
    <t>Электроснабжение индивидуального жилого дома и хозяйственных построек по адресу: г. Липецк, ул. Астраханская, д. 23</t>
  </si>
  <si>
    <t>3.2.240</t>
  </si>
  <si>
    <t>1.1.5.3.85/13</t>
  </si>
  <si>
    <t>Монтаж узла учета на ближайшей опоре ВЛ-0,4 кВ по ул. Неделина, смонтированной по п. 1.1.6.2.4/12 ППР, от ТП-339 для электроснабжения гаража по адресу: г. Липецк, ул. Неделина, 1 "б", гараж № 58 в лит. Г5</t>
  </si>
  <si>
    <t>3.2.241</t>
  </si>
  <si>
    <t>1.1.5.3.86/13</t>
  </si>
  <si>
    <t>Электроснабжение гаражей по адресу: г. Липецк, ул. Семашко</t>
  </si>
  <si>
    <t>3.2.242</t>
  </si>
  <si>
    <t>1.1.5.3.87/13</t>
  </si>
  <si>
    <t>Строительство ВЛ-0,4 кВ по ул. Салтыкова-Щедрина от опоры ВЛ-0,4 кВ, смонтированной по п. 1.1.6.3.33/10 ППР, от КТП-37 для электроснабжения индивидуального жилого дома усадебного типа и хозяйственных построек по адресу: г. Липецк, ул. Салтыкова-Щедрина, № 5 (по схеме)</t>
  </si>
  <si>
    <t>3.2.243</t>
  </si>
  <si>
    <t>1.1.5.3.88/13</t>
  </si>
  <si>
    <t>Электроснабжение временных укрытий для автотранспорта (индивидуальные металлические гаражи) по адресу: г. Липецк, район ул. Дружбы</t>
  </si>
  <si>
    <t>3.2.244</t>
  </si>
  <si>
    <t>1.1.5.3.89/13</t>
  </si>
  <si>
    <t>3.2.245</t>
  </si>
  <si>
    <t>1.1.5.3.90/13</t>
  </si>
  <si>
    <t>3.2.246</t>
  </si>
  <si>
    <t>1.1.5.3.91/13</t>
  </si>
  <si>
    <t>Строительство ВЛ-0,4 кВ в СНТ "Монтажник" от опоры № 33 ВЛ-0,4 кВ по ул. Ивовая от КТП-672 для электроснабжения садовых домиков в СНТ "Монтажник"</t>
  </si>
  <si>
    <t>3.2.247</t>
  </si>
  <si>
    <t>1.1.5.3.92/13</t>
  </si>
  <si>
    <t>3.2.248</t>
  </si>
  <si>
    <t>1.1.5.3.93/13</t>
  </si>
  <si>
    <t>Монтаж узла учета в РШ-0,4 кВ, смонтированном по п. 1.1.6.3.60/10 ППР, от ТП-115 для электроснабжения гаража по адресу: г. Липецк, ул. Зегеля, строение 15 а/3</t>
  </si>
  <si>
    <t>3.2.249</t>
  </si>
  <si>
    <t>1.1.5.3.56/13</t>
  </si>
  <si>
    <t>Электроснабжение жилых домов по адресу: г. Липецк, ул. Рябиновая</t>
  </si>
  <si>
    <t>3.2.250</t>
  </si>
  <si>
    <t>1.1.5.3.57/13</t>
  </si>
  <si>
    <t>Электроснабжение гаража по адресу: г. Липецк, ул. Баумана, д. 262</t>
  </si>
  <si>
    <t>3.2.251</t>
  </si>
  <si>
    <t>1.1.5.3.58/13</t>
  </si>
  <si>
    <t>Электроснабжение гаража по адресу: г. Липецк, пр. Базовый, владение 3, гараж № 48, 49</t>
  </si>
  <si>
    <t>3.2.252</t>
  </si>
  <si>
    <t>1.1.5.3.59/13</t>
  </si>
  <si>
    <t>Электроснабжение трехкомнатной квартиры по адресу: г. Липецк, ул. З. Космодемьянской, д. 198, кв. 2</t>
  </si>
  <si>
    <t>3.2.253</t>
  </si>
  <si>
    <t>1.1.5.3.60/13</t>
  </si>
  <si>
    <t>Электроснабжение здания станции технического обслуживания автомобилей с автомойкой по адресу: г. Липецк, ул. Юношеская, напротив дома № 23 а, кадастровый № 48:20:0010501:437</t>
  </si>
  <si>
    <t>3.2.254</t>
  </si>
  <si>
    <t>1.1.5.3.61/13</t>
  </si>
  <si>
    <t>Электроснабжение гаража по адресу: г. Липецк, ул. Юных Натуралистов, владение 20, гараж № 108</t>
  </si>
  <si>
    <t>3.2.255</t>
  </si>
  <si>
    <t>Строительство МТП, монтаж трансформатора в новой МТП, монтаж оборудования в РУ-6 кВ новой МТП, монтаж оборудования в РУ-0,4 кВ новой МТП, строительство ВЛ-6 кВ от ВЛ-6 кВ "ТП-406 - ТП-425" до новой МТП, строительство ВЛ-0,4 кВ от новой МТП до садового домика по адресу: г. Липецк, СТ "Строитель", участок № 377, монтаж пожарно-охранной сигнализации в новой МТП, монтаж устройства передачи данных (УСПД) по учету электрической энергии в РУ-0,4кВ новой МТП для электроснабжения садового домика по адресу: г. Липецк, СТ "Строитель", участок № 377</t>
  </si>
  <si>
    <t>1.1.6.1.80ПМ/12</t>
  </si>
  <si>
    <t>1.1.6.1.41ПМ/12</t>
  </si>
  <si>
    <t>Строительство СТП, строительство ВЛ-10 кВ от опоры № 9 ВЛ-10 кВ "ПС "Правобережная" - ТП-307" отпайка в сторону ТП-612 до опоры 9/1, строительство ВЛ-0,4 кВ от РУ-0,4 кВ СТП до склада готовых металлических конструкций по адресу: г. Липецк, ул. Ново-Весовая, д. № 23 Б, монтаж УСПД по учету электрической энергии в РУ-0,4кВ СТП, монтаж пожарно-охранной сигнализации в СТП, монтаж узла учета в РУ-0,4кВ СТП, строительство КЛ-10 кВ от опоры № 9/1 до новой СТП для электроснабжения склада готовых металлических конструкций по адресу: г. Липецк, ул. Ново-Весовая, д. № 23 Б.</t>
  </si>
  <si>
    <t>1.1.5.1.6ПМ/13</t>
  </si>
  <si>
    <t>1.1.6.4.33ПМ/10</t>
  </si>
  <si>
    <t>1.1.6.4.38ПМ/10</t>
  </si>
  <si>
    <t>Строительство КЛ-0,4 кВ от ТП-155 до трехэтажного здания банка с подвалом (лит.А, под А) для электроснабжения трехэтажного здания банка с подвалом (лит.А, под А) по ул. Интернациональная, д.8</t>
  </si>
  <si>
    <t>4.1.30ПМ/09</t>
  </si>
  <si>
    <t>0,6 км/0 МВА</t>
  </si>
  <si>
    <t>1.1.6.4.17ПМ/10</t>
  </si>
  <si>
    <t>Строительство КЛ-0,4кВ от ТП-396 до жилого здания по ул.Агрономическая для электроснабжения многоэтажного жилого здания по ул. Агрономическая, запитанного от ТП-396; 200,54 кВт, 380 В, 2 категория</t>
  </si>
  <si>
    <t>1.1.6.1.49ПМ/11</t>
  </si>
  <si>
    <t>1.1.6.1.2ПМ/12</t>
  </si>
  <si>
    <t>1.1.6.1.20ПМ/12</t>
  </si>
  <si>
    <t xml:space="preserve">Строительство КЛ-0,4 кВ от ТП-5 до административно-гостиничного здания по адресу: г. Липецк, ул. Крайняя, д. 4 для электроснабжения административно-гостиничного здания по адресу: г. Липецк, ул. Крайняя, д. 4 </t>
  </si>
  <si>
    <t>1.1.6.1.33ПМ/12</t>
  </si>
  <si>
    <t>Строительство КЛ-10кВ от ТП-555, яч. на I с.ш. до вновь смонтированной ТП, строительство КЛ-10кВ от ТП-555, яч. на II с.ш. до вновь смонтированной ТП для электроснабжения основной пристройки к административно-бытовому комплексу по адресу: г. Липецк, проезд Осенний, владение 1г.</t>
  </si>
  <si>
    <t>1.1.6.1.66ПМ/12</t>
  </si>
  <si>
    <t>1.1.6.1.64ПМ/11</t>
  </si>
  <si>
    <t>1.1.5.1.19ПМ/13</t>
  </si>
  <si>
    <t>1.1.6.4.39ПМ/10</t>
  </si>
  <si>
    <t>Строительство КЛ-6кВ от РП-8 до границ земельного участка ж/д №4 по ул.Баумана для электроснабжения индивидуального жилого дома по ул. Баумана, д.4</t>
  </si>
  <si>
    <t>1.1.6.1.15ПМ/12</t>
  </si>
  <si>
    <t>1.1.6.1.48ПМ/12</t>
  </si>
  <si>
    <t>Строительство КЛ-0,4 кВ от ТП-121 до жилого здания по адресу: г. Липецк, ул. Пролетарская</t>
  </si>
  <si>
    <t>Строительство КЛ-10 кВ от ПС "Правобережная" яч.19 до РП-17 яч.9; от ПС "Правобережная" яч.10 до РП-17 яч.7</t>
  </si>
  <si>
    <t>2х3,6 км</t>
  </si>
  <si>
    <t>2.1.1.6</t>
  </si>
  <si>
    <t>2.1.1.7</t>
  </si>
  <si>
    <t>3,38 км</t>
  </si>
  <si>
    <t>2.1.1.8</t>
  </si>
  <si>
    <t>3,22 км</t>
  </si>
  <si>
    <t>2.1.1.9</t>
  </si>
  <si>
    <t>2.1.2</t>
  </si>
  <si>
    <t>2.1.2.1</t>
  </si>
  <si>
    <t>0,12 км</t>
  </si>
  <si>
    <t>2.1.2.2</t>
  </si>
  <si>
    <t>0,2 км</t>
  </si>
  <si>
    <t>2.1.2.3</t>
  </si>
  <si>
    <t>2.1.2.4</t>
  </si>
  <si>
    <t>0,3 км</t>
  </si>
  <si>
    <t>2.1.3</t>
  </si>
  <si>
    <t>2.1.3.1</t>
  </si>
  <si>
    <t>Строительство ТП-612 по ул. Исполкомовская (с демонтажем старого здания)</t>
  </si>
  <si>
    <t>2.1.4</t>
  </si>
  <si>
    <t>2.2</t>
  </si>
  <si>
    <t>2х1,0 МВА</t>
  </si>
  <si>
    <t>Диспансерное отделение областной психоневрологической больницы по ул. Аксакова, 4</t>
  </si>
  <si>
    <t>2.3</t>
  </si>
  <si>
    <t>Приведение объектов компании к требуемой категории надежности электроснабжения</t>
  </si>
  <si>
    <t>2.3.1</t>
  </si>
  <si>
    <t>2.4</t>
  </si>
  <si>
    <t>Прочее новое строительство</t>
  </si>
  <si>
    <t xml:space="preserve">Строительство нового РП-4 по ул. Папина </t>
  </si>
  <si>
    <t>2.1.3.3</t>
  </si>
  <si>
    <t>2.4.1</t>
  </si>
  <si>
    <r>
      <t xml:space="preserve">Строительство КЛ-6 кВ сети электроснабжения от ТП-27 до ТП-127 </t>
    </r>
    <r>
      <rPr>
        <sz val="10"/>
        <color indexed="10"/>
        <rFont val="Times New Roman"/>
        <family val="1"/>
        <charset val="204"/>
      </rPr>
      <t/>
    </r>
  </si>
  <si>
    <t>3.1.4</t>
  </si>
  <si>
    <t>С
(касается РП Интернациональная)</t>
  </si>
  <si>
    <t>3.1.5</t>
  </si>
  <si>
    <t>3.1.6</t>
  </si>
  <si>
    <t>0 км/ 0 МВА</t>
  </si>
  <si>
    <t>3.1.7</t>
  </si>
  <si>
    <t>С
(касается РП Центр)</t>
  </si>
  <si>
    <t>3.1.8</t>
  </si>
  <si>
    <t>3.1.9</t>
  </si>
  <si>
    <t>3.1.10</t>
  </si>
  <si>
    <t>4,0 км/ 0 МВА</t>
  </si>
  <si>
    <t>3.1.11</t>
  </si>
  <si>
    <t>8,0 км/ 0 МВА</t>
  </si>
  <si>
    <t>3.1.12</t>
  </si>
  <si>
    <t>4,1 км/ 0 МВА</t>
  </si>
  <si>
    <t>3.1.13</t>
  </si>
  <si>
    <t>3.1.15</t>
  </si>
  <si>
    <t>3.1.16</t>
  </si>
  <si>
    <t>0,0 км/ 0 МВА</t>
  </si>
  <si>
    <t>3.1.18</t>
  </si>
  <si>
    <t>3.1.20</t>
  </si>
  <si>
    <t>6,0 км/ 1,26 МВА</t>
  </si>
  <si>
    <t>3.1.21</t>
  </si>
  <si>
    <t>3.1.22</t>
  </si>
  <si>
    <t>3.1.23</t>
  </si>
  <si>
    <t>3.1.25</t>
  </si>
  <si>
    <t>3.1.26</t>
  </si>
  <si>
    <t>3.1.27</t>
  </si>
  <si>
    <t>П+С
(касается РП-Центр)</t>
  </si>
  <si>
    <t>4,0 км/ 1,26 МВА</t>
  </si>
  <si>
    <t>3.1.28</t>
  </si>
  <si>
    <t>3.1.29</t>
  </si>
  <si>
    <t>5,4 км/ 1,60 МВА</t>
  </si>
  <si>
    <t>3.1.30</t>
  </si>
  <si>
    <t>1,5 км/ 0 МВА</t>
  </si>
  <si>
    <t>П+С
(касается ПС Студеновская)</t>
  </si>
  <si>
    <t>1 км/ 1,26 МВА</t>
  </si>
  <si>
    <t>3.2.1</t>
  </si>
  <si>
    <t>3.2.2</t>
  </si>
  <si>
    <t>3.2.3</t>
  </si>
  <si>
    <t>3.2.8</t>
  </si>
  <si>
    <t>3.2.9</t>
  </si>
  <si>
    <t>3.2.11</t>
  </si>
  <si>
    <t>3.2.12</t>
  </si>
  <si>
    <t>3.2.13</t>
  </si>
  <si>
    <t>3.2.14</t>
  </si>
  <si>
    <t>3.2.15</t>
  </si>
  <si>
    <t>3.2.16</t>
  </si>
  <si>
    <t>3.2.17</t>
  </si>
  <si>
    <t>3.2.18</t>
  </si>
  <si>
    <t>3.2.19</t>
  </si>
  <si>
    <t>3.2.20</t>
  </si>
  <si>
    <t>3.2.21</t>
  </si>
  <si>
    <t>2х1,0 МВА (мощность трансформаторов)</t>
  </si>
  <si>
    <t>Примечание (Ответы на замечания УЭиТ)</t>
  </si>
  <si>
    <t>Замена деревянных опор на ж/б, голого провода на провод СИП на ВЛ-0,4 кВ в с. Сселки</t>
  </si>
  <si>
    <t>Изменение названия объекта: исключена замена деревянных опор на ж/б, голого провода на СИП. По данному объекту предусмотрен монтаж приборов учета, маршрутизаторов, создание системы АСКУЭ</t>
  </si>
  <si>
    <t>районы с наибольшим процентом коммерческих и технических потерь, удаленные от центра города, наиболее пострадавшие в период стихийных бедствий 2012 г.</t>
  </si>
  <si>
    <t>1.1.5.3.62/13</t>
  </si>
  <si>
    <t>Реконструкция ВЛ-0,4 кВ, смонтированной по п. 1.1.6.3.52/10 ППР, от ТП-480 для электроснабжения садового домика по адресу: г. Липецк, садоводческое объединение коллективного партнерства "Сокол-2", уч. № 750</t>
  </si>
  <si>
    <t>3.2.256</t>
  </si>
  <si>
    <t>1.1.5.3.63/13</t>
  </si>
  <si>
    <t>3.2.257</t>
  </si>
  <si>
    <t xml:space="preserve">1.1.5.3.82/13
</t>
  </si>
  <si>
    <t>3.2.258</t>
  </si>
  <si>
    <t xml:space="preserve">1.1.5.3.108/13
</t>
  </si>
  <si>
    <t>Монтаж узла учета на ближайшей опоре ВЛ-0,4 кВ по пер. Любимый, смонтированной по п. 1.1.6.2.113/11 ППР, от ТП-602 для электроснабжения 1/2 доли жилого дома по адресу: г. Липецк, пер. Любимый, д. 33</t>
  </si>
  <si>
    <t>3.2.259</t>
  </si>
  <si>
    <t>1.1.6.2.42/12</t>
  </si>
  <si>
    <t>3.3.1</t>
  </si>
  <si>
    <t>2.1.66/08</t>
  </si>
  <si>
    <t>3.3.2</t>
  </si>
  <si>
    <t>4.1.79/09</t>
  </si>
  <si>
    <t>3.3.3</t>
  </si>
  <si>
    <t>3.3.4</t>
  </si>
  <si>
    <t>3.3.5</t>
  </si>
  <si>
    <t>1.1.6.4.24/10</t>
  </si>
  <si>
    <t>3.3.6</t>
  </si>
  <si>
    <t>1.1.6.4.25/10</t>
  </si>
  <si>
    <t>3.3.7</t>
  </si>
  <si>
    <t>3.3.8</t>
  </si>
  <si>
    <t>3.3.9</t>
  </si>
  <si>
    <t>3.3.10</t>
  </si>
  <si>
    <t>3.3.11</t>
  </si>
  <si>
    <t>1.1.6.4.58/10</t>
  </si>
  <si>
    <t>3.3.12</t>
  </si>
  <si>
    <t>3.3.13</t>
  </si>
  <si>
    <t>1.1.6.1.7/11</t>
  </si>
  <si>
    <t>3.3.14</t>
  </si>
  <si>
    <t>1.1.6.1.8/11</t>
  </si>
  <si>
    <t>3.3.15</t>
  </si>
  <si>
    <t>1.1.6.1.9/11</t>
  </si>
  <si>
    <t>3.3.16</t>
  </si>
  <si>
    <t>1.1.6.1.13/11</t>
  </si>
  <si>
    <t>3.3.17</t>
  </si>
  <si>
    <t>1.1.6.1.27/11</t>
  </si>
  <si>
    <t>3.3.18</t>
  </si>
  <si>
    <t>1.1.6.1.28/11</t>
  </si>
  <si>
    <t>3.3.19</t>
  </si>
  <si>
    <t>1.1.6.1.32/11</t>
  </si>
  <si>
    <t>3.3.20</t>
  </si>
  <si>
    <t>3.3.21</t>
  </si>
  <si>
    <t>1.1.6.1.46/11</t>
  </si>
  <si>
    <t>3.3.22</t>
  </si>
  <si>
    <t>1.1.6.1.48/11</t>
  </si>
  <si>
    <t>3.3.23</t>
  </si>
  <si>
    <t>1.1.6.1.52/11</t>
  </si>
  <si>
    <t>3.3.24</t>
  </si>
  <si>
    <t>1.1.6.1.62/11</t>
  </si>
  <si>
    <t>3.3.25</t>
  </si>
  <si>
    <t>3.3.26</t>
  </si>
  <si>
    <t>3.3.27</t>
  </si>
  <si>
    <t>3.3.28</t>
  </si>
  <si>
    <t>1.1.6.1.3/12</t>
  </si>
  <si>
    <t>3.3.29</t>
  </si>
  <si>
    <t>1.1.6.1.8/12</t>
  </si>
  <si>
    <t>3.3.30</t>
  </si>
  <si>
    <t>3.3.31</t>
  </si>
  <si>
    <t>3.3.32</t>
  </si>
  <si>
    <t>3.3.33</t>
  </si>
  <si>
    <t>1.1.6.1.42/12</t>
  </si>
  <si>
    <t>3.3.34</t>
  </si>
  <si>
    <t>1.1.6.1.39/12</t>
  </si>
  <si>
    <t>3.3.35</t>
  </si>
  <si>
    <t>1.1.6.1.45/12</t>
  </si>
  <si>
    <t>3.3.36</t>
  </si>
  <si>
    <t>1.1.6.1.47/12</t>
  </si>
  <si>
    <t>3.3.37</t>
  </si>
  <si>
    <t>3.3.38</t>
  </si>
  <si>
    <t>1.1.6.1.63/12</t>
  </si>
  <si>
    <t>3.3.39</t>
  </si>
  <si>
    <t>3.3.40</t>
  </si>
  <si>
    <t>3.3.41</t>
  </si>
  <si>
    <t>3.3.42</t>
  </si>
  <si>
    <t>3.3.43</t>
  </si>
  <si>
    <t>4.1.1.4/13</t>
  </si>
  <si>
    <t>3.3.44</t>
  </si>
  <si>
    <t>3.3.45</t>
  </si>
  <si>
    <t>3.3.46</t>
  </si>
  <si>
    <t>3.3.47</t>
  </si>
  <si>
    <t>3.3.48</t>
  </si>
  <si>
    <t>3.3.49</t>
  </si>
  <si>
    <t>3.3.50</t>
  </si>
  <si>
    <t>3.3.51</t>
  </si>
  <si>
    <t>3.3.52</t>
  </si>
  <si>
    <t>3.3.53</t>
  </si>
  <si>
    <t>3.3.54</t>
  </si>
  <si>
    <t>3.3.55</t>
  </si>
  <si>
    <t>3.3.56</t>
  </si>
  <si>
    <t>3.3.57</t>
  </si>
  <si>
    <t>3.3.58</t>
  </si>
  <si>
    <t>3.3.59</t>
  </si>
  <si>
    <t>3.3.60</t>
  </si>
  <si>
    <t>3.3.61</t>
  </si>
  <si>
    <t>3.3.62</t>
  </si>
  <si>
    <t>3.3.63</t>
  </si>
  <si>
    <t>3.3.64</t>
  </si>
  <si>
    <t>3.3.65</t>
  </si>
  <si>
    <t>3.3.66</t>
  </si>
  <si>
    <t>3.3.67</t>
  </si>
  <si>
    <t>3.3.68</t>
  </si>
  <si>
    <t>3.3.69</t>
  </si>
  <si>
    <t>0,00 км
0,00 МВА</t>
  </si>
  <si>
    <t>Реконструкция (вынос) ЛЭП 6кВ на территории водозабора № 2 под строительство ЗРУ - 35 кВ ПС Водозабор № 2</t>
  </si>
  <si>
    <t>0,5 км/ 0 МВА</t>
  </si>
  <si>
    <t>Объем финансирования, млн. руб.</t>
  </si>
  <si>
    <t>ААШВ с бумажной изоляцией</t>
  </si>
  <si>
    <t>1970÷1980</t>
  </si>
  <si>
    <t>973 аб.</t>
  </si>
  <si>
    <t>Стоимость основных этапов работ по реализации инвестпрограммы ОАО "Липецкая городская энергетическая компания"
(комплекс электроснабжения)  на 2017 г. (без НДС)*</t>
  </si>
  <si>
    <t>Стоимость основных этапов работ по реализации инвестпрограммы ОАО "Липецкая городская энергетическая компания"
(комплекс электроснабжения)  на 2018 г. (без НДС)*</t>
  </si>
  <si>
    <t>план 2018 года</t>
  </si>
  <si>
    <t>план 2019 года</t>
  </si>
  <si>
    <t>Стоимость основных этапов работ по реализации инвестпрограммы ОАО "Липецкая городская энергетическая компания"
(комплекс электроснабжения)  на 2019 г. (без НДС)*</t>
  </si>
  <si>
    <t>_________________________ 2014 г.</t>
  </si>
  <si>
    <t>Прогноз ввода/вывода новых объектов ОАО "Липецкая городская энергетическая компания"
(комплекс электроснабжения)  на период 2014-2019 г.г. (без НДС)*</t>
  </si>
  <si>
    <t>Краткое описание инвестиционной программы ОАО "Липецкая городская энергетическая компания"
(комплекс электроснабжения)  на 2014-2019 г.г. (без НДС)*</t>
  </si>
  <si>
    <t>Электроснабжение жилых домов в районе домовладения № 17 по ул. Сокольская; Строительство ВЛ-0,4кВ от КТП-478 до границ земельного участка №3 (по схеме) в районе домовладения №17 по ул. Сокольская</t>
  </si>
  <si>
    <t>Электроснабжение 1/4 доли 1 части жилого дома с хозяйственными постройками по адресу: г. Липецк, ул. Бабушкина, д. 46</t>
  </si>
  <si>
    <t>Строительство КЛ-0,4 кВ от ТП-400 до многоэтажного жилого дома в потребительском обществе пенсионеров и инвалидов "Сокол-1" , зем. уч. №791,№793, №819, №820</t>
  </si>
  <si>
    <t>Строительство КЛ-0,4кВ от ТП-625 до жилого здания с административными помещениями по ул. Энергостроителей для электроснабжения жилого здания с административными помещениями по ул. Энергостроителей, запитанного от ТП-625; 105кВт, 380В, 2 и 3 категории.</t>
  </si>
  <si>
    <t>15,98 км</t>
  </si>
  <si>
    <t>0 км
0,4 МВА</t>
  </si>
  <si>
    <t>1х3,51 км
1х3,32 км</t>
  </si>
  <si>
    <t>1х0,56 МВА
1х0,63 МВА</t>
  </si>
  <si>
    <t>16,68 км
0,00 МВА</t>
  </si>
  <si>
    <t>0,00 км
2,00 МВА</t>
  </si>
  <si>
    <t>0,80 км 
1,59 МВА</t>
  </si>
  <si>
    <t>0,00 км 
0,63 МВА</t>
  </si>
  <si>
    <t>1,26 МВА</t>
  </si>
  <si>
    <t>0,8 МВА</t>
  </si>
  <si>
    <t>0,315 МВА</t>
  </si>
  <si>
    <t>0,63 МВА</t>
  </si>
  <si>
    <t>1,03 МВА</t>
  </si>
  <si>
    <t>0,25 МВА</t>
  </si>
  <si>
    <t>0,1 км</t>
  </si>
  <si>
    <t>0,5 км</t>
  </si>
  <si>
    <t>0, 05 км</t>
  </si>
  <si>
    <t>0,03 км</t>
  </si>
  <si>
    <t>0,04 км</t>
  </si>
  <si>
    <t>0,15 км</t>
  </si>
  <si>
    <t>0,06 км</t>
  </si>
  <si>
    <t>3,67 км
0,00 МВА</t>
  </si>
  <si>
    <t>Электроснабжение садового домика по адресу: г. Липецк, СНТ "Сокол-2", участок № 1195</t>
  </si>
  <si>
    <t>Техническая готовность объекта
на 01.01.2014,
%</t>
  </si>
  <si>
    <t>г. Липецк, ул. Ф. Энгельса</t>
  </si>
  <si>
    <t>г. Липецк, ш. Воронежское, водозабор № 5</t>
  </si>
  <si>
    <t>4х1,9 км</t>
  </si>
  <si>
    <t>заклю-
чение 
Главгос-
экспер-
тизы 
России
(+; -)</t>
  </si>
  <si>
    <t>утверж-
денная 
проектно-
сметная 
докумен-
тация
(+; -)</t>
  </si>
  <si>
    <t>Высоковольтный СИП</t>
  </si>
  <si>
    <t>г. Липецк, жилой р-он между ул. Меркулова и 60-лет СССР</t>
  </si>
  <si>
    <t>г. Липецк, территория ОАО "НЛМК</t>
  </si>
  <si>
    <t>г. Липецк, ТЭЦ-1 на территории ОАО "НЛМК", РП-9 ул. Осипенко</t>
  </si>
  <si>
    <t>г. Липецк, РП-36 тер. Завода "Свободный Сокол",  РП-25 ул. Студеновская</t>
  </si>
  <si>
    <t>г. Липецк, ул. Баумана, д. 137</t>
  </si>
  <si>
    <t>г. Липецк, ул. Крайняя, территория ТРЦ "Европа"</t>
  </si>
  <si>
    <t>г. Липецк, ул. Баумана, д. 297</t>
  </si>
  <si>
    <t>г. Липецк, РП-8 по ул. Смыслова, ТП-414 по пл. Заводская</t>
  </si>
  <si>
    <t>г. Липецк, РП-25 по ул. Студеновская, ТП-404 ул. Баумана, 205</t>
  </si>
  <si>
    <t>АСБ 3х35</t>
  </si>
  <si>
    <t>ААШВ 3х185</t>
  </si>
  <si>
    <t>СБ 3х120</t>
  </si>
  <si>
    <t>2,7</t>
  </si>
  <si>
    <t>СБ 3х95</t>
  </si>
  <si>
    <t>3,5</t>
  </si>
  <si>
    <t>1997
1997</t>
  </si>
  <si>
    <t>ААШВ 3х120
ААШВ 3х95</t>
  </si>
  <si>
    <t>1,3
1,3</t>
  </si>
  <si>
    <t>1971</t>
  </si>
  <si>
    <t>АСБ 3х95</t>
  </si>
  <si>
    <t>0,66</t>
  </si>
  <si>
    <t>мероприятия по улучшению электроснабжения в соответствии с запросом прокуратуры г. Липецка</t>
  </si>
  <si>
    <t>г. Липецк, от РП-25 по ул. Студеновская до ТП-402 по ул. Аксакова</t>
  </si>
  <si>
    <t>г. Липецк, пересечение ул. Брестская и ул. Пирогова</t>
  </si>
  <si>
    <t xml:space="preserve">обеспечение надежного электроснабжения независимо от ведомственной трансформаторной подстанции </t>
  </si>
  <si>
    <t>Повышение информационной безопасности и сокращение совокупной стоимости владения, путем унификации оборудования и применения системы аутентификации и аудита</t>
  </si>
  <si>
    <t>Модернизация и замена устаревшего оборудования, повышение надежности и отказоустойчивости систем обработки информации, ввод в эксплуатацию (развитие) новых информационных систем, создание новых рабочих мест, развитие СКС</t>
  </si>
  <si>
    <t>г. Липецк, ПС-2 на тер. завода "Свободный Сокол", КТП-426 на пересеч. ул. Брестская и ул. Пирогова</t>
  </si>
  <si>
    <t>план 
01.01.2017г.-31.12.2017г.</t>
  </si>
  <si>
    <t>* в формате приложения  № 1.2 к приказу Минэнерго России от «24» марта 2010 г. № 114</t>
  </si>
  <si>
    <t xml:space="preserve">Плановый объем финансирования, млн. руб. </t>
  </si>
  <si>
    <t>подстанции</t>
  </si>
  <si>
    <t>1.1.2.1</t>
  </si>
  <si>
    <t>Проектная мощность/ протяженность сетей</t>
  </si>
  <si>
    <t>Планируемое освоение, млн. руб.</t>
  </si>
  <si>
    <t>А-25÷А-50</t>
  </si>
  <si>
    <t>Внедрение автоматизированных систем управления учетом электроэнергии с заменой питающих линий и приборов учета</t>
  </si>
  <si>
    <t>2х3,6 км
(12х3,6=43,2 в одножильном исполнении)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</si>
  <si>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</si>
  <si>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</si>
  <si>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</si>
  <si>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</si>
  <si>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</si>
  <si>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</si>
  <si>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</si>
  <si>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</si>
  <si>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</si>
  <si>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</si>
  <si>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</si>
  <si>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</si>
  <si>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</si>
  <si>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</si>
  <si>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</si>
  <si>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</si>
  <si>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</si>
  <si>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</si>
  <si>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</si>
  <si>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</si>
  <si>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</si>
  <si>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№</t>
  </si>
  <si>
    <t>Позиция</t>
  </si>
  <si>
    <t>26</t>
  </si>
  <si>
    <t>27</t>
  </si>
  <si>
    <t>28</t>
  </si>
  <si>
    <t>29</t>
  </si>
  <si>
    <t>31</t>
  </si>
  <si>
    <t>32</t>
  </si>
  <si>
    <t>33</t>
  </si>
  <si>
    <t>Приложение 7 к постановлению</t>
  </si>
  <si>
    <t>Приложение 8 к постановлению</t>
  </si>
  <si>
    <t>г. Липецк, ул. Тепличная, 6а</t>
  </si>
  <si>
    <t>обращение заявителя</t>
  </si>
  <si>
    <t>Монтаж системы охранного видеонаблюдения здания по ул. Кузнечная, 1</t>
  </si>
  <si>
    <t>Строительство КЛ-0,4 кВ сети электроснабжения от ТП-68 до жилого дома № 2 по ул. Зегеля для повышения надежности электроснабжения взамен существующих</t>
  </si>
  <si>
    <t>Строительство КЛ-0,4 кВ от ТП-104 до школы № 2 для повышения надежности электроснабжения взамен существующих</t>
  </si>
  <si>
    <t>Данные объекты находятся в ОПР г. Липецка. На выполнении этих объектов настаивал ДГА в лице Строковой Г.В.</t>
  </si>
  <si>
    <t>Электроснабжение садовых домиков в СНП "Спутник"</t>
  </si>
  <si>
    <t>Электроснабжение садовых домиков в с/т "Ударник"</t>
  </si>
  <si>
    <t>Электроснабжение садовых домиков в садоводческом обществе "Сокол-3"</t>
  </si>
  <si>
    <t>Электроснабжение здания склада и офисного здания по адресу: ул. Прудная, строение 1д, 1г</t>
  </si>
  <si>
    <t>Электроснабжение индивидуальных жилых домов по адресу: г. Липецк, ул. Маяковского, д. 5 и г. Липецк, ул. ХХ Партсъезда, д. 22.</t>
  </si>
  <si>
    <t>Реконструкция ВЛ-0,4 кВ по ул. Курчатова от КТП-416 (инв. № 346153) для электроснабжения индивидуальных жилых домов по адресу: г. Липецк, ул. Курчатова, в районе домов № 205 и № 198</t>
  </si>
  <si>
    <t>Реконструкция ВЛ-0,4 кВ, смонтированной по п. 1.1.6.2.22/11 программы перспективного развития, для электроснабжения индивидуального жилого дома по адресу: г. Липецк, между д. 77 по ул. Кирова и д. 4 по ул. Жемчужная</t>
  </si>
  <si>
    <t>Монтаж шкафа учета на опоре ВЛ-0,4 кВ, смонтированной по п. 4.1.73/09 программы перспективного развития, для электроснабжения садового домика по адресу: г. Липецк, СТ "Строитель", зем. уч. № 719</t>
  </si>
  <si>
    <t>Реконструкция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840</t>
  </si>
  <si>
    <t>Электроснабжение садового домика по адресу: г. Липецк, СНТ "Мечта", уч. № 1030</t>
  </si>
  <si>
    <t>Монтаж узла учета на опоре ВЛ-0,4 кВ от КТП, смонтированной по п. 1.1.6.3.9/10 программы перспективного развития, для электроснабжения кирпичного садового домика по адресу: г. Липецк, СНТ "Цементник", уч. № 2148</t>
  </si>
  <si>
    <t>Монтаж узла учета в РУ-0,4 кВ ТП-194 для электроснабжения автостоянки закрытого типа на 27 машиномест (индивидуальных гаражей) по адресу: г. Липецк, ул. Балмочных С.Ф., владение 15 б</t>
  </si>
  <si>
    <t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СНТ "Машиностроитель", участок № 817</t>
  </si>
  <si>
    <t>Электроснабжение гаража № 58 по адресу: г. Липецк, ГК "Лада", ряд лит. 3</t>
  </si>
  <si>
    <t>Электроснабжение гаражей в ГК "Вираж"</t>
  </si>
  <si>
    <t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с/т "Машиностроитель-1", зем. уч. № 834</t>
  </si>
  <si>
    <t>Монтаж узла учета на опоре ВЛ-0,4 кВ по ул. Индустриальная от КТП-301 для электроснабжения части II жилого дома по адресу: г. Липецк, ул. Индустриальная, д. 112, часть II жилого дома</t>
  </si>
  <si>
    <t>Электроснабжение садовых домиков в СНТ "Дачный-1"</t>
  </si>
  <si>
    <t>Монтаж узла учета на опоре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819</t>
  </si>
  <si>
    <t>Электроснабжение пункта проката плавательных средств на набережной реки Воронеж по адресу: г. Липецк, ул. 50 лет НЛМК</t>
  </si>
  <si>
    <t>Реконструкция ВЛ-0,4 кВ, смонтированной по п. 1.1.6.2.5/11 программы перспективного развития, от КТП-23 для электроснабжения садового домика по адресу: г. Липецк, СНТ "имени И.В. Мичурина", ул. Трубная, уч. № 62</t>
  </si>
  <si>
    <t>Электроснабжение садового домика по адресу: г. Липецк, СНТ "Монтажник", участок № 949</t>
  </si>
  <si>
    <t>Монтаж оборудования в РУ-0,4 кВ ТП-507 для электроснабжения киоска № К-4450 по адресу: г. Липецк, пл. Мира, в районе магазина "Мировой"</t>
  </si>
  <si>
    <t>Электроснабжение нежилых помещений по адресу: г. Липецк, пр. 60 лет СССР, д. 23, корп. а</t>
  </si>
  <si>
    <t xml:space="preserve">Электроснабжение индивидуального жилого дома и летней кухни по адресу: г. Липецк, ул. Зеленая, д. 19 "а" и ул. Зеленая, д. 27 </t>
  </si>
  <si>
    <t>Электроснабжение полигона войсковых стрельбищ по адресу: Липецкая область, Липецкий район, сельское поселение Введенский сельсовет, у с. Ильино</t>
  </si>
  <si>
    <t>Реконструкция РУ-0,4 кВ ТП-67 для электроснабжения встроенного нежилого помещения № 2 по адресу: г. Липецк, ул. Плеханова, д. 34</t>
  </si>
  <si>
    <t>Реконструкция РУ-10 кВ ТП-539, монтаж в/в прибора учета в РУ-10 кВ ТП-539 для электроснабжения станции технического обслуживания автомобилей с автостоянкой по адресу: г. Липецк, ул. Ферросплавная, владение 21</t>
  </si>
  <si>
    <t>Монтаж 4 в/в ячеек в РУ-6 кВ РП-37 для электроснабжение комплекса зданий и сооружений по адресу: г. Липецк, Универсальный проезд № 12</t>
  </si>
  <si>
    <t>Монтаж КТП, монтаж ВЛ-10 кВ, монтаж ЛЭП-0,4 кВ для электроснабжения гаража с подвалом по адресу: г. Липецк, гаражно-строительный кооператив "Сырский", ряд 41, гараж 524/1-524/2</t>
  </si>
  <si>
    <t>1 км/ 0,1 МВА</t>
  </si>
  <si>
    <t>Монтаж УСПД в РУ-0,4 кВ ТП-849 для электроснабжения купели-часовни по адресу: г. Липецк, ул. Салтыкова-Щедрина</t>
  </si>
  <si>
    <t>Реконструкция РУ-6 кВ ТП-460, реконструкция РУ-0,4 кВ ТП-460, монтаж приборов учета в РУ-0,4 кВ ТП-460 для электроснабжения строительства основания футбольного поля с подогревом для детско-юношеских школ на территории МУ СК "Сокол" по адресу: г. Липецк, ул. Ушинского, 5</t>
  </si>
  <si>
    <t>Реконструкция ВЛ-6 кВ "ТП-175-ТП-189", монтаж в/в ПКУ для электроснабжения стройплощадки туристического центра по адресу: г. Липецк, ул. Маяковского</t>
  </si>
  <si>
    <t xml:space="preserve"> 2,1 км/0 МВА</t>
  </si>
  <si>
    <t>Замена 2 трансформаторов 400 кВА на 630 кВА в ТП-324 и реконструкция РУ-0,4 кВ ТП-324 для электроснабжение жилого здания со встроенными объектами соцкультбыта по адресу: г. Липецк, ул. Водопьянова-Берзина</t>
  </si>
  <si>
    <t>Реконструкция РУ-0,4 кВ ТП-575 для электроснабжение здания склада по адресу: г. Липецк, ул. Металлургов, владение 1</t>
  </si>
  <si>
    <t>Замена 2 трансформаторов с 630 на 1000 кВА, реконструкция РУ-0,4 кВ ТП-182 для электроснабжения помещение № 4 по адресу: г. Липецк, пр. Победы, д. 21</t>
  </si>
  <si>
    <t>Монтаж прибора учета в РУ-0,4 кВ ТП-188 для электроснабжения индивидуального жилого дома усадебного типа по ул. Новокарьерная, д.18, запитанного от ТП-188; 50 кВт, 380 В, 3 категория</t>
  </si>
  <si>
    <t>1.1.6.4.40/10</t>
  </si>
  <si>
    <t>Реконструкция ТП-115, строительство КЛ-10 кВ от ЦРП "Город" до ТП-115 для электроснабжения жилого здания по ул. Зегеля, 21 а, запитанного от РУ-0,4 кВ ТП-115; 531,2 кВт, 380 В, 2 категория</t>
  </si>
  <si>
    <t>1.1.6.4.38/10</t>
  </si>
  <si>
    <t>Монтаж оборудования РУ-6 кВ (с целью перевода на 10 кВ) и РУ-0,4 кВ в ТП-155, монтаж трансформаторов 2х1000 (взамен 2х630), строительство КЛ-10 кВ от РП-Интернациональная до ТП-155 для электроснабжения трехэтажного здания банка с подвалом (лит.А, под А) по адресу: г. Липецк, ул. Интернациональная, 8, запитанного от РУ-0,4 кВ ТП-155; 200 кВт (дополнительно к существующей 100 кВт), 380 В, II категория</t>
  </si>
  <si>
    <t>реконструкция</t>
  </si>
  <si>
    <t>строительство</t>
  </si>
  <si>
    <t xml:space="preserve"> 0,425 км/0 МВА</t>
  </si>
  <si>
    <t>3 км / 0 МВА</t>
  </si>
  <si>
    <t>Строительство КЛ-0,4кВ от ТП-521 до основной пристройки к лит.А по ул. 9 Мая,д.22, монтаж пожарно-охранной сигнализации в ТП-521 для электроснабжение пристройки к лит.А по ул. 9 мая, д.22</t>
  </si>
  <si>
    <t>0,7 км / 0 МВА</t>
  </si>
  <si>
    <t>0,1км / 0 МВА</t>
  </si>
  <si>
    <t>1,2 км / 0 МВА</t>
  </si>
  <si>
    <t>0,6 км / 0 МВА</t>
  </si>
  <si>
    <t>0,18 км/ 0 МВА</t>
  </si>
  <si>
    <t>0,8 км / 2 МВА</t>
  </si>
  <si>
    <t>0,18 км / 0 МВА</t>
  </si>
  <si>
    <t>1 км / 0,16 МВА</t>
  </si>
  <si>
    <t>1,65 км/ 2 МВА</t>
  </si>
  <si>
    <t>0,4 км / 0,1 МВА</t>
  </si>
  <si>
    <t>1,06 км / 0,1 МВА</t>
  </si>
  <si>
    <t>0,16 км / 0,1 МВА</t>
  </si>
  <si>
    <t xml:space="preserve"> 0,25 км/0 МВА</t>
  </si>
  <si>
    <t xml:space="preserve"> 0,05 км/0,16 МВА</t>
  </si>
  <si>
    <t xml:space="preserve"> 0,25 км/0,4 МВА</t>
  </si>
  <si>
    <t>Строительство КЛ-10 кВ от РП-П.Великого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t>
  </si>
  <si>
    <t xml:space="preserve"> 0,3 км/1,26 МВА</t>
  </si>
  <si>
    <t xml:space="preserve"> 1,55 км/0,4 МВА</t>
  </si>
  <si>
    <t>0,2 км/0,1 МВА</t>
  </si>
  <si>
    <t xml:space="preserve"> 1,35 км/0,16 МВА</t>
  </si>
  <si>
    <t xml:space="preserve"> 1,36 км/0,1 МВА</t>
  </si>
  <si>
    <t xml:space="preserve"> 0,06 км/0 МВА</t>
  </si>
  <si>
    <t>Строительство КЛ-0,4 кВ от ТП-702 до помещений №2, №3 для электроснабжение помещений №2, №3 по ул. Ильича, д.4, запитанных от ТП-702; 130 кВт, 380 В, 2 категория</t>
  </si>
  <si>
    <t>0.2 км/ 0 МВА</t>
  </si>
  <si>
    <t>Строительство КЛ-0,4 кВ от ТП-84 до объекта для электроснабжения нежилого встроенного-пристроенного помещения № 3 (магазина) по адресу: г. Липецк, ул. Папина, д. 6</t>
  </si>
  <si>
    <t>0,22 км/ 1,26 МВА</t>
  </si>
  <si>
    <t>5 км/ 0,4 МВА</t>
  </si>
  <si>
    <t>0,14 км / 0 МВА</t>
  </si>
  <si>
    <r>
      <t xml:space="preserve">0,4 км/ </t>
    </r>
    <r>
      <rPr>
        <sz val="11"/>
        <rFont val="Times New Roman"/>
        <family val="1"/>
        <charset val="204"/>
      </rPr>
      <t>0 МВА</t>
    </r>
  </si>
  <si>
    <t>Монтаж узла учета на опоре ВЛ-0,4 кВ, смонтированной по п. 1.1.6.2.14/12 ППР, от МТП-952 для электроснабжения жилого дома по адресу: г. Липецк, потребительское общество пенсионеров и инвалидов "Сокол-1", зем. уч. № 77</t>
  </si>
  <si>
    <t>Электроснабжение гаража по адресу: г. Липецк, ул. Московская, строение 22/1</t>
  </si>
  <si>
    <t>Реконструкция ВЛ-0,4 кВ по ул. Российская, смонтированной по п. 1.1.6.2.6/12 ППР, от КТП-594 для электроснабжения помещения № 4 по адресу: Липецкая область, Грязинский район, в районе водозабора в п. Матырский</t>
  </si>
  <si>
    <t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679</t>
  </si>
  <si>
    <t>Реконструкция ВЛ-0,4 кВ в СНТ "Машиностроитель", смонтированной по п. 1.1.6.2.115/11 ППР, от КТП-620 для электроснабжения садового домика по адресу: г. Липецк, СНТ "Машиностроитель", уч. № 927</t>
  </si>
  <si>
    <t>Электроснабжение жилых домов по адресу: г. Липецк, ул. Покровская</t>
  </si>
  <si>
    <t>Реконструкция ВЛ-0,4 кВ в СНТ "Сокол-2", смонтированной по п. 4.1.64/09 ППР, от КТП-429 для электроснабжения стройплощадки садового домика по адресу: г. Липецк, СНТ "Сокол-2", участок № 1196-А</t>
  </si>
  <si>
    <t>Реконструкция ВЛ-0,4 кВ в СНТ "Сокол-2", смонтированной по п. 1.1.6.3.46/10 ППР, от ТП-437 для электроснабжения садовых домиков в СНТ "Сокол-2"</t>
  </si>
  <si>
    <t>Строительство ВЛ-0,4 кВ от СТП, смонтированной по п. 1.1.6.3.52/10 ППР, для электроснабжения садовых домиков в СНТ "Сокол-2"</t>
  </si>
  <si>
    <t>Реконструкция ВЛ-0,4 кВ в СНТ "Тракторостроитель-2", смонтированной по п. 1.1.6.2.3/11 ППР, от КТП-266 для электроснабжения садового домика по адресу: г. Липецк, СНТ "Тракторостроитель-2", линия 6, участок № 11</t>
  </si>
  <si>
    <t>Реконструкция ВЛ-0,4 кВ по ул. Грушевая, смонтированной по п. 4.1.59/09 ППР, от КТП-641 для электроснабжения индивидуального жилого дома по адресу: г. Липецк, ул. Грушевая, район дома № 51</t>
  </si>
  <si>
    <t>Монтаж узла учета на опоре № 22 ВЛ-0,4 кВ по ул. Тургенева от ТП-703 для электроснабжения 1/3 доли жилого дома по адресу: г. Липецк, ул. Тургенева, д. 6</t>
  </si>
  <si>
    <t>Монтаж узла учета на опоре № 49 ВЛ-0,4 кВ по ул. Депутатская от ТП-120 для электроснабжения части IV жилого дома по адресу: г. Липецк, ул. Депутатская, д. № 11</t>
  </si>
  <si>
    <t>Монтаж узла учета на опоре ВЛ-0,4 кВ в СНТ "Кооператор", смонтированной по п. 1.1.6.3.53/10 ППР, от ТП-263 для электроснабжения садового домика и гаража по адресу: г. Липецк, СНТ "Кооператор", линия № 7, уч. № 284 а</t>
  </si>
  <si>
    <t>Электроснабжение трансформаторной подстанции - 396 по адресу: г. Липецк, ул. Агрономическая у д/сада № 25</t>
  </si>
  <si>
    <t>Электроснабжение стройплощадки комплексной коттеджной застройки по адресу: г. Липецк, с. Сселки, расположенный по ул. Ленина (кадастровый № 48:20:0000000:262)</t>
  </si>
  <si>
    <t>Реконструкция (перезавод) КЛ-6 кВ в ТП-731 на разные секции шин</t>
  </si>
  <si>
    <t xml:space="preserve"> Строительство КЛ-0,4 кВ от РУ-0,4 кВ ТП-155 до объекта для электроснабжения жилого здания с подземной автостоянкой по адресу: г. Липецк, ул. Ленина</t>
  </si>
  <si>
    <t>Строительство КЛ-0,4 кВ от ТП-40 до объекта для электроснабжения административного здания с замощением по адресу: г. Липецк, ул. Интернациональная, д. 32</t>
  </si>
  <si>
    <t>Реконструкция ВЛ-10 кВ "ТП-555 - ТП-37 а" (инв. № 346166) для электроснабжения зонального центра кинологической службы по адресу: г. Липецк, ул. Фурманова, д. 23 а</t>
  </si>
  <si>
    <t>Монтаж узла учета в РУ-0,4 кВ РП-25 для электроснабжения магазина и кафе-бара по адресу: г. Липецк, пл. Заводская, д. 9 "А"</t>
  </si>
  <si>
    <t>Монтаж оборудования в РУ-0,4 кВ ТП-175 для электроснабжения здания спортивно-оздоровительного центра по адресу: г. Липецк, Правобережный округ, район городского пляжа</t>
  </si>
  <si>
    <t>Монтаж оборудования в РУ-0,4 кВ ТП-3 для электроснабжения стройплощадки по адресу: г. Липецк, ул. Гагарина, д. 70 А</t>
  </si>
  <si>
    <t>Строительство КЛ-0,4 кВ от ТП-36 до объекта для электроснабжения нежилого помещения № 6 по ул. Советская, д. 77</t>
  </si>
  <si>
    <t>Строительство новой ТП, монтаж оборудования в ТП-368, строительство КЛ-6 кВ от ТП-368 до новой ТП для электроснабжения многоквартирного жилого здания по пр. Победы, запитанного от РУ-6 кВ ТП-368; 175 кВт, 380 В, II категория</t>
  </si>
  <si>
    <t>3.1.54</t>
  </si>
  <si>
    <t>3.1.55</t>
  </si>
  <si>
    <t>3.1.56</t>
  </si>
  <si>
    <t>3.1.57</t>
  </si>
  <si>
    <t>3.1.58</t>
  </si>
  <si>
    <t>3.1.59</t>
  </si>
  <si>
    <t>3.1.60</t>
  </si>
  <si>
    <t>3.1.61</t>
  </si>
  <si>
    <t>3.1.62</t>
  </si>
  <si>
    <t>3.1.63</t>
  </si>
  <si>
    <t>3.1.64</t>
  </si>
  <si>
    <t>3.1.65</t>
  </si>
  <si>
    <t>3.1.66</t>
  </si>
  <si>
    <t>3.1.67</t>
  </si>
  <si>
    <t>3.1.68</t>
  </si>
  <si>
    <t>3.1.69</t>
  </si>
  <si>
    <t>3.1.70</t>
  </si>
  <si>
    <t>3.1.71</t>
  </si>
  <si>
    <t>3.1.72</t>
  </si>
  <si>
    <t>3.2.43</t>
  </si>
  <si>
    <t>3.2.44</t>
  </si>
  <si>
    <t>3.2.45</t>
  </si>
  <si>
    <t>3.2.46</t>
  </si>
  <si>
    <t>3.2.47</t>
  </si>
  <si>
    <t>3.2.48</t>
  </si>
  <si>
    <t>3.2.49</t>
  </si>
  <si>
    <t>3.2.50</t>
  </si>
  <si>
    <t>3.2.51</t>
  </si>
  <si>
    <t>3.2.52</t>
  </si>
  <si>
    <t>3.2.53</t>
  </si>
  <si>
    <t>3.2.54</t>
  </si>
  <si>
    <t>3.2.55</t>
  </si>
  <si>
    <t>3.2.56</t>
  </si>
  <si>
    <t>3.2.57</t>
  </si>
  <si>
    <t>3.2.58</t>
  </si>
  <si>
    <t>3.2.59</t>
  </si>
  <si>
    <t>3.2.60</t>
  </si>
  <si>
    <t>3.2.61</t>
  </si>
  <si>
    <t>3.2.62</t>
  </si>
  <si>
    <t>3.2.63</t>
  </si>
  <si>
    <t>3.2.64</t>
  </si>
  <si>
    <t>3.2.65</t>
  </si>
  <si>
    <t>3.2.66</t>
  </si>
  <si>
    <t>3.2.67</t>
  </si>
  <si>
    <t>3.2.68</t>
  </si>
  <si>
    <t>3.2.69</t>
  </si>
  <si>
    <t>3.2.70</t>
  </si>
  <si>
    <t>3.2.71</t>
  </si>
  <si>
    <t>3.2.72</t>
  </si>
  <si>
    <t>3.2.73</t>
  </si>
  <si>
    <t>3.2.74</t>
  </si>
  <si>
    <t>3.2.75</t>
  </si>
  <si>
    <t>3.2.76</t>
  </si>
  <si>
    <t>3.2.77</t>
  </si>
  <si>
    <t>3.2.78</t>
  </si>
  <si>
    <t>3.2.79</t>
  </si>
  <si>
    <t>3.2.80</t>
  </si>
  <si>
    <t>3.2.81</t>
  </si>
  <si>
    <t>3.2.82</t>
  </si>
  <si>
    <t>3.2.83</t>
  </si>
  <si>
    <t>3.2.84</t>
  </si>
  <si>
    <t>3.2.85</t>
  </si>
  <si>
    <t>3.2.86</t>
  </si>
  <si>
    <t>3.2.87</t>
  </si>
  <si>
    <t>3.2.88</t>
  </si>
  <si>
    <t>3.2.89</t>
  </si>
  <si>
    <t>3.2.90</t>
  </si>
  <si>
    <t>3.2.91</t>
  </si>
  <si>
    <t>3.2.92</t>
  </si>
  <si>
    <t>3.2.93</t>
  </si>
  <si>
    <t>3.2.94</t>
  </si>
  <si>
    <t>3.2.95</t>
  </si>
  <si>
    <t>3.2.96</t>
  </si>
  <si>
    <t>3.2.97</t>
  </si>
  <si>
    <t>3.2.98</t>
  </si>
  <si>
    <t>3.2.99</t>
  </si>
  <si>
    <t>3.2.100</t>
  </si>
  <si>
    <t>3.2.101</t>
  </si>
  <si>
    <t>3.2.102</t>
  </si>
  <si>
    <t>3.2.103</t>
  </si>
  <si>
    <t>3.2.104</t>
  </si>
  <si>
    <t>3.2.105</t>
  </si>
  <si>
    <t>3.2.106</t>
  </si>
  <si>
    <t>3.2.107</t>
  </si>
  <si>
    <t>3.2.108</t>
  </si>
  <si>
    <t>3.2.109</t>
  </si>
  <si>
    <t>3.2.110</t>
  </si>
  <si>
    <t>3.2.111</t>
  </si>
  <si>
    <t>3.2.112</t>
  </si>
  <si>
    <t>3.2.113</t>
  </si>
  <si>
    <t>3.2.114</t>
  </si>
  <si>
    <t>3.2.115</t>
  </si>
  <si>
    <t>3.2.116</t>
  </si>
  <si>
    <t>3.2.117</t>
  </si>
  <si>
    <t>3.2.118</t>
  </si>
  <si>
    <t>3.2.119</t>
  </si>
  <si>
    <t>3.2.120</t>
  </si>
  <si>
    <t>3.2.121</t>
  </si>
  <si>
    <t>3.2.122</t>
  </si>
  <si>
    <t>3.2.123</t>
  </si>
  <si>
    <t>3.2.124</t>
  </si>
  <si>
    <t>3.2.125</t>
  </si>
  <si>
    <t>3.2.126</t>
  </si>
  <si>
    <t>3.2.127</t>
  </si>
  <si>
    <t>3.2.128</t>
  </si>
  <si>
    <t>3.2.129</t>
  </si>
  <si>
    <t>3.2.130</t>
  </si>
  <si>
    <t>3.2.131</t>
  </si>
  <si>
    <t>3.2.132</t>
  </si>
  <si>
    <t>3.2.133</t>
  </si>
  <si>
    <t>3.2.134</t>
  </si>
  <si>
    <t>3.2.135</t>
  </si>
  <si>
    <t>3.2.136</t>
  </si>
  <si>
    <t>3.2.137</t>
  </si>
  <si>
    <t>3.2.138</t>
  </si>
  <si>
    <t>3.2.139</t>
  </si>
  <si>
    <t>3.2.140</t>
  </si>
  <si>
    <t>3.2.141</t>
  </si>
  <si>
    <t>3.2.142</t>
  </si>
  <si>
    <t>3.2.143</t>
  </si>
  <si>
    <t>3.2.144</t>
  </si>
  <si>
    <t>3.2.145</t>
  </si>
  <si>
    <t>3.2.146</t>
  </si>
  <si>
    <t>3.2.147</t>
  </si>
  <si>
    <t>3.2.148</t>
  </si>
  <si>
    <t>3.2.149</t>
  </si>
  <si>
    <t>3.2.150</t>
  </si>
  <si>
    <t>3.2.151</t>
  </si>
  <si>
    <t>3.2.152</t>
  </si>
  <si>
    <t>3.2.153</t>
  </si>
  <si>
    <t>3.2.154</t>
  </si>
  <si>
    <t>3.2.155</t>
  </si>
  <si>
    <t>3.2.156</t>
  </si>
  <si>
    <t>3.2.157</t>
  </si>
  <si>
    <t>3.2.158</t>
  </si>
  <si>
    <t>3.2.159</t>
  </si>
  <si>
    <t>3.2.160</t>
  </si>
  <si>
    <t>3.2.161</t>
  </si>
  <si>
    <t>3.2.162</t>
  </si>
  <si>
    <t>3.2.163</t>
  </si>
  <si>
    <t>3.2.164</t>
  </si>
  <si>
    <t>3.2.165</t>
  </si>
  <si>
    <t>3.2.166</t>
  </si>
  <si>
    <t>3.2.167</t>
  </si>
  <si>
    <t>2.1.3.4</t>
  </si>
  <si>
    <t>Строительство КЛ-6 кВ от РП-Вилли Огнева до КТП-725</t>
  </si>
  <si>
    <t>Строительство новой БКТП взамен КТП-725</t>
  </si>
  <si>
    <t>г. Липецк, пос. ЛТЗ, ул. Юбилейная, д. 4</t>
  </si>
  <si>
    <t>г. Липецк, пос. ЛТЗ, ул. Жуковского, 17</t>
  </si>
  <si>
    <t>увеличение оперативности при производстве переключений в электрических сетях. Снижение времени перерывов электроснабжения при ликвидации аварийных ситуаций</t>
  </si>
  <si>
    <t>г. Липецк, пос. ЛТЗ, ул. Жуковского, 5</t>
  </si>
  <si>
    <t>г. Липецк, р-он пос. 10-й Шахты и пос. Северный Рудник</t>
  </si>
  <si>
    <t>2.5.13</t>
  </si>
  <si>
    <t>г. Липецк, пос. ЛТЗ, от РП по ул. Вилли Огнева до ТП-732 по ул. Жуковского</t>
  </si>
  <si>
    <t>г. Липецк, пос. ЛТЗ, от РП по ул. Вилли Огнева до КТП-725 по ул. Кондарева</t>
  </si>
  <si>
    <t>г. Липецк, от ТП-68 по ул. Зегеля и ТП-155 по ул. Желябова до ВРУ по ул. Зегеля, 2</t>
  </si>
  <si>
    <t>г. Липецк, ул. Кондарева</t>
  </si>
  <si>
    <t>1.1.1.5.1.9/10</t>
  </si>
  <si>
    <t>1.1.1.2.1/12</t>
  </si>
  <si>
    <t>1.1.2.1.2/11</t>
  </si>
  <si>
    <t>1.1.1.2.2/13</t>
  </si>
  <si>
    <t>1.1.2.1.1/09</t>
  </si>
  <si>
    <t>1.1.1.4.1/09</t>
  </si>
  <si>
    <t>1.1.1.5.1.6/10</t>
  </si>
  <si>
    <t>1.1.5.5.4/10</t>
  </si>
  <si>
    <t>1.1.1.4.2.5/07</t>
  </si>
  <si>
    <t>1.1.1.4.2.1/07</t>
  </si>
  <si>
    <t>1.4.0.2.6/08</t>
  </si>
  <si>
    <t>1.1.1.4.3.1/08</t>
  </si>
  <si>
    <t>1.1.1.3.2/12</t>
  </si>
  <si>
    <t>1.1.4.1/13</t>
  </si>
  <si>
    <t>план 
01.01.2019г.-31.12.2019г.</t>
  </si>
  <si>
    <t>план 
01.01.2018г.-31.12.2018г.</t>
  </si>
  <si>
    <t>Реконструкция кабельно-воздушной линии 6 кВ РП-25 яч.7 - ТП-404</t>
  </si>
  <si>
    <t>Реконструкция КЛ-6 кВ РП-8 яч.7 - ТП-414</t>
  </si>
  <si>
    <t>Реконструкция КЛ-6 кВ РП-25 яч.9 - ТП-402</t>
  </si>
  <si>
    <t>Строительство КЛ-6 кВ РП-36 Св. Сокол яч.2 - РП-25 яч.1 и КЛ-6 кВ РП-36 Св. Сокол яч.12 - РП-25 яч.2</t>
  </si>
  <si>
    <t>Строительство КЛ-6 кВ ПС-2 Св. Сокол яч.217 - КТП-426</t>
  </si>
  <si>
    <t>Строительство новой КТП взамен существующей КТП-426</t>
  </si>
  <si>
    <t>Строительство КТП взамен существующей МТП-802 в пос.Северный Рудник</t>
  </si>
  <si>
    <t>КЛ=0,62км;        ВЛ=2,157км</t>
  </si>
  <si>
    <t>2х0,856км</t>
  </si>
  <si>
    <t>0,8км</t>
  </si>
  <si>
    <t>Прибор для поиска однофазных замыканий на КЛ</t>
  </si>
  <si>
    <t>1 к-т</t>
  </si>
  <si>
    <t>Автоподъемник АПТЛ-17</t>
  </si>
  <si>
    <t>Приобретение программного обеспечения "Стек-Энерго"</t>
  </si>
  <si>
    <t>1.1.1.4.1.2/14</t>
  </si>
  <si>
    <t>1.1.1.4.1.3/14</t>
  </si>
  <si>
    <t>Монтаж отказоустойчивого кластера для системы АСКУЭ "Smart"</t>
  </si>
  <si>
    <t>1.1.1.5.5/13</t>
  </si>
  <si>
    <t>1.1.1.5.1/13</t>
  </si>
  <si>
    <t>1.1.1.5.3/14</t>
  </si>
  <si>
    <t>Реконструкция РУ-6 кВ РП-45 (инв. № 400671)</t>
  </si>
  <si>
    <t>1.1.1.5.4/14</t>
  </si>
  <si>
    <t>Реконструкция РП-30 (инв. № 400662)</t>
  </si>
  <si>
    <t>Строительство КЛ-10 кВ от ГПП-1 яч. 21 до РП-9 яч. 9</t>
  </si>
  <si>
    <t>1.1.1.5.5/14</t>
  </si>
  <si>
    <t>1.1.1.5.6/14</t>
  </si>
  <si>
    <t>1.4.7.20/07</t>
  </si>
  <si>
    <t>1.4.7.19/07</t>
  </si>
  <si>
    <t>1.1.3.1/14</t>
  </si>
  <si>
    <t>Модернизация прибора для измерения показания качества эл. энергии - "Ресурс-UF2M-3T64-3000", инв. № 433101</t>
  </si>
  <si>
    <t>Модернизация прибора для измерения показания качества эл. энергии - "Ресурс-UF2M-3T64-3000", инв. № 433103</t>
  </si>
  <si>
    <t>1.1.3.2/14</t>
  </si>
  <si>
    <t>1.1.3.3/14</t>
  </si>
  <si>
    <t>1.1.3.4/14</t>
  </si>
  <si>
    <t>1.1.3.5/14</t>
  </si>
  <si>
    <t>Прибор "Энергомонитор"</t>
  </si>
  <si>
    <t>1.1.3.6/14</t>
  </si>
  <si>
    <t>Электроснабжение садового домика по адресу: г. Липецк, садоводческое некоммерческое товарищество пенсионеров и инвалидов "Речное", участок № 8, линия 5</t>
  </si>
  <si>
    <t>Электроснабжение автомойки по адресу: Липецкая область, Грязинский район, район п. Новая Жизнь (кадастровый № 48:02:094 01:74:44)</t>
  </si>
  <si>
    <t>Электроснабжение садового домика по адресу: г. Липецк, СНТ "Металлург-1", квартал 1, зем. уч. № 130</t>
  </si>
  <si>
    <t>Реконструкция ВЛ-0,4 кВ, смонтированной по п. 1.1.6.2.22/11 программы перспективного развития, от новой КТП до жилого дома по адресу: г. Липецк, с. Сселки, ул. Провинциальная, д. № 57</t>
  </si>
  <si>
    <t>Реконструкция ВЛ-0,4 кВ, смонтированной по п. 4.1.63/09 программы перспективного развития, от КТП-854 по ул. Жемчужная для электроснабжения индивидуального жилого дома по адресу: г. Липецк, с. Сселки, уч. № 3</t>
  </si>
  <si>
    <t>Строительство ВЛ-0,4 кВ от МТП, смонтированной по п. 1.1.6.3.40.2/10 программы перспективного развития, до садовых домиков по адресу: г. Липецк, потребительское общество пенсионеров и инвалидов "Сокол-1", зем. уч. № 406, 395</t>
  </si>
  <si>
    <t>Электроснабжение базовой станции сотовой связи № 35135 "Автопарк" по адресу: г. Липецк, ул. Механизаторов, д. 9</t>
  </si>
  <si>
    <t>Реконструкция ВЛ-0,4 кВ по ул. Северная от ТП-418 (инв. № 346287) для электроснабжения гаража с погребом по адресу: г. Липецк, ул. 40 лет Октября, строение 23 А/1.</t>
  </si>
  <si>
    <t>Строительство ВЛ-10 кВ "ПС "Бутырки", яч.№6 - ТП-846" (инв. №3452047А) от ПС "Бутырки" до опоры №56, реконструкция отпайки к ПП-3 от ВЛ-10 кВ "ПС "Бутырки", яч.№6 - ТП-846" (инв. №340009) от опоры №56 ВЛ-10 кВ "ПС "Бутырки", яч.№6 - ТП-846" до ПП-3, реконструкция ВЛ-10 кВ "ПП-3 - ТП-415" (инв. №345700) от ПП-3 до ТП-415, монтаж вакуумного реклоузера на опоре ВЛ-10 кВ "ПП-3 - ТП-415"для электроснабжения объектов недвижимости культурно-оздоровительного лагеря в Грязинском районе, Плехановском лесничестве, Ленинском лесхозе, квартал 54</t>
  </si>
  <si>
    <t>Монтаж ячеек в РУ-10 кВ РП на пл.Петра Великого, строительство КЛ-10 кВ от РП на пл.Петра Великого до ТП яхт-клуба в районе ресторана "Фрегат" по ул.К.Маркса, монтаж приборов учета в РУ-10 кВ РП на пл.Петра Великого для электроснабжения яхт-клуба со стоянкой яхт, запитанного от РУ-10 кВ РП на пл. Петра Великого; 250 кВт, 10 кВ, 2 категория</t>
  </si>
  <si>
    <t>Монтаж оборудования в РУ-10 кВ РП-53, монтаж узла учета в РУ-10 кВ РП-53, для электроснабжения лечебно-диагностического комплекса по адресу: г. Липецк, пл. Петра Великого, владение 2</t>
  </si>
  <si>
    <t>Монтаж оборудования в РУ-6 кВ ТП-196, строительство КЛ-6 кВ от РП-3 до ТП-196, монтаж трансформатора № 1 в ТП-196, монтаж трансформатора № 2 в ТП-196, монтаж оборудования в РУ-0,4 кВ ТП-196 для электроснабжения объекта: "Реконструкция МОУ СОШ № 27 по ул. Шкатова" по адресу: г. Липецк, ул. Шкатова, д. 23.</t>
  </si>
  <si>
    <t>Монтаж трансформатора № 1 в ТП-79 взамен существующего (инв. № 431460), монтаж трансформатора № 2 в ТП-79 взамен существующего (инв. № 431461),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3.</t>
  </si>
  <si>
    <t>Монтаж трансформатора № 1 в ТП-326 взамен существующего (инв. № 41358 А), монтаж трансформатора № 2 в ТП-326 взамен существующего (инв. № 41970 А), монтаж оборудования в РУ-0,4 кВ ТП-326 для электроснабжения торгово-административного здания по адресу: г. Липецк, ул. Меркулова, д. 24 а</t>
  </si>
  <si>
    <t>Монтаж оборудования в РУ-10 кВ ТП-517, монтаж оборудования в РУ-10 кВ ТП-541, строительство КЛ-10 кВ от ТП-541 до ТП-540 для электроснабжения ТП-517 а по адресу: г. Липецк, ул. Адмирала Макарова, д. 1 К</t>
  </si>
  <si>
    <t>Монтаж оборудования в РУ-0,4 кВ ТП-580 и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t>
  </si>
  <si>
    <t>Монтаж оборудования в РУ-10 кВ РП-50 и монтаж узла учета в РУ-10 кВ РП-50 для электроснабжения стройплощадки многоквартирного жилого дома по адресу: г. Липецк, 7-й жилой район, 33 микрорайон</t>
  </si>
  <si>
    <t>Монтаж оборудования в ТП-264 для электроснабжения многоэтажной автостоянки по ул. Космонавтов, запитанной от РУ-0,4 кВ ТП-264; 250 кВт, 380 В, II категория</t>
  </si>
  <si>
    <t>Реконструкция оборудования в РУ-10 кВ РП-П.Великого для электроснабжения здания автосалона с техническим центром и моечным комплексом по адресу: г. Липецк, ул. М.И. Неделина, строение 2 д</t>
  </si>
  <si>
    <t>Строительство КЛ-0,4 кВ от ТП-122 до опоры № 1 ВЛ-0,4 кВ по ул. Доватора. Реконструкция ВЛ-0,4 кВ по ул. Доватора от ТП-122 (инв. № 346077) для электроснабжения многоквартирного жилого дома по адресу: г. Липецк, ул. Доватора, д. 49, 51</t>
  </si>
  <si>
    <t>Монтаж оборудования в ТП-583 для электроснабжения здания магазина, по ул. З. Космодемьянской, д. 8, запитанного от ТП-583, 300 кВт, 0,4 кВ, II категория</t>
  </si>
  <si>
    <t xml:space="preserve">Строительство новой КТП взамен существующей (инв. № 100954). Монтаж трансформатора в новой КТП. Монтаж РУ-6 кВ в новой КТП. Монтаж РУ-0,4 кВ в новой КТП. Строительство ВЛ-6 кВ от ВЛ-6 кВ "ПС "Трубная" - ТП-395" до новой КТП. Монтаж пожарно-охранной сигнализации в новой КТП. Монтаж узла учета в РУ-0,4 кВ новой КТП.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 </t>
  </si>
  <si>
    <t>Монтаж оборудования в РУ-0,4 кВ ТП-289.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</t>
  </si>
  <si>
    <t>Монтаж оборудования в ПП-3 для электроснабжения здания трансформаторной подстанции по Грязинский р-он, Плехановское Лесничество, Ленинский Лесхоз, квартал № 78, 90, запитанного от ПП-3, 560 кВт, 10 кВ, II категория</t>
  </si>
  <si>
    <t xml:space="preserve">I этап. Монтаж оборудования в РУ-10 кВ ТП-593. II этап. Монтаж трансформатора № 1 в ТП-593 взамен существующего (инв. № 41889 А). Монтаж трансформатора № 2 в ТП-593 взамен существующего (инв. № 41890 А). Монтаж оборудования в РУ-0,4 кВ ТП-593. Строительство КВЛ-10 кВ от ВЛ-10 кВ "ПС "Казинка", яч. № 2 "Юшино" до ТП-593 для электроснабжения здания магазина по адресу: г. Липецк, ул. Моршанская, д. 9 </t>
  </si>
  <si>
    <t>Монтаж оборудования в РУ-0,4 кВ ТП-583 для электроснабжения здания магазина по адресу: г. Липецк, ул. З. Космодемьянской, д. 8</t>
  </si>
  <si>
    <t>Строительство новой КТП взамен существующей (инв. № 100954), монтаж трансформатора в новой КТП, монтаж РУ-6 кВ в новой КТП, монтаж РУ-0,4 кВ в новой КТП, Строительство ВЛ-6 кВ от ВЛ-6 кВ "ПС "Трубная" - ТП-395" до новой КТП, Строительство КВЛ-0,4 кВ от новой КТП до бокса по ремонту оборудования по адресу: г. Липецк, ул. Опытная, строение № 1 А, монтаж пожарно-охранной сигнализации в новой КТП, монтаж узла учета в РУ-0,4 кВ новой КТП,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</t>
  </si>
  <si>
    <t>Монтаж оборудования в РУ-10 кВ ПП-3 для, монтаж узла учета в РУ-10 кВ ПП-3 электроснабжения здания трансформаторной подстанции по адресу: Липецкая обл., Грязинский район, Плехановское лесничество, Ленинский лесхоз, квартал 78, 90</t>
  </si>
  <si>
    <t>I этап: Монтаж разъединителя на опоре ВЛ-6 кВ "КТП-465 - КТП-135 А" II этап: Монтаж оборудования в РУ-6 кВ РП-28, строительство КЛ-6 кВ от РП-28 до опоры ВЛ-6 кВ "КТП-465 - КТП-135 А" для электроснабжения производственной базы по адресу: г. Липецк, ул. Дружбы, д. 3 "а"</t>
  </si>
  <si>
    <t>Монтаж трансформатора № 1 в РП-38 взамен существующего (инв. № 42142 А), монтаж трансформатора № 2 в РП-38 взамен существующего (инв. № 42143 А), монтаж оборудования в РУ-10 кВ РП-38 для электроснабжения хлебозавода № 5 по адресу: г. Липецк, ул. Катукова, 40</t>
  </si>
  <si>
    <t>1.1.5.1.20/13</t>
  </si>
  <si>
    <t>1.1.5.1.21/13</t>
  </si>
  <si>
    <t>1.1.5.1.22/13</t>
  </si>
  <si>
    <t>1.1.5.1.23/13</t>
  </si>
  <si>
    <t>1.1.5.1.24/13</t>
  </si>
  <si>
    <t>1.1.5.1.25/13</t>
  </si>
  <si>
    <t>1.1.5.1.26/13</t>
  </si>
  <si>
    <t>1.1.5.1.27/13</t>
  </si>
  <si>
    <t>1.1.5.1.30/13</t>
  </si>
  <si>
    <t>1.1.5.1.31/13</t>
  </si>
  <si>
    <t>Электроснабжение гаража с подвалом по адресу: г. Липецк, гаражно-строительный кооператив "Сырский", ряд 41, гараж 524/1-524/2</t>
  </si>
  <si>
    <t>1.1.5.1.32/13</t>
  </si>
  <si>
    <t>Электроснабжение купели-часовни по адресу: г. Липецк, ул. Салтыкова-Щедрина</t>
  </si>
  <si>
    <t>1.1.5.1.33/13</t>
  </si>
  <si>
    <t>1.1.5.1.34/13</t>
  </si>
  <si>
    <t>1.1.5.1.36/13</t>
  </si>
  <si>
    <t>1.1.5.1.37/13</t>
  </si>
  <si>
    <t>1.1.5.1.38/13</t>
  </si>
  <si>
    <t>1.1.5.1.39/13</t>
  </si>
  <si>
    <t>1.1.5.1.40/13</t>
  </si>
  <si>
    <t>1.1.5.1.41/13</t>
  </si>
  <si>
    <t>1.1.5.1.42/13</t>
  </si>
  <si>
    <t>1.1.5.1.43/13</t>
  </si>
  <si>
    <t>1.1.5.1.44/13</t>
  </si>
  <si>
    <t>2,7 км/ 0 МВА</t>
  </si>
  <si>
    <t>1.1.5.1.45/13</t>
  </si>
  <si>
    <t>1.1.5.1.46/13</t>
  </si>
  <si>
    <t>1.1.5.1.47/13</t>
  </si>
  <si>
    <t>1.1.5.1.49/13</t>
  </si>
  <si>
    <t>1.1.5.1.50/13</t>
  </si>
  <si>
    <t>4.1.58/09</t>
  </si>
  <si>
    <t xml:space="preserve">Монтаж оборудования РУ-0,4 кВ в ТП-34, монтаж оборудования РУ-10 кВ РП-Интернациональная, монтаж оборудования РУ-6 кВ в ТП-34, Монтаж трансформаторов в ТП-34 взамен существующих (инв. №42291А, 42292А), строительство КЛ-10 кВ от РП-Интернациональная до ТП-34, реконструкция КЛ-6 кВ ТП-34 - РП-29 (инв. №340946), реконструкция КЛ-6 кВ ТП-34 - РП-12 (инв. №340850), монтаж УСПД в ТП-34 для электроснабжения здания гостиницы, здания кафе и благоустройство территории по адресу: г. Липецк, ул. Кузнечная </t>
  </si>
  <si>
    <t xml:space="preserve">1.1.6.1.44/12 </t>
  </si>
  <si>
    <t>Электроснабжение бетонноблочных гаражей в ГПК "Радар", запитанных от ТП-122; 113 кВт, 220 В, 3 категория; Монтаж панели в РУ-0,4 кВ ТП-122; Монтаж РШ-0,4 кВ; Строительство КЛ-0,4 кВ от ТП-122 до РШ-0,4 кВ; Строительство КЛ-0,4 кВ от РШ-0,4 кВ до гаражей в ГПК "Радар"; Монтаж пожарно-охранной сигнализации в РШ-0,4 кВ; Монтаж приборов учета электрической энергии в РШ-0,4 кВ</t>
  </si>
  <si>
    <t>Электроснабжение торговых павильонов по Лебедянскому шоссе, запитанных от РП-24; 40 кВт, 220 В, 3 категория; Монтаж вводной панели №2 в РУ-0,4кВ РП-24; Строительство КЛ-0,4кВ от РП-24 до РШ-0,4кВ ; Монтаж РШ-0,4кВ</t>
  </si>
  <si>
    <t>Электроснабжение садовых домиков в СНТ "Дачный-3", запитанных от РУ-10 кВ ТП-591; 40 кВт, 220 В, 3 категория; Строительство КЛ-10 кВ от ТП-591 до вновь смонтированной КТП; Строительство КТП; Строительство ВЛ-0,4 кВ от вновь смонтированной КТП до потребителей в СНТ "Дачный-3"</t>
  </si>
  <si>
    <t>Электроснабжение дачных домиков в СНТ "Дачный-3"; Строительство КЛ-10кВ от ТП-591 до вновь смонтированного КТП; Строительство КТП; Строительство ВЛ-0,4кВ от вновь смонтированного КТП до потребителей в СНТ "Дачный-3"; Монтаж ячейки в РУ-10кВ ТП-591</t>
  </si>
  <si>
    <t>Модернизация оборудования ТП-810, кабельная сеть от ТП-810 до РП на пл. Петра Великого, замена трансформаторов в ТП-810 для электроснабжения жилого здания с объектами соцкультбыта по ул. Скороходова-Радиаторная, запитанного от РУ-0,4 кВ ТП-810; 300 кВт, 380В, 2 категория</t>
  </si>
  <si>
    <t>Откорректировано. Убрано кабельняа сеть от РП-19 до ТП-810.</t>
  </si>
  <si>
    <t>Меняются трансформаторы 630/6 кВ на 630/10 кВ. Без увеличения присоединенной мощности.</t>
  </si>
  <si>
    <t>Это линия связи между ТП-810 и ТП-377 через ТП-839а. Это не последняя миля.</t>
  </si>
  <si>
    <t>Протокол к Постановлению №33/6 от 22.07.2011.</t>
  </si>
  <si>
    <t>Скорректировано.</t>
  </si>
  <si>
    <t>Реконструкция оборудования в РУ-10 кВ РП-П.Великого, строительство КЛ-10 кВ от врезки в КЛ-10 кВ "РП-П.Великого - КТП Яхт-клуб"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t>
  </si>
  <si>
    <t>Это не "последняя миля". ТУ изменены на "врезку" в существующую КЛ-10 кВ. Новые ТУ № Э0170-174 от 17.02.2014 г.</t>
  </si>
  <si>
    <t>Устранена опечатка</t>
  </si>
  <si>
    <t>Согласен. Надо перенести в раздел 3.3.</t>
  </si>
  <si>
    <t>Да. Ввод жилья.</t>
  </si>
  <si>
    <t xml:space="preserve">Перенести нельзя. Возможна жалоба в УФАС. Объект в работе с 2010 г. По ТРЕТЬЕМУ доп.соглашению о переносе срока срок составляет - 25.05.2014. </t>
  </si>
  <si>
    <t>Нет. Это построение связи между Трубной и ТП-45.</t>
  </si>
  <si>
    <t>В данном районе есть еще Заявители. Евтеев.</t>
  </si>
  <si>
    <t>18,29 км
6,6 МВА</t>
  </si>
  <si>
    <t>115,25 км
24,96 МВА</t>
  </si>
  <si>
    <t>5,098 км</t>
  </si>
  <si>
    <t>0,569 км</t>
  </si>
  <si>
    <t>0,45 км</t>
  </si>
  <si>
    <t>0,78 км</t>
  </si>
  <si>
    <t>0,85 км</t>
  </si>
  <si>
    <t>2х0,235 км
2х0,4 МВА</t>
  </si>
  <si>
    <t>2х5,791 км
(6х5,791=34,746 в одножильном исполнении)</t>
  </si>
  <si>
    <t>0,215 км</t>
  </si>
  <si>
    <t>0,115 км</t>
  </si>
  <si>
    <t>64,2 км</t>
  </si>
  <si>
    <t>29,31 км
0,00 МВА</t>
  </si>
  <si>
    <t>1.4.7.25/07</t>
  </si>
  <si>
    <t>Объем финансирования БЕЗ ИНДЕКСА, млн. руб.</t>
  </si>
  <si>
    <t>факт</t>
  </si>
  <si>
    <t>на 01.01.2014</t>
  </si>
  <si>
    <t>с 01.01.2014 на 17.06.2014</t>
  </si>
  <si>
    <t>ПРОВЕРКА</t>
  </si>
  <si>
    <t>полная-(остаточная+ФАКТдо2014)</t>
  </si>
  <si>
    <t xml:space="preserve">Автолаборатория </t>
  </si>
  <si>
    <t>1.1.1.5.3.3/10</t>
  </si>
  <si>
    <t>579 аб.
28,743 км</t>
  </si>
  <si>
    <t>1.1.1.5.1.10/10</t>
  </si>
  <si>
    <t xml:space="preserve">Реконструкция КЛ-10 кВ от РП-15 яч. 10 до ТП-505 яч. 4 (инв. № 340869) </t>
  </si>
  <si>
    <r>
      <t>4х</t>
    </r>
    <r>
      <rPr>
        <sz val="10"/>
        <color indexed="8"/>
        <rFont val="Times New Roman"/>
        <family val="1"/>
        <charset val="204"/>
      </rPr>
      <t>1,9 км</t>
    </r>
    <r>
      <rPr>
        <sz val="10"/>
        <rFont val="Times New Roman"/>
        <family val="1"/>
        <charset val="204"/>
      </rPr>
      <t xml:space="preserve">
12 МВА</t>
    </r>
  </si>
  <si>
    <t>3.1.3</t>
  </si>
  <si>
    <t>3.1.33</t>
  </si>
  <si>
    <t>3.1.116</t>
  </si>
  <si>
    <t>1,45 км
0,63 МВА</t>
  </si>
  <si>
    <t>15,62 км
12,00 МВА</t>
  </si>
  <si>
    <t>2х0,235 км</t>
  </si>
  <si>
    <t>0,5 км/ 2,5 МВА</t>
  </si>
  <si>
    <t>3.1.119</t>
  </si>
  <si>
    <t>0,50 км
0,63 МВА</t>
  </si>
  <si>
    <t>89,72 км
18,48 МВА</t>
  </si>
  <si>
    <t>16,50 км
4,51 МВА</t>
  </si>
  <si>
    <t>0,00 км
2,63 МВА</t>
  </si>
  <si>
    <t>6,50 км 
1,66 МВА</t>
  </si>
  <si>
    <t>7,40 км 
0,00 МВА</t>
  </si>
  <si>
    <t>20,66 км
1,36 МВА</t>
  </si>
  <si>
    <t>42,68 км
3,36 МВА</t>
  </si>
  <si>
    <t>* В формате приложения № 1.1 к приказу Минэнерго России от «24» марта 2010 г. № 114</t>
  </si>
  <si>
    <t>Монтаж приборов коммерческого учета и ввод в эксплуатацию АСКУЭ района с. Сселки</t>
  </si>
  <si>
    <t>Монтаж коммутационных аппаратов в РУ-0,4 кВ ТП-11 для электроснабжения многоквартирного жилого дома по адресу: г. Липецк, ул. Мичурина, кадастровый № 48:20:0045703:231</t>
  </si>
  <si>
    <t>Монтаж коммутационных аппаратов в РУ-0,4 кВ ТП-280 для электроснабжения административно-бытового корпуса по адресу: г. Липецк, ул. Московская, д. 83</t>
  </si>
  <si>
    <t>Монтаж панелей в РУ-0,4 кВ ТП-702, монтаж приборов учета в РУ-0,4 кВ ТП-702 для электроснабжения реконструкции стационарного отделения областного наркологического диспансера под монтаж и установку оборудования, приобретенного в рамках реализации мероприятий по совершенствованию медицинской помощи наркологическим больным по адресу: г. Липецк, ул. Студенческая</t>
  </si>
  <si>
    <t>Реконструкция КЛ-0,4 кВ от ТП-260 для электроснабжение 4-х этажной жилой вставки по адресу: г. Липецк, ул. Терешковой</t>
  </si>
  <si>
    <t>Монтаж вводно-линейной панели в РУ-0,4 кВ ТП-33, 
Монтаж ошиновки тр-ра, 
Монтаж прибора учета для электроснабжение отеля по адресу: г. Липецк, ул. Верхняя, д. 2</t>
  </si>
  <si>
    <t>1.1.5.2.114/13</t>
  </si>
  <si>
    <t>3.2.266</t>
  </si>
  <si>
    <t>Электроснабжение склада с пристройкой (лит. А, а) по адресу: г. Липецк, ул. Таежная, д. 1а (п. Новая Жизнь)</t>
  </si>
  <si>
    <t>1.1.5.2.115/13</t>
  </si>
  <si>
    <t>3.2.267</t>
  </si>
  <si>
    <t>Электроснабжение объектов по ул. Студеновская</t>
  </si>
  <si>
    <t>1.1.5.2.116/13</t>
  </si>
  <si>
    <t>3.2.268</t>
  </si>
  <si>
    <t>Электроснабжение жилого дома с хозяйственными постройками по адресу: г. Липецк, ул. Мирная, д. 8</t>
  </si>
  <si>
    <t>1.1.5.2.117/13</t>
  </si>
  <si>
    <t>3.2.269</t>
  </si>
  <si>
    <t>Электроснабжение индивидуального жилого дома и хозяйственных построек по адресу: г. Липецк, ул. Репина, д. 47</t>
  </si>
  <si>
    <t>1.1.5.2.120/13</t>
  </si>
  <si>
    <t>3.2.270</t>
  </si>
  <si>
    <t>Электроснабжение жилого дома по адресу: г. Липецк, ул. Варшавская, д. 27</t>
  </si>
  <si>
    <t>1.1.5.2.121/13</t>
  </si>
  <si>
    <t>3.2.271</t>
  </si>
  <si>
    <t>Электроснабжение жилого дома по адресу: г. Липецк, ул. Олимпийская, д. 58</t>
  </si>
  <si>
    <t>1.1.5.2.122/13</t>
  </si>
  <si>
    <t>3.2.272</t>
  </si>
  <si>
    <t>Электроснабжение автостоянки закрытого типа по адресу: г. Липецк, ул. Октябрьская, стр.32</t>
  </si>
  <si>
    <t>1.1.5.2.123/13</t>
  </si>
  <si>
    <t>3.2.273</t>
  </si>
  <si>
    <t>1.1.5.2.124/13</t>
  </si>
  <si>
    <t>3.2.274</t>
  </si>
  <si>
    <t>Электроснабжение индивидуального жилого дома по адресу: г. Липецк, ул. Известковая, в районе жилого дома № 54 (№ 2 по схеме)</t>
  </si>
  <si>
    <t>1.1.5.2.125/13</t>
  </si>
  <si>
    <t>3.2.275</t>
  </si>
  <si>
    <t>1.1.5.2.126/13</t>
  </si>
  <si>
    <t>3.2.276</t>
  </si>
  <si>
    <t>Электроснабжение садового домика по адресу: г. Липецк, СНТ "Сокол-2", участок № 413</t>
  </si>
  <si>
    <t>1.1.5.2.127/13</t>
  </si>
  <si>
    <t>3.2.277</t>
  </si>
  <si>
    <t>Электроснабжение лодочной пристани по адресу: г. Липецк, ул. Левобережная, 9</t>
  </si>
  <si>
    <t>1.1.5.2.128/13</t>
  </si>
  <si>
    <t>3.2.278</t>
  </si>
  <si>
    <t>Электроснабжение садовых домиков в СНТ "имени И.В. Мичурина"</t>
  </si>
  <si>
    <t>1.1.5.2.129/13</t>
  </si>
  <si>
    <t>3.2.279</t>
  </si>
  <si>
    <t>1.1.5.2.130/13</t>
  </si>
  <si>
    <t>3.2.280</t>
  </si>
  <si>
    <t>1.1.5.2.131/13</t>
  </si>
  <si>
    <t>3.2.281</t>
  </si>
  <si>
    <t>Электроснабжение садовых домиков в НТС "Металлург-3"</t>
  </si>
  <si>
    <t>1.1.5.2.132/13</t>
  </si>
  <si>
    <t>3.2.282</t>
  </si>
  <si>
    <t>Электроснабжение жилого дома по адресу: г. Липецк, ул. 2-я Крымская, д. 33</t>
  </si>
  <si>
    <t>1.1.5.2.133/13</t>
  </si>
  <si>
    <t>3.2.283</t>
  </si>
  <si>
    <t>Электроснабжение кирпичного гаража № 45 с погребом по адресу: г. Липецк, ГК № 2 "За рулем", линия № 12</t>
  </si>
  <si>
    <t>1.1.5.2.134/13</t>
  </si>
  <si>
    <t>3.2.284</t>
  </si>
  <si>
    <t>Электроснабжение садового домика по адресу: г. Липецк, СНТ "Сокол-2", участок № 900</t>
  </si>
  <si>
    <t>1.1.5.2.135/13</t>
  </si>
  <si>
    <t>3.2.285</t>
  </si>
  <si>
    <t>Электроснабжение индивидуальный жилой дом по адресу: г. Липецк, с. Сселки, № 372 (по схеме, кадастровый № 48:20:0210301:413)</t>
  </si>
  <si>
    <t>1.1.5.2.136/13</t>
  </si>
  <si>
    <t>3.2.286</t>
  </si>
  <si>
    <t>1.1.5.2.137/13</t>
  </si>
  <si>
    <t>3.2.287</t>
  </si>
  <si>
    <t>1.1.5.2.138/13</t>
  </si>
  <si>
    <t>3.2.288</t>
  </si>
  <si>
    <t>1.1.5.2.139/13</t>
  </si>
  <si>
    <t>3.2.289</t>
  </si>
  <si>
    <t>1.1.5.2.140/13</t>
  </si>
  <si>
    <t>3.2.290</t>
  </si>
  <si>
    <t>1.1.5.2.141/13</t>
  </si>
  <si>
    <t>3.2.291</t>
  </si>
  <si>
    <t>1.1.5.2.142/13</t>
  </si>
  <si>
    <t>3.2.292</t>
  </si>
  <si>
    <t>1.1.5.2.143/13</t>
  </si>
  <si>
    <t>3.2.293</t>
  </si>
  <si>
    <t>Электроснабжение индивидуального жилого дом по адресу: г. Липецк, район ул. Брусничная (кадастровый № 48:20:00000000:24407)</t>
  </si>
  <si>
    <t>1.1.5.2.144/13</t>
  </si>
  <si>
    <t>3.2.294</t>
  </si>
  <si>
    <t>1.1.5.2.145/13</t>
  </si>
  <si>
    <t>3.2.295</t>
  </si>
  <si>
    <t>Электроснабжение садового домика по адресу: ПОПиИ "Сокол-1", уч. № 623,</t>
  </si>
  <si>
    <t>1.1.5.2.146/13</t>
  </si>
  <si>
    <t>3.2.296</t>
  </si>
  <si>
    <t>Электроснабжение гаража с мастерской по адресу: г. Липецк, ул. им. Д. Бедного, строительный 66 а</t>
  </si>
  <si>
    <t>1.1.5.2.147/13</t>
  </si>
  <si>
    <t>3.2.297</t>
  </si>
  <si>
    <t>Электроснабжение садового домика по адресу: НТС "Металлург-3", улица 41-1, земельный участок № 13</t>
  </si>
  <si>
    <t>1.1.5.2.148/13</t>
  </si>
  <si>
    <t>3.2.298</t>
  </si>
  <si>
    <t>Электроснабжение жилого дома по адресу: г. Липецк, ул. Шаумяна, дом 22</t>
  </si>
  <si>
    <t>1.1.5.2.149/13</t>
  </si>
  <si>
    <t>3.2.299</t>
  </si>
  <si>
    <t>Электроснабжение 1/2 доли садового домика по адресу: г. Липецк, СНТ "Горняк", участок № 119</t>
  </si>
  <si>
    <t>1.1.5.2.150/13</t>
  </si>
  <si>
    <t>3.2.300</t>
  </si>
  <si>
    <t>1.1.5.2.151/13</t>
  </si>
  <si>
    <t>3.2.301</t>
  </si>
  <si>
    <t>1.1.5.2.152/13</t>
  </si>
  <si>
    <t>3.2.302</t>
  </si>
  <si>
    <t>Электроснабжение индивидуального жилого дома по адресу: г. Липецк, ул. Индустриальная, д. 236</t>
  </si>
  <si>
    <t>1.1.5.2.153/13</t>
  </si>
  <si>
    <t>3.2.303</t>
  </si>
  <si>
    <t>1.1.5.2.154/13</t>
  </si>
  <si>
    <t>3.2.304</t>
  </si>
  <si>
    <t>Электроснабжение нежилого помещения по "почтовый адрес ориентира: г. Липецк, ул. Суворова, дом № 30"</t>
  </si>
  <si>
    <t>1.1.5.2.155/13</t>
  </si>
  <si>
    <t>3.2.305</t>
  </si>
  <si>
    <t>Электроснабжение индивидуального жилого дома по адресу: г. Липецк, ул. Карбышева, д. 33 (по схеме)</t>
  </si>
  <si>
    <t>1.1.5.2.156/13</t>
  </si>
  <si>
    <t>3.2.306</t>
  </si>
  <si>
    <t>Электроснабжение садового домика по адресу: г. Липецк, СНП "Спутник", массив I, участок № 228</t>
  </si>
  <si>
    <t>1.1.5.2.157/13</t>
  </si>
  <si>
    <t>3.2.307</t>
  </si>
  <si>
    <t>1.1.5.2.158/13</t>
  </si>
  <si>
    <t>3.2.308</t>
  </si>
  <si>
    <t>Электроснабжение здания бывшей насосной станции по адресу: г. Липецк, ул. Жуковского, сооружение 7</t>
  </si>
  <si>
    <t>1.1.5.2.159/13</t>
  </si>
  <si>
    <t>3.2.309</t>
  </si>
  <si>
    <t>Электроснабжение жилого дома по адресу: г. Липецк, ул. Липецкая, дом № 93</t>
  </si>
  <si>
    <t>1.1.5.2.160/13</t>
  </si>
  <si>
    <t>3.2.310</t>
  </si>
  <si>
    <t>Электроснабжение садового домика по адресу: г. Липецк, потребительское общество пенсионеров и инвалидов "Сокол-1", участок № 520</t>
  </si>
  <si>
    <t>1.1.5.2.161/13</t>
  </si>
  <si>
    <t>3.2.311</t>
  </si>
  <si>
    <t>Электроснабжение индивидуального жилого дома по адресу: г. Липецк, ул. Базарная, д. 6 б</t>
  </si>
  <si>
    <t>1.1.5.2.162/13</t>
  </si>
  <si>
    <t>3.2.312</t>
  </si>
  <si>
    <t>1.1.5.2.163/13</t>
  </si>
  <si>
    <t>3.2.313</t>
  </si>
  <si>
    <t>1.1.5.2.164/13</t>
  </si>
  <si>
    <t>3.2.314</t>
  </si>
  <si>
    <t>Электроснабжение кирпичного жилого дома с пристройкой по адресу: г. Липецк, ул. Дарвина, дом 104</t>
  </si>
  <si>
    <t>1.1.5.2.165/13</t>
  </si>
  <si>
    <t>3.2.315</t>
  </si>
  <si>
    <t>Электроснабжение объектов в районе ул. Ковалева</t>
  </si>
  <si>
    <t>1.1.5.2.166/13</t>
  </si>
  <si>
    <t>3.2.316</t>
  </si>
  <si>
    <t>Электроснабжение садового домика по адресу: г. Липецк, СНТ "Машиностроитель", участок № 884</t>
  </si>
  <si>
    <t>1.1.5.2.167/13</t>
  </si>
  <si>
    <t>3.2.317</t>
  </si>
  <si>
    <t>1.1.5.2.168/13</t>
  </si>
  <si>
    <t>3.2.318</t>
  </si>
  <si>
    <t>1.1.5.2.169/13</t>
  </si>
  <si>
    <t>3.2.319</t>
  </si>
  <si>
    <t>1.1.5.2.170/13</t>
  </si>
  <si>
    <t>3.2.320</t>
  </si>
  <si>
    <t>1.1.5.2.171/13</t>
  </si>
  <si>
    <t>3.2.321</t>
  </si>
  <si>
    <t>Электроснабжение садового домика по адресу: г. Липецк, ПОПиИ "Сокол-1", земельный участок № 535</t>
  </si>
  <si>
    <t>1.1.5.2.172/13</t>
  </si>
  <si>
    <t>3.2.322</t>
  </si>
  <si>
    <t>Электроснабжение садового домика по адресу: г. Липецк, ПОПиИ "Сокол-1", участок № 712</t>
  </si>
  <si>
    <t>1.1.5.2.173/13</t>
  </si>
  <si>
    <t>3.2.323</t>
  </si>
  <si>
    <t>1.1.5.2.174/13</t>
  </si>
  <si>
    <t>3.2.324</t>
  </si>
  <si>
    <t>Электроснабжение садовых домиков в 1 и 5 массиве СТ "Ударник"</t>
  </si>
  <si>
    <t>1.1.5.2.175/13</t>
  </si>
  <si>
    <t>3.2.325</t>
  </si>
  <si>
    <t>Электроснабжение жилого дома по адресу: г. Липецк, ул. И.Франко, дом 43</t>
  </si>
  <si>
    <t>1.1.5.2.176/13</t>
  </si>
  <si>
    <t>3.2.326</t>
  </si>
  <si>
    <t>1.1.5.2.177/13</t>
  </si>
  <si>
    <t>3.2.327</t>
  </si>
  <si>
    <t>1.1.5.2.178/13</t>
  </si>
  <si>
    <t>Монтаж коммутационного аппарата в панели №1 в РУ-0,4кВ ТП-131, монтаж коммутационного аппарата в панели №10 в РУ-0,4кВ ТП-131, монтаж нового оборудования в ТП-11, строительство КЛ-10 кВ от ТП-11 до ТП-176, строительство КЛ-10 кВ от ТП-11 до ТП-178, реконструкция КЛ-6 кВ " ТП-11 - ТП-365" (инв. №345356) и "ТП-11, яч. №3 - ТП-176, яч. №5" (инв. №345353), реконструкция КЛ-6 кВ " ТП-11 - ТП-179" (инв. №345355) и "ТП-11, яч. №4 - ТП-178, яч. №6" (инв. №345354) для электроснабжения жилого дома с объектами соцкультбыта в цокольном этаже по адресу: г.Липецк, ул.Гоголя</t>
  </si>
  <si>
    <t>Монтаж коммутационного аппарата в панели №1 в РУ-0,4кВ ТП-808 для электроснабжения двухэтажной автостоянки закрытого типа (индивидуальные гаражи) по адресу: г.Липецк, ул. Стаханова, в районе МЖК НЛМК</t>
  </si>
  <si>
    <t>Монтаж реклоузера на вновь смонтированной опоре ВЛ-10кВ ПС "Юго-Западная" , яч. №3 - КТП-314 , для электроснабжения автосалона со станцией технического обслуживания по адресу: г.Липецк, ул.Московская, стр.34</t>
  </si>
  <si>
    <t>I этап: Монтаж трансформатора № 1 в ТП-71, монтаж трансформатора № 2 в ТП-71, монтаж оборудования в РУ-6 кВ ТП-71, монтаж оборудования в РУ-0,4 кВ ТП-71, строительство КЛ-0,4 кВ от ТП-71 до нежилого помещения № 1 по адресу: г. Липецк, ул. Ворошилова, д. 4; II этап: Реконструкция оборудования в РУ-6 кВ ТП-71, реконструкция оборудования в РУ-0,4 кВ ТП-71,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2 в ТП-71 взамен трансформатора, смонтированного по п. 1.1.6.1.54.2/12, строительство КЛ-10 кВ от РП-П.Великого до ТП-71, строительство КЛ-10 кВ от РП-П.Великого до ТП-71, реконструкция КЛ-6 кВ "ТП-71 - ТП-59" (инв. № 340413) и "ТП-71 - ТП-14" (инв. № 345398), монтаж узла учета в РУ-0,4кВ ТП-71 для электроснабжения нежилого помещения № 1 по адресу: г. Липецк, ул. Ворошилова, д. 4.</t>
  </si>
  <si>
    <t>Монтаж телемеханики РП-49, монтаж приборов учета в РУ-10кВ РП-49 для электроснабжения 29 микр. в г. Липецке, запитанного от РУ-10 кВ РП-49; 4440 кВт, 10кВт, 2 категория</t>
  </si>
  <si>
    <t>2,0 км/0 МВА</t>
  </si>
  <si>
    <t>1.1.6.4.28ПМ/10</t>
  </si>
  <si>
    <t>Строительство КЛ-0,4кВ от ТП-524 до здания административного комплекса по ул. Гришина, 9а для электроснабжение административного комплекса по ул. Гришина, 9 "а", запитанного от ТП-524; 15 кВт (дополнительно к сущ. 50 кВт), 380 В, 3 категория</t>
  </si>
  <si>
    <t>1.1.6.4.43ПМ/10</t>
  </si>
  <si>
    <t>Электроснабжение автосервиса с магазином и кафе на Воронежском шоссе</t>
  </si>
  <si>
    <t>1.1.6.4.44ПМ/10</t>
  </si>
  <si>
    <t>Электроснабжение 1/2 доли помещения №4, расположенного в здании блока цехов (лит.Ж1) по пр. Универсальный, д.12</t>
  </si>
  <si>
    <t>1.1.6.4.57ПМ/10</t>
  </si>
  <si>
    <t>Строительство КЛ-0,4 кВ от ТП-713 до нежилого здания по ул.Бачурина, 10, монтаж устройства передачи данных (УСПД) по учету электрической энергии в РУ-0,4 кВ ТП-713 для электроснабжение нежилого здания по ул.Бачурина, 10</t>
  </si>
  <si>
    <t>1.1.6.1.32ПМ/11</t>
  </si>
  <si>
    <t xml:space="preserve">Строительство КЛ-0,4кВ от ТП-80 до встроенного нежилого помещения №7 по адресу: г.Липецк, пр.Победы, д.53 для электроснабжение встроенного нежилого помещения №7 по адресу: г.Липецк, пр.Победы, д.53 </t>
  </si>
  <si>
    <t>1.1.6.1.46ПМ/11</t>
  </si>
  <si>
    <t>Строительство КЛ-0,4 кВ от ТП-5 до стройплощадки административно-гостиничного здания по адресу: г.Липецк, ул.Крайняя, д.4 для электроснабжение стройплощадки административно-гостиничного здания по адресу: г.Липецк, ул.Крайняя, д.4</t>
  </si>
  <si>
    <t>1.1.6.1.48ПМ/11</t>
  </si>
  <si>
    <t>Монтаж ячеек в РУ-6кВ ТП-105, монтаж устройства передачи данных (УСПД) по учету электрической энергии, монтаж приборов учета в РУ-0,4 кВ ТП-105 для электроснабжения здания котельной (лит.Ж) по адресу: г.Липецк, ул.Салтыкова-Щедрина, д.1</t>
  </si>
  <si>
    <t>1.1.6.1.62ПМ/11</t>
  </si>
  <si>
    <t>1.1.6.1.65ПМ/11</t>
  </si>
  <si>
    <t>1.1.6.1.66ПМ/11</t>
  </si>
  <si>
    <t>1.1.6.1.1ПМ/12</t>
  </si>
  <si>
    <t>Реконструкция ВЛ-6 кВ «ТП-15 – ТП-384, отпайка на ТП-199» (инв. №345411), монтаж вакуумного реклоузера для электроснабжения гостиницы по адресу: ул.Ворошилова, д.29.</t>
  </si>
  <si>
    <t>1.1.6.1.3ПМ/12</t>
  </si>
  <si>
    <t>1.1.6.1.22ПМ/12</t>
  </si>
  <si>
    <t xml:space="preserve">Строительство КЛ-0,4 кВ от ТП-336 до офисно-торгового здания по адресу: г. Липецк, пл. Победы, д. 6 для электроснабжения офисно-торгового здания по адресу: г. Липецк, пл. Победы, д. 6 </t>
  </si>
  <si>
    <t>1.1.6.1.29ПМ/12</t>
  </si>
  <si>
    <t>1.1.6.1.42ПМ/12</t>
  </si>
  <si>
    <t>Строительство КЛ-0,4 кВ от ТП-339 до административного здания по адресу: г. Липецк, ул. 50 лет НЛМК для электроснабжения административного здания по адресу:
г. Липецк, ул. 50 лет НЛМК</t>
  </si>
  <si>
    <t>1.1.6.1.39ПМ/12</t>
  </si>
  <si>
    <t>Строительство КЛ-0,4 кВ от ТП-143 до магазина непродовольственных товаров по адресу: г. Липецк, ул. Ю. Натуралистов - ул. Папина для электроснабжения магазина продовольственных и непродовольственных товаров по адресу: г. Липецк, ул. Ю. Натуралистов - ул. Папина.</t>
  </si>
  <si>
    <t>1.1.6.1.45ПМ/12</t>
  </si>
  <si>
    <t>Электроснабжение станции технического обслуживания автомобилей по адресу: г. Липецк, ул. Гагарина</t>
  </si>
  <si>
    <t>Электроснабжение гаража по адресу: г. Липецк, ГК "Пришвинский", гараж № 282</t>
  </si>
  <si>
    <t>Строительство ЛЭП-0,4 кВ от ТП-451 до компрессорного цеха по адресу: г. Липецк, ул. Римского-Корсакова, д. 1а</t>
  </si>
  <si>
    <t>Электроснабжение садового дома по адресу: г. Липецк, СПО "Металлург-1", квартал Iа, зем. уч. № 62</t>
  </si>
  <si>
    <t>Электроснабжение помещения № 10 по адресу: г. Липецк, пр. Победы, д. 59, корпус а</t>
  </si>
  <si>
    <t>Электроснабжение комплектовочного отделения по адресу: г. Липецк, ул. Ковалева, район Цемзавода</t>
  </si>
  <si>
    <t>Электроснабжение базовой станции сотовой связи по адресу: г. Липецк, ул. Космонавтов, 36/4</t>
  </si>
  <si>
    <t>В 2012 году построено новое здание РП, произведен монтаж силового оборудования. В 2013 г. смонтированы системы телемеханики, ОПС, АСКУЭ. Будут переведены кабельные линии 6/0,4 кВ из старого РП в новое, выполнены ПНР.</t>
  </si>
  <si>
    <t xml:space="preserve">Недостаточность финансирования привела к необходимости уменьшения объема вложений </t>
  </si>
  <si>
    <t xml:space="preserve">Данные объекты были представлены в инвестпрограмме, утвержденной постановлением 47-12 от 02.11.2013, в корректируемой программе по этим объектам не было изменений . </t>
  </si>
  <si>
    <t>Проектом предусмотрено строительство новой БКТП-402 в замен старой КТП-402, строительство КЛ- 0.4 кВ от БКТП-402 до диспансерного  отделения областной психоневрологической больницы</t>
  </si>
  <si>
    <t>Взамен морально и физически изношенного автотранспорта и специальной техники</t>
  </si>
  <si>
    <t>км</t>
  </si>
  <si>
    <t>МВА</t>
  </si>
  <si>
    <t>3.1.1</t>
  </si>
  <si>
    <t>3.1.2</t>
  </si>
  <si>
    <t>3.1.14</t>
  </si>
  <si>
    <t>3.1.17</t>
  </si>
  <si>
    <t>3.1.19</t>
  </si>
  <si>
    <t>3.1.24</t>
  </si>
  <si>
    <t>3.2.4</t>
  </si>
  <si>
    <t>3.2.5</t>
  </si>
  <si>
    <t>3.2.6</t>
  </si>
  <si>
    <t>Электроснабжение садовых домиков в СПО "Металлург-1", запитанных от ВЛ-6 кВ КТП-92 - МТП-149; 75 кВт, 380 В, 3 категория; Строительство МТП; Строительство ВЛ-6кВ от ближайшей опоры ВЛ-6кВ КТП-92 - МТП-149 до вновь смонтированной МТП; Строительство ВЛ-0,4кВ от вновь смонтированной МТП до потребителей в СПО "Металлург-1"</t>
  </si>
  <si>
    <t>Электроснабжение жилых домов по ул. Бородинская-Карбышева (по схеме), запитанных от вновь смонтированной КТП; 69 кВт, 380 В, 3 категория; Строительство КТП; Строительство ВЛ-6кВ от опоры ВЛ-6кВ "РП-27 яч.№11 - ТП-480" до вновь смонтированной КТП; Строительство ВЛ-0,4 кВ от вновь смонтированной КТП до ул.Шоссейная</t>
  </si>
  <si>
    <t>Электроснабжение двухэтажного здания шиномонтажного участка (лит. Ж) по ул. 9 Мая, 67, запитанного от ТП-530, 380 В, 3 категория; Строительство КЛ-0,4 кВ от ТП-530 до двухэтажного здания шиномонтажного участка (лит.Ж) по ул. 9 Мая, 67; Монтаж панелей РУ-0,4кВ ТП-530</t>
  </si>
  <si>
    <t>Электроснабжение садовых домиков в СНТ "Цементник", запитанных от ВЛ-10 кВ ПС "Бутырки", яч. № 9 - КТП-477; 56 кВт, 380 В, 3 категория; Строительство КТП-400/10/0,4 в СНТ "Цементник"; Строительство ВЛ-10кВ от опоры ВЛ-10кВ ПС "Бутырки"-КТП-477 до вновь смонтированной КТП; Строительство ВЛ-0,4кВ от вновь смонтированной КТП до потребителей в СНТ "Цементник"</t>
  </si>
  <si>
    <t>Строительство КЛ-0,4 кВ от ТП-400 до 9-ти этажного жилого здания по адресу: г. Липецк, потребительское общество пенсионеров и инвалидов "Сокол-1" для электроснабжения 9-ти этажного жилого здания по адресу: г. Липецк, потребительское общество пенсионеров и инвалидов "Сокол-1".</t>
  </si>
  <si>
    <t>1.1.6.1.47ПМ/12</t>
  </si>
  <si>
    <t>Строительство КЛ-0,4 кВ от ТП-153 до нежилого помещения № 22 по адресу: г. Липецк, ул. 8 Марта, д. 36 для электроснабжения нежилого помещения № 22 по адресу: г. Липецк, ул. 8 Марта, д. 36</t>
  </si>
  <si>
    <t>1.1.6.1.56ПМ/12</t>
  </si>
  <si>
    <t>Строительство КЛ-0,4 кВ от ТП-392 до объекта культурного наследия регионального значения по адресу: г. Липецк, ул. К.Маркса, д. 2 для электроснабжения объекта культурного наследия регионального значения по адресу: г. Липецк, ул. К.Маркса, д. 2.</t>
  </si>
  <si>
    <t>1.1.6.1.73ПМ/12</t>
  </si>
  <si>
    <t>4.1.1.1ПМ/13</t>
  </si>
  <si>
    <t>4.1.1.2ПМ/13</t>
  </si>
  <si>
    <t>4.1.1.4ПМ/13</t>
  </si>
  <si>
    <t>1.1.6.1.36ПМ/11</t>
  </si>
  <si>
    <t>1.1.6.1.47ПМ/11</t>
  </si>
  <si>
    <t>Строительство КЛ-0,4 кВ от ТП-849 до братского корпуса по адресу: г.Липецк, ул.Салтыкова-Щедрина для электроснабжения братского корпуса по адресу: г.Липецк, ул.Салтыкова-Щедрина</t>
  </si>
  <si>
    <t>1.1.6.1.60ПМ/11</t>
  </si>
  <si>
    <t>4.1.22ПМ/09</t>
  </si>
  <si>
    <t>Строительство КТП напряжение 6/0,4кВ, строительство КВЛ-6кВ от опоры №27 ВЛ-6кВ ПС№2 - КТП-379 до вновь смонтированной КТП для электроснабжения здания офиса врачей общей практики со служебной квартирой по ул.Маршала Рыбалко, запитанного от ВЛ-6 кВ ПС № 2 - КТП-379; 40 кВт, 380В, 3 категория</t>
  </si>
  <si>
    <t>1 км / 0 МВА</t>
  </si>
  <si>
    <t>1.1.6.1.4ПМ/11</t>
  </si>
  <si>
    <t>Строительство КЛ-0,4 кВ от ТП-172 до административно-бытового корпуса (лит.А) по ул.Союзная, д.6 для электроснабжения административно-бытового корпуса (лит.А) по ул.Союзная, д.6.</t>
  </si>
  <si>
    <t>1.1.6.1.67ПМ/11</t>
  </si>
  <si>
    <t>1.1.6.1.41ПМ/11</t>
  </si>
  <si>
    <t>Строительство КЛ-0,4 кВ от КТП-835 до административного здания по адресу: г.Липецк, ул. Кривенкова, д.11а</t>
  </si>
  <si>
    <t>1.1.6.1.5ПМ/11</t>
  </si>
  <si>
    <t>Строительство КЛ-0,4кВ от ТП-17 до нежилого помещения №1 по ул.Первомайская, д.78 для электроснабжения нежилого помещения №1 по ул.Первомайская, д.78</t>
  </si>
  <si>
    <t>1.1.6.4.4ПМ/10</t>
  </si>
  <si>
    <t>Строительство кабельной сети от ТП-232 до дома №43/1 по ул. Терешковой для электроснабжения нежилого помещения по ул.Терешковой, д.34/1, запитанного от ТП-232; 26 кВт (дополнительно к существующей 30 кВт), 380В, 3 категория</t>
  </si>
  <si>
    <t>1.1.6.1.40ПМ/11</t>
  </si>
  <si>
    <t>1.1.6.1.17ПМ/11</t>
  </si>
  <si>
    <t xml:space="preserve">Строительство КЛ-0,4 кВ от ТП-459 до административного здания по ул.К.Цеткин, 9 для электроснабжения административного здания по ул.К.Цеткин, 9 </t>
  </si>
  <si>
    <t>1.1.6.4.3ПМ/10</t>
  </si>
  <si>
    <t>Субъект Российской Федерации,
на территории которого реализуется инвестицион-
ный проект</t>
  </si>
  <si>
    <t>Место расположения объекта</t>
  </si>
  <si>
    <t>Технические характеристики</t>
  </si>
  <si>
    <t>Исполь-
зуемое топливо</t>
  </si>
  <si>
    <t>Сроки реализации проекта</t>
  </si>
  <si>
    <t>Наличие исходно-разрешительной документации</t>
  </si>
  <si>
    <t xml:space="preserve">Стоимость объекта,
млн. рублей </t>
  </si>
  <si>
    <t>Обоснование необходимости реализации проекта</t>
  </si>
  <si>
    <t>Показатели экономической эффективности реализации инвестиционного проекта</t>
  </si>
  <si>
    <t>мощность,
МВт, МВА</t>
  </si>
  <si>
    <t>выработка,
млн. кВт/ч</t>
  </si>
  <si>
    <t>длина ВЛ, КЛ,
км</t>
  </si>
  <si>
    <t>год
начала строи-
тельства</t>
  </si>
  <si>
    <t>год
ввода
в эксплуа-
тацию</t>
  </si>
  <si>
    <t>оформ-
ленный
в соот-
ветствии
с законо-
дательст-
вом земле-
отвод
(+; -)</t>
  </si>
  <si>
    <t>разре-
шение
на строи-
тельство
(+; -)</t>
  </si>
  <si>
    <t>в соот-
ветствии
с проектно-
сметной
докумен-
тацией</t>
  </si>
  <si>
    <t>в соот-
ветствии
с итогами конкурсов
и заклю-
ченными договорами</t>
  </si>
  <si>
    <t>решаемые задачи</t>
  </si>
  <si>
    <t>режимно-
балансовая необходимость</t>
  </si>
  <si>
    <t>3.1.102ПМ/07</t>
  </si>
  <si>
    <t>Электроснабжение прачечной и муфельной печи по ул.Адм.Макарова,1-е,запитанной от ТП-561;134кВт;380/220В,2 категория</t>
  </si>
  <si>
    <t>4.1.19ПМ/09</t>
  </si>
  <si>
    <t>Строительство КЛ-0,4кВ от КТП-719 до здания магазина со служебными постройками по ул.К.Шаталовой,д.8 для электроснабжения здания магазина со служебными постройками по ул.К.Шаталовой, д.8, запитанного от КТП-719; 28 кВт, 380В, 3 категория</t>
  </si>
  <si>
    <t>1.1.6.1.12ПМ/11</t>
  </si>
  <si>
    <t>1.1.6.1.59ПМ/11</t>
  </si>
  <si>
    <t>1.1.6.1.63ПМ/11</t>
  </si>
  <si>
    <t>1.1.6.1.51ПМ/12</t>
  </si>
  <si>
    <t>I этап: строительство КЛ-0,4 кВ от ТП-618 до здания АУП и столовой с пристройкой (лит. Б) по адресу: г. Липецк, ул. Прудная, 1 для электроснабжения здания АУП и столовой с пристройкой (лит. Б) по адресу: г. Липецк, ул. Прудная, 1.</t>
  </si>
  <si>
    <t>1.1.6.1.59ПМ/12</t>
  </si>
  <si>
    <t>1.1.6.1.62ПМ/12</t>
  </si>
  <si>
    <t>Строительство КТП, Монтаж трансформатора в новой КТП, монтаж оборудования в РУ-10 кВ новой КТП, монтаж оборудования в РУ-0,4 кВ новой КТП, строительство ВЛ-10 кВ от ближайшей опоры ВЛ-10 кВ "ТП-555 - ТП-37 а" до новой КТП, строительство КВЛ-0,4 кВ от новой КТП до зонального центра кинологической службы по адресу: г. Липецк, ул. Фурманова, д. 23 а, реконструкция ВЛ-10 кВ "ТП-555 - ТП-37 а" (инв. № 346166), монтаж пожарно-охранной сигнализации в новой КТП, монтаж узла учета в РУ-0,4кВ новой КТП для электроснабжения зонального центра кинологической службы по адресу: г. Липецк, ул. Фурманова, д. 23 а</t>
  </si>
  <si>
    <t>1.1.5.1.1ПМ/13</t>
  </si>
  <si>
    <t>1.1.5.1.12ПМ/13</t>
  </si>
  <si>
    <t>Строительство ТП, монтаж трансформатора № 1 в новой ТП, монтаж трансформатора № 2 в новой ТП, монтаж РУ-6 кВ в новой ТП, монтаж РУ-0,4 кВ в новой ТП, строительство КЛ-6 кВ от РП "Новая Гагарина" до новой ТП, строительство КЛ-0,4 кВ от новой ТП до здания гостиницы со спортивно-оздоровительным комплексом по адресу: г. Липецк, ул. Гагарина, монтаж пожарно-охранной сигнализации в новой ТП, монтаж узла учета в РУ-0,4 кВ новой ТП, монтаж оборудования в РУ-6 кВ ТП-210, строительство КЛ-6 кВ от ТП-210 до новой ТП для электроснабжения здания гостиницы со спортивно-оздоровительным комплексом по адресу: г. Липецк, ул. Гагарина</t>
  </si>
  <si>
    <t>1.1.5.1.5ПМ/13</t>
  </si>
  <si>
    <t>Строительство КВЛ-0,4 кВ от новой КТП до бокса по ремонту оборудования по адресу: г. Липецк, ул. Опытная, строение № 1 А для электроснабжения бокса по ремонту оборудования по адресу: г. Липецк, ул. Опытная, строение № 1 А</t>
  </si>
  <si>
    <t>1.1.6.1.65ПМ/12</t>
  </si>
  <si>
    <t>1.1.6.1.71ПМ/12</t>
  </si>
  <si>
    <t>Электроснабжение садового домика в садоводческом объединении коллективного партнерства "Сокол-2", уч. № 750; Строительство ВЛ-6кВ от опоры №17 ВЛ-6кВ РП-27-ТП-489 до вновь смонтированной КТП; Строительство КТП-250/6/0,4; Строительство ВЛ-0,4кВ от вновь смонтированного КТП до потребителей</t>
  </si>
  <si>
    <t>Электроснабжение садовых домиков в СНТ "Цементник" (КТП № 3); Строительство КТП №3 -400/10/04 в СНТ "Цементник"; Строительство ВЛ-10кВ от опоры ВЛ-10кВ ПС "Бутырки" - КТП-477 до вновь смонтированной КТП №3; Строительство ВЛ -0,4кВ от КТП№3 до потребителей</t>
  </si>
  <si>
    <t>Электроснабжение садовых домиков в СНТ "Цементник" от КТП № 2; Строительство КТП №2 -400/10/0,4 в СНТ "Цементник"; Строительство ВЛ-10кВ от КТП-859 до вновь смонтированной КТП №2; Строительство ВЛ-0,4кВ от КТП №2 до потребителей в СНТ "Цементник"</t>
  </si>
  <si>
    <t>Электроснабжение садового домика с/т "Строитель" зем. уч. № 1949; Строительство ВЛ-6 кВ от опоры ВЛ-6кВ ТП-406 - ТП-425 до вновь смонтированной МТП; Строительство МТП; Строительство ВЛ-0,4кВ от вновь смонтированной МТП до зем. уч. №1949</t>
  </si>
  <si>
    <t>Электроснабжение помещения № 2 по ул. Невского, д. 27; Строительство КЛ-0,4 кВ от ТП-563 до помещения №2 по ул.Невского, д.27</t>
  </si>
  <si>
    <t>Электроснабжение садового домика в п/о пенсионеров и инвалидов "Сокол-1", уч. № 672а; Строительство МТП; Строительство КВЛ-6 кВ от КТП-413 до вновь смонтированной МТП; Строительство ВЛ-0,4кВ от вновь смонтированной МТП до потребителей в п/о пенсионеров и инвалидов "Сокол-1"</t>
  </si>
  <si>
    <t xml:space="preserve">Электроснабжение гаража № 377 с погребом по адресу: г. Липецк, гаражный кооператив "Энергетик-2"; Строительство ВЛ-0,4 кВ от ТП-459 до земельного участка гаража №377 по адресу: г.Липецк, гаражный кооператив "Энергетик-2"; Монтаж прибора учета на опоре ВЛ-0,4 кВ </t>
  </si>
  <si>
    <t>Электроснабжение садового домика по адресу: г. Липецк, СНТ "Монтажник", зем. уч. № 1033; Строительство ВЛ-0,4кВ от опоры ВЛ-0,4кВ по ул.Красивая от КТП-646 до земельного участка №1033 в СНТ "Монтажник" ; Монтаж прибора учета на опоре ВЛ-0,4кВ от КТП-646</t>
  </si>
  <si>
    <t>Электроснабжение кирпичного гаража с погребом по адресу: г. Липецк, ГК "Центральный", гараж № 74</t>
  </si>
  <si>
    <t>Электроснабжение административно-бытового корпуса с автомойкой по адресу: г. Липецк, ул. Ударников, кадастровый № 48:20:0011103:742</t>
  </si>
  <si>
    <t>Электроснабжение садового домика по адресу: г. Липецк, СНТ "Дачный-1", участок № 774</t>
  </si>
  <si>
    <t>Электроснабжение магазина непродовольственных товаров по адресу: г. Липецк, пр. Мира, д. 21, кв. 10</t>
  </si>
  <si>
    <t>Электроснабжение СНТ "Дачный-5" по адресу: г. Липецк, поселок Дачный</t>
  </si>
  <si>
    <t>Электроснабжение индивидуального жилого дома по адресу: г. Липецк, ул. Свободный Сокол, дом № 60 а</t>
  </si>
  <si>
    <t>Электроснабжение жилого дома по адресу: г. Липецк, ул. Черешневая, д. № 47 (по схеме)</t>
  </si>
  <si>
    <t>Электроснабжение жилых домов по адресу: г. Липецк, проезд Боевой</t>
  </si>
  <si>
    <t>Электроснабжение индивидуального жилого дома по адресу: г. Липецк, с. Сселки, зем. уч. №79 ( по схеме)</t>
  </si>
  <si>
    <t>Электроснабжение жилого дома по адресу: г. Липецк, ул. Байкальская, дом № 17</t>
  </si>
  <si>
    <t>Электроснабжение садового домика по адресу: г. Липецк, садоводческое объединение коллективного партнерства "Сокол-2", участок № 922</t>
  </si>
  <si>
    <t>Электроснабжение административного здания по адресу: г. Липецк, ул. 50 лет НЛМК</t>
  </si>
  <si>
    <t>Электроснабжение индивидуального жилого дома по адресу: г. Липецк, ПОПиИ "Сокол-1", участок № 136</t>
  </si>
  <si>
    <t xml:space="preserve">Электроснабжение садового домика по адресу: г. Липецк, ПОПиИ "Сокол-1", участок № 132 </t>
  </si>
  <si>
    <t>Электроснабжение гаража по адресу: г. Липецк, ул. Вавилова, д. 19</t>
  </si>
  <si>
    <t>Электроснабжение садовых домиков по адресу: г. Липецк, СНТ "Сокол-2"</t>
  </si>
  <si>
    <t>1.1.6.1.49ПМ/12</t>
  </si>
  <si>
    <t>Строительство ТП, монтаж трансформатора № 1 в новой ТП, монтаж трансформатора № 2 в новой ТП, монтаж оборудования в РУ-10 кВ новой ТП, монтаж оборудования в РУ-0,4 кВ новой ТП, строительство КЛ-10 кВ от врезки в существующие КЛ-10 кВ: «РП-18 яч.№15 – КТП-319» и «РП-18 яч.№16 – ТП-808» до новой ТП, строительство КЛ-0,4 кВ от новой ТП до комплекса зданий автосалонов со станциями технического обслуживания автомобилей с автостоянкой по ул. Кривенкова по адресу: г. Липецк, 24 микрорайон, монтаж пожарно-охранной сигнализации в ТП, монтаж узла учета в РУ-0,4 кВ ТП для электроснабжения комплекса зданий автосалонов со станциями технического обслуживания автомобилей с автостоянкой по ул. Кривенкова по адресу: г. Липецк, 24 микрорайон.</t>
  </si>
  <si>
    <t>1.1.6.1.67ПМ/12</t>
  </si>
  <si>
    <t>1.1.6.1.77ПМ/12</t>
  </si>
  <si>
    <t>Строительство КЛ-0,4 кВ от РП-54 до многоэтажного многоквартирного жилого дома по адресу: г. Липецк, ул. Школьная, д. 26, ул. Школьная, д. 24</t>
  </si>
  <si>
    <t>1,7 км/ 0 МВА</t>
  </si>
  <si>
    <t>1.1.6.1.78ПМ/12</t>
  </si>
  <si>
    <t>Реконструкция КЛ-0,4 кВ от ТП-151 до нежилого помещения № 1 по адресу: г. Липецк, ул. Советская, д. 26 (инв. № 341440) для электроснабжения нежилого помещения № 1 по адресу: г. Липецк, ул. Советская, д. 26</t>
  </si>
  <si>
    <t>4.1.1.3ПМ/13</t>
  </si>
  <si>
    <t>4.1.1.10ПМ/13</t>
  </si>
  <si>
    <t>Строительство КЛ-0,4 кВ от ТП-273 до ДЮСШ № 7 по адресу: г. Липецк, проезд Сержанта Кувшинова, д. 5 а</t>
  </si>
  <si>
    <t>1.1.5.1.31ПМ/13</t>
  </si>
  <si>
    <t>1.1.5.1.32ПМ/13</t>
  </si>
  <si>
    <t>4.1.1.11ПМ/13</t>
  </si>
  <si>
    <t>Электроснабжение административного здания по адресу: г. Липецк, пр. Боевой, в районе дома № 23 а ( кадастровый № 48:20:0028405:241)</t>
  </si>
  <si>
    <t>4.1.1.12ПМ/13</t>
  </si>
  <si>
    <t>Электроснабжение многоквартирного жилого дома по адресу: г. Липецк, ул. Минина, д. 2</t>
  </si>
  <si>
    <t>4.1.1.13ПМ/13</t>
  </si>
  <si>
    <t>Электроснабжение здания кафе быстрого питания с общественными туалетами по адресу: г. Липецк, ул. Гагарина, район дома № 131 в Советском округе</t>
  </si>
  <si>
    <t>4.1.1.14ПМ/13</t>
  </si>
  <si>
    <t>Электроснабжение здания технического обслуживания автомобилей с автомойкой по адресу: г. Липецк, ул. Ковалева, р-он строения 99 Б</t>
  </si>
  <si>
    <t>4.1.1.15ПМ/13</t>
  </si>
  <si>
    <t>Электроснабжение здания цеха для производства металлоизделий по адресу: г. Липецк, ул. Юношеская</t>
  </si>
  <si>
    <t>1.1.5.1.39ПМ/13</t>
  </si>
  <si>
    <t>1.1.5.1.42ПМ/13</t>
  </si>
  <si>
    <t>4.1.1.16ПМ/13</t>
  </si>
  <si>
    <t>Электроснабжение здания диспетчерской по адресу: г. Липецк, ул. Богатырская, д.12</t>
  </si>
  <si>
    <t>1.1.6.1.61ПМ/11</t>
  </si>
  <si>
    <t>3.1.129ПМ/07</t>
  </si>
  <si>
    <t>Электроснабжение жилого здания № 2 по ул.Фрунзе, запитанного от ТП-377, 200 кВт, 380 В, 2 категория</t>
  </si>
  <si>
    <t>1.1.6.1.57ПМ/11</t>
  </si>
  <si>
    <t>3.1.71ПМ/07</t>
  </si>
  <si>
    <t>Электроснабжение автосалона с СТО в районе Елецкого шоссе, запитанного от КТП-374, 100 кВт, 380 В, 3 категория</t>
  </si>
  <si>
    <t>2.1.3ПМ/08</t>
  </si>
  <si>
    <t>Электроснабжение здания терапевтического корпуса ГУЗ "Липецкая областная клиническая больница" по ул. Московская, 6а, запитанного от ТП-318; 230 кВт, 380 В, 2 категория</t>
  </si>
  <si>
    <t>1.1.6.4.30ПМ/10</t>
  </si>
  <si>
    <t>1.1.6.1.54ПМ/12</t>
  </si>
  <si>
    <t>4.1.1.9/13</t>
  </si>
  <si>
    <t>Строительство КЛ-0,4 кВ от ТП-107 до здания магазина продовольственных и непродовольственных товаров по адресу: г. Липецк, ул. Гагарина (кадастровый № 48:20:029915:49), монтаж узла учета в РУ-0,4 кВ ТП-107 для электроснабжения здания магазина продовольственных и непродовольственных товаров по адресу: г. Липецк, ул. Гагарина (кадастровый № 48:20:029915:49)</t>
  </si>
  <si>
    <t>3.1.105</t>
  </si>
  <si>
    <t>3.1.106</t>
  </si>
  <si>
    <t>3.1.107</t>
  </si>
  <si>
    <t>3.1.108</t>
  </si>
  <si>
    <t>3.1.109</t>
  </si>
  <si>
    <t>3.1.110</t>
  </si>
  <si>
    <t>3.1.111</t>
  </si>
  <si>
    <t>3.1.112</t>
  </si>
  <si>
    <t>3.1.113</t>
  </si>
  <si>
    <t>3.1.114</t>
  </si>
  <si>
    <t>3.1.115</t>
  </si>
  <si>
    <t>3.1.118</t>
  </si>
  <si>
    <t>3.3.90</t>
  </si>
  <si>
    <t>3.3.91</t>
  </si>
  <si>
    <t>3.3.92</t>
  </si>
  <si>
    <t>3.3.93</t>
  </si>
  <si>
    <t>3.3.94</t>
  </si>
  <si>
    <t>3.3.95</t>
  </si>
  <si>
    <t>3.3.96</t>
  </si>
  <si>
    <t>3.3.97</t>
  </si>
  <si>
    <t>3.3.98</t>
  </si>
  <si>
    <t>3.3.99</t>
  </si>
  <si>
    <t>3.3.100</t>
  </si>
  <si>
    <t>3.3.101</t>
  </si>
  <si>
    <t>3.3.102</t>
  </si>
  <si>
    <t>3.3.103</t>
  </si>
  <si>
    <t>3.3.104</t>
  </si>
  <si>
    <t>3.3.105</t>
  </si>
  <si>
    <t>3.3.106</t>
  </si>
  <si>
    <t>3.3.107</t>
  </si>
  <si>
    <t>3.3.108</t>
  </si>
  <si>
    <t>3.3.109</t>
  </si>
  <si>
    <t>3.3.110</t>
  </si>
  <si>
    <t>3.3.111</t>
  </si>
  <si>
    <t>3.3.112</t>
  </si>
  <si>
    <t>3.3.113</t>
  </si>
  <si>
    <t>3.3.114</t>
  </si>
  <si>
    <t>3.3.115</t>
  </si>
  <si>
    <t>3.3.116</t>
  </si>
  <si>
    <t>3.3.117</t>
  </si>
  <si>
    <t>3.3.118</t>
  </si>
  <si>
    <t>3.3.119</t>
  </si>
  <si>
    <t>3.3.120</t>
  </si>
  <si>
    <t>3.3.121</t>
  </si>
  <si>
    <t>3.3.122</t>
  </si>
  <si>
    <t>3.3.123</t>
  </si>
  <si>
    <t xml:space="preserve"> 1,45 км/ 0 МВА</t>
  </si>
  <si>
    <t xml:space="preserve">2,7 км </t>
  </si>
  <si>
    <t xml:space="preserve">3,5 км </t>
  </si>
  <si>
    <t>4х0,45 км</t>
  </si>
  <si>
    <t xml:space="preserve">0,45 км </t>
  </si>
  <si>
    <t>2х0,63МВА</t>
  </si>
  <si>
    <t>итого 
14-19</t>
  </si>
  <si>
    <t>0,05 км
0,00 МВА</t>
  </si>
  <si>
    <t>Перечень инвестиционных проектов на период реализации инвестиционной программы и план их финансирования ОАО "Липецкая городская энергетическая компания"
(комплекс электроснабжения) на период 2014-2019 г.г. (без НДС)*</t>
  </si>
  <si>
    <t>Электроснабжение садовых домиков в СНТ "Сокол-3"</t>
  </si>
  <si>
    <t>Электроснабжение 1/2 доли жилого дома по адресу: г. Липецк, ул. Одесская, дом № 74</t>
  </si>
  <si>
    <t>Электроснабжение садового домика по адресу: г. Липецк, СТ "Строитель, участок № 183</t>
  </si>
  <si>
    <t>Электроснабжение садового домика по адресу: г. Липецк, СНТ "Горняк", участок № 586</t>
  </si>
  <si>
    <t>Электроснабжение садовых домиков в 4 массиве СТ "Ударник"</t>
  </si>
  <si>
    <t>Электроснабжение садового домика по адресу: г. Липецк, СНТ "Металлург-2", земельный участок № 1893</t>
  </si>
  <si>
    <t>Электроснабжение 1/2 доля жилого дома по адресу: г. Липецк, ул. Речная, д. № 24 а</t>
  </si>
  <si>
    <t>Электроснабжение павильона П-4441 по адресу: г. Липецк, Елецкое шоссе, 6 справа от Центрального входа Косыревского кладбища</t>
  </si>
  <si>
    <t>Электроснабжение индивидуального жилого дома по адресу: г. Липецк, ул. Садовая, д. № 51 Литер Б)</t>
  </si>
  <si>
    <t>Электроснабжение садового домика по адресу: г. Липецк, СНТ "Машиностроитель", участок № 820</t>
  </si>
  <si>
    <t>Электроснабжение садового домика по адресу: г. Липецк, СНТ "Горняк", участок № 543</t>
  </si>
  <si>
    <t>Электроснабжение садовых домиков в СНТ "Липецкстрой", запитанных от КТП-92 ; 55кВт, 220 В, 3 категория</t>
  </si>
  <si>
    <t>Строительство КЛ-0,4кВ от ТП-809 до административного здания по ул. Неделина для электроснабжение административного здания по ул. Неделина, запитанного от ТП-809; 95 кВт, 380 В, 3 категория</t>
  </si>
  <si>
    <t>Строительство КЛ-0,4кВ от ТП-156 до нежилого помещения №12 по ул. Зегеля, д.28 для электроснабжение нежилого помещения №12 по ул.Зегеля,28</t>
  </si>
  <si>
    <t>Строительство КЛ-0,4кВ от ТП-226 до нежилого помещения под магазин непродовольственных товаров, прилегающего к дому №70 по ул.Космонавтов для реконструкция нежилого помещения под магазин непродовольственных товаров, прилегающего к дому №70 по ул.Космонавтов</t>
  </si>
  <si>
    <t>Строительство КЛ-0,4кВ от ТП-32 до помещения №2 по пр.Победы, д.16 для электроснабжение помещения №2 по пр.Победы, д.16</t>
  </si>
  <si>
    <t>Строительство КЛ-0,4 кВ от ТП-330 до встроенно-пристроенного нежилого помещения №1 по адресу: г.Липецк, ул.Московская, д.61а</t>
  </si>
  <si>
    <t>Строительство КЛ-0,4 кВ от ТП-155 до жилого здания с подземной автостоянкой по адресу: г.Липецк, ул.Ленина для электроснабжение жилого здания с подземной автостоянкой по адресу: г.Липецк, ул.Ленина</t>
  </si>
  <si>
    <t>Строительство КЛ-0,4 кВ от ТП-131 до жилого дома с объектами соцкультбыта в цокольном этаже по адресу: г.Липецк, ул.Гоголя для электроснабжения жилого дома с объектами соцкультбыта в цокольном этаже по адресу: г.Липецк, ул.Гоголя</t>
  </si>
  <si>
    <t>Строительство КВЛ-0,4 кВ от КТП-619 до границ земельного участка по адресу: г.Липецк, ул. Подгоренская, вл.4 для электроснабжения здания кирпичного цеха (сопряжение стен с лит. А10, А2, А6) по адресу: г.Липецк, ул. Подгоренская, вл.4</t>
  </si>
  <si>
    <t>Строительство КЛ-0,4 кВ от ТП-188 до жилого здания по адресу: г.Липецк, ул. Новокарьерная для электроснабжения жилого здания по адресу: г.Липецк, ул. Новокарьерная</t>
  </si>
  <si>
    <t>Строительство КЛ-0,4 кВ от ТП-808 до двухэтажной автостоянки закрытого типа (индивидуальные гаражи) по адресу: г.Липецк, ул. Стаханова, в районе МЖК НЛМК, для электроснабжения двухэтажной автостоянки закрытого типа (индивидуальные гаражи) по адресу: г.Липецк, ул. Стаханова, в районе МЖК НЛМК</t>
  </si>
  <si>
    <t>Строительство КЛ-0,4 кВ от ТП-402 до встроенных нежилых помещений № 1, № 2, № 3 по адресу: г. Липецк, ул. Тамбовская, д. 1</t>
  </si>
  <si>
    <t>Ведение базы договоров потребителей электроэнергии; Проведение расчётов потребленных объемов электроэнергии; Построения отчёта для сверки со сбытовой компанией; Расчет балансов и анализ потерь</t>
  </si>
  <si>
    <t>Анализ структуры потерь и планирование мер по их снижению</t>
  </si>
  <si>
    <t xml:space="preserve"> </t>
  </si>
  <si>
    <t>Обеспечение отказоустойчивости в получении данных с приборов учёта в систему АСКУЭ</t>
  </si>
  <si>
    <t>Строительство ВЛ-10 кВ и КЛ-10 кВ сети электроснабжения от ПС "Правобережная" яч. 18 до ТП-616</t>
  </si>
  <si>
    <t>Строительство ВЛ-10 кВ и КЛ-10 кВ сети электроснабжения от ПС "Правобережная" яч. 9 до ТП-616</t>
  </si>
  <si>
    <t>Реконструкция ВЛ 6 кВ ТП-404 - ТП-437 с монтажем РЛНД между отпайками в сторону ТП-464 и в сторону ТП-182а, 195а</t>
  </si>
  <si>
    <t>5,02 км
0,00 МВА</t>
  </si>
  <si>
    <t>1,80 км 
0,00 МВА</t>
  </si>
  <si>
    <t>ГАЗ-3307 (С 055 СВ); УАЗ-390994 (Е 086 ОМ); УАЗ-390994 (Е  092 ОМ)</t>
  </si>
  <si>
    <t>УАЗ-3909 (В 178 МЕ), 1999 г.в.</t>
  </si>
  <si>
    <t>МТЗ-82 БМ-205В (3233 УК)</t>
  </si>
  <si>
    <t>ЗИЛ-130 (В 176 СО), ЗИЛ-450850 (Е 093 АХ)</t>
  </si>
  <si>
    <t>ЗИЛ-130 (В 176 СО)</t>
  </si>
  <si>
    <t>ЗИЛ-433360 (К 005 ОК)</t>
  </si>
  <si>
    <t>ЗИЛ-433362 (КС-2571Б) (В 039 УУ)</t>
  </si>
  <si>
    <t>УАЗ-39099 (С 099 ХМ); УАЗ-39099 (С 097 ХМ)</t>
  </si>
  <si>
    <t>КС-3577 (В 196 СО)</t>
  </si>
  <si>
    <t>ЗИЛ-450850 (Е 093 АХ)</t>
  </si>
  <si>
    <t>4,49 км
0,00 МВА</t>
  </si>
  <si>
    <t>0,80 км
0,00 МВА</t>
  </si>
  <si>
    <t>10,28 км
1,66 МВА</t>
  </si>
  <si>
    <t>Реконструкция оборудования в РУ-0,4 кВ ТП-702 для электроснабжения помещений №2, №3 по ул. Ильича, д.4, запитанных от ТП-702; 130 кВт, 380 В, 2 категория</t>
  </si>
  <si>
    <t>Монтаж оборудования в РУ-0,4 ТП-11, реконструкция КЛ-6 кВ для электроснабжения административного здания по ул. Неделина, 25, запитанного от ТП-11; 114 кВт, 380 В, 2 категория</t>
  </si>
  <si>
    <t>Реконструкция оборудования ТП-79 для электроснабжение кирпичного здания склада с пристройками по пр. поперечный, д. 2 "а", запитанного от ТП-79; 70 кВт, 380 В, 3 категория</t>
  </si>
  <si>
    <t>Монтаж реклоузера для электроснабжение зданий и сооружений автоцентра грузового транспорта в районе Цемзавода и трассы Орел-Тамбов, запитанного от ВЛ-6 кВ ПС "Цементная" яч. 47 - ТП-450; 500 кВт; 6 кВ, 3 категория</t>
  </si>
  <si>
    <t>Замена трансформаторов и реконструкция РУ-0,4 кВ ТП-84 для электроснабжение нежилого встроенного-пристроенного помещения № 3 (магазина) по адресу: г. Липецк, ул. Папина, д. 6</t>
  </si>
  <si>
    <t>Монтаж пожарно-охранной сигнализации в РУ-0,4 кВ ТП-528, монтаж узла учета в РУ-0,4 кВ ТП-528 для электроснабжения магазина непродовольственных товаров по адресу: г. Липецк, ул. З. Космодемьянской</t>
  </si>
  <si>
    <t>Монтаж трансформатора № 1 в ТП-143 взамен существующего (инв. № 41298А), монтаж трансформатора № 2 в ТП-143 взамен существующего (инв. № 41299А), монтаж оборудования в РУ-0,4 кВ ТП-143, монтаж узла учета в РУ-0,4 кВ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и сносом существующего здания магазина с пристройками по адресу: г. Липецк, ул. Юных Натуралистов, 7 А</t>
  </si>
  <si>
    <t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</t>
  </si>
  <si>
    <t>Замена силовых трансформаторов в ТП-273 (без увеличения мощности), реконструкция РУ-0,4 кВт ТП-273 для электроснабжение нежилого помещения и нежилого помещения (цоколь) по адресу: г. Липецк, проезд Сержанта Кувшинова, д. 5 а</t>
  </si>
  <si>
    <t>0/ 0 МВА</t>
  </si>
  <si>
    <t>I этап: строительство КТП № 1, Строительство КТП № 2, монтаж трансформатора в новой КТП № 1, монтаж трансформатора в новой КТП № 2, монтаж оборудования в РУ-10 кВ новой КТП № 1, монтаж оборудования в РУ-10 кВ новой КТП № 2, монтаж оборудования в РУ-0,4 кВ новой КТП № 1, монтаж оборудования в РУ-0,4 кВ новой КТП № 2, строительство КЛ-10 кВ от РП-49 до новой КТП № 1, строительство КЛ-10 кВ от РП-49 до новой КТП № 2, строительство КЛ-0,4 кВ от новой КТП № 1 до торгового центра с подземной автостоянкой по адресу: г. Липецк, 28 микрорайон, строительный № 33, строительство КЛ-0,4 кВ от новой КТП № 2 до торгового центра с подземной автостоянкой по адресу: г. Липецк, 28 микрорайон, строительный № 33, монтаж пожарно-охранной сигнализации в новой КТП № 1, монтаж пожарно-охранной сигнализации в новой КТП № 2, монтаж узла учета в РУ-0,4 кВ новой КТП № 1, монтаж узла учета в РУ-0,4 кВ новой КТП № 2. II этап: cстроительство ТП, монтаж трансформатора № 1 в новой ТП, монтаж трансформатора № 2 в новой ТП, монтаж оборудования в РУ-10 кВ новой ТП, монтаж оборудования в РУ-0,4 кВ новой ТП, монтаж пожарно-охранной сигнализации в новой ТП, монтаж узла учета в РУ-0,4 кВ новой ТП для электроснабжения торгового центра с подземной автостоянкой по адресу: г. Липецк, 28 микрорайон, строительный № 34</t>
  </si>
  <si>
    <t>Строительство МТП, монтаж трансформатора в новой МТП, монтаж РУ-6 кВ в новой МТП, монтаж РУ-0,4 кВ в новой МТП, строительство ВЛ-6 кВ от ВЛ-6 кВ "ТП-90 - ТП-91" до новой МТП, строительство ВЛ-0,4 кВ от новой МТП до садовых домиков в СНТ "Ветеран Труда", монтаж узла учета в РУ-0,4 кВ новой МТП для электроснабжения садового домика по адресу: г. Липецк, СНТ "Ветеран Труда", ул. Центральная, уч. № 319</t>
  </si>
  <si>
    <t>Строительство КЛ-0,4 кВ от РП-49 до торговых рядов по адресу: г. Липецк, ул. Шерстобитова С.М.</t>
  </si>
  <si>
    <t>Строительство КЛ-0,4 кВ от РП-24 до здания автосервиса с магазином по адресу: г. Липецк, проезд Трубный, владение 11 г</t>
  </si>
  <si>
    <t>Строительство КЛ-0,4 кВ от ТП-94 до мастерской по адресу: г.Липецк, ул.Студеновская,д.№159</t>
  </si>
  <si>
    <t xml:space="preserve">Строительство КЛ-0,4 кВ от ТП-82 до ОАС(К) ОУ школы-интерната III-IV вида по адресу: г.Липецк, ул.Механизаторов , д.9 для электроснабжения ОАУ С(К) О школы-интерната III-IV вида по адресу: г.Липецк, ул.Механизаторов ,д.9 </t>
  </si>
  <si>
    <t>Строительство КТП №1, Монтаж трансформатора в новой КТП №1, монтаж РУ-10 кВ в новой КТП №1, монтаж РУ-0,4 кВ в новой КТП №1, строительство КТП №2, монтаж трансформатора в новой КТП №2, монтаж РУ-10 кВ в новой КТП №2, монтаж РУ-0,4 кВ в новой КТП №2, строительство КЛ-10 кВ от РП-49 до границ земельного участка, Строительство ВЛ-10 кВ от опоры №1, строительство КЛ-10 кВ от опоры ВЛ-10 кВ по п. 1.1.5.1.13.10/13 до КТП №1, строительство КЛ-10 кВ от опоры ВЛ-10 кВ по п. 1.1.5.1.13.10/13 до КТП №2, монтаж пожарно-охранной сигнализации в новой КТП №1, монтаж узла учета в РУ-0,4 кВ новой КТП №1, монтаж пожарно-охранной сигнализации в новой КТП №2, монтаж узла учета в РУ-0,4 кВ новой КТП №2 для электроснабжения стройплощадки объекта: Многофункциональный спортивный комплекс в г. Липецке, I этап электроснабжения по адресу: г. Липецк, ул. Леонтия Кривенкова, Молодежный парк</t>
  </si>
  <si>
    <t>Строительство КЛ-0,4кВ от ТП-552 до административного здания (лит. А) по ул.Осипенко, д.19 для электроснабжения административного здания (лит.А) по ул.Осипенко, д.19</t>
  </si>
  <si>
    <t xml:space="preserve">Строительство КЛ-0,4 кВ от ТП-121 до административного здания с пристройкой по адресу: г. Липецк, ул.Плеханова, 72 для электроснабжения административного здания с пристройкой по адресу: г. Липецк, ул.Плеханова, 72 </t>
  </si>
  <si>
    <t>Строительство КЛ-0,4 кВ от ТП-807 до многоквартирного жилого дома стр. №2 с объектами соцкультбыта по адресу: г.Липецк, ул.Стаханова, МЖК для электроснабжения многоквартирного жилого дома стр. №2 с объектами соцкультбыта по адресу: г.Липецк, ул.Стаханова, МЖК</t>
  </si>
  <si>
    <t>Строительство КЛ-0,4кВ от ТП-62 до здания с административными, жилыми помещениями и подземной автостоянкой по ул.Плеханова для электроснабжения здания с административными, жилыми помещениями и подземной автостоянкой по ул.Плеханова</t>
  </si>
  <si>
    <t>1,36 км / 0,1 МВА</t>
  </si>
  <si>
    <t xml:space="preserve"> 0,4 км/0 МВА</t>
  </si>
  <si>
    <t>0,03 км / 0,1 МВА</t>
  </si>
  <si>
    <t>0,33 км/ 0 МВА</t>
  </si>
  <si>
    <t xml:space="preserve"> 1,4 км/1,26 МВА</t>
  </si>
  <si>
    <t xml:space="preserve"> 0,18 км/0 МВА</t>
  </si>
  <si>
    <t xml:space="preserve"> 0,01 км/0 МВА</t>
  </si>
  <si>
    <t xml:space="preserve"> 3,9 км/0 МВА</t>
  </si>
  <si>
    <t xml:space="preserve"> 2 км/0 МВА</t>
  </si>
  <si>
    <t>26,89 км
5,38 МВА</t>
  </si>
  <si>
    <t>19,04 км
4,16 МВА</t>
  </si>
  <si>
    <t>50,41 км
5,57 МВА</t>
  </si>
  <si>
    <t>44,8 км
2,66 МВА</t>
  </si>
  <si>
    <t>47,61 км
4,12 МВА</t>
  </si>
  <si>
    <t xml:space="preserve">285,65 км
24,71 МВА </t>
  </si>
  <si>
    <t>22,57 км
7,57 МВА</t>
  </si>
  <si>
    <t>89,22 км
15,85 МВА</t>
  </si>
  <si>
    <t>94,29 км
15,85 МВА</t>
  </si>
  <si>
    <t>ВВОД денежных средств</t>
  </si>
  <si>
    <t>ВВОД мощностей</t>
  </si>
  <si>
    <t>1,53 км
0,00 МВА</t>
  </si>
  <si>
    <t>5,20 км
0,00 МВА</t>
  </si>
  <si>
    <t>12,96 км
0,5 МВА</t>
  </si>
  <si>
    <t>1,85 км
0,00 МВА</t>
  </si>
  <si>
    <t xml:space="preserve">0,7 км </t>
  </si>
  <si>
    <t>нет</t>
  </si>
  <si>
    <t>Реконструкция КЛ-6 кВ "РП-26 яч. № 17 - ТП-180 яч. № 7" в РУ-6 кВ РП-26 из яч № 17 на I с.ш. в яч № 22 на II с.ш. Реконструкция оборудования в РУ-0,4 кВ ТП-11 для электроснабжения административного здания по ул. Неделина, 25, запитанного от ТП-11; 114 кВт, 380 В, 2 категория</t>
  </si>
  <si>
    <t>БЫЛ в СОСТАВЕ:
Строительство КЛ-0,4 кВ от в РУ-0,4 кВ ТП-79 до кирпичного здания склада с пристройками по пр. Поперечный, д. 2 "а", запитанного от ТП-79; 70 кВт, 380 В, 3 категория</t>
  </si>
  <si>
    <t>БЫЛ в СОСТАВЕ:
1. Строительство КЛ-0,4 кВ от в РУ-0,4 кВ ТП-809 до объекта. 2. Монтаж прибора учета в РУ-0,4 кВ ТП-809, для электроснабжения административного здания по ул. Неделина, запитанного от ТП-809; 95 кВт, 380 В, 3 категория</t>
  </si>
  <si>
    <t>Монтаж реклоузера для электроснабжения здания и сооружения автоцентра грузового транспорта, запитанного от ПС "Цементная"; 500 кВт, 6 кВ, III категория</t>
  </si>
  <si>
    <t>Строительство новой ТП, строительство КЛ-10 кВ от РП-Центр до новой ТП для электроснабжения 10-ти этажного жилого здания по ул. Котовского, запитанного от РУ-0,4 кВ ТП-128; 90 кВт, 380 В, II категория</t>
  </si>
  <si>
    <t>Монтаж УСПД по учету электрической энергии в РУ-0,4 кВ ТП-289 для электроснабжения объекта: "Жилые здания № 1, № 2 со встроенными помещениями соцкультбыта." (Жилое здание № 1) по адресу: г. Липецк, ул. 50 лет НЛМК, владение 21 А</t>
  </si>
  <si>
    <t>Строительство КЛ-6 кВ от ПС "Бугор" до ТП-241. Реконструкция оборудования в РУ-6 кВ ТП-80. Замена трансформатора в ТП-80 т-р № 2. Реконструкция оборудования в РУ-0,4 кВ ТП-80 для электроснабжения встроенного нежилого помещения № 7 по адресу: г. Липецк, пр. Победы, д. 53</t>
  </si>
  <si>
    <t>БЫЛ в СОСТАВЕ
1. Реконструкция оборудования в РУ-0,4 кВ ТП-5. 2. В РУ-0,4 кВ ТП-5 монтаж УСПД. 3. Строительство КЛ-0,4 кВ от РУ-0,4 кВ ТП-5 до объекта для электроснабжения стройплощадки административно-гостиничного здания по адресу: г. Липецк, ул. Крайняя, д. 4</t>
  </si>
  <si>
    <t>БЫЛ в СОСТАВЕ:
1. Реконструкция оборудования в РУ-0,4 кВ ТП-808. 2. Монтаж КЛ-0,4 кВ от РУ-0,4 кВ ТП-808 до объекта для электроснабжения двухэтажной автостоянки закрытого типа (индивидуальные гаражи) по адресу: г. Липецк, ул. Стаханова, в районе МЖК НЛМК</t>
  </si>
  <si>
    <t>Реконструкция ошиновки 0,4 кВ ТП-203 трансформаторов № 1 и № 2, для электроснабжения помещения № 2 по адресу: г. Липецк, ул. Терешковой, д. 2</t>
  </si>
  <si>
    <t>1,1 км/ 0 МВА</t>
  </si>
  <si>
    <t>БЫЛ в СОСТАВЕ:
1. Реконструкция оборудования в РУ-0,4 кВ ТП-143. 2. Строительство КЛ-0,4 кВ от РУ-0,4 кВ ТП-143 до магазина продовольственных и непродовольственных товаров по адресу: г. Липецк, ул. Ю. Натуралистов - ул. Папина</t>
  </si>
  <si>
    <t>БЫЛ в СОСТАВЕ:
1.Реконструкция оборудования в РУ-0,4 кВ ТП-153. 2. Строительство КЛ-0,4 кВ от РУ-0,4 кВ ТП-153 до объекта для нежилого помещения № 22 по адресу: г. Липецк, ул. 8 Марта, д. 36</t>
  </si>
  <si>
    <t>Реконструкция ВЛ-10 кВ для электроснабжения объектов недвижимости культурно-оздоровительного лагеря в Грязинском районе, Плехановском лесничестве, Ленинском лесхозе квартал 54, запитанных от ВЛ-10 кВ ПП-3 - ТП-415; 590 кВт, 10 кВ, III категория</t>
  </si>
  <si>
    <t>Строительство ЗРУ - 35 кВ ПС Водозабор № 2</t>
  </si>
  <si>
    <t>Строительство КЛ 35 кВ от ПС "Бугор" до ПС Водозабор № 2</t>
  </si>
  <si>
    <t>Демонтаж ВЛ 35 кВ от ПС "Бугор" до ЦРП "Город"</t>
  </si>
  <si>
    <t>3.1.31</t>
  </si>
  <si>
    <t>3.1.32</t>
  </si>
  <si>
    <t>3.1.34</t>
  </si>
  <si>
    <t>3.1.35</t>
  </si>
  <si>
    <t>3.1.36</t>
  </si>
  <si>
    <t>3.1.37</t>
  </si>
  <si>
    <t>3.1.38</t>
  </si>
  <si>
    <t>3.1.39</t>
  </si>
  <si>
    <t>3.1.40</t>
  </si>
  <si>
    <t>3.1.41</t>
  </si>
  <si>
    <t>3.1.42</t>
  </si>
  <si>
    <t>3.1.43</t>
  </si>
  <si>
    <t>3.1.44</t>
  </si>
  <si>
    <t>3.1.45</t>
  </si>
  <si>
    <t>3.1.46</t>
  </si>
  <si>
    <t>3.1.47</t>
  </si>
  <si>
    <t>3.1.48</t>
  </si>
  <si>
    <t>3.1.49</t>
  </si>
  <si>
    <t>3.1.50</t>
  </si>
  <si>
    <t>3.1.51</t>
  </si>
  <si>
    <t>3.1.52</t>
  </si>
  <si>
    <t xml:space="preserve">Строительство КЛ-0,4 кВ от ТП-166 до нежилых помещений №4 и №5 по адресу: г.Липецк, 15 микрорайон ,д.17 для электроснабжения нежилых помещений №4 и №5 по адресу: г.Липецк, 15 микрорайон ,д.17 </t>
  </si>
  <si>
    <t>Строительство КВЛ-0,4 кВ от КТП-558 до земельного участка по адресу: г.Липецк, ул. Краснозаводская, вл.1д для электроснабжения СНТ "Дружба" по адресу: г.Липецк, ул. Краснозаводская, вл.1д</t>
  </si>
  <si>
    <t>Строительство ВЛ-6 кВ от ближайшей опоры
ВЛ-6 кВ "РП-27 - ТП-437" до новой СТП, строительство СТП, строительство ВЛ-0,4 кВ от новой СТП до здания центра по продаже, обслуживанию и ремонту транспортных климатических установок по адресу: г. Липецк, в районе трассы Орел-Тамбов (кадастровый № 48:20:0027349:103), монтаж пожарно-охранной сигнализации в новой СТП, монтаж узла учета в РУ-0,4 кВ новой СТП, для электроснабжения здания центра по продаже, обслуживанию и ремонту транспортных климатических установок по адресу: г. Липецк, в районе трассы Орел-Тамбов
(кадастровый № 48:20:0027349:103)</t>
  </si>
  <si>
    <t>Строительство КТП, монтаж трансформатора в новой КТП, монтаж оборудования в РУ-10 кВ новой КТП, монтаж оборудования в РУ-0,4 кВ новой КТП, строительство ВЛ-10 кВ от ВЛ-10 кВ "ПС "ЛОЭЗ" - ТП-665 А" до новой КТП, строительство ВЛ-0,4 кВ от новой КТП до жилых домов по адресу: г. Липецк, пер. Малый и ул. Ангарская, монтаж пожарно-охранной сигнализации в новой КТП, монтаж узла учета в РУ-0,4 кВ новой КТП для электроснабжения жилых домов по адресу: г. Липецк, пер. Малый и ул. Ангарская</t>
  </si>
  <si>
    <t>Строительство ВЛ-0,4 кВ от МТП-675 до садового домика по адресу: г. Липецк, СНТ "Горняк-1", зем. уч. № 1498, строительство СТП, монтаж трансформатора в новой СТП, строительство ВЛ-10 кВ от ВЛ-10 кВ "ТП-606 - ТП-607" до новой СТП, монтаж узла учета в РУ-0,4 кВ новой СТП для электроснабжения садового домика по адресу: г. Липецк, СНТ "Горняк-1", зем. уч. № 1498</t>
  </si>
  <si>
    <t>Строительство КЛ-0,4 кВ от ТП-734 до здания №6а по ул.Ибаррури для электроснабжения объекта: "Реконструкция филиала МОУ СОШ №62 под детский сад по адресу: ул.Ибаррури, 6а"</t>
  </si>
  <si>
    <t>Строительство КВЛ-6 кВ от ТП-396 до реклоузера для электроснабжения СНТ "Березка" по адресу: ОПХ "Липецкое" Липецкого района</t>
  </si>
  <si>
    <t>Строительство КЛ-0,4 кВ от новой ТП до многоэтажного жилого дома с подземной автостоянкой по адресу: г.Липецк, ул.Гагарина, д.27"а" для электроснабжения многоэтажного жилого дома с подземной автостоянкой по адресу: г.Липецк, ул.Гагарина, д.27"а"</t>
  </si>
  <si>
    <t>Строительство КЛ-0,4 кВ от ТП-326 до торгово-административного здания по адресу: г. Липецк, ул. Меркулова, д. 24 а для электроснабжения торгово-административного здания по адресу: г. Липецк, ул. Меркулова, д. 24 а</t>
  </si>
  <si>
    <t>Строительство КЛ-0,4 кВ от ТП-282 до нежилого помещения по адресу: г.Липецк, пр. 60 лет СССР, д.18 для электроснабжения нежилого помещения по адресу: г.Липецк, пр. 60 лет СССР, д.18</t>
  </si>
  <si>
    <t>Электроснабжение здания автомойки, магазина и кафе по адресу: г. Липецк, ул. им. Генерала Меркулова в районе водозабора № 5</t>
  </si>
  <si>
    <t>Электроснабжение многоквартирного жилого дома с объектами соцкультбыта по адресу: г. Липецк, ул. 50 лет НЛМК, кадастровый № 48:20:0000000:72</t>
  </si>
  <si>
    <t>Строительство КЛ-0,4 кВ от ТП-196 до опоры №1 ВЛ-0,4 кВ по ул. Кротевича, строительство ВЛ-0,4 кВ от опоры № 1 ВЛ-0,4 кВ по ул. Кротевича до жилого дома по адресу : г.Липецк, ул.Кротевича, д.3 для электроснабжения жилого дома по адресу : г.Липецк, ул.Кротевича, д.3</t>
  </si>
  <si>
    <t>Строительство КЛ-0,4кВ "РП-8 - КБО" для электроснабжения здания ателье по адресу: г. Липецк, ул.Ушинского, д.1а</t>
  </si>
  <si>
    <t>Строительство КЛ-10кВ от КЛ-10кВ "РП-49 - РП-46" в районе д.№1 по ул.Хорошавина до ТП-874 для электроснабжения жилого дома стр. №21 со встроенно-пристроенными объектами соцкультбыта в 26 микр для электроснабжения жилого дома стр. №21 со встроенно-пристроенными объектами соцкультбыта в 26 микр., запитанного от ТП-877; 659 кВт, 380 В, 2 категория</t>
  </si>
  <si>
    <t>I этап: строительство КЛ-0,4 кВ от ТП-71 до нежилого помещения № 1 по адресу: г. Липецк, ул. Ворошилова, д. 4 для электроснабжения нежилого помещения № 1 по адресу: г. Липецк, ул. Ворошилова, д. 4.</t>
  </si>
  <si>
    <t>1.1.6.1.54/12</t>
  </si>
  <si>
    <t>1.1.5.1.15/13</t>
  </si>
  <si>
    <t xml:space="preserve">Строительство КЛ-6 кВ сети электроснабжения от ТП-93 до ТП-101 </t>
  </si>
  <si>
    <t>1.1.1.5.1.7/09</t>
  </si>
  <si>
    <t>Реконструкция ВЛ-35 кВ от ПС "Цементная" до ПС "Студеновская" со строительством канала связи</t>
  </si>
  <si>
    <t>1.1.1.5.1.1/11</t>
  </si>
  <si>
    <t>1.1.1.5.3.1/11</t>
  </si>
  <si>
    <t>1.1.4.2/13</t>
  </si>
  <si>
    <t>Седельный тягач для транспортирования ДГУ и передвижных КТП на базе полноприводного автомобиля "КАМАЗ"</t>
  </si>
  <si>
    <t>1.1.4.3/14</t>
  </si>
  <si>
    <t>1.1.4.4/14</t>
  </si>
  <si>
    <t>1.1.4.5/14</t>
  </si>
  <si>
    <t>Автомобиль Газель полноприводная</t>
  </si>
  <si>
    <t>1.1.4.6/14</t>
  </si>
  <si>
    <t>1.1.4.7/14</t>
  </si>
  <si>
    <t>Лада "Нива" 21214</t>
  </si>
  <si>
    <t>Внедрение системы контроля и управления доступом к МФУ</t>
  </si>
  <si>
    <t>Приобретение серверного и коммутационного оборудования</t>
  </si>
  <si>
    <t>1.1.1.7</t>
  </si>
  <si>
    <t>1.1.1.8</t>
  </si>
  <si>
    <t>2.1.1.14</t>
  </si>
  <si>
    <t>2.1.3.5</t>
  </si>
  <si>
    <t>2.4.7</t>
  </si>
  <si>
    <t>2.4.8</t>
  </si>
  <si>
    <t>Монтаж систем охранно-пожарной сигнализации здания по ул. Кузнечная, 1</t>
  </si>
  <si>
    <t>35 шт.</t>
  </si>
  <si>
    <t>4.1.30/09</t>
  </si>
  <si>
    <t>1.1.6.4.39/10</t>
  </si>
  <si>
    <t>Монтаж устройства передачи данных (УСПД) по учету электрической энергии в РУ-0,4 кВ ТП-5 для электроснабжение стройплощадки административно-гостиничного здания по адресу: г.Липецк, ул.Крайняя, д.4</t>
  </si>
  <si>
    <t>Монтаж ошиновки трансформаторов в ТП-203 (инв. №410113А) для электроснабжения помещения №2 по адресу: г.Липецк, ул.Терешковой, д.2</t>
  </si>
  <si>
    <t>Монтаж оборудования в РУ-0,4 кВ ТП-143 для электроснабжения магазина продовольственных и непродовольственных товаров по адресу: г. Липецк, ул. Ю. Натуралистов - ул. Папина.</t>
  </si>
  <si>
    <t>Монтаж оборудования в РУ-0,4 кВ ТП-400, Монтаж УСПД по учету электрической энергии в РУ-0,4кВ ТП-400 для электроснабжения 9-ти этажного жилого здания по адресу: г. Липецк, потребительское общество пенсионеров и инвалидов "Сокол-1".</t>
  </si>
  <si>
    <t>Монтаж оборудования в РУ-0,4 кВ ТП-153 для электроснабжения нежилого помещения № 22 по адресу: г. Липецк, ул. 8 Марта, д. 36</t>
  </si>
  <si>
    <t>1.1.6.1.78/12</t>
  </si>
  <si>
    <t>Монтаж оборудования в РУ-6 кВ ТП-151, Монтаж оборудования в РУ-0,4 кВ ТП-151 для электроснабжения нежилого помещения № 1 по адресу: г. Липецк, ул. Советская, д. 26</t>
  </si>
  <si>
    <t>1.1.5.1.19/13</t>
  </si>
  <si>
    <t>Монтаж вводно-линейной панели в РУ-0,4 кВ КТП-619 и монтаж устройства передачи данных (УСПД) по учету электрической энергии для электроснабжения столовой с овощехранилищем по адресу: г. Липецк, ул. Подгоренская, д. 51</t>
  </si>
  <si>
    <t>Монтаж оборудования в РУ-0,4 кВ ТП-278 для электроснабжения медицинского центра по адресу: г. Липецк, ул. Московская в районе областной детской больницы</t>
  </si>
  <si>
    <t>Строительство КВЛ-6 кВ от ПС "Бугор" до ТП-368 и монтаж оборудования в РУ-6 кВ ТП-368 для электроснабжения многоэтажного жилого дома с объектами соцкультбыта по пр. Победы, запитанного от ТП-368; 1085 кВт, 6 кВ, II категория</t>
  </si>
  <si>
    <t>Реконструкция оборудования РУ-0,4 кВ КТП-571 (инв. № 340408) и реконструкция узла учета в КТП-571 (инв. № 414089) для электроснабжения магазина продовольственных и непродовольственных товаров по адресу: г. Липецк, ул. Владимирская, район д. № 42</t>
  </si>
  <si>
    <t>Монтаж оборудования в РУ-0,4 кВ КТП-91. Монтаж узла учета в РУ-0,4 кВ КТП-91 для электроснабжения садового домика по адресу: г. Липецк, СНТ "Тракторостроитель-1", ул. Юбилейная, зем. уч. № 34</t>
  </si>
  <si>
    <t>Монтаж оборудования в РУ-0,4 кВ ТП-618 и монтаж узла учета в РУ-0,4 кВ ТП-618 для электроснабжения производственно-технологического помещения по адресу: г. Липецк, ул. Прудная, 1</t>
  </si>
  <si>
    <t>Реконструкция оборудования в РП-15, реконструкция оборудования в ТП-555, строительство КЛ-10 кВ от РП-15 до ТП-555 для электроснабжения основной пристройки к административно-бытовому комплексу, запитанной от РУ-10 кВ ТП-555; 500 кВт, 10 кВ, II категория</t>
  </si>
  <si>
    <t>Монтаж оборудования в ТП-143, монтаж трансформаторов 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по ул. Ю. Натуралистов, запитанного от РУ-0,4 кВ ТП-143; 181 кВ</t>
  </si>
  <si>
    <t>Монтаж оборудования в РП-33 для электроснабжения здания КНС для 7 -го жилого района в составе объекта: "Многофункциональный спортивный комплекс", ул. Леонтия Кривенкова, запитанного от новой ТП, 300 кВт, 10 кВ, I категория</t>
  </si>
  <si>
    <t>1.1.5.1.16/13</t>
  </si>
  <si>
    <t>2х0,856 км</t>
  </si>
  <si>
    <t xml:space="preserve">Монтаж вакуумного выключателя в яч.3,4 РУ-6 кВ ТП-36, монтаж силовых трансформаторов в ТП-36 взамен существующих (инв. №41333А, 41984А), монтаж панелей в РУ-0,4 кВ ТП-36, Реконструкция КЛ-0,4 кВ "ТП-36 - ул.Советская,77" (инв. №343507) для электроснабжения нежилого помещения №6 по ул.Советская, д.77 </t>
  </si>
  <si>
    <t>Монтаж оборудования в РУ-0,4кВ ТП-618, Монтаж узла учета в РУ-0,4кВ ТП-618 для электроснабжения производственно-технологического помещения по адресу: г. Липецк, ул. Прудная, 1</t>
  </si>
  <si>
    <t>Замена трансформаторов 630 на 1000 кВА и реконструкция РУ-0,4 кВ ТП-890а для электроснабжение жилых домов строительные № 1а,1б,1в,1г со встроенно-пристроенными помещениями соцкультбыта строительные № 24,25,26 по адресу: г. Липецк, 28 микрорайон</t>
  </si>
  <si>
    <t>Электроснабжение гаража по адресу: г. Липецк, 15 микрорайон, ГПК -9, гараж № 273</t>
  </si>
  <si>
    <t>Электроснабжение гаража по адресу: г. Липецк, ГК "Пришвинский", гараж № 248</t>
  </si>
  <si>
    <t>Строительство КЛ-0,4кВ от ТП-166 до встроенного помещения №2 д. №15 по ул. 15 мкрн. для электроснабжение встроенного помещения №2 по адресу: г. Липецк, ул. 15 мкрн., д. №15</t>
  </si>
  <si>
    <t xml:space="preserve">Строительство КЛ-0,4 кВ от ТП-21 до помещения №3 по адресу: г.Липецк, 15 микр., район д.№9 </t>
  </si>
  <si>
    <t>Монтаж прибора учета в РУ-0,4кВ ТП-809 для электроснабжения административного здания по ул. Неделина, запитанного от ТП-809; 95 кВт, 380 В, 3 категория</t>
  </si>
  <si>
    <t xml:space="preserve">Строительство КЛ-6 кВ ПС "Южная", яч. 42 - РП-45, яч. 15, монтаж трансформаторов в ТП-5 взамен существующих (инв. № 41604А, № 42032А), монтаж оборудования РУ-0,4 кВ ТП-5, монтаж узла учета в РУ-0,4 кВ ТП-5 для электроснабжения административно-гостиничного здания по адресу: г. Липецк, ул. Крайняя, д. 4 </t>
  </si>
  <si>
    <t>1.1.3.4</t>
  </si>
  <si>
    <t>1.1.3.5</t>
  </si>
  <si>
    <t>1.1.3.6</t>
  </si>
  <si>
    <t>КЛ=0,62 км;
ВЛ=2,157 км</t>
  </si>
  <si>
    <t>1х0,4 МВА</t>
  </si>
  <si>
    <t xml:space="preserve">Остаточная стоимость объекта на 01.01.2014,
млн. рублей </t>
  </si>
  <si>
    <t>Электроснабжение кирпичного садового домика по адресу: г. Липецк, СПО "Металлург-1", II квартал, зем. уч. № 55</t>
  </si>
  <si>
    <t>3.3.124</t>
  </si>
  <si>
    <t>Монтаж оборудования в РУ-0,4 кВ ТП-360 для электроснабжения продовольственного магазина по адресу: г. Липецк, ул. Катукова.</t>
  </si>
  <si>
    <t>Монтаж оборудования в РУ-0,4 кВ ТП-176 взамен существующего (инв. № 410098А), монтаж оборудования в РУ-6 кВ ТП-176 взамен существующего (инв.№410098А), монтаж трансформаторов в ТП-176 взамен существующих (инв. №41128А, 41127А), строительство КЛ-10кВ от РП-Центр до ТП-176, монтаж ячеек в РУ-10кВ РП-Центр, реконструкция КЛ-6 кВ "ТП-380 - ТП-176" (инв.№345664) и "ТП-176 - ТП-11" (инв.№345353), реконструкция КЛ-6 кВ "ТП-178 - ТП-176" (инв.№345448) и "ТП-176 - ТП-16" (инв.№345422) для электроснабжения жилого дома по ул. Котовского, 12</t>
  </si>
  <si>
    <t>Электроснабжение садового домика по адресу: СНТ "Сокол-2", уч. №536</t>
  </si>
  <si>
    <t>20,00 км
1,26 МВА</t>
  </si>
  <si>
    <t>54,65 км
3,26 МВА</t>
  </si>
  <si>
    <t>1,32 км
2,80 МВА</t>
  </si>
  <si>
    <t>34,18 км
17,72 МВА</t>
  </si>
  <si>
    <t>NPV,
млн. рублей</t>
  </si>
  <si>
    <t>IRR,
%</t>
  </si>
  <si>
    <t>прос-
той</t>
  </si>
  <si>
    <t>дискон-
тиро-
ванный</t>
  </si>
  <si>
    <t>по данным работам указан совместный расчет показателей в п. 1.1.2.1</t>
  </si>
  <si>
    <t xml:space="preserve"> г. Липецк, от ПС "Правобережная" с. Ленино до ТП-616 по ул. Исполкомовская </t>
  </si>
  <si>
    <t xml:space="preserve"> г. Липецк,  от ПС "Бугор"по ул. Механизаторов  до ЦРП "Город" по ул. Кузнечная</t>
  </si>
  <si>
    <t>г. Липецк, ул. Папина, д. 5</t>
  </si>
  <si>
    <t>Процент 
освоения 
сметной 
стоимости
на 
01.01.2014,
%</t>
  </si>
  <si>
    <t>2.4.10</t>
  </si>
  <si>
    <t>Электроснабжение индивидуального жилого дома, адрес ориентира - г. Липецк, ст. Казинка, ул. Фабричная, д.8</t>
  </si>
  <si>
    <t>Аппарат для определения температуры вспышки в закрытом тигле ТВЗ</t>
  </si>
  <si>
    <t>Проверка реконструкции и строительства</t>
  </si>
  <si>
    <t>Проверка остаточной</t>
  </si>
  <si>
    <t>по данным работам указан совместный расчет показателей в п. 1.1.1.3</t>
  </si>
  <si>
    <t>надежность электроснабжения, снижение потерь</t>
  </si>
  <si>
    <t>14 шт.</t>
  </si>
  <si>
    <t>Строительство КЛ-10 кВ от ГПП-9 яч. 97 до РП-9 яч. 5</t>
  </si>
  <si>
    <t>Монтаж новой ТП взамен существующей ТП-65, строительство КЛ-10кВ от ЦРП "Город" до новой ТП, Строительство КЛ-10кВ от ТП-121 до новой ТП, монтаж устройства передачи данных (УСПД) по учету электрической энергии в РУ-0,4кВ новой ТП, монтаж пожарно-охранной сигнализации в новой ТП, монтаж приборов учета в РУ-0,4кВ новой ТП для электроснабжения многоэтажного жилого дома с подземной автостоянкой по адресу: г.Липецк, ул.Гагарина, д.27"а"</t>
  </si>
  <si>
    <t>Монтаж новой ТП взамен существующей ТП-219, монтаж устройства передачи данных (УСПД) по учету электрической энергии в РУ-0,4 кВ вновь смонтированной ТП, строительство КЛ-6 кВ от ПС "Привокзальная" до ТП-219, строительство КЛ-6 кВ от ТП-219 до ТП-228, реконструкция КЛ-6 кВ ПС "Привокзальная", яч. № 13 -
ТП-219 (инв. № 340031), монтаж оборудования в РУ-6 кВ вновь смонтированной ТП, монтаж оборудования в РУ-0,4 кВ вновь смонтированной ТП, монтаж трансформатора № 1 во вновь смонтированной ТП, монтаж трансформатора № 2 во вновь смонтированной ТП для электроснабжения жилого здания (1 этап строительства) по ул.Гагарина, запитанного от ТП-219; 145 кВт, 380В, 2 категория</t>
  </si>
  <si>
    <t xml:space="preserve">Монтаж новой ТП взамен существующей ТП-121, строительство КЛ-10 кВ от РП-Интернациональная до вновь смонтированной ТП, реконструкция КЛ-6 кВ "ТП-39 - ТП-121" (инв.№345671) и "ТП-41 - ТП-121" (инв.№345696), строительство КЛ-6 кВ от ТП-62 до ТП-25, монтаж узла учета во вновь смонтированной ТП, монтаж пожарно-охранной сигнализации во вновь смонтированной ТП, монтаж оборудования в РУ-10 кВ
вновь смонтированной ТП, монтаж оборудования в РУ-0,4 кВ
вновь смонтированной ТП, реконструкция участка водопровода к дому № 47 по ул. Интернациональная (инв. № 311651А) для электроснабжения жилого дома со встроено-пристроенными объектами соцкультбыта по ул. Интернациональная (Строительство ТП-121 и КЛ-10 кВ к ней от РП-52 </t>
  </si>
  <si>
    <t>Приложение 5 к постановлению</t>
  </si>
  <si>
    <t>Приложение 6 к постановлению</t>
  </si>
  <si>
    <t>Приложение 9 к постановлению</t>
  </si>
  <si>
    <t>Монтаж оборудования в РУ-10 кВ РП на пл. Петра Великого и строительство КЛ-10 кВ от РП на пл. Петра Великого до ТП яхт-клуба в районе ресторана "Фрегат" по ул. К.Маркса для электроснабжения яхт-клуба со стоянкой яхт, запитанного от РУ-10 кВ РП на пл. Петра Великого, 250 кВт, 10 кВ, II категория</t>
  </si>
  <si>
    <t>Монтаж реклоузера для электроснабжения объекта: "Автосалон со станцией технического обслуживания по ул. Московская, стр. 34, запитанного от ВЛ-10 кВ ПС "Юго-Западная" яч. 3; 100 кВт, 10 кВ, III категория</t>
  </si>
  <si>
    <t>Строительство новой ТП-65 (взамен старой ТП-65), строительство КЛ-10 кВ от ЦРП-Город до новой ТП-65, строительство КЛ-10 кВ от новой ТП-65 до новой ТП-121 для электроснабжения многоэтажного жилого дома с подземной автостоянкой по ул. Гагарина, д. 27а, запитанного от РУ-0,4 кВ новой ТП; 600 кВт, 380 В, II категория</t>
  </si>
  <si>
    <t>Строительство КЛ-6 кВ от ПС "Южная" до РП-45, монтаж оборудования в РП-45, замена трансформаторов в ТП-5, монтаж оборудования в ТП-5 для электроснабжения административно-гостиничного здания по ул. Крайняя, д. 4, запитанного от ТП-5; 160 кВт, 0,38 кВ, II категория</t>
  </si>
  <si>
    <t>Монтаж телемеханики в РП-П.Великого, монтаж оборудования в РП-П.Великого для электроснабжения лечебно-диагностического комплекса, по пл. Петра Великого, владение 2, запитанного от РП Петра Великого, 2000 кВт, 10 кВ, II категория</t>
  </si>
  <si>
    <t>Монтаж оборудования в ТП-196, строительство КЛ-6 кВ от РП-3 до ТП-196, замена трансформаторов в ТП-196 для электроснабжения объекта: "Реконструкция МОУ СОШ № 27 под детский сад" по ул. Шкатова, д. 23, запитанного от РУ-6 кВ ТП-196 и РУ-6 кВ РП-3; 100 кВт, 380 В, II категория</t>
  </si>
  <si>
    <t>Монтаж пожарно-охранной сигнализации в РУ-0,4 кВ ТП-528 и монтаж узла учета в РУ-0,4 кВ ТП-528 для электроснабжения магазина непродовольственных товаров по адресу: г. Липецк, ул. З. Космодемьянской</t>
  </si>
  <si>
    <t>Монтаж оборудования в ТП-71, замена трансформаторов в ТП-71, монтаж оборудования в РП-П.Великого, монтаж оборудования ТП-71 (с целью перевода на 10 кВ), строительство КЛ-10 кВ от РП-П.Великого до ТП-71 для электроснабжения нежилого помещения № 1, по ул. Ворошилова, д. 4, запитанного от ТП-71, 350 кВт, 0,4 кВ, II категория</t>
  </si>
  <si>
    <t>Монтаж трансформатора № 1 в ТП-79 взамен существующего (инв. № 431460) и монтаж трансформатора № 2 в ТП-79 взамен существующего (инв. № 431461) и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</t>
  </si>
  <si>
    <t>Монтаж трансформатора № 1 в ТП-326 взамен существующего (инв. № 41358 А) и монтаж трансформатора № 2 в ТП-326 взамен существующего (инв. № 41970 А) и монтаж оборудования в РУ-0,4 кВ ТП-326 для электроснабжения торгово-административного здания по адресу: г. Липецк, ул. Меркулова, д. 24 а</t>
  </si>
  <si>
    <t>Монтаж оборудования в РУ-10 кВ ТП-517. Монтаж оборудования в РУ-10 кВ ТП-541. Строительство КЛ-10 кВ от ТП-541 до ТП-540 для электроснабжения ТП-517 а по адресу: г. Липецк, ул. Адмирала Макарова, д. 1 К</t>
  </si>
  <si>
    <t>Строительство КЛ-10 кВ от ПС "Бугор" до ТП-241, замена трансформаторов в ТП-241, монтаж оборудования в ТП-241 для электроснабжения здания магазина по пр. Победы, запитанного от ТП-241, 250 кВт, 0,4 кВ, II категория</t>
  </si>
  <si>
    <t>Строительство КЛ-10 кВ от ТП-810 до РП на пл. Петра Великого и замена трансформаторов 630 кВА на 1000 кВА в ТП-810 для электроснабжения жилого здания с объектами соцкультбыта по ул. Скороходова-Радиаторная, запитанного от РУ-0,4 кВ ТП-810; 300 кВт, 380 В, 2 категория</t>
  </si>
  <si>
    <t>Монтаж телемеханики в РП-49 для электроснабжения 29 микрорайона запитанного от РП-49; 4440 кВт, 10 кВ, II категория</t>
  </si>
  <si>
    <t>Монтаж оборудования ТП-380 (с целью перевода на 10 кВ), монтаж трансформаторов 2х1000 (взамен 2х630) в ТП-183, монтаж оборудования в ТП-183, строительство КЛ-10 кВ от РП-Центр до ТП-380 для электроснабжения жилого дома строительный № 1 с предприятиями соцкультбыта по ул. Неделина, запитанного от ТП-183; 396,7 кВт; 380 В, II категория</t>
  </si>
  <si>
    <t>Монтаж оборудования ТП-180 (с целью перевода на 10 кВ), монтаж оборудования в ТП-131, строительство КЛ-10 кВ от РП-Центр до ТП-180, строительство КЛ-6 кВ от РП-26 до ТП-131 для электроснабжения многоэтажного жилого здания со встроенными помещениями соцкультбыта по ул. У.Громовой, запитанного от ТП-131; 248 кВт, 380 В, II категория</t>
  </si>
  <si>
    <t>Строительство КЛ-6 кВ от ТП-43 до ТП-63. Монтаж трансформатора в ТП-62 взамен существующего (инв. № 41208А). Монтаж панели в РУ-0,4 кВ ТП-62 для электроснабжения здания с административными, жилыми помещениями и подземной автостоянкой по ул. Плеханова</t>
  </si>
  <si>
    <t xml:space="preserve">Монтаж оборудования в РУ-6 кВ ТП-36. Монтаж силовых трансформаторов в ТП-36 взамен существующих (инв. № 41333А, 41984А). Монтаж оборудования в РУ-0,4 кВ ТП-36 для электроснабжения нежилого помещения № 6 по ул. Советская, д. 77 </t>
  </si>
  <si>
    <t>Реконструкция ВЛ-0,4 кВ по ул. Бачурина от ТП-713 (инв. № 346005) от опоры № 19 до опоры № 1. Строительство КЛ-0,4 кВ от ТП-713 до опоры № 19 ВЛ-0,4 кВ по ул. Бачурина от ТП-713 для электроснабжения помещения № 1 (магазина) по адресу: г. Липецк, ул. Бачурина, 1</t>
  </si>
  <si>
    <t>Монтаж прибора учета в РУ-0,4 кВ ТП-506 для электроснабжения встроенного нежилого помещения № 2 по адресу: г. Липецк, пр. Мира, д. 5</t>
  </si>
  <si>
    <t xml:space="preserve"> Реконструкция ВЛ-6 кВ "ПС "Тепличная", яч. № 6 - ТП-316" (с отпайкой на ТП-397) (инв. № 340060). Монтаж вакуумного реклоузера. Монтаж высоковольтного пункта коммерческого учета электрической энергии. Строительство КВЛ-6 кВ от ТП-396 до реклоузера для электроснабжения СНТ "Березка" по адресу: ОПХ "Липецкое" Липецкого района</t>
  </si>
  <si>
    <t xml:space="preserve">I этап. Монтаж разъединителя на опоре ВЛ-6 кВ "КТП-465 - КТП-135 А" для производственной базы по адресу: г. Липецк, ул. Дружбы, д. 3 "а". II этап. Монтаж оборудования в РУ-6 кВ РП-28. Строительство КЛ-6 кВ от РП-28 до опоры ВЛ-6 кВ "КТП-465 - КТП-135 А" для электроснабжения производственной базы по адресу: г. Липецк, ул. Дружбы, д. 3 "а" </t>
  </si>
  <si>
    <t xml:space="preserve"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 </t>
  </si>
  <si>
    <t xml:space="preserve">Монтаж трансформатора № 1 в РП-38 взамен существующего (инв. № 42142 А). Монтаж трансформатора № 2 в РП-38 взамен существующего (инв. № 42143 А). Монтаж оборудования в РУ-10 кВ РП-38 для электроснабжения хлебозавода № 5 по адресу: г. Липецк, ул. Катукова, 40 </t>
  </si>
  <si>
    <t>Монтаж оборудования в ТП-360 для электроснабжения продовольственного магазина по ул. Катукова, запитанного от ТП-360; 153 кВт, 380 В, II категория</t>
  </si>
  <si>
    <t xml:space="preserve">Строительство ТП. Монтаж устройства передачи данных (УСПД). Строительство КЛ-6 кВ от ПС "Привокзальная" до ТП-219. Строительство КЛ-6 кВ от ТП-219 до ТП-228. Монтаж оборудования в РУ-6 кВ вновь смонтированной ТП. Монтаж оборудования в РУ-0,4 кВ вновь смонтированной ТП. Монтаж трансформатора № 1 во вновь смонтированной ТП. Монтаж трансформатора № 2 во вновь смонтированной ТП для электроснабжения жилого здания (1 этап строительства) по ул. Гагарина, запитанного от ТП-219; 145 кВт, 380 В, 2 категория. </t>
  </si>
  <si>
    <t>Строительство ТП 2х630 кВА по ул. Плеханова (с демонтажем ТП-121) и кабельных линии к ней напряжением 10 кВ (взамен существующих на 6 кВ) для электроснабжения жилого дома со встроено-пристроенными объектами соцкультбыта по ул. Интернациональная, запитанного от РУ-0,4 кВ ТП-121; 150 кВт, 380 В, II категория</t>
  </si>
  <si>
    <t>Монтаж оборудования ТП-178, монтаж трансформаторов 2х630, строительство КЛ-10 кВ от РП-Центр до ТП-178, монтаж оборудования РП-Центр для электроснабжения жилого здания с объектами соцкультбыта и подземной автостоянкой по ул. Неделина, запитанного от РУ-10 кВ ПС "Манежная"; 404,09 кВт, 380 В, II категория</t>
  </si>
  <si>
    <t>Монтаж оборудования ТП-176, монтаж трансформаторов 2х630 в ТП-176, строительство КЛ-10 кВ от РП-Центр до ТП-176, монтаж оборудования РП-Центр для электроснабжения жилого дома по ул. Котовского, 12, запитанного от РУ-0,4 кВ ТП-176; 286,4 кВт, 380 В, II категория</t>
  </si>
  <si>
    <t>Монтаж оборудования в РП-Интернациональная, монтаж оборудования в ТП-34, монтаж трансформаторов в ТП-34 (взамен существующих без увеличения мощности с 6 на 10 кВ), строительство КЛ-10 кВ от РП-Интернациональная до ТП-34, строительство КЛ-6 кВ от ЦРП "Город" до РП-29 для электроснабжения здание гостиницы, здание кафе и благоустройство территории по ул. Кузнечная, запитанного от ТП-34: 360 кВт, 380 В, II категория</t>
  </si>
  <si>
    <t>Строительство новой ТП-42 (взамен старой ТП-42), строительство КЛ-10 кВ от ЦРП-Город до новой ТП-42, строительство КЛ-10 кВ от новой ТП-42 до новой ТП-121, монтаж оборудования в ТП-115 для электроснабжения жилого дома по ул. Зегеля, д. 21, запитанного от РУ-0,4 кВ новой ТП-42; 370 кВт, 380 В, II категория</t>
  </si>
  <si>
    <t>Название в ИП 13</t>
  </si>
  <si>
    <t>№ п. ИП13</t>
  </si>
  <si>
    <t>Электроснабжение садового домика по адресу: г. Липецк, СТ "Строитель", участок № 885</t>
  </si>
  <si>
    <t>2.4.9</t>
  </si>
  <si>
    <t>Приобретение силовых трансформаторов</t>
  </si>
  <si>
    <t>удалить</t>
  </si>
  <si>
    <t>аморт-было</t>
  </si>
  <si>
    <t>аморт стало</t>
  </si>
  <si>
    <t>разница</t>
  </si>
  <si>
    <t>Скорректировано на 1 млн. уменьшение в 2015 г.</t>
  </si>
  <si>
    <t>Жалоба в УФАС от ООО "Амата". Перенос на 2015 г. невозможен.</t>
  </si>
  <si>
    <t>КЛ-6 кВ от ПС "Бугор" есть в объекте 3.1.11</t>
  </si>
  <si>
    <t>Перенести нельзя. Возможна жалоба в УФАС. Задерживаем ввод жилья. Срок выполнения мероприятий со стороны ЛГЭК просрочен. Заявитель отказывается подписывать доп. на продление сроков.</t>
  </si>
  <si>
    <t>Замена трансформаторов 2*400 на 2*1000 кВА в ТП-182, реконструкция оборудования РУ-0,4 кВ ТП-182 для электроснабжения помещения №4 по пр. Победы, д.21.</t>
  </si>
  <si>
    <t>Замена трансформаторов 2*630 на 2*1000 кВА в ТП-357, реконструкция оборудования РУ-0,4 кВ ТП-357 для электроснабжения 15-этажного жилого дома с объектами соцкультбыта и пристроенным плавательным бассейном по б-ру Шубина</t>
  </si>
  <si>
    <t>Замена трансформаторов 2*400 на 2*630 кВА в ТП-515, реконструкция оборудования РУ-0,4 кВ ТП-515 для электроснабжения медицинского центра (диализного центра) по ул.М.Расковой</t>
  </si>
  <si>
    <t>Замена трансформаторов 2*400 на 2*630 кВА в ТП-187, реконструкция оборудования РУ-0,4 кВ ТП-187 для электроснабжения многоквартирного жилого дома по ул. Литаврина, д.8</t>
  </si>
  <si>
    <t>Реконструкция ВЛ-0,4 кВ по ул. Дальняя, смонтированной по п. 4.1.78/09 программы перспективного развития, от КТП-646 для электроснабжения садового домика по адресу: г. Липецк, СНТ "Металлург-3", улица № 37-1, участок № 25</t>
  </si>
  <si>
    <t xml:space="preserve">Строительство КЛ-0,4 кВ от ТП-307 до здания станции технического обслуживания автомобилей с административно-бытовым корпусом (с переносом инженерных коммуникаций) по адресу: г. Липецк, ул. Базарная, строение 3/5 </t>
  </si>
  <si>
    <t>Строительство КЛ-0,4 кВ от ТП-358 до многоуровневой подземной парковки автотранспорта у ТД "Ноябрьский" по адресу: г. Липецк, ул. Космонавтов, в районе владения 96, Советского округа</t>
  </si>
  <si>
    <t>Строительство КЛ-0,4 кВ от РП-Центр, до здания по адресу: г. Липецк, ул. Неделина (дневной стационар областного онкологического центра)</t>
  </si>
  <si>
    <t>Реконструкция ВЛ 6 кВ РП-25 – ТП-404 с монтажем РЛНД на отпайке в сторону ТП-429</t>
  </si>
  <si>
    <t>Реконструкция (перенос опоры) ВЛ-0,4 кВ по ул. Новотепличная от ТП-317 (инв. № 346211)</t>
  </si>
  <si>
    <t>Реконструкция ПС-35/6 кВ "Студеновская" (замена оборудования) (инв. № 400641, 400640, 400639, 416043А)</t>
  </si>
  <si>
    <t>Реконструкция РП-17 водозабора № 5 (замена оборудования) (инв. № 416019А)</t>
  </si>
  <si>
    <t>Установка приборов коммерческого учета и ввод в эксплуатацию АСКУЭ р-он 10-ой Шахты и Северного Рудника</t>
  </si>
  <si>
    <t>Строительство КЛ 35 кВ от ПС Водозабор № 2 до ЦРП "Город"</t>
  </si>
  <si>
    <t>Строительство новой ТП, строительство КЛ-10 кВ от РП-Центр до вновь смонтированной ТП, монтаж устройства передачи данных (УСПД) по учету электрической энергии в РУ-0,4 кВ вновь смонтированной ТП, монтаж пожарно-охранной сигнализации во вновь смонтированной ТП, монтаж приборов учета в РУ-0,4 кВ вновь смонтированной ТП для электроснабжения 10 этажного жилого здания по ул. Котовского.</t>
  </si>
  <si>
    <t>Монтаж УСПД по учету электрической энергии в РУ-0,4кВ ТП-289 для электроснабжения объекта: "Жилые здания № 1, № 2 со встроенными помещениями соцкультбыта." (Жилое здание №1) по адресу: г. Липецк, ул. 50 лет НЛМК, владение 21 А.</t>
  </si>
  <si>
    <t>Монтаж ячейки в РУ-6кВ РП-8, монтаж трансформатора напряжения в яч. №2 РУ-6кВ РП-8, монтаж прибора учета РУ-6кВ РП-8 для электроснабжения индивидуального жилого дома по ул. Баумана, д.4</t>
  </si>
  <si>
    <t xml:space="preserve">Реконструкция оборудования в ТП-241 (инв. №400713), строительство КЛ-6кВ от ПС "Бугор" до ТП-241, Монтаж выключателей нагрузки в яч. №4 и №5 РУ-6кВ ТП-80, Монтаж нового трансформатора взамен существующего (инв. №41022А) в ТП-80, Монтаж нового автоматического выключателя в панели №1 РУ-0,4кВ ТП-80, Монтаж нового автоматического выключателя в панели №1 РУ-0,4кВ ТП-80, Монтаж нового секционного рубильника в панели №4 РУ-0,4кВ ТП-80 для электроснабжение встроенного нежилого помещения №7 по адресу: г.Липецк, пр.Победы, д.53 </t>
  </si>
  <si>
    <t>3 км/ 0,23 МВА</t>
  </si>
  <si>
    <t>Реконструкция ВЛ-0,4 кВ по ул.Бачурина от ТП-713 (инв. №346005) от опоры №19 до опоры №1, строительство КЛ-0,4 кВ от ТП-713 до опоры №19 ВЛ-0,4кВ по ул.Бачурина от ТП-713 для электроснабжения помещения №1 (магазина) по адресу: г.Липецк, ул.Бачурина,1</t>
  </si>
  <si>
    <t>Монтаж прибора учета в РУ-0,4кВ ТП-506 для электроснабжения встроенного нежилого помещения №2 по адресу: г.Липецк, пр.Мира, д.5</t>
  </si>
  <si>
    <t>Реконструкция ВЛ -6кВ "ПС "Тепличная" , яч. №6 - ТП-316" ( с отпайкой на ТП-397) ( инв. №340060), монтаж вакуумного реклоузера, монтаж высоковольтного пункта коммерческого учета электрической энергии для электроснабжения СНТ "Березка" по адресу: ОПХ "Липецкое" Липецкого района</t>
  </si>
  <si>
    <t>Монтаж вводно-линейной панели в РУ-0,4 кВ КТП-619, монтаж устройства передачи данных (УСПД) по учету электрической энергии для электроснабжения столовой с овощехранилищем по адресу: г.Липецк, ул.Подгоренская,д.51</t>
  </si>
  <si>
    <t>Монтаж оборудования в РУ-0,4кВ ТП-278 для электроснабжения медицинского центра по адресу: г. Липецк, ул. Московская в районе областной детской больницы</t>
  </si>
  <si>
    <t>Реконструкция ВЛ-6кВ ПС "Бугор", яч.№25 - ТП-368; ПС "Бугор", яч.№26 - ТП-368 (инв. №340006), реконструкция КЛ-6кВ от ТП-368 (инв. №345652), реконструкция оборудования ТП-368 (инв.№400749) для электроснабжения многоэтажного жилого дома с объектами соцкультбыта по адресу: г. Липецк, пр. Победы</t>
  </si>
  <si>
    <t>Монтаж оборудования в РУ-0,4кВ КТП-91, монтаж узла учета в РУ-0,4кВ КТП-91, строительство ВЛ-0,4кВ от КТП-91 до потребителей в СНТ "Тракторостроитель-1" для электроснабжения садовых домиков в СНТ "Тракторостроитель-1".</t>
  </si>
  <si>
    <t>Монтаж оборудования в РУ-0,4 кВ ТП-289,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А.</t>
  </si>
  <si>
    <t>I этап: монтаж оборудования в РУ-10 кВ ТП-593 для электроснабжения здания магазина по адресу: г. Липецк, ул. Моршанская, д. 9; II этап: Монтаж трансформатора № 1 в ТП-593 взамен существующего (инв. № 41889 А), монтаж трансформатора № 2 в ТП-593 взамен существующего (инв. № 41890 А), монтаж оборудования в РУ-0,4 кВ ТП-593, строительство КВЛ-10 кВ от ВЛ-10 кВ "ПС "Казинка", яч. № 2 "Юшино" до ТП-593 для электроснабжения здания магазина по адресу: г. Липецк, ул. Моршанская, д. 9</t>
  </si>
  <si>
    <t>Реконструкция РУ-0,4 кВ ТП-61 для электроснабжения помещения № 1 по адресу: г. Липецк, ул. Зегеля, д. 11</t>
  </si>
  <si>
    <t>Монтаж 3 в/в ячеек в РУ-10 кВ РП-50 для электроснабжения объекта: "Электроснабжение 7-го жилого района в Октябрьском округе г. Липецка"</t>
  </si>
  <si>
    <t>Реконструкция КЛ-6 кВ "ПС Привокзальная - ТП-79" для электроснабжение долей зданий склада (деревообрабатывающего цеха) по адресу: г. Липецк, пр. Поперечный, 1</t>
  </si>
  <si>
    <t>Замена трансформаторов тока в РУ-0,4 кВ ТП-309 для электроснабжение нежилых помещений по адресу: г. Липецк, ул. Базарная, строения 3 "В", 3 "Г"</t>
  </si>
  <si>
    <t>Реконструкция РУ-10 кВ РП-17 для электроснабжения здания автомойки, магазина и кафе по адресу: г. Липецк, ул. им. Генерала Меркулова в районе водозабора № 5</t>
  </si>
  <si>
    <t>Реконструкция РУ-0,4 кВ ТП-346 для электроснабжение многоквартирного жилого дома с объектами соцкультбыта по адресу: г. Липецк, ул. 50 лет НЛМК, кадастровый № 48:20:0000000:72</t>
  </si>
  <si>
    <t>Реконструкция ВЛ-6 кВ от ПС "Трубная" до ТП-396 с отпайками для электроснабжение стройплощадки объекта "Комплексное освоение в целях индивидуального и малоэтажного жилищного строительства" по адресу: г. Липецк, Лебедянское шоссе</t>
  </si>
  <si>
    <t xml:space="preserve">Монтаж в/в ячеек в РУ-6 кВ ТП-191 для электроснабжение комплекса зданий автоцентров по адресу: г. Липецк, ул. Ю.Натуралистов, д. 18, 18 А </t>
  </si>
  <si>
    <t>Монтаж новой ячейки в РУ-6 кВ ТП-460, реконструкция КЛ-6 кВ, монтаж новой КЛ-6 кВ от ТП-431 до ТП-460, Замена трансформаторов 2*250 на 2*630 кВА в ТП-431, реконструкция оборудования РУ-0,4 кВ ТП-431 для электроснабжения многоэтажного жилого дома в ПОПиИ "Сокол-1", уч. 794,975,796, 821, 822, 831, 832.</t>
  </si>
  <si>
    <t>Монтаж ячеек в РУ-10 кВ РП Центр, строительство КЛ-10 кВ от РП Центр до новой ТП, строительство новой ТП для электроснабжения объектов: многоэтажное жилое здание со встроенными объектами соцкультбыта по ул. Неделина, 10а, и многоэтажное жилое здание со встроенными торгово-административными помещениями и автостоянкой закрытого типа по ул. Неделина - Фрунзе</t>
  </si>
  <si>
    <t>Строительство кабельной сети от ТП-78 до нежилого помещения №5 по ул. Плеханова, д. 35 для электроснабжения нежилого помещения № 5 по ул. Плеханова, 35, запитанного от ТП-78; 35 кВт, 380 В, 3 категория</t>
  </si>
  <si>
    <t>4.1.1.5ПМ/13</t>
  </si>
  <si>
    <t>1.1.6.1.11ПМ/11</t>
  </si>
  <si>
    <t>1.1.6.1.3ПМ/11</t>
  </si>
  <si>
    <t>1.1.6.1.54ПМ/11</t>
  </si>
  <si>
    <t>1.1.6.4.26ПМ/10</t>
  </si>
  <si>
    <t>Строительство КЛ-0,4кВ от ТП-713 до встроенного нежилого помещения №2 по ул. Коммунистическая,11 для электроснабжения встроенного нежилого помещения №2 по ул. Коммунистическая, д. 11, запитанного от ТП-713; 50 кВт, 380 В, 3 категория.</t>
  </si>
  <si>
    <t>1.1.6.4.46ПМ/10</t>
  </si>
  <si>
    <t>Строительство КЛ-0,4кВ от ТП-101 до здания №4 по ул. Советская для электроснабжения части нежилого помещения из нежилого помещения №1 по ул. Советская, д.4</t>
  </si>
  <si>
    <t>1.1.6.4.55ПМ/10</t>
  </si>
  <si>
    <t>Строительство КЛ-0,4кВ от ТП-454 до здания прачечной по ул. Ковалева, вл.119В для электроснабжения прачечной по ул. Ковалева, вл.119В</t>
  </si>
  <si>
    <t>4.1.38ПМ/09</t>
  </si>
  <si>
    <t>Электроснабжение многоэтажной автостоянки открытого типа с автосервисом в 7 жилом районе, запитанной от РП-49</t>
  </si>
  <si>
    <t>1.1.6.1.30ПМ/11</t>
  </si>
  <si>
    <t>4.1.1.8ПМ/13</t>
  </si>
  <si>
    <t>Строительство КТП, монтаж трансформатора в новой КТП, монтаж РУ-10 кВ в новой КТП, монтаж РУ-0,4 кВ в новой КТП, строительство ВЛ-10 кВ от ВЛ-10 кВ "ПС "ЛОЭЗ" - ТП-665" до новой КТП, Строительство ВЛ-0,4 кВ от новой КТП до земельного участка по адресу: г. Липецк, район автодороги "Обход г. Липецка", кадастровый № 48:20:0010501:1787, монтаж пожарно-охранной сигнализации в новой КТП, монтаж узла учета в РУ-0,4 кВ новой КТП, монтаж узла учета на опоре ВЛ-0,4 кВ от новой КТП для электроснабжения придорожного комплекса зданий и сооружений (гостиница и магазин) по адресу: г. Липецк, район автодороги "Обход г. Липецка", кадастровый № 48:20:0010501:1787</t>
  </si>
  <si>
    <t>4.1.1.6ПМ/13</t>
  </si>
  <si>
    <t>Строительство КТП, монтаж трансформатора в новой КТП, монтаж РУ-10 кВ в новой КТП, монтаж РУ-0,4 кВ в новой КТП, строительство ВЛ-10 кВ от ВЛ-10 кВ "РП-33 - КТП-811" до новой КТП, строительство КЛ-0,4 кВ от новой КТП до станции технического обслуживания автомобилей по адресу: г. Липецк, ул. Катукова, в районе АЗС "Лукойл", монтаж пожарно-охранной сигнализации в новой КТП, монтаж узла учета в РУ-0,4 кВ новой КТП для электроснабжения станции технического обслуживания автомобилей по адресу: г. Липецк, ул. Катукова, в районе АЗС "Лукойл"</t>
  </si>
  <si>
    <t>4.1.1.7ПМ/13</t>
  </si>
  <si>
    <t>Строительство КТП, монтаж трансформатора в новой КТП, монтаж РУ-10 кВ в новой КТП, монтаж РУ-0,4 кВ в новой КТП, строительство ВЛ-10 кВ от ВЛ-10 кВ "ПС "Правобережная", яч. № 20 - ТП-618" до новой КТП, строительство КЛ-0,4 кВ от новой КТП до границ земельного участка по адресу: г. Липецк, ул. Ударников (кадастровый № 48:20:0011412:17), монтаж пожарно-охранной сигнализации в новой КТП, монтаж узла учета в РУ-0,4 кВ новой КТП для электроснабжения медицинского центра по адресу: г. Липецк, ул. Ударников (кадастровый № 48:20:0011412:17)</t>
  </si>
  <si>
    <t>Электроснабжение автосервиса по ул. Студеновская, запитанного от ТП-94; 50 кВт, 380/220 В, III категория</t>
  </si>
  <si>
    <t>3.1.97ПМ/07</t>
  </si>
  <si>
    <t>Электроснабжение пищеблока по ул.М.Расковой, 18, запитанного от ТП-515, 100 кВт, 380 В, 2 категория</t>
  </si>
  <si>
    <t>Электроснабжение стройплощадки здания автосервиса в районе транспортной развязки Орел-Тамбов и ул. Баумана, запитанной от РУ-0,4 кВ КТП-404; 15 кВт, 380 В, 3 категория; Строительство КТП; Строительство ВЛ-0,4 кВ от КТП-404 до земельного участка под здание автосервиса по адресу: г.Липецк, район транспортной развязки Орел-Тамбов и ул. Баумана; Монтаж устройства передачи данных (УСПД) по учету электрической энергии в РУ-0,4 кВ КТП; Монтаж пожарно-охранной сигнализации в КТП; Монтаж приборов учета в РУ-0,4 кВ КТП</t>
  </si>
  <si>
    <t>2 км/ 2,0 МВА</t>
  </si>
  <si>
    <t xml:space="preserve"> 0 км/1,26 МВА</t>
  </si>
  <si>
    <t>Монтаж ячеек №3 и №8 взамен существующих в РУ-6кВ ТП-131, строительство КЛ-6кВ от ТП-131 до РП-26, монтаж панелей №2,4,5 взамен существующих в РУ-0,4кВ ТП-131, строительство КЛ-10кВ от ТП-180 до РП "Центр", реконструкция КЛ-6кВ "ТП-180 - ТП-380" (инв. №345665), монтаж оборудования в ТП-180 взамен существующего (инв. №410102А), монтаж устройства передачи данных (УСПД) по учету электрической энергии в РУ-0,4кВ ТП-131, реконструкция КЛ-6кВ "ТП-16 - ТП-180" (инв. №345423) для электроснабжения многоэтажного жилого здания со встроенными помещениями соцкультбыта по ул.У.Громовой, запитанного от ТП-131; 248 кВт, 380 В, 2 категория</t>
  </si>
  <si>
    <t>0,0 км/ 1,26 МВА</t>
  </si>
  <si>
    <t xml:space="preserve"> 0,01 км/1,26 МВА</t>
  </si>
  <si>
    <t xml:space="preserve"> 1,2 км/1,26 МВА</t>
  </si>
  <si>
    <t xml:space="preserve"> 0 км/0,63 МВА</t>
  </si>
  <si>
    <t>1,0 км/ 2,0 МВА</t>
  </si>
  <si>
    <t>1,41 км/ 1,26 МВА</t>
  </si>
  <si>
    <t xml:space="preserve"> 0 км/3,2 МВА</t>
  </si>
  <si>
    <t>22,30 км
3,78 МВА</t>
  </si>
  <si>
    <t>88,95 км
12,06 МВА</t>
  </si>
  <si>
    <t>100,03 км
13,72 МВА</t>
  </si>
  <si>
    <t>Строительство КЛ-0,4 кВ от ТП-704 до МОУ СШ № 25 по ул. Ильича для повышения надежности электроснабжения</t>
  </si>
  <si>
    <t>Строительство КЛ-0,4 кВ от ТП-68 и от ТП-155 до ВРУ базовой станции, расположенной по адресу: ул. Зегеля, 2</t>
  </si>
  <si>
    <t>0 км/ 1,26 МВА</t>
  </si>
  <si>
    <t>0 км/ 2,0 МВА</t>
  </si>
  <si>
    <t>0,5 МВА</t>
  </si>
  <si>
    <t>по этим ТУ нет Трансформаторов</t>
  </si>
  <si>
    <t>0 км / 1,26 МВА</t>
  </si>
  <si>
    <t>ввод 2х630 вывод 2х630</t>
  </si>
  <si>
    <t>2,0 км/ 1,26 МВА</t>
  </si>
  <si>
    <t>1,116 км/ 2,0 МВА</t>
  </si>
  <si>
    <t>0,64 МВА</t>
  </si>
  <si>
    <t xml:space="preserve"> 2,5км/0 МВА</t>
  </si>
  <si>
    <t>3 км/2 МВА</t>
  </si>
  <si>
    <t>16,66 км
19,33 МВА</t>
  </si>
  <si>
    <t>93,96 км
30,28 МВА</t>
  </si>
  <si>
    <t>95,15 км
38,384 МВА</t>
  </si>
  <si>
    <t>32,07 км
29,12 МВА</t>
  </si>
  <si>
    <t>81,03 км
12,74 МВА</t>
  </si>
  <si>
    <t>20,46 км
8,12 МВА</t>
  </si>
  <si>
    <t>537,53 км
125,16 МВА</t>
  </si>
  <si>
    <t>136,63 км
75,49 МВА</t>
  </si>
  <si>
    <t>116,60 км
40,27 МВА</t>
  </si>
  <si>
    <t>626,36 км
146,14 МВА</t>
  </si>
  <si>
    <t>124,59км
33,08 МВА</t>
  </si>
  <si>
    <t>101,13 км
24,74 МВА</t>
  </si>
  <si>
    <t>1,53 км
14,94 МВА</t>
  </si>
  <si>
    <t>0,00 км
14,94 МВА</t>
  </si>
  <si>
    <t>3,67 км
11,29 МВА</t>
  </si>
  <si>
    <t>0,00 км
11,29 МВА</t>
  </si>
  <si>
    <t>0,00 км
5,64 МВА</t>
  </si>
  <si>
    <t>0,00 км
2,70 МВА</t>
  </si>
  <si>
    <t>5,20 км
34,57 МВА</t>
  </si>
  <si>
    <t>0,00 км
34,57 МВА</t>
  </si>
  <si>
    <t>19,01 км
16,53 МВА</t>
  </si>
  <si>
    <t>23,67 км
13,18 МВА</t>
  </si>
  <si>
    <t>11,89 км
5,64 МВА</t>
  </si>
  <si>
    <t xml:space="preserve">7,30 км
4,36 МВА </t>
  </si>
  <si>
    <t>63,72 км
42,34 МВА</t>
  </si>
  <si>
    <t xml:space="preserve"> 1 км/1,26 МВА</t>
  </si>
  <si>
    <t>УТВЕРЖДАЮ</t>
  </si>
  <si>
    <t>Генеральный директор ОАО «ЛГЭК»</t>
  </si>
  <si>
    <t>_____________________ А.В. Парий</t>
  </si>
  <si>
    <t>Финансовый план ОАО "Липецкая городская энергетическая компания" на 2014 - 2019 г.г.</t>
  </si>
  <si>
    <t>Показатели</t>
  </si>
  <si>
    <t>I</t>
  </si>
  <si>
    <t>Выручка от реализации товаров (работ, услуг), всего</t>
  </si>
  <si>
    <t>в том числе:</t>
  </si>
  <si>
    <t>Выручка от основной деятельности расшифровать по видам регулируемой деятельности)</t>
  </si>
  <si>
    <t>1.1.1.</t>
  </si>
  <si>
    <t>Передача электроэнергии</t>
  </si>
  <si>
    <t>1.1.2.</t>
  </si>
  <si>
    <t>Услуги теплоснабжения</t>
  </si>
  <si>
    <t>1.1.3.</t>
  </si>
  <si>
    <t>Услуги водоснабжения и водоотведения</t>
  </si>
  <si>
    <t>Выручка от прочей деятельности (расшифровать)</t>
  </si>
  <si>
    <t>1.2.1.</t>
  </si>
  <si>
    <t>технологическое присоединение</t>
  </si>
  <si>
    <t>1.2.2.</t>
  </si>
  <si>
    <t>прочая деятельность</t>
  </si>
  <si>
    <t>II</t>
  </si>
  <si>
    <t>Расходы по текущей деятельности, всего</t>
  </si>
  <si>
    <t>Материальные расходы, всего</t>
  </si>
  <si>
    <t>Топливо</t>
  </si>
  <si>
    <t>Сырье, материалы, запасные части, инструменты</t>
  </si>
  <si>
    <t>Покупная электроэнергия</t>
  </si>
  <si>
    <t>1.4</t>
  </si>
  <si>
    <t>Покупные энергоресурсы</t>
  </si>
  <si>
    <t>Расходы на оплату труда с учетом ЕСН</t>
  </si>
  <si>
    <t>Амортизационные отчисления</t>
  </si>
  <si>
    <t>Налоги и сборы, всего</t>
  </si>
  <si>
    <t>Прочие расходы, всего</t>
  </si>
  <si>
    <t>5.1</t>
  </si>
  <si>
    <t>Ремонт основных средств</t>
  </si>
  <si>
    <t>5.3</t>
  </si>
  <si>
    <t>Платежи по аренде и лизингу</t>
  </si>
  <si>
    <t>5.4</t>
  </si>
  <si>
    <t>Прочие расходы</t>
  </si>
  <si>
    <t>III</t>
  </si>
  <si>
    <t>Валовая прибыль (I р. - II р.)</t>
  </si>
  <si>
    <t>IV</t>
  </si>
  <si>
    <t>Внереализационные доходы и расходы (сальдо)</t>
  </si>
  <si>
    <t>Внереализационные доходы, всего</t>
  </si>
  <si>
    <t>Доходы от участия в других организациях (дивиденды от ДЗО)</t>
  </si>
  <si>
    <t>Проценты от размещения средств</t>
  </si>
  <si>
    <t>Внереализационные расходы, всего</t>
  </si>
  <si>
    <t>Обслуживание кредитов</t>
  </si>
  <si>
    <t>V.</t>
  </si>
  <si>
    <t>Прибыль до налогообложения (III + IV)</t>
  </si>
  <si>
    <t>VI</t>
  </si>
  <si>
    <t>Налог на прибыль</t>
  </si>
  <si>
    <t>VII</t>
  </si>
  <si>
    <t>Чистая прибыль</t>
  </si>
  <si>
    <t>VIII</t>
  </si>
  <si>
    <t>Направления использования чистой прибыли</t>
  </si>
  <si>
    <t>Фонд накопления</t>
  </si>
  <si>
    <t>Резервный фонд</t>
  </si>
  <si>
    <t>Выплата дивидендов</t>
  </si>
  <si>
    <t>Прочие расходы из прибыли</t>
  </si>
  <si>
    <t>IX</t>
  </si>
  <si>
    <t>Изменение дебиторской задолженности</t>
  </si>
  <si>
    <t>Увеличение дебиторской задолженности</t>
  </si>
  <si>
    <t>Сокращение дебиторской задолженности</t>
  </si>
  <si>
    <t>Сальдо (+ увеличение; - сокращение)</t>
  </si>
  <si>
    <t>X</t>
  </si>
  <si>
    <t>Изменение кредиторской задолженности</t>
  </si>
  <si>
    <t>Увеличение кредиторской задолженности</t>
  </si>
  <si>
    <t>Сокращение кредиторской задолженности</t>
  </si>
  <si>
    <t>XI</t>
  </si>
  <si>
    <t>Привлечение заемных средств</t>
  </si>
  <si>
    <t>в том числе на:</t>
  </si>
  <si>
    <t>Финансирование инвестиционной программы</t>
  </si>
  <si>
    <t>в т.ч. в части ДПМ *</t>
  </si>
  <si>
    <t>Прочие цели (текущая деятельность)</t>
  </si>
  <si>
    <t>XII</t>
  </si>
  <si>
    <t>Погашение заемных средств</t>
  </si>
  <si>
    <t>в том числе по:</t>
  </si>
  <si>
    <t>Инвестиционной программы</t>
  </si>
  <si>
    <t>Прочие цели (расшифровка)</t>
  </si>
  <si>
    <t>XIII</t>
  </si>
  <si>
    <r>
      <t xml:space="preserve">Возмещаемый НДС </t>
    </r>
    <r>
      <rPr>
        <sz val="10"/>
        <rFont val="Times New Roman"/>
        <family val="1"/>
        <charset val="204"/>
      </rPr>
      <t>(поступления)</t>
    </r>
  </si>
  <si>
    <t>XIV</t>
  </si>
  <si>
    <t>Купля/продажа активов</t>
  </si>
  <si>
    <t>Покупка активов (акций, долей и т.п.)</t>
  </si>
  <si>
    <t>Продажа активов (акций, долей и т.п.)</t>
  </si>
  <si>
    <t>XV</t>
  </si>
  <si>
    <t>Средства, полученные от допэмиссии акций</t>
  </si>
  <si>
    <t>XVI</t>
  </si>
  <si>
    <t>Капитальные вложения</t>
  </si>
  <si>
    <t>Всего поступления
(I р. + 1 п. IV р. + 2 п. IX р. + 1 п. X р. + XI р. + XIII р. + 2 п. XVI р. + XV р.)</t>
  </si>
  <si>
    <t>XVII</t>
  </si>
  <si>
    <t>Всего расходы
(II р. - 3 п. II р. + 2 п. IV р. + 1 п. IX р. + 2 п. X р. + VI р. + VIII р. + XII р. + 1 п. XIV р. + XVI р.)</t>
  </si>
  <si>
    <t>Сальдо (+ профицит; - дефицит)
(XVI р. - XVII р.)</t>
  </si>
  <si>
    <t>Справочно:</t>
  </si>
  <si>
    <t>EBITDA</t>
  </si>
  <si>
    <t>Долг на конец периода</t>
  </si>
  <si>
    <t>Прогноз тарифов</t>
  </si>
  <si>
    <t>энергоресурсы</t>
  </si>
  <si>
    <t>выручка электрика</t>
  </si>
  <si>
    <t>ИПЦ</t>
  </si>
  <si>
    <t>амортизация</t>
  </si>
  <si>
    <t>ДЗ</t>
  </si>
  <si>
    <t>КЗ</t>
  </si>
  <si>
    <t>Директор по экономике и финансам</t>
  </si>
  <si>
    <t>Ю.И. Ламентов</t>
  </si>
  <si>
    <t>И.В. Торопцева</t>
  </si>
  <si>
    <t>23 63 35</t>
  </si>
  <si>
    <t>Источники финансирования инвестиционной программы ОАО "Липецкая городская энергетическая компания"
(комплекс электроснабжения) на 2014-2019 годы (в прогнозных ценах соответствующих лет), млн. рублей*</t>
  </si>
  <si>
    <t>Источник финансирования</t>
  </si>
  <si>
    <t>Итого</t>
  </si>
  <si>
    <t>Собственные средства</t>
  </si>
  <si>
    <t>Прибыль, направляемая на инвестиции:</t>
  </si>
  <si>
    <t>в т.ч. инвестиционная составляющая в тарифе</t>
  </si>
  <si>
    <t>в т.ч. прибыль со свободного сектора</t>
  </si>
  <si>
    <t>в т.ч. от технологического присоединения (для электросетевых компаний)</t>
  </si>
  <si>
    <t>в т.ч. от технологического присоединения генерации</t>
  </si>
  <si>
    <t>в т.ч. от технологического присоединения потребителей</t>
  </si>
  <si>
    <t>Амортизация</t>
  </si>
  <si>
    <t>Амортизация, учтенная в тарифе</t>
  </si>
  <si>
    <t>Прочая амортизация</t>
  </si>
  <si>
    <t>Недоиспользованная амортизация прошлых лет</t>
  </si>
  <si>
    <t>Возврат НДС</t>
  </si>
  <si>
    <t>Прочие собственные средства</t>
  </si>
  <si>
    <t>1.4.1</t>
  </si>
  <si>
    <t>в т.ч. средства допэмиссии</t>
  </si>
  <si>
    <t>1.5</t>
  </si>
  <si>
    <t>Остаток собственных средств на начало года</t>
  </si>
  <si>
    <t>Привлеченные средства, в т.ч.:</t>
  </si>
  <si>
    <t>Кредиты</t>
  </si>
  <si>
    <t>Облигационные займы</t>
  </si>
  <si>
    <t>Займы организаций</t>
  </si>
  <si>
    <t>Бюджетное финансирование</t>
  </si>
  <si>
    <t>Средства внешних инвесторов</t>
  </si>
  <si>
    <t>2.6</t>
  </si>
  <si>
    <t>Использование лизинга</t>
  </si>
  <si>
    <t>2.7</t>
  </si>
  <si>
    <t>Прочие привлеченные средства</t>
  </si>
  <si>
    <t>ВСЕГО источников финансирования</t>
  </si>
  <si>
    <t>для ОГК/ТГК, в том числе</t>
  </si>
  <si>
    <t>ДПМ</t>
  </si>
  <si>
    <t>вне ДПМ</t>
  </si>
  <si>
    <t>выпадающие от ТП</t>
  </si>
  <si>
    <t>прибыль</t>
  </si>
  <si>
    <t>Финансовая модель ОАО "Липецкая городская энергетическая компания"
(по конечным видам выпускаемой продукции) по годам до 2020 года включительно, млн. руб.</t>
  </si>
  <si>
    <t>Выручка</t>
  </si>
  <si>
    <t>Обслуживание</t>
  </si>
  <si>
    <t>Прочее</t>
  </si>
  <si>
    <t>Себестоимость</t>
  </si>
  <si>
    <t>Прямая себестоимость</t>
  </si>
  <si>
    <t>Накладные расходы</t>
  </si>
  <si>
    <t>Операционная прибыль</t>
  </si>
  <si>
    <t>Внереализационные расходы</t>
  </si>
  <si>
    <t xml:space="preserve">        Проценты</t>
  </si>
  <si>
    <t>Чистая прибыль/убыток</t>
  </si>
  <si>
    <t>Чистая прибыль с учетом субсидий по процентам</t>
  </si>
  <si>
    <t>Операционный денежный поток</t>
  </si>
  <si>
    <t>Поступления</t>
  </si>
  <si>
    <t>Выбытия</t>
  </si>
  <si>
    <t>Платежи по прямой себестоимости</t>
  </si>
  <si>
    <t>Процентные платежи</t>
  </si>
  <si>
    <t>Итого операционный денежный поток</t>
  </si>
  <si>
    <t>Инвестиционный денежный поток</t>
  </si>
  <si>
    <t xml:space="preserve">        Поступления</t>
  </si>
  <si>
    <t xml:space="preserve">        Выбытия</t>
  </si>
  <si>
    <t>Итого инвестиционный денежный поток</t>
  </si>
  <si>
    <t>Финансовый денежный поток</t>
  </si>
  <si>
    <t>Эмиссия акций</t>
  </si>
  <si>
    <t>Привлечение кредитов</t>
  </si>
  <si>
    <t>Погашение кредитов и займов</t>
  </si>
  <si>
    <t xml:space="preserve"> Выплата дивидендов</t>
  </si>
  <si>
    <t>Итого финансовый денежный поток</t>
  </si>
  <si>
    <t>Итого денежный поток</t>
  </si>
  <si>
    <t>Меры господдержки</t>
  </si>
  <si>
    <t>Реструктуризация дефицитных кредитов</t>
  </si>
  <si>
    <t>Увеличение капитализации</t>
  </si>
  <si>
    <t>Субсидирование процентной ставки (рестр)</t>
  </si>
  <si>
    <t>Субсидирование процентной ставки</t>
  </si>
  <si>
    <t>Нарастающим итогом</t>
  </si>
  <si>
    <t>остаток денежных средств на начало периода</t>
  </si>
  <si>
    <t>Кредиты на начало</t>
  </si>
  <si>
    <t>Кредиты на конец</t>
  </si>
  <si>
    <t>* в формате приложения  № 2.2 к приказу Минэнерго России от «24» марта 2010 г. № 114"</t>
  </si>
  <si>
    <t>№ п/п</t>
  </si>
  <si>
    <t>Идентификатор</t>
  </si>
  <si>
    <t>Цели и задачи</t>
  </si>
  <si>
    <t>Результаты реализации инвестиционного проекта</t>
  </si>
  <si>
    <t>Методика расчета стоимости</t>
  </si>
  <si>
    <t>Влияние на достижение плановых показателей</t>
  </si>
  <si>
    <t xml:space="preserve"> Информация о максимальной мощности энергопринимающих устройств потребителей, присоединенных к объектам электросетевого хозяйства, реконструкция (модернизация, техническое перевооружение) которых предусматривается инвестиционным проектом</t>
  </si>
  <si>
    <t xml:space="preserve"> Информация о максимальной мощности энергопринимающих устройств потребителей, планируемых к присоединению к объектам электросетевого хозяйства, строительство (реконструкция, модернизация и (или) техническое перевооружение) которых предусматривается инвестиционным проектом, в соответствии с договором об осуществлении технологического присоединения к электрическим сетям</t>
  </si>
  <si>
    <t>Информация о результатах контрольных замеров электрических нагрузок оборудования объектов электросетевого хозяйства, реконструкция (модернизация, техническое перевооружение) которых предусматривается инвестиционным проектом</t>
  </si>
  <si>
    <t>Информация о наименовании, месте нахождения, максимальной мощности и ее распределении по каждой точке присоединения к объектам электросетевого хозяйства энергопринимающих устройств потребителей, которые необходимо присоединить в соответствии с заключенными договорами об осуществлении технологического присоединения</t>
  </si>
  <si>
    <t>Информация об определенных договорами об осуществлении технологического присоединения к электрическим сетям обязательствах сетевой организации на выполнение мероприятий, предусмотренных инвестиционным проектом</t>
  </si>
  <si>
    <t>Информация о степени загрузки вводимых после строительства, реконструкции, модернизации, технического перевооружения электросетевых объектов</t>
  </si>
  <si>
    <t>Проектные показатели планируемой нагрузки трансформаторных и иных подстанций, строительство (реконструкцию, модернизацию) которых планируется осуществить в рамках реализации инвестиционной программы</t>
  </si>
  <si>
    <t>Информация об объектах электроэнергетики, предусмотренных инвестиционным проектом, содержащаяся в схеме и программе развития Единой энергетической системы России</t>
  </si>
  <si>
    <t>Информация об объектах электроэнергетики, предусмотренных инвестиционным проектом, содержащаяся в схемах и программах развития электроэнергетики субъектов Российской Федерации</t>
  </si>
  <si>
    <t>Информация о планируемом изменении предельно допустимых значений технологических параметров функционирования Единой энергетической системы России в результате реализации мероприятий в рамках инвестиционного проекта</t>
  </si>
  <si>
    <t>1.1.1.5.2/15</t>
  </si>
  <si>
    <t>1.1.1.5.3/15</t>
  </si>
  <si>
    <t>1.1.1.5.4/15</t>
  </si>
  <si>
    <t>1.1.3.7/14</t>
  </si>
  <si>
    <t>1.1.5.1.4/14</t>
  </si>
  <si>
    <t>1.1.5.1.24/14</t>
  </si>
  <si>
    <t>1.1.5.1.8/14</t>
  </si>
  <si>
    <t>1.1.5.1.49/14</t>
  </si>
  <si>
    <t>1.1.5.1.27/14</t>
  </si>
  <si>
    <t>3.1.13ПМ/07</t>
  </si>
  <si>
    <t>??????</t>
  </si>
  <si>
    <t>???????</t>
  </si>
  <si>
    <t>ЗАДВОЕНЫ</t>
  </si>
  <si>
    <t>1.1.1.1.1/16</t>
  </si>
  <si>
    <t>1.1.4</t>
  </si>
  <si>
    <t>2.2.1</t>
  </si>
  <si>
    <t>2.2.2</t>
  </si>
  <si>
    <t>2.2.3</t>
  </si>
  <si>
    <t>2.2.4</t>
  </si>
  <si>
    <t>2.2.5</t>
  </si>
  <si>
    <t xml:space="preserve"> млн. рублей</t>
  </si>
  <si>
    <t>№ №</t>
  </si>
  <si>
    <t>Прочая прибыль</t>
  </si>
  <si>
    <t>Приложение № 1</t>
  </si>
  <si>
    <t>к приказу Минэнерго России</t>
  </si>
  <si>
    <t>Форма № ___ Финансовый план субъекта электроэнергетики</t>
  </si>
  <si>
    <t xml:space="preserve">                          полное наименование субъекта электроэнергетики</t>
  </si>
  <si>
    <t>Субъект Российской Федерации: город Воронеж</t>
  </si>
  <si>
    <t xml:space="preserve">    реквизиты решения органа исполнительной власти, утвердившего инвестиционную программу</t>
  </si>
  <si>
    <t xml:space="preserve">1. Финансово-экономическая модель деятельности субъекта электроэнергетики </t>
  </si>
  <si>
    <t>Показатель</t>
  </si>
  <si>
    <t>Ед. изм.</t>
  </si>
  <si>
    <t>Итого за период реализации инвестиционной программы</t>
  </si>
  <si>
    <t>План (Утвержденный план)</t>
  </si>
  <si>
    <t>Предложение по корректировке  утвержденного плана</t>
  </si>
  <si>
    <t>БЮДЖЕТ ДОХОДОВ И РАСХОДОВ</t>
  </si>
  <si>
    <t>Выручка от реализации товаров (работ, услуг) всего, в том числе*:</t>
  </si>
  <si>
    <t>млн рублей</t>
  </si>
  <si>
    <t xml:space="preserve">Производство и поставка электрической энергии и мощности всего, в том числе: </t>
  </si>
  <si>
    <t>производство и поставка электрической энергии на оптовом рынке электрической энергии и мощности</t>
  </si>
  <si>
    <t>производство и поставка электрической мощности на оптовом рынке электрической энергии и мощности</t>
  </si>
  <si>
    <t>производство и поставка электрической энергии (мощности) на розничных рынках электрической энергии</t>
  </si>
  <si>
    <t>Производство и поставка тепловой энергии (мощности)</t>
  </si>
  <si>
    <t>Оказание услуг по передаче электрической энергии</t>
  </si>
  <si>
    <t>Оказание услуг по передаче тепловой энергии, теплоносителя</t>
  </si>
  <si>
    <t>Оказание услуг по технологическому присоединению</t>
  </si>
  <si>
    <t>1.6</t>
  </si>
  <si>
    <t>Реализация электрической энергии и мощности</t>
  </si>
  <si>
    <t>1.7</t>
  </si>
  <si>
    <t>Реализации тепловой энергии (мощности)</t>
  </si>
  <si>
    <t>1.8</t>
  </si>
  <si>
    <t>Оказание услуг по оперативно-диспетчерскому управлению в электроэнергетике всего, в том числе:</t>
  </si>
  <si>
    <t>1.8.1</t>
  </si>
  <si>
    <t xml:space="preserve">в части управления технологическими режимами </t>
  </si>
  <si>
    <t>1.8.2</t>
  </si>
  <si>
    <t>в части обеспечения надежности</t>
  </si>
  <si>
    <t>1.9</t>
  </si>
  <si>
    <t>Прочая деятельность</t>
  </si>
  <si>
    <t>Себестоимость товаров (работ, услуг), коммерческие и управленческие расходы всего, в том числе:</t>
  </si>
  <si>
    <t>2.8</t>
  </si>
  <si>
    <t>2.8.1</t>
  </si>
  <si>
    <t>2.8.2</t>
  </si>
  <si>
    <t>2.9</t>
  </si>
  <si>
    <t>II.I</t>
  </si>
  <si>
    <t>Материальные расходы всего, в том числе:</t>
  </si>
  <si>
    <t>расходы на топливо на технологические цели</t>
  </si>
  <si>
    <t>покупная энергия, в том числе:</t>
  </si>
  <si>
    <t>покупная электрическая энергия (мощность) всего, в том числе:</t>
  </si>
  <si>
    <t>2.1.2.1.1</t>
  </si>
  <si>
    <t>на технологические цели, включая энергию на компенсацию потерь при ее передаче</t>
  </si>
  <si>
    <t>2.1.2.1.2</t>
  </si>
  <si>
    <t>для последующей перепродажи</t>
  </si>
  <si>
    <t>покупная тепловая энергия (мощность)</t>
  </si>
  <si>
    <t>сырье, материалы, запасные части, инструменты</t>
  </si>
  <si>
    <t>прочие материальные расходы</t>
  </si>
  <si>
    <t>II.II</t>
  </si>
  <si>
    <t>Работы и услуги производственного характера всего, в том числе:</t>
  </si>
  <si>
    <t>услуги по передаче электрической энергии по единой (национальной) общероссийской электрической сети</t>
  </si>
  <si>
    <t>услуги по передаче электрической энергии по сетям территориальной сетевой организации</t>
  </si>
  <si>
    <t>услуги по передаче тепловой энергии, теплоносителя</t>
  </si>
  <si>
    <t>услуги инфраструктурных организаций*****</t>
  </si>
  <si>
    <t>прочие услуги производственного характера</t>
  </si>
  <si>
    <t>II.III</t>
  </si>
  <si>
    <t>Расходы на оплату труда с учетом страховых взносов</t>
  </si>
  <si>
    <t>II.IV</t>
  </si>
  <si>
    <t>Амортизация основных средств и нематериальных активов</t>
  </si>
  <si>
    <t>II.V</t>
  </si>
  <si>
    <t>Налоги и сборы всего, в том числе:</t>
  </si>
  <si>
    <t>налог на имущество организации</t>
  </si>
  <si>
    <t>прочие налоги и сборы</t>
  </si>
  <si>
    <t>II.VI</t>
  </si>
  <si>
    <t>Прочие расходы всего, в том числе:</t>
  </si>
  <si>
    <t>2.6.1</t>
  </si>
  <si>
    <t>работы и услуги непроизводственного характера</t>
  </si>
  <si>
    <t>2.6.2</t>
  </si>
  <si>
    <t>арендная плата, лизинговые платежи</t>
  </si>
  <si>
    <t>2.6.3</t>
  </si>
  <si>
    <t>иные прочие расходы</t>
  </si>
  <si>
    <t>II.VII</t>
  </si>
  <si>
    <t>Иные сведения:</t>
  </si>
  <si>
    <t>2.7.1</t>
  </si>
  <si>
    <t>Расходы на ремонт</t>
  </si>
  <si>
    <t>2.7.2</t>
  </si>
  <si>
    <t>Коммерческие расходы</t>
  </si>
  <si>
    <t>2.7.3</t>
  </si>
  <si>
    <t>Управленческие расходы</t>
  </si>
  <si>
    <t>Прибыль (убыток) от продаж (строка I - строка II) всего, в том числе:</t>
  </si>
  <si>
    <t>3.4</t>
  </si>
  <si>
    <t>3.5</t>
  </si>
  <si>
    <t>3.6</t>
  </si>
  <si>
    <t>3.7</t>
  </si>
  <si>
    <t>3.8</t>
  </si>
  <si>
    <t>3.8.1</t>
  </si>
  <si>
    <t>3.8.2</t>
  </si>
  <si>
    <t>3.9</t>
  </si>
  <si>
    <t>Прочие доходы и расходы (сальдо) (строка 4.1 – строка 4.2)</t>
  </si>
  <si>
    <t>4.1</t>
  </si>
  <si>
    <t>Прочие доходы всего, в том числе:</t>
  </si>
  <si>
    <t>4.1.1</t>
  </si>
  <si>
    <t>доходы от участия в других организациях</t>
  </si>
  <si>
    <t>4.1.2</t>
  </si>
  <si>
    <t>проценты к получению</t>
  </si>
  <si>
    <t>4.1.3</t>
  </si>
  <si>
    <t>восстановление резервов всего, в том числе:</t>
  </si>
  <si>
    <t>4.1.3.1</t>
  </si>
  <si>
    <t>по сомнительным долгам</t>
  </si>
  <si>
    <t>4.1.4</t>
  </si>
  <si>
    <t>прочие внереализационные доходы</t>
  </si>
  <si>
    <t>4.2</t>
  </si>
  <si>
    <t>4.2.1</t>
  </si>
  <si>
    <t>расходы, связанные с персоналом</t>
  </si>
  <si>
    <t>4.2.2</t>
  </si>
  <si>
    <t>проценты к уплате</t>
  </si>
  <si>
    <t>4.2.3</t>
  </si>
  <si>
    <t>создание резервов всего, в том числе:</t>
  </si>
  <si>
    <t>4.2.3.1</t>
  </si>
  <si>
    <t xml:space="preserve"> по сомнительным долгам</t>
  </si>
  <si>
    <t>4.2.4</t>
  </si>
  <si>
    <t>прочие внереализационные расходы</t>
  </si>
  <si>
    <t>V</t>
  </si>
  <si>
    <t>Прибыль (убыток) до налогообложения (строка III + строка IV) всего, в том числе:</t>
  </si>
  <si>
    <t>5.1.1</t>
  </si>
  <si>
    <t>5.1.2</t>
  </si>
  <si>
    <t>5.1.3</t>
  </si>
  <si>
    <t>5.2</t>
  </si>
  <si>
    <t>5.5</t>
  </si>
  <si>
    <t>5.6</t>
  </si>
  <si>
    <t>5.7</t>
  </si>
  <si>
    <t>5.8</t>
  </si>
  <si>
    <t>5.8.1</t>
  </si>
  <si>
    <t>5.8.2</t>
  </si>
  <si>
    <t>5.9</t>
  </si>
  <si>
    <t>Налог на прибыль всего, в том числе:</t>
  </si>
  <si>
    <t>6.1</t>
  </si>
  <si>
    <t>6.1.1</t>
  </si>
  <si>
    <t>6.1.2</t>
  </si>
  <si>
    <t>6.1.3</t>
  </si>
  <si>
    <t>6.2</t>
  </si>
  <si>
    <t>Производство и поставка тепловой энергии (мощности);</t>
  </si>
  <si>
    <t>6.3</t>
  </si>
  <si>
    <t>Оказание услуг по передаче электрической энергии;</t>
  </si>
  <si>
    <t>6.4</t>
  </si>
  <si>
    <t>Оказание услуг по передаче тепловой энергии, теплоносителя;</t>
  </si>
  <si>
    <t>6.5</t>
  </si>
  <si>
    <t>Оказание услуг по технологическому присоединению;</t>
  </si>
  <si>
    <t>6.6</t>
  </si>
  <si>
    <t>Реализация электрической энергии и мощности;</t>
  </si>
  <si>
    <t>6.7</t>
  </si>
  <si>
    <t>Реализации тепловой энергии (мощности);</t>
  </si>
  <si>
    <t>6.8</t>
  </si>
  <si>
    <t>6.8.1</t>
  </si>
  <si>
    <t>в части управления технологическими режимами</t>
  </si>
  <si>
    <t>6.8.2</t>
  </si>
  <si>
    <t>6.9</t>
  </si>
  <si>
    <t>Прочая деятельность;</t>
  </si>
  <si>
    <t>Чистая прибыль (убыток) всего, в том числе:</t>
  </si>
  <si>
    <t>7.1</t>
  </si>
  <si>
    <t>7.1.1</t>
  </si>
  <si>
    <t>7.1.2</t>
  </si>
  <si>
    <t>7.1.3</t>
  </si>
  <si>
    <t>7.2</t>
  </si>
  <si>
    <t>7.3</t>
  </si>
  <si>
    <t>7.4</t>
  </si>
  <si>
    <t>7.5</t>
  </si>
  <si>
    <t>7.6</t>
  </si>
  <si>
    <t>7.7</t>
  </si>
  <si>
    <t>7.8</t>
  </si>
  <si>
    <t>7.8.1</t>
  </si>
  <si>
    <t>7.8.2</t>
  </si>
  <si>
    <t>7.9</t>
  </si>
  <si>
    <t>8.1</t>
  </si>
  <si>
    <t>На инвестиции</t>
  </si>
  <si>
    <t>8.2</t>
  </si>
  <si>
    <t>8.3</t>
  </si>
  <si>
    <t>8.4</t>
  </si>
  <si>
    <t>Остаток на развитие</t>
  </si>
  <si>
    <t>9.1</t>
  </si>
  <si>
    <t>Прибыль до налогообложения без учета процентов к уплате и амортизации (строкаV + строка 4.2.2 + строка II.IV)</t>
  </si>
  <si>
    <t>9.2</t>
  </si>
  <si>
    <t>Долг (кредиты и займы) на начало периода всего, в том числе:</t>
  </si>
  <si>
    <t>9.2.1</t>
  </si>
  <si>
    <t>краткосрочные кредиты и займы на начало периода</t>
  </si>
  <si>
    <t>9.3</t>
  </si>
  <si>
    <t>Долг (кредиты и займы) на конец периода, в том числе</t>
  </si>
  <si>
    <t>9.3.1</t>
  </si>
  <si>
    <t>краткосрочные кредиты и займы на конец периода</t>
  </si>
  <si>
    <t>9.4</t>
  </si>
  <si>
    <t>Отношение долга (кредиты и займы) на конец периода (строка 9.3) к прибыли до налогообложения без учета процентов к уплате и амортизации (строка 9.1)</t>
  </si>
  <si>
    <t>БЮДЖЕТ ДВИЖЕНИЯ ДЕНЕЖНЫХ СРЕДСТВ</t>
  </si>
  <si>
    <t>Поступления от текущих операций всего, в том числе:</t>
  </si>
  <si>
    <t>10.1</t>
  </si>
  <si>
    <t>10.1.1</t>
  </si>
  <si>
    <t>10.1.2</t>
  </si>
  <si>
    <t>10.1.3</t>
  </si>
  <si>
    <t>10.2</t>
  </si>
  <si>
    <t>10.3</t>
  </si>
  <si>
    <t>10.4</t>
  </si>
  <si>
    <t>10.5</t>
  </si>
  <si>
    <t>10.6</t>
  </si>
  <si>
    <t>10.7</t>
  </si>
  <si>
    <t>10.8</t>
  </si>
  <si>
    <t>10.8.1</t>
  </si>
  <si>
    <t>10.8.2</t>
  </si>
  <si>
    <t>10.9</t>
  </si>
  <si>
    <t>Поступления денежных средств за счет средств бюджетов бюджетной системы Российской Федерации (субсидия) всего, в том числе:</t>
  </si>
  <si>
    <t>10.9.1</t>
  </si>
  <si>
    <t>за счет средств федерального бюджета</t>
  </si>
  <si>
    <t>10.9.2</t>
  </si>
  <si>
    <t>за счет средств консолидированного бюджета субъекта Российской Федерации</t>
  </si>
  <si>
    <t>10.10</t>
  </si>
  <si>
    <t>Платежи по текущим операциям всего, в том числе:</t>
  </si>
  <si>
    <t>11.1</t>
  </si>
  <si>
    <t>Оплата поставщикам топлива</t>
  </si>
  <si>
    <t>11.2</t>
  </si>
  <si>
    <t>Оплата покупной энергии всего, в том числе:</t>
  </si>
  <si>
    <t>11.2.1</t>
  </si>
  <si>
    <t>на оптовом рынке электрической энергии и мощности</t>
  </si>
  <si>
    <t>11.2.2</t>
  </si>
  <si>
    <t>на розничных рынках электрической энергии</t>
  </si>
  <si>
    <t>11.2.3</t>
  </si>
  <si>
    <t>на компенсацию потерь</t>
  </si>
  <si>
    <t>11.3</t>
  </si>
  <si>
    <t>Оплата услуг по передаче электрической энергии по единой (национальной) общероссийской электрической сети</t>
  </si>
  <si>
    <t>11.4</t>
  </si>
  <si>
    <t>Оплата услуг по передаче электрической энергии по сетям территориальных сетевых организаций</t>
  </si>
  <si>
    <t>11.5</t>
  </si>
  <si>
    <t>Оплата услуг по передаче тепловой энергии, теплоносителя</t>
  </si>
  <si>
    <t>11.6</t>
  </si>
  <si>
    <t>Оплата труда</t>
  </si>
  <si>
    <t>11.7</t>
  </si>
  <si>
    <t>Страховые взносы</t>
  </si>
  <si>
    <t>11.8</t>
  </si>
  <si>
    <t>Оплата налогов и сборов всего, в том числе:</t>
  </si>
  <si>
    <t>11.8.1</t>
  </si>
  <si>
    <t>налог на прибыль</t>
  </si>
  <si>
    <t>11.9</t>
  </si>
  <si>
    <t>Оплата сырья, материалов, запасных частей, инструментов</t>
  </si>
  <si>
    <t>11.10</t>
  </si>
  <si>
    <t>Оплата прочих услуг производственного характера</t>
  </si>
  <si>
    <t>11.11</t>
  </si>
  <si>
    <t>Арендная плата и лизинговые платежи</t>
  </si>
  <si>
    <t>11.12</t>
  </si>
  <si>
    <t>Проценты по долговым обязательствам (за исключением процентов по долговым обязательствам, включаемым в стоимость инвестиционного актива)</t>
  </si>
  <si>
    <t>11.13</t>
  </si>
  <si>
    <t>Прочие платежи по текущей деятельности</t>
  </si>
  <si>
    <t>Поступления от инвестиционных операций всего, в том числе:</t>
  </si>
  <si>
    <t>12.1</t>
  </si>
  <si>
    <t>Поступления от реализации имущества и имущественных прав</t>
  </si>
  <si>
    <t>12.2</t>
  </si>
  <si>
    <t xml:space="preserve">Поступления по заключенным инвестиционным соглашениям, в том числе </t>
  </si>
  <si>
    <t>12.2.1</t>
  </si>
  <si>
    <t>по использованию средств бюджетов бюджетной системы Российской Федерации всего, в том числе:</t>
  </si>
  <si>
    <t>12.2.1.1</t>
  </si>
  <si>
    <t>средства федерального бюджета</t>
  </si>
  <si>
    <t>12.2.1.2</t>
  </si>
  <si>
    <t>средства консолидированного бюджета субъекта Российской Федерации</t>
  </si>
  <si>
    <t>12.3</t>
  </si>
  <si>
    <t>Прочие поступления по инвестиционным операциям</t>
  </si>
  <si>
    <t>Платежи по инвестиционным операциям всего, в том числе:</t>
  </si>
  <si>
    <t>13.1</t>
  </si>
  <si>
    <t>Инвестиции в основной капитал всего, в том числе:</t>
  </si>
  <si>
    <t>13.1.1</t>
  </si>
  <si>
    <t>техническое перевооружение и реконструкция</t>
  </si>
  <si>
    <t>13.1.2</t>
  </si>
  <si>
    <t>новое строительство и расширение</t>
  </si>
  <si>
    <t>13.1.3</t>
  </si>
  <si>
    <t>проектно-изыскательные работы для объектов нового строительства будущих лет</t>
  </si>
  <si>
    <t>13.1.4</t>
  </si>
  <si>
    <t>приобретение объектов основных средств, земельных участков</t>
  </si>
  <si>
    <t>13.1.5</t>
  </si>
  <si>
    <t>проведение научно-исследовательских и опытно-конструкторских разработок</t>
  </si>
  <si>
    <t>13.1.6</t>
  </si>
  <si>
    <t>прочие выплаты, связанные с инвестициями в основной капитал</t>
  </si>
  <si>
    <t>13.2</t>
  </si>
  <si>
    <t>Приобретение нематериальных активов</t>
  </si>
  <si>
    <t>13.3</t>
  </si>
  <si>
    <t>Прочие платежи по инвестиционным операциям всего, в том числе:</t>
  </si>
  <si>
    <t>13.4</t>
  </si>
  <si>
    <t>13.4.1</t>
  </si>
  <si>
    <t>проценты по долговым обязательствам, включаемым в стоимость инвестиционного актива</t>
  </si>
  <si>
    <t>Поступления от финансовых операций всего, в том числе:</t>
  </si>
  <si>
    <t>14.1</t>
  </si>
  <si>
    <t>Процентные поступления</t>
  </si>
  <si>
    <t>14.2</t>
  </si>
  <si>
    <t>Поступления  по полученным кредитам всего, в том числе:</t>
  </si>
  <si>
    <t>14.2.1</t>
  </si>
  <si>
    <t>на текущую деятельность</t>
  </si>
  <si>
    <t>14.2.2</t>
  </si>
  <si>
    <t>на инвестиционные операции</t>
  </si>
  <si>
    <t>14.2.3</t>
  </si>
  <si>
    <t>на рефинансирование кредитов и займов</t>
  </si>
  <si>
    <t>14.3</t>
  </si>
  <si>
    <t>Поступления от эмиссии акций**</t>
  </si>
  <si>
    <t>14.4</t>
  </si>
  <si>
    <t>Поступления от реализации финансовых инструментов всего, в том числе:</t>
  </si>
  <si>
    <t>14.4.1</t>
  </si>
  <si>
    <t>облигационные займы</t>
  </si>
  <si>
    <t>14.4.2</t>
  </si>
  <si>
    <t>вексели</t>
  </si>
  <si>
    <t>14.5</t>
  </si>
  <si>
    <t>Поступления от займов организаций</t>
  </si>
  <si>
    <t>14.6</t>
  </si>
  <si>
    <t>Поступления за счет средств инвесторов</t>
  </si>
  <si>
    <t>14.7</t>
  </si>
  <si>
    <t>Прочие поступления по финансовым операциям</t>
  </si>
  <si>
    <t>Платежи по финансовым операциям всего, в том числе:</t>
  </si>
  <si>
    <t>15.1</t>
  </si>
  <si>
    <t>Погашение кредитов и займов всего всего, в том числе:</t>
  </si>
  <si>
    <t>15.1.1</t>
  </si>
  <si>
    <t>15.1.2</t>
  </si>
  <si>
    <t>15.1.3</t>
  </si>
  <si>
    <t>15.2</t>
  </si>
  <si>
    <t>15.3</t>
  </si>
  <si>
    <t>Прочие выплаты по финансовым операциям</t>
  </si>
  <si>
    <t>Сальдо денежных средств по операционной деятельности (строка X-строка XI) всего, в том числе:</t>
  </si>
  <si>
    <t xml:space="preserve">Сальдо денежных средств по инвестиционным операциям всего (строка XII-строка XIII), всего в том числе </t>
  </si>
  <si>
    <t>17.1</t>
  </si>
  <si>
    <t>Сальдо денежных средств по инвестиционным операциям</t>
  </si>
  <si>
    <t>17.2</t>
  </si>
  <si>
    <t>Сальдо денежных средств по прочей деятельности</t>
  </si>
  <si>
    <t>XVIII</t>
  </si>
  <si>
    <t>Сальдо денежных средств по финансовым операциям всего (строка XIV-строка XV), в том числе</t>
  </si>
  <si>
    <t>18.1</t>
  </si>
  <si>
    <t>Сальдо денежных средств по привлечению и погашению кредитов и займов</t>
  </si>
  <si>
    <t>18.2</t>
  </si>
  <si>
    <t>Сальдо денежных средств по прочей финансовой деятельности</t>
  </si>
  <si>
    <t>XIX</t>
  </si>
  <si>
    <t>Сальдо денежных средств от транзитных операций</t>
  </si>
  <si>
    <t>XX</t>
  </si>
  <si>
    <t>Итого сальдо денежных средств (строка XVI+строка XVII+строка XVIII+строка XIX)</t>
  </si>
  <si>
    <t>XXI</t>
  </si>
  <si>
    <t>Остаток денежных средств на начало периода</t>
  </si>
  <si>
    <t>XXII</t>
  </si>
  <si>
    <t>Остаток денежных средств на конец периода</t>
  </si>
  <si>
    <t>XXIII</t>
  </si>
  <si>
    <t>23.1</t>
  </si>
  <si>
    <t>Дебиторская задолженность на конец периода всего, в том числе:</t>
  </si>
  <si>
    <t>23.1.1</t>
  </si>
  <si>
    <t xml:space="preserve">производство и поставка электрической энергии и мощности всего, в том числе: </t>
  </si>
  <si>
    <t>23.1.1.а</t>
  </si>
  <si>
    <t>из нее просроченная</t>
  </si>
  <si>
    <t>23.1.1.1</t>
  </si>
  <si>
    <t>производство и поставка электрической энергии на оптовом рынке электрической энергиии и мощности</t>
  </si>
  <si>
    <t>23.1.1.1.а</t>
  </si>
  <si>
    <t>23.1.1.2</t>
  </si>
  <si>
    <t>23.1.1.2.а</t>
  </si>
  <si>
    <t>23.1.1.3</t>
  </si>
  <si>
    <t>23.1.1.3.а</t>
  </si>
  <si>
    <t>23.1.2</t>
  </si>
  <si>
    <t>производство и поставка тепловой энергии (мощности)</t>
  </si>
  <si>
    <t>23.1.2.а</t>
  </si>
  <si>
    <t>23.1.3</t>
  </si>
  <si>
    <t>оказание услуг по передаче электрической энергии</t>
  </si>
  <si>
    <t>23.1.3.а</t>
  </si>
  <si>
    <t>23.1.4</t>
  </si>
  <si>
    <t>оказание услуг по передаче тепловой энергии, теплоносителя</t>
  </si>
  <si>
    <t>23.1.4.а</t>
  </si>
  <si>
    <t>23.1.5</t>
  </si>
  <si>
    <t>оказание услуг по технологическому присоединению</t>
  </si>
  <si>
    <t>23.1.5.а</t>
  </si>
  <si>
    <t>23.1.6</t>
  </si>
  <si>
    <t>реализация электрической энергии и мощности</t>
  </si>
  <si>
    <t>23.1.6.а</t>
  </si>
  <si>
    <t>23.1.7</t>
  </si>
  <si>
    <t>реализации тепловой энергии (мощности)</t>
  </si>
  <si>
    <t>23.1.7.а</t>
  </si>
  <si>
    <t>23.1.8</t>
  </si>
  <si>
    <t>оказание услуг по оперативно-диспетчерскому управлению в электроэнергетике всего, в том числе:</t>
  </si>
  <si>
    <t>23.1.8.а</t>
  </si>
  <si>
    <t>23.1.8.1</t>
  </si>
  <si>
    <t>23.1.8.1.а</t>
  </si>
  <si>
    <t>23.1.8.2</t>
  </si>
  <si>
    <t>23.1.8.2.а</t>
  </si>
  <si>
    <t>23.1.9</t>
  </si>
  <si>
    <t>23.1.9.а</t>
  </si>
  <si>
    <t>23.2</t>
  </si>
  <si>
    <t>Кредиторская задолженность на конец периода всего, в том числе:</t>
  </si>
  <si>
    <t>23.2.1</t>
  </si>
  <si>
    <t>поставщикам топлива на технологические цели</t>
  </si>
  <si>
    <t>23.2.1.а</t>
  </si>
  <si>
    <t>23.2.2</t>
  </si>
  <si>
    <t>поставщикам покупной энергии всего, в том числе:</t>
  </si>
  <si>
    <t>23.2.2.1</t>
  </si>
  <si>
    <t>23.2.2.1.а</t>
  </si>
  <si>
    <t>23.2.2.2</t>
  </si>
  <si>
    <t>на розничных рынках</t>
  </si>
  <si>
    <t>23.2.2.2.а</t>
  </si>
  <si>
    <t>23.2.3</t>
  </si>
  <si>
    <t>по оплате услуг на передачу электрической энергии по единой (национальной) общероссийской электрической сети</t>
  </si>
  <si>
    <t>23.2.3.а</t>
  </si>
  <si>
    <t>23.2.4</t>
  </si>
  <si>
    <t>по оплате услуг территориальных сетевых организаций</t>
  </si>
  <si>
    <t>23.2.4.а</t>
  </si>
  <si>
    <t>23.2.5</t>
  </si>
  <si>
    <t>перед персоналом по оплате труда</t>
  </si>
  <si>
    <t>23.2.5.а</t>
  </si>
  <si>
    <t>23.2.6</t>
  </si>
  <si>
    <t>перед бюджетами и внебюджетными фондами</t>
  </si>
  <si>
    <t>23.2.6.а</t>
  </si>
  <si>
    <t>23.2.7</t>
  </si>
  <si>
    <t>по договорам технологического присоединения</t>
  </si>
  <si>
    <t>23.2.7.а</t>
  </si>
  <si>
    <t>23.2.8</t>
  </si>
  <si>
    <t xml:space="preserve">по обязательствам перед поставщиками и подрядчиками по исполнению инвестиционной программы </t>
  </si>
  <si>
    <t>23.2.8.а</t>
  </si>
  <si>
    <t>23.2.9</t>
  </si>
  <si>
    <t>прочая кредиторская задолженность</t>
  </si>
  <si>
    <t>23.2.9.а</t>
  </si>
  <si>
    <t>23.3</t>
  </si>
  <si>
    <t>Отношение поступлений денежных средств к выручке от реализованных товаров и оказанных услуг (с учетом НДС) всего, в том числе:</t>
  </si>
  <si>
    <t>%</t>
  </si>
  <si>
    <t>23.3.1</t>
  </si>
  <si>
    <t>от производства и поставки электрической энергии и мощности</t>
  </si>
  <si>
    <t>23.3.1.1</t>
  </si>
  <si>
    <t>от производства и поставки электрической энергии на оптовом рынке электрической энергии и мощности</t>
  </si>
  <si>
    <t>23.3.1.2</t>
  </si>
  <si>
    <t>от производства и поставки электрической мощности на оптовом рынке электрической энергии и мощности</t>
  </si>
  <si>
    <t>23.3.1.3</t>
  </si>
  <si>
    <t>от производства и поставки электрической энергии (мощности) на розничных рынках электрической энергии</t>
  </si>
  <si>
    <t>23.3.2</t>
  </si>
  <si>
    <t>от производства и поставки тепловой энергии (мощности)</t>
  </si>
  <si>
    <t>23.3.3</t>
  </si>
  <si>
    <t>от оказания услуг по передаче электрической энергии</t>
  </si>
  <si>
    <t>23.3.4</t>
  </si>
  <si>
    <t>от оказания услуг по передаче тепловой энергии, теплоносителя</t>
  </si>
  <si>
    <t>23.3.5</t>
  </si>
  <si>
    <t>от реализации электрической энергии и мощности</t>
  </si>
  <si>
    <t>23.3.6</t>
  </si>
  <si>
    <t>от реализации тепловой энергии (мощности)</t>
  </si>
  <si>
    <t>23.3.7</t>
  </si>
  <si>
    <t>от оказания услуг по оперативно-диспетчерскому управлению в электроэнергетике всего, в том числе:</t>
  </si>
  <si>
    <t>23.3.7.1</t>
  </si>
  <si>
    <t>23.3.7.2</t>
  </si>
  <si>
    <t>ТЕХНИКО-ЭКОНОМИЧЕСКИЕ ПОКАЗАТЕЛИ</t>
  </si>
  <si>
    <t>XXIV</t>
  </si>
  <si>
    <t>В отношении деятельности по производству электрической, тепловой энергии (мощности)</t>
  </si>
  <si>
    <t>x</t>
  </si>
  <si>
    <t>24.1</t>
  </si>
  <si>
    <t>Установленная электрическая мощность</t>
  </si>
  <si>
    <t>МВт</t>
  </si>
  <si>
    <t>24.2</t>
  </si>
  <si>
    <t>Установленная тепловая мощность</t>
  </si>
  <si>
    <t>Гкал/час</t>
  </si>
  <si>
    <t>24.3</t>
  </si>
  <si>
    <t>Располагаемая электрическая мощность</t>
  </si>
  <si>
    <t>24.4</t>
  </si>
  <si>
    <t>Присоединенная тепловая мощность</t>
  </si>
  <si>
    <t>24.5</t>
  </si>
  <si>
    <t>Объем выработанной электрической энергии</t>
  </si>
  <si>
    <t>млн.кВт.ч</t>
  </si>
  <si>
    <t>24.6</t>
  </si>
  <si>
    <t>Объем продукции отпущенной с шин (коллекторов)</t>
  </si>
  <si>
    <t>24.6.1</t>
  </si>
  <si>
    <t>электрической энергии</t>
  </si>
  <si>
    <t>24.6.2</t>
  </si>
  <si>
    <t>тепловой энергии</t>
  </si>
  <si>
    <t>тыс.Гкал</t>
  </si>
  <si>
    <t>24.7</t>
  </si>
  <si>
    <t>Объем покупной продукции для последующей продажи</t>
  </si>
  <si>
    <t>24.7.1</t>
  </si>
  <si>
    <t>24.7.2</t>
  </si>
  <si>
    <t>электрической мощности</t>
  </si>
  <si>
    <t>24.7.3</t>
  </si>
  <si>
    <t>24.8</t>
  </si>
  <si>
    <t>Объем покупной продукции на технологические цели</t>
  </si>
  <si>
    <t>24.8.1</t>
  </si>
  <si>
    <t>24.8.2</t>
  </si>
  <si>
    <t>24.9</t>
  </si>
  <si>
    <t>Объем продукции отпущенной (проданной) потребителям</t>
  </si>
  <si>
    <t>24.9.1</t>
  </si>
  <si>
    <t>24.9.2</t>
  </si>
  <si>
    <t>24.9.3</t>
  </si>
  <si>
    <t>XXV</t>
  </si>
  <si>
    <t>В отношении деятельности по передаче электрической энергии</t>
  </si>
  <si>
    <t>25.1</t>
  </si>
  <si>
    <t>Объем отпуска электрической энергии из сети (полезный отпуск) всего, в том числе:</t>
  </si>
  <si>
    <t>25.1.1</t>
  </si>
  <si>
    <t>потребителям, присоединенным к единой (национальной) общероссийской электрической сети всего, в том числе:</t>
  </si>
  <si>
    <t>25.1.1.1</t>
  </si>
  <si>
    <t>территориальные сетевые организации</t>
  </si>
  <si>
    <t>25.1.1.2</t>
  </si>
  <si>
    <t>потребители, не являющиеся территориальными сетевыми организациями</t>
  </si>
  <si>
    <t>25.2</t>
  </si>
  <si>
    <t>Объем технологического расхода (потерь) при передаче электрической энергии</t>
  </si>
  <si>
    <t>25.3</t>
  </si>
  <si>
    <t>Заявленная мощность***/фактическая мощность всего, в том числе:</t>
  </si>
  <si>
    <t>25.3.1</t>
  </si>
  <si>
    <t>потребителей, присоединенных к единой (национальной) общероссийской электрической сети всего, в том числе:</t>
  </si>
  <si>
    <t>25.3.1.1</t>
  </si>
  <si>
    <t>25.3.1.2</t>
  </si>
  <si>
    <t>25.4</t>
  </si>
  <si>
    <t>Количество условных единиц обслуживаемого электросетевого оборудования</t>
  </si>
  <si>
    <t>у.е.</t>
  </si>
  <si>
    <t>25.5</t>
  </si>
  <si>
    <t>Неободимая валовая выручка сетевой организации в части содержания (строка 1.3-строка 2.2.1-строка 2.2.2-строка 2.1.2.1.1)</t>
  </si>
  <si>
    <t>XXVI</t>
  </si>
  <si>
    <t>В отношении сбытовой деятельности</t>
  </si>
  <si>
    <t>26.1</t>
  </si>
  <si>
    <t>Полезный отпуск электрической энергии потребителям</t>
  </si>
  <si>
    <t>26.2</t>
  </si>
  <si>
    <t>Отпуск тепловой энергии потребителям</t>
  </si>
  <si>
    <t>26.3</t>
  </si>
  <si>
    <t xml:space="preserve">Необходимая валовая выручка сбытовой организации без учета покупной электрической энергии (мощности) для последующей перепродажи и оплаты услуг по передаче электрической энергии </t>
  </si>
  <si>
    <t>26.4</t>
  </si>
  <si>
    <t>Необходимая валовая выручка сбытовой организации без учета затрат на покупку тепловой энергии и оплаты услуг по ее передаче</t>
  </si>
  <si>
    <t>XXVII</t>
  </si>
  <si>
    <t>В отношении деятельности по оперативно-диспетчерскому управлению</t>
  </si>
  <si>
    <t>27.1</t>
  </si>
  <si>
    <t>Установленная мощность в Единой энергетической системе России, в том числе</t>
  </si>
  <si>
    <t>27.1.1</t>
  </si>
  <si>
    <t>установленная электрическая мощность электростанций, входящих в Единую энергетическую систему России, осуществляющих деятельность по производству электрической энергии и продаваемой на оптовом рынке</t>
  </si>
  <si>
    <t>27.1.2</t>
  </si>
  <si>
    <t>установленная электрическая мощность электростанций, входящих в Единую энергетическую систему России, осуществляющих деятельность по производству электрической энергии и продаваемой на розничном рынке</t>
  </si>
  <si>
    <t>27.1.3</t>
  </si>
  <si>
    <t>средняя мощность поставки электрической энергии по группам точек поставки импорта на оптовом рынке</t>
  </si>
  <si>
    <t>27.2</t>
  </si>
  <si>
    <t>Объем потребления в Единой энергетической системе России, в том числе</t>
  </si>
  <si>
    <t>27.2.1</t>
  </si>
  <si>
    <t>суммарный объем потребления (покупки) электрической энергии по всем группам точек поставки, зарегистрированным на оптовом рынке</t>
  </si>
  <si>
    <t>27.2.2</t>
  </si>
  <si>
    <t>суммарный объем поставки электрической энергии на экспорт из России</t>
  </si>
  <si>
    <t>27.3</t>
  </si>
  <si>
    <t>Собственная необходимая валовая выручка субъекта оперативно-диспетчерского управления, всего в том числе</t>
  </si>
  <si>
    <t>27.3.1</t>
  </si>
  <si>
    <t xml:space="preserve"> в части управления технологическими режимами </t>
  </si>
  <si>
    <t>27.3.2</t>
  </si>
  <si>
    <t>XXVIII</t>
  </si>
  <si>
    <t>Среднесписочная численность работников</t>
  </si>
  <si>
    <t>чел</t>
  </si>
  <si>
    <t xml:space="preserve">2 Источники финансирования инвестиционной программы субъекта электроэнергетики </t>
  </si>
  <si>
    <t>Источники финансирования инвестиционной программы всего (строка I+строка II), в том числе:</t>
  </si>
  <si>
    <t>Собственные средства всего, в том числе:</t>
  </si>
  <si>
    <t>Прибыль, направляемая на инвестиции, в том числе:</t>
  </si>
  <si>
    <t>полученная от реализации продукции и оказанных услуг по регулируемым ценам (тарифам):</t>
  </si>
  <si>
    <t>производства и поставки электрической энергии и мощности</t>
  </si>
  <si>
    <t>1.1.1.1.1</t>
  </si>
  <si>
    <t>1.1.1.1.2</t>
  </si>
  <si>
    <t>1.1.1.1.3</t>
  </si>
  <si>
    <t>производства и поставки тепловой энергии (мощности)</t>
  </si>
  <si>
    <t>оказания услуг по передаче электрической энергии</t>
  </si>
  <si>
    <t>оказания услуг по передаче тепловой энергии, теплоносителя</t>
  </si>
  <si>
    <t>от технологического присоединения, в том числе</t>
  </si>
  <si>
    <t>1.1.1.5.1</t>
  </si>
  <si>
    <t>от технологического присоединения объектов по производству электрической и тепловой энергии</t>
  </si>
  <si>
    <t>1.1.1.5.1.а</t>
  </si>
  <si>
    <t xml:space="preserve">    авансовое использование прибыли</t>
  </si>
  <si>
    <t>1.1.1.5.2</t>
  </si>
  <si>
    <t>от технологического присоединения потребителей</t>
  </si>
  <si>
    <t>1.1.1.5.2.а</t>
  </si>
  <si>
    <t>реализации электрической энергии и мощности</t>
  </si>
  <si>
    <t>оказания услуг по оперативно-диспетчерскому управлению в электроэнергетике всего, в том числе:</t>
  </si>
  <si>
    <t>1.1.1.8.1</t>
  </si>
  <si>
    <t>1.1.1.8.2</t>
  </si>
  <si>
    <t>прибыль от продажи электрической энергии (мощности) по нерегулируемым ценам, всего в том числе:</t>
  </si>
  <si>
    <t>1.1.2.3</t>
  </si>
  <si>
    <t>прочая прибыль</t>
  </si>
  <si>
    <t>Амортизация основных средств всего, в том числе:</t>
  </si>
  <si>
    <t>текущая амортизация, учтенная в ценах (тарифах) всего, в том числе:</t>
  </si>
  <si>
    <t>1.2.1.1</t>
  </si>
  <si>
    <t>производство и поставка электрической энергии и мощности</t>
  </si>
  <si>
    <t>1.2.1.1.1</t>
  </si>
  <si>
    <t>1.2.1.1.2</t>
  </si>
  <si>
    <t>1.2.1.1.3</t>
  </si>
  <si>
    <t>1.2.1.2</t>
  </si>
  <si>
    <t>1.2.1.3</t>
  </si>
  <si>
    <t>1.2.1.4</t>
  </si>
  <si>
    <t>1.2.1.5</t>
  </si>
  <si>
    <t>1.2.1.6</t>
  </si>
  <si>
    <t>1.2.1.7</t>
  </si>
  <si>
    <t>1.2.1.7.1</t>
  </si>
  <si>
    <t>1.2.1.7.2</t>
  </si>
  <si>
    <t>прочая текущая амортизация</t>
  </si>
  <si>
    <t>недоиспользованная амортизация прошлых лет всего, в том числе:</t>
  </si>
  <si>
    <t>1.2.3.1</t>
  </si>
  <si>
    <t>1.2.3.1.1</t>
  </si>
  <si>
    <t>1.2.3.1.2.</t>
  </si>
  <si>
    <t>1.2.3.1.2</t>
  </si>
  <si>
    <t>1.2.3.2</t>
  </si>
  <si>
    <t>1.2.3.3</t>
  </si>
  <si>
    <t>1.2.3.4</t>
  </si>
  <si>
    <t>1.2.3.5</t>
  </si>
  <si>
    <t>1.2.3.6</t>
  </si>
  <si>
    <t>1.2.3.7</t>
  </si>
  <si>
    <t>1.2.3.7.1</t>
  </si>
  <si>
    <t>1.2.3.7.2</t>
  </si>
  <si>
    <t>Возврат налога на добавленную стоимость****</t>
  </si>
  <si>
    <t>Прочие собственные средства всего, в том числе:</t>
  </si>
  <si>
    <t>средства от эмиссии акций</t>
  </si>
  <si>
    <t>1.4.2</t>
  </si>
  <si>
    <t>остаток собственных средств на начало года</t>
  </si>
  <si>
    <t>Привлеченные средства всего, в том числе:</t>
  </si>
  <si>
    <t>Вексели</t>
  </si>
  <si>
    <t>2.5.1.1</t>
  </si>
  <si>
    <t>в том числе средства федерального бюджета, недоиспользованные в прошлых периодах</t>
  </si>
  <si>
    <t>2.5.2.1</t>
  </si>
  <si>
    <t>в том числе средства консолидированного бюджета субъекта Российской Федерации, недоиспользованные в прошлых периодах</t>
  </si>
  <si>
    <t>3.1.</t>
  </si>
  <si>
    <t xml:space="preserve">Объем финансирования мероприятий по технологическому присоединению льготных категорий заявителей максимальной присоединяемой мощностью до 150 кВт, в том числе за счет: </t>
  </si>
  <si>
    <t>цен (тарифов) на услуги по передаче электрической энергии;</t>
  </si>
  <si>
    <t>амортизации, учтенной в ценах (тарифах) на услуги по передаче электрической энергии;</t>
  </si>
  <si>
    <t>кредитов</t>
  </si>
  <si>
    <t>Для субъектов электроэнергетики, осуществляющих регулируемые виды деятельности с использованием метода доходности инвестированного капитала</t>
  </si>
  <si>
    <t>возврат инвестированного капитала, направляемый на инвестиции</t>
  </si>
  <si>
    <t>доход на инвестированный капитал, направляемый на инвестиции</t>
  </si>
  <si>
    <t>заемные средства, направляемые на инвестиции</t>
  </si>
  <si>
    <t>Примечание:</t>
  </si>
  <si>
    <t xml:space="preserve">*в строках, содержащих слова "всего, в том числе" указывается сумма нижерасположенных строк соответствующего раздела (подраздела) </t>
  </si>
  <si>
    <t>** строка заполняется в объеме притока денежных средств от эмиссии акций. В случае оплаты эмиссии акций с использованием не денежных операций, данная строка не заполняется</t>
  </si>
  <si>
    <t xml:space="preserve">*** указывается на основании заключенных договоров на оказание услуг по передаче электрической энергии </t>
  </si>
  <si>
    <t>**** указываются денежные средства в виде положительного сальдо от налога на добаленную стоимость к уплате и налога на добаленную стоимость к возврату, рассчитанные с учетом налогового вычета, в том числе связанного с капитальными вложениями</t>
  </si>
  <si>
    <t xml:space="preserve">***** указывается суммарно стоимость оказынных субъекту электроэнергетики услуг: 
по оперативно-диспетчерскому управлению в электроэнергетике;
по организации оптовой торговли электрической энергией, мощностью и иными допущенными к обращению на оптовом рынке товарами и услугами;
по расчету требований и обязательств участников оптового рынка
</t>
  </si>
  <si>
    <t>Инвестиционная программа акционерного общества "Воронежская горэлектросеть"</t>
  </si>
  <si>
    <t>План 2021 года</t>
  </si>
  <si>
    <t>План 2022 года</t>
  </si>
  <si>
    <t>План 2023 года</t>
  </si>
  <si>
    <t>План 2024 года</t>
  </si>
  <si>
    <t>от "13"апреля 2017 г. № 310</t>
  </si>
  <si>
    <t>,</t>
  </si>
  <si>
    <t>Объемы и источники финансирования инвестиционной программы на 2020-2024 гг.</t>
  </si>
  <si>
    <t>Утвержденные плановые значения показателей приведены в соответствии с приказом УЖКХ и Энергетики ВО от  18 июня 2019г. №109</t>
  </si>
  <si>
    <t xml:space="preserve">                    Год раскрытия (предоставления) информации: 2020 год</t>
  </si>
  <si>
    <t>План 2020 год (Утвержденный план)</t>
  </si>
  <si>
    <t>Предложение по корректировке  утвержденного плана 2020 год</t>
  </si>
  <si>
    <t>План 2020 -2024 гг. (Утвержденный 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</si>
</sst>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_-* #,##0_р_._-;\-* #,##0_р_._-;_-* &quot;-&quot;_р_._-;_-@_-"/>
    <numFmt numFmtId="165" formatCode="_-* #,##0.00_р_._-;\-* #,##0.00_р_._-;_-* &quot;-&quot;??_р_._-;_-@_-"/>
    <numFmt numFmtId="166" formatCode="#,##0.000"/>
    <numFmt numFmtId="167" formatCode="#,##0.0000"/>
    <numFmt numFmtId="168" formatCode="0.000"/>
    <numFmt numFmtId="169" formatCode="0.0000"/>
    <numFmt numFmtId="170" formatCode="#,##0.000000"/>
    <numFmt numFmtId="171" formatCode="#,##0.00000"/>
    <numFmt numFmtId="172" formatCode="#,##0.0"/>
    <numFmt numFmtId="173" formatCode="0.0"/>
    <numFmt numFmtId="174" formatCode="#,##0_ ;[Red]\-#,##0\ "/>
    <numFmt numFmtId="175" formatCode="#,##0_ ;\-#,##0\ "/>
    <numFmt numFmtId="176" formatCode="_-* #,##0.00\ _р_._-;\-* #,##0.00\ _р_._-;_-* &quot;-&quot;??\ _р_._-;_-@_-"/>
    <numFmt numFmtId="177" formatCode="_-* #,##0.00_-;\-* #,##0.00_-;_-* &quot;-&quot;??_-;_-@_-"/>
    <numFmt numFmtId="178" formatCode="dd\-mmm\-yyyy"/>
    <numFmt numFmtId="179" formatCode="#,##0.0_ ;\-#,##0.0\ "/>
  </numFmts>
  <fonts count="8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name val="Arial Cyr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name val="Arial Cyr"/>
      <family val="2"/>
      <charset val="204"/>
    </font>
    <font>
      <sz val="10"/>
      <color indexed="8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4"/>
      <color indexed="9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b/>
      <sz val="13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sz val="10"/>
      <name val="Calibri"/>
      <family val="2"/>
      <charset val="204"/>
    </font>
    <font>
      <sz val="18"/>
      <name val="Times New Roman"/>
      <family val="1"/>
      <charset val="204"/>
    </font>
    <font>
      <sz val="28"/>
      <name val="Times New Roman"/>
      <family val="1"/>
      <charset val="204"/>
    </font>
    <font>
      <sz val="2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</font>
    <font>
      <sz val="8"/>
      <color indexed="9"/>
      <name val="Times New Roman"/>
      <family val="1"/>
      <charset val="204"/>
    </font>
    <font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1"/>
      <color rgb="FF000000"/>
      <name val="SimSun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theme="1"/>
      <name val="Times New Roman"/>
      <family val="1"/>
      <charset val="204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 Cyr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10"/>
      <name val="Arial Cyr"/>
    </font>
    <font>
      <b/>
      <sz val="18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6"/>
      <name val="Times New Roman"/>
      <family val="1"/>
      <charset val="204"/>
    </font>
    <font>
      <b/>
      <sz val="10"/>
      <name val="Times New Roman CYR"/>
    </font>
    <font>
      <b/>
      <sz val="12"/>
      <name val="Times New Roman CYR"/>
    </font>
    <font>
      <i/>
      <sz val="10"/>
      <name val="Times New Roman CYR"/>
    </font>
    <font>
      <sz val="14"/>
      <name val="Times New Roman CYR"/>
      <charset val="204"/>
    </font>
    <font>
      <sz val="10"/>
      <name val="Times New Roman CYR"/>
    </font>
    <font>
      <sz val="12"/>
      <name val="Times New Roman CYR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FF9999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793">
    <xf numFmtId="0" fontId="0" fillId="0" borderId="0"/>
    <xf numFmtId="0" fontId="27" fillId="0" borderId="0"/>
    <xf numFmtId="0" fontId="11" fillId="0" borderId="0"/>
    <xf numFmtId="0" fontId="11" fillId="0" borderId="0"/>
    <xf numFmtId="0" fontId="42" fillId="0" borderId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48" fillId="0" borderId="0"/>
    <xf numFmtId="0" fontId="49" fillId="0" borderId="0"/>
    <xf numFmtId="0" fontId="20" fillId="0" borderId="0"/>
    <xf numFmtId="0" fontId="50" fillId="0" borderId="0"/>
    <xf numFmtId="0" fontId="50" fillId="0" borderId="0"/>
    <xf numFmtId="0" fontId="8" fillId="0" borderId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2" fillId="0" borderId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2" borderId="0" applyNumberFormat="0" applyBorder="0" applyAlignment="0" applyProtection="0"/>
    <xf numFmtId="0" fontId="53" fillId="20" borderId="48" applyNumberFormat="0" applyAlignment="0" applyProtection="0"/>
    <xf numFmtId="0" fontId="54" fillId="33" borderId="49" applyNumberFormat="0" applyAlignment="0" applyProtection="0"/>
    <xf numFmtId="0" fontId="55" fillId="33" borderId="48" applyNumberFormat="0" applyAlignment="0" applyProtection="0"/>
    <xf numFmtId="0" fontId="56" fillId="0" borderId="50" applyNumberFormat="0" applyFill="0" applyAlignment="0" applyProtection="0"/>
    <xf numFmtId="0" fontId="57" fillId="0" borderId="51" applyNumberFormat="0" applyFill="0" applyAlignment="0" applyProtection="0"/>
    <xf numFmtId="0" fontId="58" fillId="0" borderId="52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53" applyNumberFormat="0" applyFill="0" applyAlignment="0" applyProtection="0"/>
    <xf numFmtId="0" fontId="60" fillId="34" borderId="54" applyNumberFormat="0" applyAlignment="0" applyProtection="0"/>
    <xf numFmtId="0" fontId="61" fillId="0" borderId="0" applyNumberFormat="0" applyFill="0" applyBorder="0" applyAlignment="0" applyProtection="0"/>
    <xf numFmtId="0" fontId="62" fillId="35" borderId="0" applyNumberFormat="0" applyBorder="0" applyAlignment="0" applyProtection="0"/>
    <xf numFmtId="0" fontId="63" fillId="0" borderId="0"/>
    <xf numFmtId="0" fontId="11" fillId="0" borderId="0"/>
    <xf numFmtId="0" fontId="63" fillId="0" borderId="0"/>
    <xf numFmtId="0" fontId="20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4" fillId="16" borderId="0" applyNumberFormat="0" applyBorder="0" applyAlignment="0" applyProtection="0"/>
    <xf numFmtId="0" fontId="65" fillId="0" borderId="0" applyNumberFormat="0" applyFill="0" applyBorder="0" applyAlignment="0" applyProtection="0"/>
    <xf numFmtId="0" fontId="9" fillId="36" borderId="55" applyNumberFormat="0" applyFont="0" applyAlignment="0" applyProtection="0"/>
    <xf numFmtId="9" fontId="20" fillId="0" borderId="0" applyFont="0" applyFill="0" applyBorder="0" applyAlignment="0" applyProtection="0"/>
    <xf numFmtId="0" fontId="66" fillId="0" borderId="56" applyNumberFormat="0" applyFill="0" applyAlignment="0" applyProtection="0"/>
    <xf numFmtId="0" fontId="67" fillId="0" borderId="0"/>
    <xf numFmtId="0" fontId="68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5" fontId="6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69" fillId="17" borderId="0" applyNumberFormat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" fillId="0" borderId="0"/>
    <xf numFmtId="0" fontId="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" fillId="0" borderId="0"/>
    <xf numFmtId="0" fontId="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" fillId="0" borderId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2" borderId="0" applyNumberFormat="0" applyBorder="0" applyAlignment="0" applyProtection="0"/>
    <xf numFmtId="0" fontId="64" fillId="16" borderId="0" applyNumberFormat="0" applyBorder="0" applyAlignment="0" applyProtection="0"/>
    <xf numFmtId="0" fontId="55" fillId="33" borderId="48" applyNumberFormat="0" applyAlignment="0" applyProtection="0"/>
    <xf numFmtId="0" fontId="60" fillId="34" borderId="54" applyNumberFormat="0" applyAlignment="0" applyProtection="0"/>
    <xf numFmtId="177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9" fillId="17" borderId="0" applyNumberFormat="0" applyBorder="0" applyAlignment="0" applyProtection="0"/>
    <xf numFmtId="0" fontId="56" fillId="0" borderId="50" applyNumberFormat="0" applyFill="0" applyAlignment="0" applyProtection="0"/>
    <xf numFmtId="0" fontId="57" fillId="0" borderId="51" applyNumberFormat="0" applyFill="0" applyAlignment="0" applyProtection="0"/>
    <xf numFmtId="0" fontId="58" fillId="0" borderId="52" applyNumberFormat="0" applyFill="0" applyAlignment="0" applyProtection="0"/>
    <xf numFmtId="0" fontId="58" fillId="0" borderId="0" applyNumberFormat="0" applyFill="0" applyBorder="0" applyAlignment="0" applyProtection="0"/>
    <xf numFmtId="0" fontId="53" fillId="20" borderId="48" applyNumberFormat="0" applyAlignment="0" applyProtection="0"/>
    <xf numFmtId="0" fontId="66" fillId="0" borderId="56" applyNumberFormat="0" applyFill="0" applyAlignment="0" applyProtection="0"/>
    <xf numFmtId="0" fontId="62" fillId="35" borderId="0" applyNumberFormat="0" applyBorder="0" applyAlignment="0" applyProtection="0"/>
    <xf numFmtId="0" fontId="9" fillId="36" borderId="55" applyNumberFormat="0" applyFont="0" applyAlignment="0" applyProtection="0"/>
    <xf numFmtId="0" fontId="54" fillId="33" borderId="49" applyNumberFormat="0" applyAlignment="0" applyProtection="0"/>
    <xf numFmtId="0" fontId="61" fillId="0" borderId="0" applyNumberFormat="0" applyFill="0" applyBorder="0" applyAlignment="0" applyProtection="0"/>
    <xf numFmtId="0" fontId="59" fillId="0" borderId="53" applyNumberFormat="0" applyFill="0" applyAlignment="0" applyProtection="0"/>
    <xf numFmtId="0" fontId="68" fillId="0" borderId="0" applyNumberFormat="0" applyFill="0" applyBorder="0" applyAlignment="0" applyProtection="0"/>
    <xf numFmtId="172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0" fontId="20" fillId="0" borderId="0"/>
    <xf numFmtId="0" fontId="20" fillId="0" borderId="0"/>
    <xf numFmtId="0" fontId="6" fillId="0" borderId="0"/>
    <xf numFmtId="0" fontId="73" fillId="0" borderId="0"/>
    <xf numFmtId="0" fontId="7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4" fillId="0" borderId="0"/>
    <xf numFmtId="0" fontId="6" fillId="0" borderId="0"/>
    <xf numFmtId="0" fontId="75" fillId="0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3" fillId="0" borderId="0" applyFill="0" applyBorder="0" applyAlignment="0" applyProtection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76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79" fontId="63" fillId="0" borderId="0" applyFont="0" applyFill="0" applyBorder="0" applyAlignment="0" applyProtection="0"/>
    <xf numFmtId="165" fontId="20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1" fillId="0" borderId="0"/>
    <xf numFmtId="0" fontId="4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86">
    <xf numFmtId="0" fontId="0" fillId="0" borderId="0" xfId="0"/>
    <xf numFmtId="0" fontId="13" fillId="0" borderId="0" xfId="0" applyFont="1"/>
    <xf numFmtId="0" fontId="13" fillId="0" borderId="0" xfId="0" applyFont="1" applyFill="1"/>
    <xf numFmtId="49" fontId="13" fillId="0" borderId="1" xfId="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/>
    </xf>
    <xf numFmtId="0" fontId="17" fillId="0" borderId="0" xfId="0" applyFont="1" applyFill="1"/>
    <xf numFmtId="0" fontId="13" fillId="0" borderId="1" xfId="0" applyFont="1" applyFill="1" applyBorder="1"/>
    <xf numFmtId="0" fontId="16" fillId="0" borderId="1" xfId="0" applyFont="1" applyFill="1" applyBorder="1" applyAlignment="1">
      <alignment horizontal="center" vertical="center" wrapText="1"/>
    </xf>
    <xf numFmtId="0" fontId="16" fillId="0" borderId="0" xfId="0" applyFont="1" applyFill="1"/>
    <xf numFmtId="2" fontId="13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4" fillId="2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0" fillId="0" borderId="0" xfId="0" applyFont="1"/>
    <xf numFmtId="2" fontId="14" fillId="0" borderId="1" xfId="0" applyNumberFormat="1" applyFont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Border="1" applyAlignment="1">
      <alignment vertical="center" wrapText="1"/>
    </xf>
    <xf numFmtId="0" fontId="19" fillId="0" borderId="0" xfId="0" applyFont="1" applyFill="1"/>
    <xf numFmtId="49" fontId="15" fillId="3" borderId="1" xfId="0" applyNumberFormat="1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 vertical="center" wrapText="1"/>
    </xf>
    <xf numFmtId="0" fontId="13" fillId="3" borderId="0" xfId="0" applyFont="1" applyFill="1"/>
    <xf numFmtId="0" fontId="15" fillId="3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center" vertical="center" wrapText="1"/>
    </xf>
    <xf numFmtId="2" fontId="13" fillId="3" borderId="1" xfId="0" applyNumberFormat="1" applyFont="1" applyFill="1" applyBorder="1" applyAlignment="1">
      <alignment horizontal="center" vertical="center" wrapText="1"/>
    </xf>
    <xf numFmtId="4" fontId="13" fillId="3" borderId="1" xfId="0" applyNumberFormat="1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left" vertical="center" wrapText="1"/>
    </xf>
    <xf numFmtId="49" fontId="15" fillId="4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 vertical="center" wrapText="1"/>
    </xf>
    <xf numFmtId="4" fontId="15" fillId="4" borderId="1" xfId="0" applyNumberFormat="1" applyFont="1" applyFill="1" applyBorder="1" applyAlignment="1">
      <alignment horizontal="center" vertical="center" wrapText="1"/>
    </xf>
    <xf numFmtId="0" fontId="13" fillId="4" borderId="0" xfId="0" applyFont="1" applyFill="1"/>
    <xf numFmtId="0" fontId="15" fillId="4" borderId="1" xfId="0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center" vertical="center" wrapText="1"/>
    </xf>
    <xf numFmtId="3" fontId="13" fillId="0" borderId="1" xfId="0" applyNumberFormat="1" applyFont="1" applyFill="1" applyBorder="1" applyAlignment="1">
      <alignment horizontal="center" vertical="center" wrapText="1"/>
    </xf>
    <xf numFmtId="165" fontId="20" fillId="0" borderId="0" xfId="7" applyNumberFormat="1" applyFont="1" applyFill="1" applyAlignment="1">
      <alignment vertical="center"/>
    </xf>
    <xf numFmtId="0" fontId="13" fillId="0" borderId="0" xfId="0" applyFont="1" applyFill="1" applyBorder="1"/>
    <xf numFmtId="4" fontId="15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4" fontId="16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Border="1"/>
    <xf numFmtId="2" fontId="14" fillId="0" borderId="1" xfId="0" applyNumberFormat="1" applyFont="1" applyFill="1" applyBorder="1" applyAlignment="1">
      <alignment horizontal="center" vertical="center" wrapText="1"/>
    </xf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Border="1"/>
    <xf numFmtId="49" fontId="14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2" fontId="14" fillId="0" borderId="1" xfId="0" applyNumberFormat="1" applyFont="1" applyBorder="1" applyAlignment="1">
      <alignment horizontal="left" vertical="center" wrapText="1"/>
    </xf>
    <xf numFmtId="0" fontId="20" fillId="0" borderId="0" xfId="0" applyFont="1" applyAlignment="1">
      <alignment horizontal="left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" fontId="15" fillId="3" borderId="0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/>
    <xf numFmtId="49" fontId="14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13" fillId="2" borderId="0" xfId="0" applyFont="1" applyFill="1"/>
    <xf numFmtId="0" fontId="13" fillId="5" borderId="0" xfId="0" applyFont="1" applyFill="1"/>
    <xf numFmtId="0" fontId="20" fillId="5" borderId="0" xfId="0" applyFont="1" applyFill="1"/>
    <xf numFmtId="0" fontId="13" fillId="5" borderId="1" xfId="0" applyFont="1" applyFill="1" applyBorder="1"/>
    <xf numFmtId="0" fontId="15" fillId="5" borderId="1" xfId="0" applyFont="1" applyFill="1" applyBorder="1"/>
    <xf numFmtId="0" fontId="13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0" fontId="13" fillId="6" borderId="1" xfId="0" applyFont="1" applyFill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/>
    </xf>
    <xf numFmtId="0" fontId="22" fillId="0" borderId="1" xfId="3" applyFont="1" applyFill="1" applyBorder="1" applyAlignment="1">
      <alignment horizontal="left" vertical="center" wrapText="1"/>
    </xf>
    <xf numFmtId="0" fontId="22" fillId="0" borderId="1" xfId="3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 wrapText="1"/>
    </xf>
    <xf numFmtId="0" fontId="13" fillId="0" borderId="0" xfId="0" applyFont="1" applyAlignment="1">
      <alignment horizontal="right"/>
    </xf>
    <xf numFmtId="0" fontId="13" fillId="6" borderId="0" xfId="0" applyFont="1" applyFill="1" applyBorder="1"/>
    <xf numFmtId="0" fontId="13" fillId="6" borderId="2" xfId="0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0" fontId="13" fillId="7" borderId="0" xfId="0" applyFont="1" applyFill="1" applyBorder="1"/>
    <xf numFmtId="4" fontId="14" fillId="4" borderId="0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0" fillId="0" borderId="0" xfId="0" applyFont="1" applyFill="1"/>
    <xf numFmtId="4" fontId="20" fillId="0" borderId="0" xfId="0" applyNumberFormat="1" applyFont="1" applyFill="1"/>
    <xf numFmtId="0" fontId="13" fillId="0" borderId="0" xfId="0" applyFont="1" applyFill="1" applyAlignment="1">
      <alignment vertical="center"/>
    </xf>
    <xf numFmtId="4" fontId="13" fillId="0" borderId="3" xfId="0" applyNumberFormat="1" applyFont="1" applyFill="1" applyBorder="1" applyAlignment="1">
      <alignment horizontal="center" vertical="center" wrapText="1"/>
    </xf>
    <xf numFmtId="4" fontId="14" fillId="0" borderId="4" xfId="0" applyNumberFormat="1" applyFont="1" applyFill="1" applyBorder="1" applyAlignment="1">
      <alignment horizontal="center" vertical="center" wrapText="1"/>
    </xf>
    <xf numFmtId="4" fontId="13" fillId="0" borderId="4" xfId="0" applyNumberFormat="1" applyFont="1" applyFill="1" applyBorder="1" applyAlignment="1">
      <alignment horizontal="center" vertical="center" wrapText="1"/>
    </xf>
    <xf numFmtId="4" fontId="15" fillId="3" borderId="4" xfId="0" applyNumberFormat="1" applyFont="1" applyFill="1" applyBorder="1" applyAlignment="1">
      <alignment horizontal="center" vertical="center" wrapText="1"/>
    </xf>
    <xf numFmtId="0" fontId="13" fillId="8" borderId="0" xfId="0" applyFont="1" applyFill="1"/>
    <xf numFmtId="0" fontId="23" fillId="0" borderId="1" xfId="3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0" fontId="23" fillId="2" borderId="1" xfId="3" applyFont="1" applyFill="1" applyBorder="1" applyAlignment="1">
      <alignment horizontal="left" vertical="center" wrapText="1"/>
    </xf>
    <xf numFmtId="0" fontId="16" fillId="0" borderId="1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 wrapText="1"/>
    </xf>
    <xf numFmtId="2" fontId="15" fillId="4" borderId="1" xfId="0" applyNumberFormat="1" applyFont="1" applyFill="1" applyBorder="1" applyAlignment="1">
      <alignment horizontal="center" vertical="center" wrapText="1"/>
    </xf>
    <xf numFmtId="2" fontId="15" fillId="4" borderId="1" xfId="0" applyNumberFormat="1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/>
    <xf numFmtId="2" fontId="13" fillId="4" borderId="1" xfId="0" applyNumberFormat="1" applyFont="1" applyFill="1" applyBorder="1" applyAlignment="1">
      <alignment horizontal="center" vertical="center" wrapText="1"/>
    </xf>
    <xf numFmtId="2" fontId="13" fillId="4" borderId="1" xfId="0" applyNumberFormat="1" applyFont="1" applyFill="1" applyBorder="1" applyAlignment="1">
      <alignment horizontal="left" vertical="center" wrapText="1"/>
    </xf>
    <xf numFmtId="4" fontId="13" fillId="4" borderId="1" xfId="0" applyNumberFormat="1" applyFont="1" applyFill="1" applyBorder="1" applyAlignment="1">
      <alignment horizontal="center" vertical="center" wrapText="1"/>
    </xf>
    <xf numFmtId="4" fontId="15" fillId="4" borderId="2" xfId="0" applyNumberFormat="1" applyFont="1" applyFill="1" applyBorder="1" applyAlignment="1">
      <alignment horizontal="center" vertical="center" wrapText="1"/>
    </xf>
    <xf numFmtId="4" fontId="15" fillId="4" borderId="4" xfId="0" applyNumberFormat="1" applyFont="1" applyFill="1" applyBorder="1" applyAlignment="1">
      <alignment horizontal="center" vertical="center" wrapText="1"/>
    </xf>
    <xf numFmtId="4" fontId="14" fillId="0" borderId="2" xfId="0" applyNumberFormat="1" applyFont="1" applyFill="1" applyBorder="1" applyAlignment="1">
      <alignment horizontal="center" vertical="center" wrapText="1"/>
    </xf>
    <xf numFmtId="0" fontId="13" fillId="9" borderId="0" xfId="0" applyFont="1" applyFill="1"/>
    <xf numFmtId="167" fontId="13" fillId="0" borderId="1" xfId="0" applyNumberFormat="1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/>
    </xf>
    <xf numFmtId="168" fontId="13" fillId="0" borderId="1" xfId="0" applyNumberFormat="1" applyFont="1" applyFill="1" applyBorder="1" applyAlignment="1">
      <alignment horizontal="center" vertical="center" wrapText="1"/>
    </xf>
    <xf numFmtId="0" fontId="16" fillId="9" borderId="0" xfId="0" applyFont="1" applyFill="1"/>
    <xf numFmtId="4" fontId="13" fillId="0" borderId="0" xfId="0" applyNumberFormat="1" applyFont="1"/>
    <xf numFmtId="0" fontId="30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 wrapText="1"/>
    </xf>
    <xf numFmtId="0" fontId="29" fillId="0" borderId="0" xfId="0" applyFont="1" applyFill="1"/>
    <xf numFmtId="4" fontId="13" fillId="0" borderId="2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4" fontId="16" fillId="0" borderId="2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left" vertical="center"/>
    </xf>
    <xf numFmtId="0" fontId="13" fillId="0" borderId="2" xfId="0" applyFont="1" applyFill="1" applyBorder="1" applyAlignment="1">
      <alignment horizontal="center" vertical="center"/>
    </xf>
    <xf numFmtId="4" fontId="15" fillId="4" borderId="5" xfId="0" applyNumberFormat="1" applyFont="1" applyFill="1" applyBorder="1" applyAlignment="1">
      <alignment horizontal="center" vertical="center" wrapText="1"/>
    </xf>
    <xf numFmtId="4" fontId="15" fillId="0" borderId="2" xfId="0" applyNumberFormat="1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center"/>
    </xf>
    <xf numFmtId="4" fontId="15" fillId="3" borderId="5" xfId="0" applyNumberFormat="1" applyFont="1" applyFill="1" applyBorder="1" applyAlignment="1">
      <alignment horizontal="center" vertical="center" wrapText="1"/>
    </xf>
    <xf numFmtId="4" fontId="14" fillId="0" borderId="5" xfId="0" applyNumberFormat="1" applyFont="1" applyFill="1" applyBorder="1" applyAlignment="1">
      <alignment horizontal="center" vertical="center" wrapText="1"/>
    </xf>
    <xf numFmtId="4" fontId="13" fillId="0" borderId="5" xfId="0" applyNumberFormat="1" applyFont="1" applyFill="1" applyBorder="1" applyAlignment="1">
      <alignment horizontal="center" vertical="center"/>
    </xf>
    <xf numFmtId="4" fontId="16" fillId="0" borderId="5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4" fontId="13" fillId="0" borderId="4" xfId="0" applyNumberFormat="1" applyFont="1" applyFill="1" applyBorder="1" applyAlignment="1">
      <alignment horizontal="center" vertical="center"/>
    </xf>
    <xf numFmtId="4" fontId="14" fillId="4" borderId="5" xfId="0" applyNumberFormat="1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24" fillId="0" borderId="0" xfId="0" applyFont="1" applyBorder="1" applyAlignment="1">
      <alignment vertical="center"/>
    </xf>
    <xf numFmtId="0" fontId="19" fillId="0" borderId="0" xfId="0" applyFont="1" applyAlignment="1"/>
    <xf numFmtId="49" fontId="13" fillId="2" borderId="1" xfId="0" applyNumberFormat="1" applyFont="1" applyFill="1" applyBorder="1" applyAlignment="1">
      <alignment horizontal="center" vertical="center" wrapText="1"/>
    </xf>
    <xf numFmtId="49" fontId="15" fillId="0" borderId="6" xfId="0" applyNumberFormat="1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/>
    </xf>
    <xf numFmtId="0" fontId="13" fillId="6" borderId="8" xfId="0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horizontal="center" vertical="center"/>
    </xf>
    <xf numFmtId="0" fontId="13" fillId="6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wrapText="1"/>
    </xf>
    <xf numFmtId="0" fontId="26" fillId="0" borderId="0" xfId="0" applyFont="1" applyFill="1" applyBorder="1"/>
    <xf numFmtId="4" fontId="15" fillId="2" borderId="0" xfId="0" applyNumberFormat="1" applyFont="1" applyFill="1" applyBorder="1"/>
    <xf numFmtId="4" fontId="13" fillId="0" borderId="0" xfId="0" applyNumberFormat="1" applyFont="1" applyFill="1" applyBorder="1"/>
    <xf numFmtId="49" fontId="15" fillId="0" borderId="1" xfId="0" applyNumberFormat="1" applyFont="1" applyFill="1" applyBorder="1" applyAlignment="1">
      <alignment horizontal="center" vertical="center"/>
    </xf>
    <xf numFmtId="4" fontId="15" fillId="0" borderId="5" xfId="0" applyNumberFormat="1" applyFont="1" applyFill="1" applyBorder="1" applyAlignment="1">
      <alignment horizontal="center" vertical="center" wrapText="1"/>
    </xf>
    <xf numFmtId="4" fontId="15" fillId="0" borderId="4" xfId="0" applyNumberFormat="1" applyFont="1" applyFill="1" applyBorder="1" applyAlignment="1">
      <alignment horizontal="center" vertical="center" wrapText="1"/>
    </xf>
    <xf numFmtId="2" fontId="15" fillId="3" borderId="1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vertical="center" wrapText="1"/>
    </xf>
    <xf numFmtId="0" fontId="13" fillId="0" borderId="6" xfId="0" applyFont="1" applyFill="1" applyBorder="1" applyAlignment="1">
      <alignment vertical="center" wrapText="1"/>
    </xf>
    <xf numFmtId="0" fontId="13" fillId="0" borderId="10" xfId="0" applyFont="1" applyFill="1" applyBorder="1" applyAlignment="1">
      <alignment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13" fillId="0" borderId="0" xfId="0" applyFont="1" applyAlignment="1"/>
    <xf numFmtId="0" fontId="16" fillId="0" borderId="1" xfId="0" applyFont="1" applyFill="1" applyBorder="1"/>
    <xf numFmtId="0" fontId="13" fillId="2" borderId="5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0" borderId="1" xfId="0" applyFont="1" applyBorder="1"/>
    <xf numFmtId="0" fontId="13" fillId="4" borderId="0" xfId="0" applyFont="1" applyFill="1" applyBorder="1"/>
    <xf numFmtId="0" fontId="13" fillId="3" borderId="0" xfId="0" applyFont="1" applyFill="1" applyBorder="1"/>
    <xf numFmtId="0" fontId="13" fillId="0" borderId="0" xfId="0" applyFont="1" applyFill="1" applyBorder="1" applyAlignment="1">
      <alignment vertical="center"/>
    </xf>
    <xf numFmtId="49" fontId="13" fillId="0" borderId="4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13" fillId="6" borderId="20" xfId="0" applyFont="1" applyFill="1" applyBorder="1" applyAlignment="1">
      <alignment horizontal="center" vertical="center"/>
    </xf>
    <xf numFmtId="4" fontId="14" fillId="0" borderId="20" xfId="0" applyNumberFormat="1" applyFont="1" applyFill="1" applyBorder="1" applyAlignment="1">
      <alignment horizontal="center" vertical="center" wrapText="1"/>
    </xf>
    <xf numFmtId="4" fontId="15" fillId="3" borderId="20" xfId="0" applyNumberFormat="1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/>
    </xf>
    <xf numFmtId="4" fontId="15" fillId="0" borderId="20" xfId="0" applyNumberFormat="1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/>
    </xf>
    <xf numFmtId="4" fontId="15" fillId="3" borderId="12" xfId="0" applyNumberFormat="1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4" fontId="15" fillId="0" borderId="1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/>
    </xf>
    <xf numFmtId="0" fontId="13" fillId="0" borderId="12" xfId="0" applyFont="1" applyFill="1" applyBorder="1"/>
    <xf numFmtId="4" fontId="14" fillId="4" borderId="2" xfId="0" applyNumberFormat="1" applyFont="1" applyFill="1" applyBorder="1" applyAlignment="1">
      <alignment horizontal="center" vertical="center" wrapText="1"/>
    </xf>
    <xf numFmtId="4" fontId="14" fillId="4" borderId="12" xfId="0" applyNumberFormat="1" applyFont="1" applyFill="1" applyBorder="1" applyAlignment="1">
      <alignment horizontal="center" vertical="center" wrapText="1"/>
    </xf>
    <xf numFmtId="4" fontId="14" fillId="4" borderId="20" xfId="0" applyNumberFormat="1" applyFont="1" applyFill="1" applyBorder="1" applyAlignment="1">
      <alignment horizontal="center" vertical="center" wrapText="1"/>
    </xf>
    <xf numFmtId="4" fontId="14" fillId="4" borderId="9" xfId="0" applyNumberFormat="1" applyFont="1" applyFill="1" applyBorder="1" applyAlignment="1">
      <alignment horizontal="center" vertical="center" wrapText="1"/>
    </xf>
    <xf numFmtId="4" fontId="14" fillId="4" borderId="21" xfId="0" applyNumberFormat="1" applyFont="1" applyFill="1" applyBorder="1" applyAlignment="1">
      <alignment horizontal="center" vertical="center" wrapText="1"/>
    </xf>
    <xf numFmtId="4" fontId="14" fillId="4" borderId="17" xfId="0" applyNumberFormat="1" applyFont="1" applyFill="1" applyBorder="1" applyAlignment="1">
      <alignment horizontal="center" vertical="center" wrapText="1"/>
    </xf>
    <xf numFmtId="4" fontId="14" fillId="4" borderId="22" xfId="0" applyNumberFormat="1" applyFont="1" applyFill="1" applyBorder="1" applyAlignment="1">
      <alignment horizontal="center" vertical="center" wrapText="1"/>
    </xf>
    <xf numFmtId="4" fontId="14" fillId="4" borderId="16" xfId="0" applyNumberFormat="1" applyFont="1" applyFill="1" applyBorder="1" applyAlignment="1">
      <alignment horizontal="center" vertical="center" wrapText="1"/>
    </xf>
    <xf numFmtId="0" fontId="13" fillId="0" borderId="19" xfId="0" applyFont="1" applyFill="1" applyBorder="1"/>
    <xf numFmtId="0" fontId="13" fillId="0" borderId="18" xfId="0" applyFont="1" applyFill="1" applyBorder="1"/>
    <xf numFmtId="4" fontId="34" fillId="0" borderId="2" xfId="0" applyNumberFormat="1" applyFont="1" applyFill="1" applyBorder="1" applyAlignment="1">
      <alignment horizontal="center" vertical="center" wrapText="1"/>
    </xf>
    <xf numFmtId="4" fontId="34" fillId="0" borderId="20" xfId="0" applyNumberFormat="1" applyFont="1" applyFill="1" applyBorder="1" applyAlignment="1">
      <alignment horizontal="center" vertical="center" wrapText="1"/>
    </xf>
    <xf numFmtId="4" fontId="34" fillId="0" borderId="12" xfId="0" applyNumberFormat="1" applyFont="1" applyFill="1" applyBorder="1" applyAlignment="1">
      <alignment horizontal="center" vertical="center" wrapText="1"/>
    </xf>
    <xf numFmtId="4" fontId="34" fillId="4" borderId="17" xfId="0" applyNumberFormat="1" applyFont="1" applyFill="1" applyBorder="1" applyAlignment="1">
      <alignment horizontal="center" vertical="center" wrapText="1"/>
    </xf>
    <xf numFmtId="4" fontId="34" fillId="4" borderId="16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 wrapText="1"/>
    </xf>
    <xf numFmtId="4" fontId="13" fillId="2" borderId="1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wrapText="1"/>
    </xf>
    <xf numFmtId="0" fontId="13" fillId="2" borderId="1" xfId="0" applyFont="1" applyFill="1" applyBorder="1" applyAlignment="1">
      <alignment horizontal="center" vertical="center" wrapText="1"/>
    </xf>
    <xf numFmtId="4" fontId="36" fillId="2" borderId="1" xfId="0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 wrapText="1"/>
    </xf>
    <xf numFmtId="4" fontId="37" fillId="2" borderId="0" xfId="0" applyNumberFormat="1" applyFont="1" applyFill="1" applyBorder="1"/>
    <xf numFmtId="0" fontId="21" fillId="1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right"/>
    </xf>
    <xf numFmtId="169" fontId="21" fillId="0" borderId="1" xfId="0" applyNumberFormat="1" applyFont="1" applyFill="1" applyBorder="1" applyAlignment="1">
      <alignment horizontal="center" wrapText="1"/>
    </xf>
    <xf numFmtId="168" fontId="21" fillId="0" borderId="1" xfId="0" applyNumberFormat="1" applyFont="1" applyFill="1" applyBorder="1" applyAlignment="1">
      <alignment horizontal="center" wrapText="1"/>
    </xf>
    <xf numFmtId="0" fontId="38" fillId="0" borderId="0" xfId="2" applyFont="1" applyFill="1" applyBorder="1" applyAlignment="1">
      <alignment horizontal="center" vertical="center" wrapText="1"/>
    </xf>
    <xf numFmtId="4" fontId="21" fillId="0" borderId="0" xfId="0" applyNumberFormat="1" applyFont="1" applyFill="1" applyBorder="1" applyAlignment="1">
      <alignment horizontal="center" wrapText="1"/>
    </xf>
    <xf numFmtId="4" fontId="21" fillId="0" borderId="1" xfId="0" applyNumberFormat="1" applyFont="1" applyFill="1" applyBorder="1" applyAlignment="1">
      <alignment horizontal="center" wrapText="1"/>
    </xf>
    <xf numFmtId="4" fontId="29" fillId="0" borderId="0" xfId="0" applyNumberFormat="1" applyFont="1" applyBorder="1" applyAlignment="1">
      <alignment vertical="center" wrapText="1"/>
    </xf>
    <xf numFmtId="167" fontId="13" fillId="0" borderId="0" xfId="0" applyNumberFormat="1" applyFont="1" applyFill="1"/>
    <xf numFmtId="167" fontId="21" fillId="0" borderId="0" xfId="0" applyNumberFormat="1" applyFont="1" applyFill="1" applyBorder="1" applyAlignment="1">
      <alignment horizontal="center" wrapText="1"/>
    </xf>
    <xf numFmtId="167" fontId="21" fillId="0" borderId="1" xfId="0" applyNumberFormat="1" applyFont="1" applyFill="1" applyBorder="1" applyAlignment="1">
      <alignment horizontal="center" wrapText="1"/>
    </xf>
    <xf numFmtId="167" fontId="15" fillId="2" borderId="0" xfId="0" applyNumberFormat="1" applyFont="1" applyFill="1" applyBorder="1"/>
    <xf numFmtId="167" fontId="15" fillId="0" borderId="1" xfId="0" applyNumberFormat="1" applyFont="1" applyFill="1" applyBorder="1" applyAlignment="1">
      <alignment horizontal="center" vertical="center" wrapText="1"/>
    </xf>
    <xf numFmtId="167" fontId="13" fillId="2" borderId="1" xfId="0" applyNumberFormat="1" applyFont="1" applyFill="1" applyBorder="1" applyAlignment="1">
      <alignment horizontal="center" vertical="center" wrapText="1"/>
    </xf>
    <xf numFmtId="167" fontId="14" fillId="0" borderId="1" xfId="0" applyNumberFormat="1" applyFont="1" applyFill="1" applyBorder="1" applyAlignment="1">
      <alignment horizontal="center" vertical="center" wrapText="1"/>
    </xf>
    <xf numFmtId="167" fontId="15" fillId="4" borderId="1" xfId="0" applyNumberFormat="1" applyFont="1" applyFill="1" applyBorder="1" applyAlignment="1">
      <alignment horizontal="center" vertical="center" wrapText="1"/>
    </xf>
    <xf numFmtId="167" fontId="15" fillId="3" borderId="1" xfId="0" applyNumberFormat="1" applyFont="1" applyFill="1" applyBorder="1" applyAlignment="1">
      <alignment horizontal="center" vertical="center" wrapText="1"/>
    </xf>
    <xf numFmtId="167" fontId="29" fillId="0" borderId="0" xfId="0" applyNumberFormat="1" applyFont="1" applyBorder="1" applyAlignment="1">
      <alignment vertical="center" wrapText="1"/>
    </xf>
    <xf numFmtId="49" fontId="13" fillId="2" borderId="1" xfId="0" applyNumberFormat="1" applyFont="1" applyFill="1" applyBorder="1" applyAlignment="1">
      <alignment horizontal="center" vertical="center"/>
    </xf>
    <xf numFmtId="2" fontId="13" fillId="2" borderId="1" xfId="0" applyNumberFormat="1" applyFont="1" applyFill="1" applyBorder="1" applyAlignment="1">
      <alignment horizontal="center" vertical="center"/>
    </xf>
    <xf numFmtId="4" fontId="13" fillId="2" borderId="4" xfId="0" applyNumberFormat="1" applyFont="1" applyFill="1" applyBorder="1" applyAlignment="1">
      <alignment horizontal="center" vertical="center" wrapText="1"/>
    </xf>
    <xf numFmtId="4" fontId="13" fillId="2" borderId="2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4" fontId="14" fillId="2" borderId="2" xfId="0" applyNumberFormat="1" applyFont="1" applyFill="1" applyBorder="1" applyAlignment="1">
      <alignment horizontal="center" vertical="center" wrapText="1"/>
    </xf>
    <xf numFmtId="4" fontId="14" fillId="2" borderId="20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vertical="center" wrapText="1"/>
    </xf>
    <xf numFmtId="0" fontId="36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/>
    <xf numFmtId="166" fontId="13" fillId="2" borderId="1" xfId="0" applyNumberFormat="1" applyFont="1" applyFill="1" applyBorder="1" applyAlignment="1">
      <alignment horizontal="center" vertical="center" wrapText="1"/>
    </xf>
    <xf numFmtId="2" fontId="13" fillId="2" borderId="1" xfId="0" applyNumberFormat="1" applyFont="1" applyFill="1" applyBorder="1" applyAlignment="1">
      <alignment horizontal="center" vertical="center" wrapText="1"/>
    </xf>
    <xf numFmtId="2" fontId="13" fillId="2" borderId="4" xfId="0" applyNumberFormat="1" applyFont="1" applyFill="1" applyBorder="1" applyAlignment="1">
      <alignment horizontal="center" vertical="center" wrapText="1"/>
    </xf>
    <xf numFmtId="4" fontId="13" fillId="2" borderId="20" xfId="0" applyNumberFormat="1" applyFont="1" applyFill="1" applyBorder="1" applyAlignment="1">
      <alignment horizontal="center" vertical="center" wrapText="1"/>
    </xf>
    <xf numFmtId="4" fontId="13" fillId="2" borderId="12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/>
    <xf numFmtId="166" fontId="13" fillId="2" borderId="4" xfId="0" applyNumberFormat="1" applyFont="1" applyFill="1" applyBorder="1" applyAlignment="1">
      <alignment horizontal="center" vertical="center" wrapText="1"/>
    </xf>
    <xf numFmtId="2" fontId="35" fillId="2" borderId="1" xfId="0" applyNumberFormat="1" applyFont="1" applyFill="1" applyBorder="1" applyAlignment="1">
      <alignment vertical="center" wrapText="1"/>
    </xf>
    <xf numFmtId="49" fontId="16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4" fontId="16" fillId="2" borderId="1" xfId="0" applyNumberFormat="1" applyFont="1" applyFill="1" applyBorder="1" applyAlignment="1">
      <alignment horizontal="center" vertical="center" wrapText="1"/>
    </xf>
    <xf numFmtId="0" fontId="16" fillId="2" borderId="20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0" xfId="0" applyFont="1" applyFill="1"/>
    <xf numFmtId="4" fontId="16" fillId="2" borderId="4" xfId="0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left" vertical="center" wrapText="1"/>
    </xf>
    <xf numFmtId="49" fontId="16" fillId="2" borderId="1" xfId="0" applyNumberFormat="1" applyFont="1" applyFill="1" applyBorder="1" applyAlignment="1">
      <alignment horizontal="left" vertical="center" wrapText="1"/>
    </xf>
    <xf numFmtId="49" fontId="36" fillId="2" borderId="1" xfId="0" applyNumberFormat="1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 wrapText="1"/>
    </xf>
    <xf numFmtId="169" fontId="13" fillId="2" borderId="1" xfId="0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left" vertical="center" wrapText="1"/>
    </xf>
    <xf numFmtId="4" fontId="13" fillId="2" borderId="20" xfId="0" applyNumberFormat="1" applyFont="1" applyFill="1" applyBorder="1" applyAlignment="1">
      <alignment horizontal="center" vertical="center"/>
    </xf>
    <xf numFmtId="4" fontId="13" fillId="2" borderId="12" xfId="0" applyNumberFormat="1" applyFont="1" applyFill="1" applyBorder="1" applyAlignment="1">
      <alignment horizontal="center" vertical="center"/>
    </xf>
    <xf numFmtId="0" fontId="36" fillId="0" borderId="1" xfId="3" applyFont="1" applyFill="1" applyBorder="1" applyAlignment="1">
      <alignment horizontal="left" vertical="center" wrapText="1"/>
    </xf>
    <xf numFmtId="0" fontId="13" fillId="0" borderId="1" xfId="3" applyFont="1" applyFill="1" applyBorder="1" applyAlignment="1">
      <alignment horizontal="left" vertical="center" wrapText="1"/>
    </xf>
    <xf numFmtId="4" fontId="36" fillId="0" borderId="1" xfId="0" applyNumberFormat="1" applyFont="1" applyFill="1" applyBorder="1" applyAlignment="1">
      <alignment horizontal="center" vertical="center" wrapText="1"/>
    </xf>
    <xf numFmtId="169" fontId="34" fillId="0" borderId="1" xfId="0" applyNumberFormat="1" applyFont="1" applyFill="1" applyBorder="1" applyAlignment="1">
      <alignment horizontal="center" wrapText="1"/>
    </xf>
    <xf numFmtId="168" fontId="34" fillId="0" borderId="1" xfId="0" applyNumberFormat="1" applyFont="1" applyFill="1" applyBorder="1" applyAlignment="1">
      <alignment horizontal="center" wrapText="1"/>
    </xf>
    <xf numFmtId="169" fontId="34" fillId="10" borderId="1" xfId="0" applyNumberFormat="1" applyFont="1" applyFill="1" applyBorder="1" applyAlignment="1">
      <alignment horizont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4" fontId="16" fillId="0" borderId="4" xfId="0" applyNumberFormat="1" applyFont="1" applyFill="1" applyBorder="1" applyAlignment="1">
      <alignment horizontal="center" vertical="center" wrapText="1"/>
    </xf>
    <xf numFmtId="166" fontId="13" fillId="0" borderId="1" xfId="0" applyNumberFormat="1" applyFont="1" applyFill="1" applyBorder="1" applyAlignment="1">
      <alignment horizontal="center" vertical="center" wrapText="1"/>
    </xf>
    <xf numFmtId="166" fontId="13" fillId="0" borderId="4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7" fillId="0" borderId="20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4" fontId="14" fillId="0" borderId="19" xfId="0" applyNumberFormat="1" applyFont="1" applyFill="1" applyBorder="1" applyAlignment="1">
      <alignment horizontal="center" vertical="center" wrapText="1"/>
    </xf>
    <xf numFmtId="4" fontId="14" fillId="0" borderId="23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67" fontId="13" fillId="10" borderId="1" xfId="0" applyNumberFormat="1" applyFont="1" applyFill="1" applyBorder="1" applyAlignment="1">
      <alignment horizontal="center" vertical="center" wrapText="1"/>
    </xf>
    <xf numFmtId="167" fontId="15" fillId="0" borderId="5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wrapText="1"/>
    </xf>
    <xf numFmtId="2" fontId="22" fillId="0" borderId="1" xfId="0" applyNumberFormat="1" applyFont="1" applyFill="1" applyBorder="1" applyAlignment="1">
      <alignment horizontal="center" vertical="center" wrapText="1"/>
    </xf>
    <xf numFmtId="2" fontId="35" fillId="0" borderId="1" xfId="0" applyNumberFormat="1" applyFont="1" applyFill="1" applyBorder="1" applyAlignment="1">
      <alignment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49" fontId="13" fillId="2" borderId="4" xfId="0" applyNumberFormat="1" applyFont="1" applyFill="1" applyBorder="1" applyAlignment="1">
      <alignment horizontal="center" vertical="center" wrapText="1"/>
    </xf>
    <xf numFmtId="2" fontId="15" fillId="3" borderId="4" xfId="0" applyNumberFormat="1" applyFont="1" applyFill="1" applyBorder="1" applyAlignment="1">
      <alignment horizontal="center" vertical="center" wrapText="1"/>
    </xf>
    <xf numFmtId="167" fontId="13" fillId="0" borderId="5" xfId="0" applyNumberFormat="1" applyFont="1" applyFill="1" applyBorder="1" applyAlignment="1">
      <alignment horizontal="center" vertical="center" wrapText="1"/>
    </xf>
    <xf numFmtId="167" fontId="13" fillId="2" borderId="5" xfId="0" applyNumberFormat="1" applyFont="1" applyFill="1" applyBorder="1" applyAlignment="1">
      <alignment horizontal="center" vertical="center" wrapText="1"/>
    </xf>
    <xf numFmtId="167" fontId="14" fillId="0" borderId="5" xfId="0" applyNumberFormat="1" applyFont="1" applyFill="1" applyBorder="1" applyAlignment="1">
      <alignment horizontal="center" vertical="center" wrapText="1"/>
    </xf>
    <xf numFmtId="167" fontId="15" fillId="4" borderId="5" xfId="0" applyNumberFormat="1" applyFont="1" applyFill="1" applyBorder="1" applyAlignment="1">
      <alignment horizontal="center" vertical="center" wrapText="1"/>
    </xf>
    <xf numFmtId="167" fontId="15" fillId="3" borderId="5" xfId="0" applyNumberFormat="1" applyFont="1" applyFill="1" applyBorder="1" applyAlignment="1">
      <alignment horizontal="center" vertical="center" wrapText="1"/>
    </xf>
    <xf numFmtId="4" fontId="36" fillId="0" borderId="5" xfId="0" applyNumberFormat="1" applyFont="1" applyFill="1" applyBorder="1" applyAlignment="1">
      <alignment horizontal="center" vertical="center" wrapText="1"/>
    </xf>
    <xf numFmtId="4" fontId="13" fillId="0" borderId="5" xfId="0" applyNumberFormat="1" applyFont="1" applyFill="1" applyBorder="1" applyAlignment="1">
      <alignment horizontal="center" vertical="center" wrapText="1"/>
    </xf>
    <xf numFmtId="4" fontId="13" fillId="0" borderId="2" xfId="0" applyNumberFormat="1" applyFont="1" applyFill="1" applyBorder="1" applyAlignment="1">
      <alignment horizontal="center" vertical="center" wrapText="1"/>
    </xf>
    <xf numFmtId="168" fontId="13" fillId="0" borderId="0" xfId="0" applyNumberFormat="1" applyFont="1" applyFill="1"/>
    <xf numFmtId="168" fontId="21" fillId="0" borderId="0" xfId="0" applyNumberFormat="1" applyFont="1" applyFill="1" applyBorder="1" applyAlignment="1">
      <alignment horizontal="center" wrapText="1"/>
    </xf>
    <xf numFmtId="168" fontId="15" fillId="2" borderId="0" xfId="0" applyNumberFormat="1" applyFont="1" applyFill="1" applyBorder="1"/>
    <xf numFmtId="168" fontId="13" fillId="2" borderId="24" xfId="0" applyNumberFormat="1" applyFont="1" applyFill="1" applyBorder="1" applyAlignment="1">
      <alignment horizontal="center" vertical="center" wrapText="1"/>
    </xf>
    <xf numFmtId="168" fontId="14" fillId="0" borderId="24" xfId="0" applyNumberFormat="1" applyFont="1" applyFill="1" applyBorder="1" applyAlignment="1">
      <alignment horizontal="center" vertical="center" wrapText="1"/>
    </xf>
    <xf numFmtId="168" fontId="15" fillId="4" borderId="24" xfId="0" applyNumberFormat="1" applyFont="1" applyFill="1" applyBorder="1" applyAlignment="1">
      <alignment horizontal="center" vertical="center" wrapText="1"/>
    </xf>
    <xf numFmtId="168" fontId="15" fillId="3" borderId="24" xfId="0" applyNumberFormat="1" applyFont="1" applyFill="1" applyBorder="1" applyAlignment="1">
      <alignment horizontal="center" vertical="center" wrapText="1"/>
    </xf>
    <xf numFmtId="168" fontId="13" fillId="0" borderId="24" xfId="0" applyNumberFormat="1" applyFont="1" applyFill="1" applyBorder="1" applyAlignment="1">
      <alignment horizontal="center" vertical="center" wrapText="1"/>
    </xf>
    <xf numFmtId="168" fontId="29" fillId="0" borderId="0" xfId="0" applyNumberFormat="1" applyFont="1" applyBorder="1" applyAlignment="1">
      <alignment vertical="center" wrapText="1"/>
    </xf>
    <xf numFmtId="49" fontId="13" fillId="2" borderId="5" xfId="0" applyNumberFormat="1" applyFont="1" applyFill="1" applyBorder="1" applyAlignment="1">
      <alignment horizontal="center" vertical="center" wrapText="1"/>
    </xf>
    <xf numFmtId="4" fontId="13" fillId="2" borderId="5" xfId="0" applyNumberFormat="1" applyFont="1" applyFill="1" applyBorder="1" applyAlignment="1">
      <alignment horizontal="center" vertical="center" wrapText="1"/>
    </xf>
    <xf numFmtId="2" fontId="15" fillId="3" borderId="5" xfId="0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4" fontId="14" fillId="0" borderId="15" xfId="0" applyNumberFormat="1" applyFont="1" applyFill="1" applyBorder="1" applyAlignment="1">
      <alignment horizontal="center" vertical="center" wrapText="1"/>
    </xf>
    <xf numFmtId="4" fontId="14" fillId="0" borderId="25" xfId="0" applyNumberFormat="1" applyFont="1" applyFill="1" applyBorder="1" applyAlignment="1">
      <alignment horizontal="center" vertical="center" wrapText="1"/>
    </xf>
    <xf numFmtId="4" fontId="13" fillId="0" borderId="15" xfId="0" applyNumberFormat="1" applyFont="1" applyFill="1" applyBorder="1" applyAlignment="1">
      <alignment horizontal="center" vertical="center" wrapText="1"/>
    </xf>
    <xf numFmtId="4" fontId="13" fillId="0" borderId="11" xfId="0" applyNumberFormat="1" applyFont="1" applyFill="1" applyBorder="1" applyAlignment="1">
      <alignment horizontal="center" vertical="center" wrapText="1"/>
    </xf>
    <xf numFmtId="4" fontId="13" fillId="0" borderId="14" xfId="0" applyNumberFormat="1" applyFont="1" applyFill="1" applyBorder="1" applyAlignment="1">
      <alignment horizontal="center" vertical="center" wrapText="1"/>
    </xf>
    <xf numFmtId="168" fontId="13" fillId="0" borderId="26" xfId="0" applyNumberFormat="1" applyFont="1" applyFill="1" applyBorder="1" applyAlignment="1">
      <alignment horizontal="center" vertical="center" wrapText="1"/>
    </xf>
    <xf numFmtId="171" fontId="13" fillId="0" borderId="0" xfId="0" applyNumberFormat="1" applyFont="1" applyFill="1"/>
    <xf numFmtId="168" fontId="15" fillId="3" borderId="1" xfId="0" applyNumberFormat="1" applyFont="1" applyFill="1" applyBorder="1" applyAlignment="1">
      <alignment horizontal="center" vertical="center" wrapText="1"/>
    </xf>
    <xf numFmtId="168" fontId="15" fillId="4" borderId="1" xfId="0" applyNumberFormat="1" applyFont="1" applyFill="1" applyBorder="1" applyAlignment="1">
      <alignment horizontal="center" vertical="center" wrapText="1"/>
    </xf>
    <xf numFmtId="168" fontId="16" fillId="0" borderId="1" xfId="0" applyNumberFormat="1" applyFont="1" applyFill="1" applyBorder="1" applyAlignment="1">
      <alignment horizontal="center" vertical="center" wrapText="1"/>
    </xf>
    <xf numFmtId="168" fontId="15" fillId="0" borderId="1" xfId="0" applyNumberFormat="1" applyFont="1" applyFill="1" applyBorder="1" applyAlignment="1">
      <alignment horizontal="center" vertical="center" wrapText="1"/>
    </xf>
    <xf numFmtId="168" fontId="13" fillId="4" borderId="1" xfId="0" applyNumberFormat="1" applyFont="1" applyFill="1" applyBorder="1" applyAlignment="1">
      <alignment horizontal="center" vertical="center" wrapText="1"/>
    </xf>
    <xf numFmtId="168" fontId="13" fillId="3" borderId="1" xfId="0" applyNumberFormat="1" applyFont="1" applyFill="1" applyBorder="1" applyAlignment="1">
      <alignment horizontal="center" vertical="center" wrapText="1"/>
    </xf>
    <xf numFmtId="166" fontId="36" fillId="2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8" fontId="13" fillId="0" borderId="0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center" vertical="center"/>
    </xf>
    <xf numFmtId="0" fontId="39" fillId="0" borderId="0" xfId="0" applyFont="1" applyBorder="1" applyAlignment="1"/>
    <xf numFmtId="0" fontId="39" fillId="0" borderId="0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0" xfId="0" applyFont="1" applyAlignment="1"/>
    <xf numFmtId="0" fontId="40" fillId="0" borderId="0" xfId="0" applyFont="1" applyBorder="1"/>
    <xf numFmtId="0" fontId="40" fillId="0" borderId="0" xfId="0" applyFont="1" applyFill="1" applyBorder="1"/>
    <xf numFmtId="0" fontId="40" fillId="6" borderId="0" xfId="0" applyFont="1" applyFill="1" applyBorder="1"/>
    <xf numFmtId="0" fontId="40" fillId="7" borderId="0" xfId="0" applyFont="1" applyFill="1" applyBorder="1"/>
    <xf numFmtId="4" fontId="40" fillId="0" borderId="0" xfId="0" applyNumberFormat="1" applyFont="1" applyFill="1" applyBorder="1"/>
    <xf numFmtId="0" fontId="40" fillId="0" borderId="0" xfId="0" applyFont="1"/>
    <xf numFmtId="0" fontId="40" fillId="0" borderId="0" xfId="0" applyFont="1" applyFill="1"/>
    <xf numFmtId="4" fontId="40" fillId="0" borderId="0" xfId="0" applyNumberFormat="1" applyFont="1" applyFill="1"/>
    <xf numFmtId="2" fontId="13" fillId="0" borderId="0" xfId="0" applyNumberFormat="1" applyFont="1" applyFill="1" applyBorder="1" applyAlignment="1">
      <alignment horizontal="center" vertical="center" wrapText="1"/>
    </xf>
    <xf numFmtId="0" fontId="13" fillId="11" borderId="1" xfId="0" applyNumberFormat="1" applyFont="1" applyFill="1" applyBorder="1" applyAlignment="1">
      <alignment horizontal="center" vertical="center" wrapText="1"/>
    </xf>
    <xf numFmtId="2" fontId="13" fillId="11" borderId="1" xfId="0" applyNumberFormat="1" applyFont="1" applyFill="1" applyBorder="1" applyAlignment="1">
      <alignment horizontal="center" vertical="center"/>
    </xf>
    <xf numFmtId="0" fontId="13" fillId="11" borderId="1" xfId="0" applyFont="1" applyFill="1" applyBorder="1" applyAlignment="1">
      <alignment horizontal="left" vertical="center" wrapText="1"/>
    </xf>
    <xf numFmtId="0" fontId="13" fillId="11" borderId="1" xfId="0" applyFont="1" applyFill="1" applyBorder="1" applyAlignment="1">
      <alignment horizontal="center" vertical="center" wrapText="1"/>
    </xf>
    <xf numFmtId="0" fontId="13" fillId="11" borderId="5" xfId="0" applyFont="1" applyFill="1" applyBorder="1" applyAlignment="1">
      <alignment horizontal="center" vertical="center"/>
    </xf>
    <xf numFmtId="0" fontId="13" fillId="11" borderId="4" xfId="0" applyFont="1" applyFill="1" applyBorder="1" applyAlignment="1">
      <alignment horizontal="center" vertical="center"/>
    </xf>
    <xf numFmtId="0" fontId="13" fillId="11" borderId="2" xfId="0" applyFont="1" applyFill="1" applyBorder="1" applyAlignment="1">
      <alignment horizontal="center" vertical="center"/>
    </xf>
    <xf numFmtId="0" fontId="13" fillId="11" borderId="1" xfId="0" applyFont="1" applyFill="1" applyBorder="1" applyAlignment="1">
      <alignment horizontal="center" vertical="center"/>
    </xf>
    <xf numFmtId="4" fontId="14" fillId="11" borderId="5" xfId="0" applyNumberFormat="1" applyFont="1" applyFill="1" applyBorder="1" applyAlignment="1">
      <alignment horizontal="center" vertical="center" wrapText="1"/>
    </xf>
    <xf numFmtId="0" fontId="13" fillId="11" borderId="0" xfId="0" applyFont="1" applyFill="1"/>
    <xf numFmtId="49" fontId="43" fillId="11" borderId="1" xfId="0" applyNumberFormat="1" applyFont="1" applyFill="1" applyBorder="1" applyAlignment="1">
      <alignment horizontal="center" vertical="center"/>
    </xf>
    <xf numFmtId="0" fontId="43" fillId="11" borderId="1" xfId="0" applyFont="1" applyFill="1" applyBorder="1" applyAlignment="1">
      <alignment horizontal="left" vertical="center" wrapText="1"/>
    </xf>
    <xf numFmtId="0" fontId="43" fillId="11" borderId="1" xfId="0" applyFont="1" applyFill="1" applyBorder="1" applyAlignment="1">
      <alignment horizontal="center" vertical="center" wrapText="1"/>
    </xf>
    <xf numFmtId="0" fontId="43" fillId="11" borderId="1" xfId="0" applyNumberFormat="1" applyFont="1" applyFill="1" applyBorder="1" applyAlignment="1">
      <alignment horizontal="center" vertical="center" wrapText="1"/>
    </xf>
    <xf numFmtId="4" fontId="43" fillId="11" borderId="1" xfId="0" applyNumberFormat="1" applyFont="1" applyFill="1" applyBorder="1" applyAlignment="1">
      <alignment horizontal="center" vertical="center" wrapText="1"/>
    </xf>
    <xf numFmtId="0" fontId="43" fillId="11" borderId="1" xfId="0" applyFont="1" applyFill="1" applyBorder="1"/>
    <xf numFmtId="167" fontId="43" fillId="11" borderId="1" xfId="0" applyNumberFormat="1" applyFont="1" applyFill="1" applyBorder="1" applyAlignment="1">
      <alignment horizontal="center" vertical="center" wrapText="1"/>
    </xf>
    <xf numFmtId="4" fontId="43" fillId="11" borderId="5" xfId="0" applyNumberFormat="1" applyFont="1" applyFill="1" applyBorder="1" applyAlignment="1">
      <alignment horizontal="center" vertical="center" wrapText="1"/>
    </xf>
    <xf numFmtId="4" fontId="43" fillId="11" borderId="4" xfId="0" applyNumberFormat="1" applyFont="1" applyFill="1" applyBorder="1" applyAlignment="1">
      <alignment horizontal="center" vertical="center" wrapText="1"/>
    </xf>
    <xf numFmtId="168" fontId="43" fillId="11" borderId="24" xfId="0" applyNumberFormat="1" applyFont="1" applyFill="1" applyBorder="1" applyAlignment="1">
      <alignment horizontal="center" vertical="center" wrapText="1"/>
    </xf>
    <xf numFmtId="167" fontId="43" fillId="11" borderId="5" xfId="0" applyNumberFormat="1" applyFont="1" applyFill="1" applyBorder="1" applyAlignment="1">
      <alignment horizontal="center" vertical="center" wrapText="1"/>
    </xf>
    <xf numFmtId="4" fontId="43" fillId="11" borderId="4" xfId="0" applyNumberFormat="1" applyFont="1" applyFill="1" applyBorder="1" applyAlignment="1">
      <alignment horizontal="center" vertical="center"/>
    </xf>
    <xf numFmtId="0" fontId="43" fillId="11" borderId="2" xfId="0" applyFont="1" applyFill="1" applyBorder="1" applyAlignment="1">
      <alignment horizontal="center" vertical="center"/>
    </xf>
    <xf numFmtId="0" fontId="43" fillId="11" borderId="20" xfId="0" applyFont="1" applyFill="1" applyBorder="1" applyAlignment="1">
      <alignment horizontal="center" vertical="center"/>
    </xf>
    <xf numFmtId="0" fontId="43" fillId="11" borderId="12" xfId="0" applyFont="1" applyFill="1" applyBorder="1" applyAlignment="1">
      <alignment horizontal="center" vertical="center"/>
    </xf>
    <xf numFmtId="4" fontId="44" fillId="11" borderId="2" xfId="0" applyNumberFormat="1" applyFont="1" applyFill="1" applyBorder="1" applyAlignment="1">
      <alignment horizontal="center" vertical="center" wrapText="1"/>
    </xf>
    <xf numFmtId="4" fontId="44" fillId="11" borderId="20" xfId="0" applyNumberFormat="1" applyFont="1" applyFill="1" applyBorder="1" applyAlignment="1">
      <alignment horizontal="center" vertical="center" wrapText="1"/>
    </xf>
    <xf numFmtId="0" fontId="43" fillId="11" borderId="0" xfId="0" applyFont="1" applyFill="1"/>
    <xf numFmtId="0" fontId="45" fillId="11" borderId="0" xfId="2" applyFont="1" applyFill="1" applyBorder="1" applyAlignment="1">
      <alignment horizontal="center" vertical="center" wrapText="1"/>
    </xf>
    <xf numFmtId="0" fontId="43" fillId="11" borderId="0" xfId="0" applyFont="1" applyFill="1" applyBorder="1"/>
    <xf numFmtId="49" fontId="13" fillId="11" borderId="1" xfId="0" applyNumberFormat="1" applyFont="1" applyFill="1" applyBorder="1" applyAlignment="1">
      <alignment horizontal="center" vertical="center"/>
    </xf>
    <xf numFmtId="4" fontId="13" fillId="11" borderId="1" xfId="0" applyNumberFormat="1" applyFont="1" applyFill="1" applyBorder="1" applyAlignment="1">
      <alignment horizontal="center" vertical="center" wrapText="1"/>
    </xf>
    <xf numFmtId="0" fontId="13" fillId="11" borderId="1" xfId="0" applyFont="1" applyFill="1" applyBorder="1"/>
    <xf numFmtId="167" fontId="13" fillId="11" borderId="1" xfId="0" applyNumberFormat="1" applyFont="1" applyFill="1" applyBorder="1" applyAlignment="1">
      <alignment horizontal="center" vertical="center" wrapText="1"/>
    </xf>
    <xf numFmtId="4" fontId="13" fillId="11" borderId="5" xfId="0" applyNumberFormat="1" applyFont="1" applyFill="1" applyBorder="1" applyAlignment="1">
      <alignment horizontal="center" vertical="center" wrapText="1"/>
    </xf>
    <xf numFmtId="4" fontId="13" fillId="11" borderId="4" xfId="0" applyNumberFormat="1" applyFont="1" applyFill="1" applyBorder="1" applyAlignment="1">
      <alignment horizontal="center" vertical="center" wrapText="1"/>
    </xf>
    <xf numFmtId="168" fontId="13" fillId="11" borderId="24" xfId="0" applyNumberFormat="1" applyFont="1" applyFill="1" applyBorder="1" applyAlignment="1">
      <alignment horizontal="center" vertical="center" wrapText="1"/>
    </xf>
    <xf numFmtId="167" fontId="13" fillId="11" borderId="5" xfId="0" applyNumberFormat="1" applyFont="1" applyFill="1" applyBorder="1" applyAlignment="1">
      <alignment horizontal="center" vertical="center" wrapText="1"/>
    </xf>
    <xf numFmtId="0" fontId="13" fillId="11" borderId="20" xfId="0" applyFont="1" applyFill="1" applyBorder="1" applyAlignment="1">
      <alignment horizontal="center" vertical="center"/>
    </xf>
    <xf numFmtId="0" fontId="13" fillId="11" borderId="12" xfId="0" applyFont="1" applyFill="1" applyBorder="1" applyAlignment="1">
      <alignment horizontal="center" vertical="center"/>
    </xf>
    <xf numFmtId="4" fontId="14" fillId="11" borderId="2" xfId="0" applyNumberFormat="1" applyFont="1" applyFill="1" applyBorder="1" applyAlignment="1">
      <alignment horizontal="center" vertical="center" wrapText="1"/>
    </xf>
    <xf numFmtId="4" fontId="14" fillId="11" borderId="20" xfId="0" applyNumberFormat="1" applyFont="1" applyFill="1" applyBorder="1" applyAlignment="1">
      <alignment horizontal="center" vertical="center" wrapText="1"/>
    </xf>
    <xf numFmtId="2" fontId="43" fillId="11" borderId="1" xfId="0" applyNumberFormat="1" applyFont="1" applyFill="1" applyBorder="1" applyAlignment="1">
      <alignment vertical="center" wrapText="1"/>
    </xf>
    <xf numFmtId="4" fontId="13" fillId="11" borderId="2" xfId="0" applyNumberFormat="1" applyFont="1" applyFill="1" applyBorder="1" applyAlignment="1">
      <alignment horizontal="center" vertical="center"/>
    </xf>
    <xf numFmtId="0" fontId="43" fillId="11" borderId="1" xfId="0" applyNumberFormat="1" applyFont="1" applyFill="1" applyBorder="1" applyAlignment="1">
      <alignment horizontal="left" vertical="center" wrapText="1"/>
    </xf>
    <xf numFmtId="166" fontId="43" fillId="11" borderId="1" xfId="0" applyNumberFormat="1" applyFont="1" applyFill="1" applyBorder="1" applyAlignment="1">
      <alignment horizontal="center" vertical="center" wrapText="1"/>
    </xf>
    <xf numFmtId="0" fontId="43" fillId="11" borderId="1" xfId="0" applyNumberFormat="1" applyFont="1" applyFill="1" applyBorder="1" applyAlignment="1">
      <alignment vertical="center" wrapText="1"/>
    </xf>
    <xf numFmtId="167" fontId="43" fillId="11" borderId="1" xfId="0" applyNumberFormat="1" applyFont="1" applyFill="1" applyBorder="1"/>
    <xf numFmtId="0" fontId="45" fillId="11" borderId="1" xfId="2" applyFont="1" applyFill="1" applyBorder="1" applyAlignment="1">
      <alignment horizontal="center" vertical="center" wrapText="1"/>
    </xf>
    <xf numFmtId="4" fontId="43" fillId="11" borderId="0" xfId="0" applyNumberFormat="1" applyFont="1" applyFill="1" applyBorder="1" applyAlignment="1">
      <alignment horizontal="center" vertical="center" wrapText="1"/>
    </xf>
    <xf numFmtId="167" fontId="43" fillId="11" borderId="0" xfId="0" applyNumberFormat="1" applyFont="1" applyFill="1" applyBorder="1" applyAlignment="1">
      <alignment horizontal="center" vertical="center" wrapText="1"/>
    </xf>
    <xf numFmtId="170" fontId="43" fillId="11" borderId="1" xfId="0" applyNumberFormat="1" applyFont="1" applyFill="1" applyBorder="1" applyAlignment="1">
      <alignment horizontal="center" vertical="center" wrapText="1"/>
    </xf>
    <xf numFmtId="4" fontId="43" fillId="11" borderId="2" xfId="0" applyNumberFormat="1" applyFont="1" applyFill="1" applyBorder="1" applyAlignment="1">
      <alignment horizontal="center" vertical="center"/>
    </xf>
    <xf numFmtId="49" fontId="43" fillId="11" borderId="0" xfId="0" applyNumberFormat="1" applyFont="1" applyFill="1" applyBorder="1" applyAlignment="1">
      <alignment horizontal="center" vertical="center"/>
    </xf>
    <xf numFmtId="0" fontId="43" fillId="11" borderId="0" xfId="0" applyFont="1" applyFill="1" applyBorder="1" applyAlignment="1">
      <alignment horizontal="left" vertical="center" wrapText="1"/>
    </xf>
    <xf numFmtId="0" fontId="22" fillId="11" borderId="1" xfId="0" applyFont="1" applyFill="1" applyBorder="1" applyAlignment="1">
      <alignment horizontal="left" vertical="center" wrapText="1"/>
    </xf>
    <xf numFmtId="0" fontId="36" fillId="11" borderId="1" xfId="0" applyFont="1" applyFill="1" applyBorder="1" applyAlignment="1">
      <alignment horizontal="center" vertical="center" wrapText="1"/>
    </xf>
    <xf numFmtId="0" fontId="36" fillId="11" borderId="1" xfId="0" applyNumberFormat="1" applyFont="1" applyFill="1" applyBorder="1" applyAlignment="1">
      <alignment horizontal="center" vertical="center" wrapText="1"/>
    </xf>
    <xf numFmtId="4" fontId="36" fillId="11" borderId="1" xfId="0" applyNumberFormat="1" applyFont="1" applyFill="1" applyBorder="1" applyAlignment="1">
      <alignment horizontal="center" vertical="center" wrapText="1"/>
    </xf>
    <xf numFmtId="166" fontId="36" fillId="11" borderId="1" xfId="0" applyNumberFormat="1" applyFont="1" applyFill="1" applyBorder="1" applyAlignment="1">
      <alignment horizontal="center" vertical="center" wrapText="1"/>
    </xf>
    <xf numFmtId="168" fontId="36" fillId="11" borderId="1" xfId="0" applyNumberFormat="1" applyFont="1" applyFill="1" applyBorder="1" applyAlignment="1">
      <alignment horizontal="center" vertical="center" wrapText="1"/>
    </xf>
    <xf numFmtId="4" fontId="36" fillId="11" borderId="5" xfId="0" applyNumberFormat="1" applyFont="1" applyFill="1" applyBorder="1" applyAlignment="1">
      <alignment horizontal="center" vertical="center" wrapText="1"/>
    </xf>
    <xf numFmtId="4" fontId="36" fillId="11" borderId="4" xfId="0" applyNumberFormat="1" applyFont="1" applyFill="1" applyBorder="1" applyAlignment="1">
      <alignment horizontal="center" vertical="center" wrapText="1"/>
    </xf>
    <xf numFmtId="168" fontId="36" fillId="11" borderId="24" xfId="0" applyNumberFormat="1" applyFont="1" applyFill="1" applyBorder="1" applyAlignment="1">
      <alignment horizontal="center" vertical="center" wrapText="1"/>
    </xf>
    <xf numFmtId="167" fontId="36" fillId="11" borderId="5" xfId="0" applyNumberFormat="1" applyFont="1" applyFill="1" applyBorder="1" applyAlignment="1">
      <alignment horizontal="center" vertical="center" wrapText="1"/>
    </xf>
    <xf numFmtId="167" fontId="36" fillId="11" borderId="1" xfId="0" applyNumberFormat="1" applyFont="1" applyFill="1" applyBorder="1" applyAlignment="1">
      <alignment horizontal="center" vertical="center" wrapText="1"/>
    </xf>
    <xf numFmtId="169" fontId="36" fillId="11" borderId="1" xfId="0" applyNumberFormat="1" applyFont="1" applyFill="1" applyBorder="1" applyAlignment="1">
      <alignment horizontal="center" vertical="center" wrapText="1"/>
    </xf>
    <xf numFmtId="169" fontId="13" fillId="11" borderId="1" xfId="0" applyNumberFormat="1" applyFont="1" applyFill="1" applyBorder="1" applyAlignment="1">
      <alignment horizontal="center" vertical="center" wrapText="1"/>
    </xf>
    <xf numFmtId="0" fontId="13" fillId="11" borderId="1" xfId="1" applyFont="1" applyFill="1" applyBorder="1" applyAlignment="1">
      <alignment horizontal="left" vertical="center" wrapText="1"/>
    </xf>
    <xf numFmtId="0" fontId="17" fillId="11" borderId="20" xfId="0" applyFont="1" applyFill="1" applyBorder="1" applyAlignment="1">
      <alignment horizontal="center" vertical="center"/>
    </xf>
    <xf numFmtId="0" fontId="17" fillId="11" borderId="12" xfId="0" applyFont="1" applyFill="1" applyBorder="1" applyAlignment="1">
      <alignment horizontal="center" vertical="center"/>
    </xf>
    <xf numFmtId="0" fontId="36" fillId="11" borderId="12" xfId="0" applyFont="1" applyFill="1" applyBorder="1" applyAlignment="1">
      <alignment horizontal="center" vertical="center"/>
    </xf>
    <xf numFmtId="0" fontId="17" fillId="11" borderId="0" xfId="0" applyFont="1" applyFill="1"/>
    <xf numFmtId="0" fontId="16" fillId="11" borderId="0" xfId="0" applyFont="1" applyFill="1"/>
    <xf numFmtId="0" fontId="13" fillId="0" borderId="0" xfId="3" applyFont="1" applyAlignment="1">
      <alignment horizontal="center" vertical="center"/>
    </xf>
    <xf numFmtId="0" fontId="13" fillId="0" borderId="0" xfId="3" applyFont="1"/>
    <xf numFmtId="0" fontId="24" fillId="0" borderId="0" xfId="3" applyFont="1" applyBorder="1" applyAlignment="1">
      <alignment vertical="center"/>
    </xf>
    <xf numFmtId="0" fontId="20" fillId="0" borderId="0" xfId="3" applyFont="1" applyBorder="1" applyAlignment="1">
      <alignment vertical="center"/>
    </xf>
    <xf numFmtId="172" fontId="13" fillId="0" borderId="0" xfId="3" applyNumberFormat="1" applyFont="1"/>
    <xf numFmtId="0" fontId="20" fillId="0" borderId="0" xfId="3" applyFont="1" applyAlignment="1">
      <alignment horizontal="center" vertical="center"/>
    </xf>
    <xf numFmtId="0" fontId="14" fillId="0" borderId="0" xfId="3" applyFont="1"/>
    <xf numFmtId="0" fontId="21" fillId="0" borderId="0" xfId="3" applyFont="1" applyAlignment="1">
      <alignment horizontal="center" vertical="center" wrapText="1"/>
    </xf>
    <xf numFmtId="0" fontId="15" fillId="0" borderId="31" xfId="3" applyFont="1" applyBorder="1" applyAlignment="1">
      <alignment horizontal="center" vertical="center"/>
    </xf>
    <xf numFmtId="0" fontId="15" fillId="0" borderId="17" xfId="3" applyFont="1" applyBorder="1" applyAlignment="1">
      <alignment horizontal="center" vertical="center" wrapText="1"/>
    </xf>
    <xf numFmtId="0" fontId="15" fillId="0" borderId="32" xfId="3" applyFont="1" applyBorder="1" applyAlignment="1">
      <alignment horizontal="center" vertical="center" wrapText="1"/>
    </xf>
    <xf numFmtId="0" fontId="15" fillId="0" borderId="32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0" fontId="13" fillId="0" borderId="33" xfId="3" applyFont="1" applyBorder="1" applyAlignment="1">
      <alignment horizontal="center" vertical="center"/>
    </xf>
    <xf numFmtId="0" fontId="13" fillId="0" borderId="34" xfId="3" applyFont="1" applyBorder="1" applyAlignment="1">
      <alignment horizontal="center" vertical="center"/>
    </xf>
    <xf numFmtId="0" fontId="13" fillId="0" borderId="35" xfId="3" applyFont="1" applyBorder="1" applyAlignment="1">
      <alignment horizontal="center" vertical="center"/>
    </xf>
    <xf numFmtId="0" fontId="13" fillId="0" borderId="36" xfId="3" applyFont="1" applyBorder="1" applyAlignment="1">
      <alignment horizontal="center" vertical="center"/>
    </xf>
    <xf numFmtId="172" fontId="15" fillId="0" borderId="0" xfId="3" applyNumberFormat="1" applyFont="1"/>
    <xf numFmtId="0" fontId="13" fillId="0" borderId="37" xfId="3" applyFont="1" applyFill="1" applyBorder="1" applyAlignment="1">
      <alignment horizontal="center" vertical="center"/>
    </xf>
    <xf numFmtId="49" fontId="15" fillId="0" borderId="2" xfId="3" applyNumberFormat="1" applyFont="1" applyFill="1" applyBorder="1" applyAlignment="1">
      <alignment horizontal="center" vertical="center"/>
    </xf>
    <xf numFmtId="0" fontId="15" fillId="0" borderId="1" xfId="3" applyFont="1" applyFill="1" applyBorder="1" applyAlignment="1">
      <alignment horizontal="left" vertical="center"/>
    </xf>
    <xf numFmtId="172" fontId="15" fillId="0" borderId="1" xfId="3" applyNumberFormat="1" applyFont="1" applyFill="1" applyBorder="1" applyAlignment="1">
      <alignment horizontal="center" vertical="center"/>
    </xf>
    <xf numFmtId="172" fontId="15" fillId="0" borderId="12" xfId="3" applyNumberFormat="1" applyFont="1" applyFill="1" applyBorder="1" applyAlignment="1">
      <alignment horizontal="center" vertical="center"/>
    </xf>
    <xf numFmtId="0" fontId="15" fillId="0" borderId="0" xfId="3" applyFont="1" applyFill="1"/>
    <xf numFmtId="172" fontId="15" fillId="0" borderId="0" xfId="3" applyNumberFormat="1" applyFont="1" applyFill="1"/>
    <xf numFmtId="172" fontId="13" fillId="0" borderId="0" xfId="3" applyNumberFormat="1" applyFont="1" applyFill="1"/>
    <xf numFmtId="0" fontId="13" fillId="0" borderId="0" xfId="3" applyFont="1" applyFill="1"/>
    <xf numFmtId="0" fontId="13" fillId="0" borderId="37" xfId="3" applyFont="1" applyBorder="1" applyAlignment="1">
      <alignment horizontal="center" vertical="center"/>
    </xf>
    <xf numFmtId="49" fontId="13" fillId="0" borderId="2" xfId="3" applyNumberFormat="1" applyFont="1" applyBorder="1" applyAlignment="1">
      <alignment horizontal="center" vertical="center"/>
    </xf>
    <xf numFmtId="0" fontId="13" fillId="0" borderId="1" xfId="3" applyFont="1" applyBorder="1" applyAlignment="1">
      <alignment horizontal="left" vertical="center"/>
    </xf>
    <xf numFmtId="172" fontId="13" fillId="0" borderId="1" xfId="3" applyNumberFormat="1" applyFont="1" applyBorder="1" applyAlignment="1">
      <alignment horizontal="center" vertical="center"/>
    </xf>
    <xf numFmtId="0" fontId="13" fillId="0" borderId="1" xfId="3" applyFont="1" applyBorder="1"/>
    <xf numFmtId="0" fontId="13" fillId="0" borderId="4" xfId="3" applyFont="1" applyBorder="1"/>
    <xf numFmtId="0" fontId="13" fillId="0" borderId="12" xfId="3" applyFont="1" applyBorder="1"/>
    <xf numFmtId="0" fontId="13" fillId="0" borderId="1" xfId="3" applyFont="1" applyBorder="1" applyAlignment="1">
      <alignment horizontal="left" vertical="center" wrapText="1"/>
    </xf>
    <xf numFmtId="172" fontId="13" fillId="0" borderId="12" xfId="3" applyNumberFormat="1" applyFont="1" applyBorder="1" applyAlignment="1">
      <alignment horizontal="center" vertical="center"/>
    </xf>
    <xf numFmtId="172" fontId="13" fillId="0" borderId="1" xfId="3" applyNumberFormat="1" applyFont="1" applyFill="1" applyBorder="1" applyAlignment="1">
      <alignment horizontal="center" vertical="center"/>
    </xf>
    <xf numFmtId="172" fontId="13" fillId="0" borderId="12" xfId="3" applyNumberFormat="1" applyFont="1" applyFill="1" applyBorder="1" applyAlignment="1">
      <alignment horizontal="center" vertical="center"/>
    </xf>
    <xf numFmtId="49" fontId="15" fillId="0" borderId="2" xfId="3" applyNumberFormat="1" applyFont="1" applyBorder="1" applyAlignment="1">
      <alignment horizontal="center" vertical="center"/>
    </xf>
    <xf numFmtId="0" fontId="15" fillId="0" borderId="1" xfId="3" applyFont="1" applyBorder="1" applyAlignment="1">
      <alignment horizontal="left" vertical="center"/>
    </xf>
    <xf numFmtId="172" fontId="15" fillId="0" borderId="1" xfId="3" applyNumberFormat="1" applyFont="1" applyBorder="1" applyAlignment="1">
      <alignment horizontal="center" vertical="center"/>
    </xf>
    <xf numFmtId="172" fontId="15" fillId="0" borderId="12" xfId="3" applyNumberFormat="1" applyFont="1" applyBorder="1" applyAlignment="1">
      <alignment horizontal="center" vertical="center"/>
    </xf>
    <xf numFmtId="168" fontId="13" fillId="0" borderId="0" xfId="3" applyNumberFormat="1" applyFont="1"/>
    <xf numFmtId="172" fontId="13" fillId="0" borderId="27" xfId="3" applyNumberFormat="1" applyFont="1" applyBorder="1" applyAlignment="1">
      <alignment horizontal="center" vertical="center"/>
    </xf>
    <xf numFmtId="172" fontId="13" fillId="0" borderId="1" xfId="9" applyNumberFormat="1" applyFont="1" applyBorder="1" applyAlignment="1">
      <alignment horizontal="center" vertical="center"/>
    </xf>
    <xf numFmtId="172" fontId="13" fillId="0" borderId="12" xfId="9" applyNumberFormat="1" applyFont="1" applyBorder="1" applyAlignment="1">
      <alignment horizontal="center" vertical="center"/>
    </xf>
    <xf numFmtId="4" fontId="15" fillId="0" borderId="0" xfId="3" applyNumberFormat="1" applyFont="1"/>
    <xf numFmtId="49" fontId="13" fillId="0" borderId="2" xfId="3" applyNumberFormat="1" applyFont="1" applyFill="1" applyBorder="1" applyAlignment="1">
      <alignment horizontal="center" vertical="center"/>
    </xf>
    <xf numFmtId="0" fontId="13" fillId="0" borderId="1" xfId="3" applyFont="1" applyFill="1" applyBorder="1" applyAlignment="1">
      <alignment horizontal="left" vertical="center"/>
    </xf>
    <xf numFmtId="172" fontId="13" fillId="0" borderId="4" xfId="3" applyNumberFormat="1" applyFont="1" applyBorder="1" applyAlignment="1">
      <alignment horizontal="center" vertical="center"/>
    </xf>
    <xf numFmtId="9" fontId="15" fillId="0" borderId="0" xfId="6" applyFont="1" applyFill="1"/>
    <xf numFmtId="9" fontId="15" fillId="12" borderId="0" xfId="6" applyFont="1" applyFill="1"/>
    <xf numFmtId="172" fontId="15" fillId="0" borderId="4" xfId="3" applyNumberFormat="1" applyFont="1" applyBorder="1" applyAlignment="1">
      <alignment horizontal="center" vertical="center"/>
    </xf>
    <xf numFmtId="172" fontId="13" fillId="0" borderId="4" xfId="3" applyNumberFormat="1" applyFont="1" applyFill="1" applyBorder="1" applyAlignment="1">
      <alignment horizontal="center" vertical="center"/>
    </xf>
    <xf numFmtId="0" fontId="13" fillId="0" borderId="1" xfId="3" applyFont="1" applyFill="1" applyBorder="1"/>
    <xf numFmtId="0" fontId="13" fillId="0" borderId="12" xfId="3" applyFont="1" applyFill="1" applyBorder="1"/>
    <xf numFmtId="0" fontId="15" fillId="0" borderId="1" xfId="3" applyFont="1" applyBorder="1" applyAlignment="1">
      <alignment horizontal="left" vertical="center" wrapText="1"/>
    </xf>
    <xf numFmtId="49" fontId="13" fillId="0" borderId="2" xfId="3" applyNumberFormat="1" applyFont="1" applyBorder="1" applyAlignment="1">
      <alignment vertical="center"/>
    </xf>
    <xf numFmtId="49" fontId="13" fillId="0" borderId="1" xfId="3" applyNumberFormat="1" applyFont="1" applyBorder="1" applyAlignment="1">
      <alignment vertical="center"/>
    </xf>
    <xf numFmtId="0" fontId="15" fillId="0" borderId="1" xfId="3" applyFont="1" applyBorder="1" applyAlignment="1">
      <alignment horizontal="center" vertical="center"/>
    </xf>
    <xf numFmtId="0" fontId="13" fillId="0" borderId="38" xfId="3" applyFont="1" applyBorder="1" applyAlignment="1">
      <alignment horizontal="center" vertical="center"/>
    </xf>
    <xf numFmtId="49" fontId="13" fillId="0" borderId="15" xfId="3" applyNumberFormat="1" applyFont="1" applyBorder="1" applyAlignment="1">
      <alignment horizontal="center" vertical="center"/>
    </xf>
    <xf numFmtId="0" fontId="13" fillId="0" borderId="11" xfId="3" applyFont="1" applyBorder="1" applyAlignment="1">
      <alignment horizontal="left" vertical="center"/>
    </xf>
    <xf numFmtId="0" fontId="13" fillId="0" borderId="11" xfId="3" applyFont="1" applyBorder="1" applyAlignment="1">
      <alignment horizontal="center" vertical="center"/>
    </xf>
    <xf numFmtId="0" fontId="13" fillId="0" borderId="11" xfId="3" applyFont="1" applyBorder="1"/>
    <xf numFmtId="0" fontId="13" fillId="0" borderId="14" xfId="3" applyFont="1" applyBorder="1"/>
    <xf numFmtId="0" fontId="13" fillId="0" borderId="13" xfId="3" applyFont="1" applyBorder="1"/>
    <xf numFmtId="3" fontId="13" fillId="0" borderId="0" xfId="3" applyNumberFormat="1" applyFont="1"/>
    <xf numFmtId="173" fontId="13" fillId="0" borderId="0" xfId="3" applyNumberFormat="1" applyFont="1"/>
    <xf numFmtId="2" fontId="13" fillId="13" borderId="0" xfId="3" applyNumberFormat="1" applyFont="1" applyFill="1"/>
    <xf numFmtId="2" fontId="13" fillId="0" borderId="0" xfId="3" applyNumberFormat="1" applyFont="1"/>
    <xf numFmtId="0" fontId="13" fillId="13" borderId="0" xfId="3" applyFont="1" applyFill="1"/>
    <xf numFmtId="0" fontId="13" fillId="0" borderId="0" xfId="3" applyFont="1" applyAlignment="1">
      <alignment horizontal="right"/>
    </xf>
    <xf numFmtId="1" fontId="13" fillId="0" borderId="0" xfId="3" applyNumberFormat="1" applyFont="1"/>
    <xf numFmtId="0" fontId="16" fillId="0" borderId="0" xfId="3" applyFont="1"/>
    <xf numFmtId="0" fontId="20" fillId="0" borderId="0" xfId="3" applyFont="1"/>
    <xf numFmtId="172" fontId="16" fillId="0" borderId="0" xfId="3" applyNumberFormat="1" applyFont="1"/>
    <xf numFmtId="3" fontId="29" fillId="0" borderId="0" xfId="3" applyNumberFormat="1" applyFont="1"/>
    <xf numFmtId="3" fontId="16" fillId="0" borderId="0" xfId="3" applyNumberFormat="1" applyFont="1"/>
    <xf numFmtId="0" fontId="46" fillId="0" borderId="0" xfId="3" applyFont="1"/>
    <xf numFmtId="0" fontId="29" fillId="0" borderId="0" xfId="3" applyFont="1"/>
    <xf numFmtId="4" fontId="13" fillId="0" borderId="0" xfId="3" applyNumberFormat="1" applyFont="1"/>
    <xf numFmtId="0" fontId="16" fillId="0" borderId="0" xfId="3" applyFont="1" applyAlignment="1">
      <alignment wrapText="1"/>
    </xf>
    <xf numFmtId="0" fontId="47" fillId="0" borderId="0" xfId="3" applyFont="1" applyBorder="1"/>
    <xf numFmtId="0" fontId="15" fillId="0" borderId="17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 wrapText="1"/>
    </xf>
    <xf numFmtId="0" fontId="13" fillId="0" borderId="31" xfId="3" applyFont="1" applyBorder="1" applyAlignment="1">
      <alignment horizontal="center" vertical="center"/>
    </xf>
    <xf numFmtId="0" fontId="13" fillId="0" borderId="17" xfId="3" applyFont="1" applyBorder="1" applyAlignment="1">
      <alignment horizontal="center" vertical="center"/>
    </xf>
    <xf numFmtId="0" fontId="13" fillId="0" borderId="32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3" fillId="0" borderId="9" xfId="3" applyFont="1" applyBorder="1" applyAlignment="1">
      <alignment horizontal="center" vertical="center"/>
    </xf>
    <xf numFmtId="49" fontId="13" fillId="0" borderId="7" xfId="3" applyNumberFormat="1" applyFont="1" applyBorder="1" applyAlignment="1">
      <alignment horizontal="center" vertical="center"/>
    </xf>
    <xf numFmtId="0" fontId="13" fillId="0" borderId="6" xfId="3" applyFont="1" applyBorder="1" applyAlignment="1">
      <alignment vertical="center"/>
    </xf>
    <xf numFmtId="172" fontId="13" fillId="0" borderId="6" xfId="3" applyNumberFormat="1" applyFont="1" applyBorder="1" applyAlignment="1">
      <alignment horizontal="center" vertical="center"/>
    </xf>
    <xf numFmtId="172" fontId="13" fillId="0" borderId="39" xfId="3" applyNumberFormat="1" applyFont="1" applyBorder="1" applyAlignment="1">
      <alignment horizontal="center" vertical="center"/>
    </xf>
    <xf numFmtId="0" fontId="13" fillId="0" borderId="0" xfId="3" applyFont="1" applyAlignment="1">
      <alignment vertical="center"/>
    </xf>
    <xf numFmtId="0" fontId="13" fillId="0" borderId="2" xfId="3" applyFont="1" applyBorder="1" applyAlignment="1">
      <alignment horizontal="center" vertical="center"/>
    </xf>
    <xf numFmtId="49" fontId="13" fillId="0" borderId="5" xfId="3" applyNumberFormat="1" applyFont="1" applyBorder="1" applyAlignment="1">
      <alignment horizontal="center" vertical="center"/>
    </xf>
    <xf numFmtId="0" fontId="13" fillId="0" borderId="1" xfId="3" applyFont="1" applyBorder="1" applyAlignment="1">
      <alignment vertical="center"/>
    </xf>
    <xf numFmtId="0" fontId="13" fillId="0" borderId="1" xfId="3" applyNumberFormat="1" applyFont="1" applyBorder="1" applyAlignment="1">
      <alignment vertical="center" wrapText="1"/>
    </xf>
    <xf numFmtId="0" fontId="13" fillId="0" borderId="1" xfId="3" applyFont="1" applyBorder="1" applyAlignment="1">
      <alignment horizontal="center" vertical="center"/>
    </xf>
    <xf numFmtId="173" fontId="13" fillId="0" borderId="1" xfId="3" applyNumberFormat="1" applyFont="1" applyBorder="1" applyAlignment="1">
      <alignment horizontal="center" vertical="center"/>
    </xf>
    <xf numFmtId="0" fontId="13" fillId="0" borderId="19" xfId="3" applyFont="1" applyBorder="1" applyAlignment="1">
      <alignment horizontal="center" vertical="center"/>
    </xf>
    <xf numFmtId="49" fontId="13" fillId="0" borderId="40" xfId="3" applyNumberFormat="1" applyFont="1" applyBorder="1" applyAlignment="1">
      <alignment horizontal="center" vertical="center"/>
    </xf>
    <xf numFmtId="0" fontId="13" fillId="0" borderId="3" xfId="3" applyFont="1" applyBorder="1" applyAlignment="1">
      <alignment vertical="center"/>
    </xf>
    <xf numFmtId="0" fontId="13" fillId="0" borderId="3" xfId="3" applyFont="1" applyBorder="1" applyAlignment="1">
      <alignment horizontal="center" vertical="center"/>
    </xf>
    <xf numFmtId="172" fontId="13" fillId="0" borderId="18" xfId="3" applyNumberFormat="1" applyFont="1" applyBorder="1" applyAlignment="1">
      <alignment horizontal="center" vertical="center"/>
    </xf>
    <xf numFmtId="49" fontId="15" fillId="0" borderId="17" xfId="3" applyNumberFormat="1" applyFont="1" applyBorder="1" applyAlignment="1">
      <alignment horizontal="center" vertical="center"/>
    </xf>
    <xf numFmtId="0" fontId="15" fillId="0" borderId="32" xfId="3" applyFont="1" applyBorder="1" applyAlignment="1">
      <alignment vertical="center"/>
    </xf>
    <xf numFmtId="172" fontId="15" fillId="0" borderId="32" xfId="3" applyNumberFormat="1" applyFont="1" applyBorder="1" applyAlignment="1">
      <alignment horizontal="center" vertical="center"/>
    </xf>
    <xf numFmtId="172" fontId="15" fillId="0" borderId="16" xfId="3" applyNumberFormat="1" applyFont="1" applyBorder="1" applyAlignment="1">
      <alignment horizontal="center" vertical="center"/>
    </xf>
    <xf numFmtId="0" fontId="15" fillId="0" borderId="0" xfId="3" applyFont="1" applyAlignment="1">
      <alignment vertical="center"/>
    </xf>
    <xf numFmtId="0" fontId="13" fillId="0" borderId="1" xfId="3" applyFont="1" applyBorder="1" applyAlignment="1">
      <alignment horizontal="right" vertical="center"/>
    </xf>
    <xf numFmtId="0" fontId="13" fillId="0" borderId="4" xfId="3" applyFont="1" applyBorder="1" applyAlignment="1">
      <alignment horizontal="center" vertical="center"/>
    </xf>
    <xf numFmtId="0" fontId="13" fillId="0" borderId="12" xfId="3" applyFont="1" applyBorder="1" applyAlignment="1">
      <alignment vertical="center"/>
    </xf>
    <xf numFmtId="0" fontId="13" fillId="0" borderId="15" xfId="3" applyFont="1" applyBorder="1" applyAlignment="1">
      <alignment horizontal="center" vertical="center"/>
    </xf>
    <xf numFmtId="49" fontId="13" fillId="0" borderId="41" xfId="3" applyNumberFormat="1" applyFont="1" applyBorder="1" applyAlignment="1">
      <alignment horizontal="center" vertical="center"/>
    </xf>
    <xf numFmtId="0" fontId="13" fillId="0" borderId="11" xfId="3" applyFont="1" applyBorder="1" applyAlignment="1">
      <alignment horizontal="right" vertical="center"/>
    </xf>
    <xf numFmtId="0" fontId="13" fillId="0" borderId="14" xfId="3" applyFont="1" applyBorder="1" applyAlignment="1">
      <alignment horizontal="center" vertical="center"/>
    </xf>
    <xf numFmtId="0" fontId="13" fillId="0" borderId="13" xfId="3" applyFont="1" applyBorder="1" applyAlignment="1">
      <alignment vertical="center"/>
    </xf>
    <xf numFmtId="0" fontId="13" fillId="0" borderId="0" xfId="3" applyFont="1" applyAlignment="1">
      <alignment horizontal="left"/>
    </xf>
    <xf numFmtId="172" fontId="29" fillId="0" borderId="0" xfId="3" applyNumberFormat="1" applyFont="1" applyFill="1"/>
    <xf numFmtId="173" fontId="29" fillId="0" borderId="0" xfId="3" applyNumberFormat="1" applyFont="1" applyFill="1"/>
    <xf numFmtId="0" fontId="29" fillId="0" borderId="0" xfId="3" applyFont="1" applyFill="1"/>
    <xf numFmtId="172" fontId="46" fillId="0" borderId="0" xfId="3" applyNumberFormat="1" applyFont="1" applyFill="1"/>
    <xf numFmtId="172" fontId="46" fillId="0" borderId="0" xfId="3" applyNumberFormat="1" applyFont="1"/>
    <xf numFmtId="172" fontId="29" fillId="0" borderId="0" xfId="3" applyNumberFormat="1" applyFont="1"/>
    <xf numFmtId="165" fontId="25" fillId="0" borderId="0" xfId="9" applyNumberFormat="1" applyFont="1" applyFill="1" applyAlignment="1">
      <alignment vertical="center"/>
    </xf>
    <xf numFmtId="0" fontId="15" fillId="0" borderId="42" xfId="3" applyFont="1" applyBorder="1" applyAlignment="1">
      <alignment horizontal="center" vertical="center"/>
    </xf>
    <xf numFmtId="0" fontId="15" fillId="0" borderId="43" xfId="3" applyFont="1" applyBorder="1" applyAlignment="1">
      <alignment horizontal="center" vertical="center" wrapText="1"/>
    </xf>
    <xf numFmtId="0" fontId="13" fillId="0" borderId="43" xfId="3" applyFont="1" applyBorder="1" applyAlignment="1">
      <alignment horizontal="center" vertical="center"/>
    </xf>
    <xf numFmtId="0" fontId="13" fillId="0" borderId="44" xfId="3" applyFont="1" applyBorder="1" applyAlignment="1">
      <alignment horizontal="center" vertical="center"/>
    </xf>
    <xf numFmtId="3" fontId="13" fillId="14" borderId="0" xfId="3" applyNumberFormat="1" applyFont="1" applyFill="1"/>
    <xf numFmtId="0" fontId="13" fillId="0" borderId="34" xfId="3" applyFont="1" applyBorder="1" applyAlignment="1">
      <alignment horizontal="center"/>
    </xf>
    <xf numFmtId="3" fontId="13" fillId="0" borderId="1" xfId="3" applyNumberFormat="1" applyFont="1" applyBorder="1" applyAlignment="1">
      <alignment horizontal="center" vertical="center"/>
    </xf>
    <xf numFmtId="3" fontId="13" fillId="0" borderId="12" xfId="3" applyNumberFormat="1" applyFont="1" applyBorder="1" applyAlignment="1">
      <alignment horizontal="center" vertical="center"/>
    </xf>
    <xf numFmtId="0" fontId="13" fillId="0" borderId="2" xfId="3" applyFont="1" applyFill="1" applyBorder="1" applyAlignment="1">
      <alignment horizontal="center" vertical="center"/>
    </xf>
    <xf numFmtId="0" fontId="13" fillId="0" borderId="1" xfId="3" applyFont="1" applyFill="1" applyBorder="1" applyAlignment="1">
      <alignment horizontal="left" vertical="center" indent="2"/>
    </xf>
    <xf numFmtId="3" fontId="13" fillId="0" borderId="1" xfId="3" applyNumberFormat="1" applyFont="1" applyFill="1" applyBorder="1" applyAlignment="1">
      <alignment horizontal="center" vertical="center"/>
    </xf>
    <xf numFmtId="3" fontId="13" fillId="0" borderId="12" xfId="3" applyNumberFormat="1" applyFont="1" applyFill="1" applyBorder="1" applyAlignment="1">
      <alignment horizontal="center" vertical="center"/>
    </xf>
    <xf numFmtId="3" fontId="13" fillId="0" borderId="0" xfId="3" applyNumberFormat="1" applyFont="1" applyFill="1"/>
    <xf numFmtId="0" fontId="13" fillId="0" borderId="1" xfId="3" applyFont="1" applyBorder="1" applyAlignment="1">
      <alignment horizontal="left" vertical="center" indent="2"/>
    </xf>
    <xf numFmtId="0" fontId="13" fillId="0" borderId="1" xfId="3" applyFont="1" applyBorder="1" applyAlignment="1">
      <alignment horizontal="left" vertical="center" indent="1"/>
    </xf>
    <xf numFmtId="167" fontId="13" fillId="0" borderId="0" xfId="3" applyNumberFormat="1" applyFont="1" applyFill="1"/>
    <xf numFmtId="1" fontId="13" fillId="0" borderId="0" xfId="3" applyNumberFormat="1" applyFont="1" applyFill="1"/>
    <xf numFmtId="174" fontId="13" fillId="0" borderId="0" xfId="3" applyNumberFormat="1" applyFont="1"/>
    <xf numFmtId="174" fontId="13" fillId="0" borderId="0" xfId="3" applyNumberFormat="1" applyFont="1" applyFill="1"/>
    <xf numFmtId="0" fontId="13" fillId="0" borderId="1" xfId="3" applyFont="1" applyFill="1" applyBorder="1" applyAlignment="1">
      <alignment horizontal="left" vertical="center" indent="1"/>
    </xf>
    <xf numFmtId="3" fontId="15" fillId="0" borderId="1" xfId="3" applyNumberFormat="1" applyFont="1" applyBorder="1" applyAlignment="1">
      <alignment horizontal="center" vertical="center"/>
    </xf>
    <xf numFmtId="3" fontId="15" fillId="0" borderId="12" xfId="3" applyNumberFormat="1" applyFont="1" applyBorder="1" applyAlignment="1">
      <alignment horizontal="center" vertical="center"/>
    </xf>
    <xf numFmtId="3" fontId="15" fillId="0" borderId="1" xfId="3" applyNumberFormat="1" applyFont="1" applyFill="1" applyBorder="1" applyAlignment="1">
      <alignment horizontal="center" vertical="center"/>
    </xf>
    <xf numFmtId="3" fontId="15" fillId="0" borderId="12" xfId="3" applyNumberFormat="1" applyFont="1" applyFill="1" applyBorder="1" applyAlignment="1">
      <alignment horizontal="center" vertical="center"/>
    </xf>
    <xf numFmtId="0" fontId="13" fillId="0" borderId="1" xfId="3" applyFont="1" applyBorder="1" applyAlignment="1">
      <alignment horizontal="left" vertical="center" wrapText="1" indent="2"/>
    </xf>
    <xf numFmtId="3" fontId="13" fillId="0" borderId="11" xfId="3" applyNumberFormat="1" applyFont="1" applyBorder="1" applyAlignment="1">
      <alignment horizontal="center" vertical="center"/>
    </xf>
    <xf numFmtId="3" fontId="13" fillId="0" borderId="13" xfId="3" applyNumberFormat="1" applyFont="1" applyBorder="1" applyAlignment="1">
      <alignment horizontal="center" vertical="center"/>
    </xf>
    <xf numFmtId="3" fontId="13" fillId="0" borderId="0" xfId="3" applyNumberFormat="1" applyFont="1" applyAlignment="1">
      <alignment horizontal="left"/>
    </xf>
    <xf numFmtId="0" fontId="19" fillId="0" borderId="0" xfId="3" applyFont="1"/>
    <xf numFmtId="0" fontId="19" fillId="0" borderId="0" xfId="3" applyFont="1" applyAlignment="1">
      <alignment horizontal="left"/>
    </xf>
    <xf numFmtId="172" fontId="19" fillId="0" borderId="0" xfId="3" applyNumberFormat="1" applyFont="1"/>
    <xf numFmtId="49" fontId="13" fillId="37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/>
    <xf numFmtId="0" fontId="13" fillId="0" borderId="1" xfId="0" applyFont="1" applyFill="1" applyBorder="1"/>
    <xf numFmtId="0" fontId="13" fillId="0" borderId="45" xfId="0" applyFont="1" applyFill="1" applyBorder="1" applyAlignment="1">
      <alignment horizontal="center" vertical="center" wrapText="1"/>
    </xf>
    <xf numFmtId="0" fontId="15" fillId="3" borderId="1" xfId="0" applyFont="1" applyFill="1" applyBorder="1"/>
    <xf numFmtId="0" fontId="17" fillId="0" borderId="1" xfId="0" applyFont="1" applyFill="1" applyBorder="1"/>
    <xf numFmtId="0" fontId="15" fillId="0" borderId="1" xfId="0" applyFont="1" applyFill="1" applyBorder="1"/>
    <xf numFmtId="0" fontId="13" fillId="3" borderId="1" xfId="0" applyFont="1" applyFill="1" applyBorder="1"/>
    <xf numFmtId="0" fontId="13" fillId="0" borderId="1" xfId="0" applyFont="1" applyFill="1" applyBorder="1"/>
    <xf numFmtId="0" fontId="13" fillId="0" borderId="1" xfId="0" applyFont="1" applyFill="1" applyBorder="1"/>
    <xf numFmtId="49" fontId="13" fillId="0" borderId="1" xfId="0" applyNumberFormat="1" applyFont="1" applyFill="1" applyBorder="1" applyAlignment="1">
      <alignment horizontal="center" vertical="center"/>
    </xf>
    <xf numFmtId="49" fontId="13" fillId="0" borderId="3" xfId="0" applyNumberFormat="1" applyFont="1" applyFill="1" applyBorder="1" applyAlignment="1">
      <alignment vertical="center"/>
    </xf>
    <xf numFmtId="49" fontId="13" fillId="0" borderId="10" xfId="0" applyNumberFormat="1" applyFont="1" applyFill="1" applyBorder="1" applyAlignment="1">
      <alignment vertical="center"/>
    </xf>
    <xf numFmtId="49" fontId="13" fillId="0" borderId="6" xfId="0" applyNumberFormat="1" applyFont="1" applyFill="1" applyBorder="1" applyAlignment="1">
      <alignment vertical="center"/>
    </xf>
    <xf numFmtId="4" fontId="43" fillId="37" borderId="1" xfId="0" applyNumberFormat="1" applyFont="1" applyFill="1" applyBorder="1" applyAlignment="1">
      <alignment horizontal="center" vertical="center" wrapText="1"/>
    </xf>
    <xf numFmtId="4" fontId="43" fillId="37" borderId="4" xfId="0" applyNumberFormat="1" applyFont="1" applyFill="1" applyBorder="1" applyAlignment="1">
      <alignment horizontal="center" vertical="center" wrapText="1"/>
    </xf>
    <xf numFmtId="0" fontId="43" fillId="37" borderId="0" xfId="0" applyFont="1" applyFill="1"/>
    <xf numFmtId="49" fontId="43" fillId="11" borderId="1" xfId="0" applyNumberFormat="1" applyFont="1" applyFill="1" applyBorder="1" applyAlignment="1">
      <alignment horizontal="center" vertical="center"/>
    </xf>
    <xf numFmtId="49" fontId="13" fillId="38" borderId="3" xfId="0" applyNumberFormat="1" applyFont="1" applyFill="1" applyBorder="1" applyAlignment="1">
      <alignment vertical="center"/>
    </xf>
    <xf numFmtId="49" fontId="13" fillId="38" borderId="10" xfId="0" applyNumberFormat="1" applyFont="1" applyFill="1" applyBorder="1" applyAlignment="1">
      <alignment vertical="center"/>
    </xf>
    <xf numFmtId="49" fontId="13" fillId="38" borderId="6" xfId="0" applyNumberFormat="1" applyFont="1" applyFill="1" applyBorder="1" applyAlignment="1">
      <alignment vertical="center"/>
    </xf>
    <xf numFmtId="49" fontId="13" fillId="38" borderId="1" xfId="0" applyNumberFormat="1" applyFont="1" applyFill="1" applyBorder="1" applyAlignment="1">
      <alignment horizontal="center" vertical="center"/>
    </xf>
    <xf numFmtId="49" fontId="43" fillId="38" borderId="1" xfId="0" applyNumberFormat="1" applyFont="1" applyFill="1" applyBorder="1" applyAlignment="1">
      <alignment horizontal="center" vertical="center"/>
    </xf>
    <xf numFmtId="2" fontId="13" fillId="38" borderId="1" xfId="0" applyNumberFormat="1" applyFont="1" applyFill="1" applyBorder="1" applyAlignment="1">
      <alignment horizontal="center" vertical="center"/>
    </xf>
    <xf numFmtId="49" fontId="36" fillId="38" borderId="1" xfId="0" applyNumberFormat="1" applyFont="1" applyFill="1" applyBorder="1" applyAlignment="1">
      <alignment horizontal="center" vertical="center"/>
    </xf>
    <xf numFmtId="0" fontId="43" fillId="37" borderId="20" xfId="0" applyFont="1" applyFill="1" applyBorder="1" applyAlignment="1">
      <alignment horizontal="center" vertical="center"/>
    </xf>
    <xf numFmtId="0" fontId="43" fillId="37" borderId="12" xfId="0" applyFont="1" applyFill="1" applyBorder="1" applyAlignment="1">
      <alignment horizontal="center" vertical="center"/>
    </xf>
    <xf numFmtId="0" fontId="43" fillId="37" borderId="0" xfId="0" applyFont="1" applyFill="1" applyBorder="1"/>
    <xf numFmtId="49" fontId="43" fillId="11" borderId="1" xfId="0" applyNumberFormat="1" applyFont="1" applyFill="1" applyBorder="1" applyAlignment="1">
      <alignment horizontal="center" vertical="center"/>
    </xf>
    <xf numFmtId="2" fontId="22" fillId="11" borderId="1" xfId="0" applyNumberFormat="1" applyFont="1" applyFill="1" applyBorder="1" applyAlignment="1">
      <alignment vertical="center" wrapText="1"/>
    </xf>
    <xf numFmtId="49" fontId="70" fillId="37" borderId="1" xfId="0" applyNumberFormat="1" applyFont="1" applyFill="1" applyBorder="1" applyAlignment="1">
      <alignment horizontal="center" vertical="center"/>
    </xf>
    <xf numFmtId="167" fontId="43" fillId="37" borderId="1" xfId="0" applyNumberFormat="1" applyFont="1" applyFill="1" applyBorder="1" applyAlignment="1">
      <alignment horizontal="center" vertical="center" wrapText="1"/>
    </xf>
    <xf numFmtId="4" fontId="43" fillId="37" borderId="5" xfId="0" applyNumberFormat="1" applyFont="1" applyFill="1" applyBorder="1" applyAlignment="1">
      <alignment horizontal="center" vertical="center" wrapText="1"/>
    </xf>
    <xf numFmtId="168" fontId="43" fillId="37" borderId="24" xfId="0" applyNumberFormat="1" applyFont="1" applyFill="1" applyBorder="1" applyAlignment="1">
      <alignment horizontal="center" vertical="center" wrapText="1"/>
    </xf>
    <xf numFmtId="167" fontId="43" fillId="37" borderId="5" xfId="0" applyNumberFormat="1" applyFont="1" applyFill="1" applyBorder="1" applyAlignment="1">
      <alignment horizontal="center" vertical="center" wrapText="1"/>
    </xf>
    <xf numFmtId="4" fontId="43" fillId="37" borderId="4" xfId="0" applyNumberFormat="1" applyFont="1" applyFill="1" applyBorder="1" applyAlignment="1">
      <alignment horizontal="center" vertical="center"/>
    </xf>
    <xf numFmtId="0" fontId="43" fillId="37" borderId="2" xfId="0" applyFont="1" applyFill="1" applyBorder="1" applyAlignment="1">
      <alignment horizontal="center" vertical="center"/>
    </xf>
    <xf numFmtId="4" fontId="44" fillId="37" borderId="2" xfId="0" applyNumberFormat="1" applyFont="1" applyFill="1" applyBorder="1" applyAlignment="1">
      <alignment horizontal="center" vertical="center" wrapText="1"/>
    </xf>
    <xf numFmtId="4" fontId="44" fillId="37" borderId="20" xfId="0" applyNumberFormat="1" applyFont="1" applyFill="1" applyBorder="1" applyAlignment="1">
      <alignment horizontal="center" vertical="center" wrapText="1"/>
    </xf>
    <xf numFmtId="49" fontId="43" fillId="37" borderId="0" xfId="0" applyNumberFormat="1" applyFont="1" applyFill="1" applyBorder="1" applyAlignment="1">
      <alignment horizontal="center" vertical="center"/>
    </xf>
    <xf numFmtId="0" fontId="43" fillId="37" borderId="0" xfId="0" applyFont="1" applyFill="1" applyBorder="1" applyAlignment="1">
      <alignment horizontal="left" vertical="center" wrapText="1"/>
    </xf>
    <xf numFmtId="0" fontId="45" fillId="37" borderId="0" xfId="2" applyFont="1" applyFill="1" applyBorder="1" applyAlignment="1">
      <alignment horizontal="center" vertical="center" wrapText="1"/>
    </xf>
    <xf numFmtId="49" fontId="43" fillId="11" borderId="1" xfId="0" applyNumberFormat="1" applyFont="1" applyFill="1" applyBorder="1" applyAlignment="1">
      <alignment horizontal="center" vertical="center" wrapText="1"/>
    </xf>
    <xf numFmtId="0" fontId="21" fillId="0" borderId="0" xfId="0" applyFont="1"/>
    <xf numFmtId="2" fontId="21" fillId="0" borderId="0" xfId="0" applyNumberFormat="1" applyFont="1"/>
    <xf numFmtId="49" fontId="21" fillId="0" borderId="0" xfId="0" applyNumberFormat="1" applyFont="1"/>
    <xf numFmtId="0" fontId="39" fillId="0" borderId="0" xfId="0" applyFont="1"/>
    <xf numFmtId="0" fontId="77" fillId="0" borderId="0" xfId="0" applyFont="1"/>
    <xf numFmtId="2" fontId="77" fillId="0" borderId="0" xfId="0" applyNumberFormat="1" applyFont="1"/>
    <xf numFmtId="49" fontId="77" fillId="0" borderId="0" xfId="0" applyNumberFormat="1" applyFont="1"/>
    <xf numFmtId="49" fontId="77" fillId="0" borderId="1" xfId="0" applyNumberFormat="1" applyFont="1" applyBorder="1" applyAlignment="1">
      <alignment horizontal="right"/>
    </xf>
    <xf numFmtId="49" fontId="77" fillId="0" borderId="1" xfId="0" applyNumberFormat="1" applyFont="1" applyBorder="1"/>
    <xf numFmtId="167" fontId="36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20" fillId="0" borderId="0" xfId="1325" applyFont="1"/>
    <xf numFmtId="0" fontId="20" fillId="0" borderId="0" xfId="1325" applyFont="1" applyAlignment="1">
      <alignment horizontal="right"/>
    </xf>
    <xf numFmtId="0" fontId="13" fillId="0" borderId="0" xfId="1325" applyFont="1" applyAlignment="1">
      <alignment horizontal="right"/>
    </xf>
    <xf numFmtId="0" fontId="14" fillId="0" borderId="0" xfId="12" applyFont="1" applyAlignment="1"/>
    <xf numFmtId="0" fontId="14" fillId="0" borderId="31" xfId="1325" applyFont="1" applyBorder="1" applyAlignment="1">
      <alignment horizontal="center" vertical="center"/>
    </xf>
    <xf numFmtId="0" fontId="14" fillId="0" borderId="57" xfId="1325" applyFont="1" applyBorder="1" applyAlignment="1">
      <alignment horizontal="center" vertical="center" wrapText="1"/>
    </xf>
    <xf numFmtId="0" fontId="14" fillId="0" borderId="0" xfId="1325" applyFont="1" applyAlignment="1">
      <alignment horizontal="center"/>
    </xf>
    <xf numFmtId="49" fontId="20" fillId="0" borderId="59" xfId="1325" applyNumberFormat="1" applyFont="1" applyBorder="1" applyAlignment="1">
      <alignment horizontal="center" vertical="center"/>
    </xf>
    <xf numFmtId="0" fontId="20" fillId="0" borderId="60" xfId="1325" applyFont="1" applyBorder="1" applyAlignment="1">
      <alignment horizontal="left" vertical="center"/>
    </xf>
    <xf numFmtId="49" fontId="20" fillId="0" borderId="37" xfId="1325" applyNumberFormat="1" applyFont="1" applyBorder="1" applyAlignment="1">
      <alignment horizontal="center" vertical="center"/>
    </xf>
    <xf numFmtId="0" fontId="20" fillId="0" borderId="24" xfId="1325" applyFont="1" applyBorder="1" applyAlignment="1">
      <alignment horizontal="left" vertical="center"/>
    </xf>
    <xf numFmtId="0" fontId="14" fillId="0" borderId="0" xfId="1325" applyFont="1"/>
    <xf numFmtId="0" fontId="14" fillId="0" borderId="0" xfId="1325" applyFont="1" applyAlignment="1">
      <alignment horizontal="center" vertical="center" wrapText="1"/>
    </xf>
    <xf numFmtId="0" fontId="20" fillId="0" borderId="24" xfId="1325" applyFont="1" applyBorder="1" applyAlignment="1">
      <alignment horizontal="right" vertical="center"/>
    </xf>
    <xf numFmtId="49" fontId="20" fillId="0" borderId="38" xfId="1325" applyNumberFormat="1" applyFont="1" applyBorder="1" applyAlignment="1">
      <alignment horizontal="center" vertical="center"/>
    </xf>
    <xf numFmtId="0" fontId="20" fillId="0" borderId="26" xfId="1325" applyFont="1" applyBorder="1" applyAlignment="1">
      <alignment horizontal="right" vertical="center"/>
    </xf>
    <xf numFmtId="49" fontId="20" fillId="0" borderId="0" xfId="1325" applyNumberFormat="1" applyFont="1" applyBorder="1" applyAlignment="1">
      <alignment horizontal="center" vertical="center"/>
    </xf>
    <xf numFmtId="0" fontId="20" fillId="0" borderId="0" xfId="1325" applyFont="1" applyBorder="1" applyAlignment="1">
      <alignment horizontal="left" vertical="center" wrapText="1"/>
    </xf>
    <xf numFmtId="0" fontId="20" fillId="0" borderId="0" xfId="1325" applyFont="1" applyBorder="1" applyAlignment="1">
      <alignment horizontal="left" vertical="center"/>
    </xf>
    <xf numFmtId="0" fontId="20" fillId="0" borderId="0" xfId="1325" applyFont="1" applyBorder="1"/>
    <xf numFmtId="0" fontId="15" fillId="0" borderId="0" xfId="12" applyFont="1" applyFill="1" applyAlignment="1">
      <alignment horizontal="left"/>
    </xf>
    <xf numFmtId="0" fontId="15" fillId="0" borderId="0" xfId="12" applyFont="1" applyFill="1" applyAlignment="1">
      <alignment horizontal="center"/>
    </xf>
    <xf numFmtId="0" fontId="15" fillId="0" borderId="0" xfId="12" applyFont="1" applyFill="1"/>
    <xf numFmtId="172" fontId="15" fillId="0" borderId="0" xfId="12" applyNumberFormat="1" applyFont="1" applyFill="1" applyAlignment="1">
      <alignment horizontal="center"/>
    </xf>
    <xf numFmtId="49" fontId="13" fillId="11" borderId="0" xfId="12" applyNumberFormat="1" applyFont="1" applyFill="1" applyAlignment="1">
      <alignment horizontal="center" vertical="center"/>
    </xf>
    <xf numFmtId="0" fontId="20" fillId="11" borderId="0" xfId="12" applyFont="1" applyFill="1" applyAlignment="1">
      <alignment wrapText="1"/>
    </xf>
    <xf numFmtId="0" fontId="20" fillId="11" borderId="0" xfId="12" applyFont="1" applyFill="1"/>
    <xf numFmtId="0" fontId="80" fillId="11" borderId="0" xfId="0" applyFont="1" applyFill="1" applyAlignment="1">
      <alignment horizontal="center" vertical="top"/>
    </xf>
    <xf numFmtId="0" fontId="79" fillId="11" borderId="0" xfId="0" applyFont="1" applyFill="1" applyAlignment="1">
      <alignment horizontal="justify" vertical="center"/>
    </xf>
    <xf numFmtId="0" fontId="20" fillId="11" borderId="0" xfId="12" applyFont="1" applyFill="1" applyAlignment="1">
      <alignment vertical="center"/>
    </xf>
    <xf numFmtId="49" fontId="13" fillId="0" borderId="0" xfId="12" applyNumberFormat="1" applyFont="1" applyFill="1" applyAlignment="1">
      <alignment horizontal="center" vertical="center"/>
    </xf>
    <xf numFmtId="0" fontId="20" fillId="0" borderId="0" xfId="12" applyFont="1" applyFill="1" applyAlignment="1">
      <alignment wrapText="1"/>
    </xf>
    <xf numFmtId="49" fontId="15" fillId="0" borderId="46" xfId="12" applyNumberFormat="1" applyFont="1" applyFill="1" applyBorder="1" applyAlignment="1">
      <alignment horizontal="left" vertical="center"/>
    </xf>
    <xf numFmtId="49" fontId="13" fillId="0" borderId="0" xfId="12" applyNumberFormat="1" applyFont="1" applyFill="1" applyAlignment="1">
      <alignment horizontal="left" vertical="center"/>
    </xf>
    <xf numFmtId="171" fontId="20" fillId="0" borderId="0" xfId="1325" applyNumberFormat="1" applyFont="1"/>
    <xf numFmtId="4" fontId="20" fillId="11" borderId="0" xfId="12" applyNumberFormat="1" applyFont="1" applyFill="1" applyAlignment="1">
      <alignment vertical="center"/>
    </xf>
    <xf numFmtId="49" fontId="84" fillId="0" borderId="15" xfId="12" applyNumberFormat="1" applyFont="1" applyFill="1" applyBorder="1" applyAlignment="1">
      <alignment horizontal="center" vertical="center"/>
    </xf>
    <xf numFmtId="0" fontId="84" fillId="0" borderId="11" xfId="12" applyFont="1" applyFill="1" applyBorder="1" applyAlignment="1">
      <alignment horizontal="center" vertical="center" wrapText="1"/>
    </xf>
    <xf numFmtId="0" fontId="14" fillId="0" borderId="22" xfId="1325" applyFont="1" applyBorder="1" applyAlignment="1">
      <alignment horizontal="center" vertical="center" wrapText="1"/>
    </xf>
    <xf numFmtId="49" fontId="20" fillId="11" borderId="37" xfId="1325" applyNumberFormat="1" applyFont="1" applyFill="1" applyBorder="1" applyAlignment="1">
      <alignment horizontal="center" vertical="center"/>
    </xf>
    <xf numFmtId="0" fontId="20" fillId="11" borderId="24" xfId="1325" applyFont="1" applyFill="1" applyBorder="1" applyAlignment="1">
      <alignment horizontal="left" vertical="center" wrapText="1"/>
    </xf>
    <xf numFmtId="0" fontId="20" fillId="11" borderId="0" xfId="1325" applyFont="1" applyFill="1"/>
    <xf numFmtId="0" fontId="20" fillId="11" borderId="24" xfId="1325" applyFont="1" applyFill="1" applyBorder="1" applyAlignment="1">
      <alignment horizontal="left" vertical="center"/>
    </xf>
    <xf numFmtId="0" fontId="14" fillId="11" borderId="0" xfId="1325" applyFont="1" applyFill="1"/>
    <xf numFmtId="0" fontId="15" fillId="11" borderId="12" xfId="12" applyFont="1" applyFill="1" applyBorder="1" applyAlignment="1">
      <alignment horizontal="center" vertical="center" wrapText="1"/>
    </xf>
    <xf numFmtId="0" fontId="84" fillId="11" borderId="13" xfId="12" applyFont="1" applyFill="1" applyBorder="1" applyAlignment="1">
      <alignment horizontal="center" vertical="center" wrapText="1"/>
    </xf>
    <xf numFmtId="0" fontId="20" fillId="0" borderId="0" xfId="1325" applyFont="1"/>
    <xf numFmtId="0" fontId="14" fillId="0" borderId="57" xfId="1325" applyFont="1" applyBorder="1" applyAlignment="1">
      <alignment horizontal="center" vertical="center" wrapText="1"/>
    </xf>
    <xf numFmtId="0" fontId="20" fillId="0" borderId="0" xfId="1325" applyFont="1" applyBorder="1" applyAlignment="1">
      <alignment horizontal="left" vertical="center"/>
    </xf>
    <xf numFmtId="0" fontId="15" fillId="0" borderId="0" xfId="12" applyFont="1" applyFill="1" applyAlignment="1">
      <alignment horizontal="center"/>
    </xf>
    <xf numFmtId="0" fontId="13" fillId="11" borderId="0" xfId="12" applyFont="1" applyFill="1" applyAlignment="1">
      <alignment horizontal="center" vertical="center" wrapText="1"/>
    </xf>
    <xf numFmtId="0" fontId="20" fillId="11" borderId="0" xfId="12" applyFont="1" applyFill="1" applyAlignment="1">
      <alignment horizontal="center" vertical="center" wrapText="1"/>
    </xf>
    <xf numFmtId="0" fontId="20" fillId="11" borderId="0" xfId="12" applyFont="1" applyFill="1"/>
    <xf numFmtId="0" fontId="79" fillId="11" borderId="0" xfId="0" applyFont="1" applyFill="1" applyAlignment="1">
      <alignment horizontal="right" vertical="center"/>
    </xf>
    <xf numFmtId="171" fontId="20" fillId="0" borderId="0" xfId="1325" applyNumberFormat="1" applyFont="1"/>
    <xf numFmtId="0" fontId="84" fillId="11" borderId="11" xfId="12" applyFont="1" applyFill="1" applyBorder="1" applyAlignment="1">
      <alignment horizontal="center" vertical="center" wrapText="1"/>
    </xf>
    <xf numFmtId="3" fontId="0" fillId="11" borderId="11" xfId="0" applyNumberFormat="1" applyFont="1" applyFill="1" applyBorder="1" applyAlignment="1">
      <alignment horizontal="center" vertical="center"/>
    </xf>
    <xf numFmtId="3" fontId="13" fillId="11" borderId="11" xfId="12" applyNumberFormat="1" applyFont="1" applyFill="1" applyBorder="1" applyAlignment="1">
      <alignment horizontal="center" vertical="center"/>
    </xf>
    <xf numFmtId="3" fontId="0" fillId="11" borderId="11" xfId="0" applyNumberFormat="1" applyFont="1" applyFill="1" applyBorder="1" applyAlignment="1">
      <alignment horizontal="right" vertical="center"/>
    </xf>
    <xf numFmtId="0" fontId="15" fillId="11" borderId="1" xfId="12" applyFont="1" applyFill="1" applyBorder="1" applyAlignment="1">
      <alignment horizontal="center" vertical="center" wrapText="1"/>
    </xf>
    <xf numFmtId="49" fontId="84" fillId="11" borderId="11" xfId="12" applyNumberFormat="1" applyFont="1" applyFill="1" applyBorder="1" applyAlignment="1">
      <alignment horizontal="center" vertical="center"/>
    </xf>
    <xf numFmtId="171" fontId="13" fillId="0" borderId="34" xfId="0" applyNumberFormat="1" applyFont="1" applyFill="1" applyBorder="1" applyAlignment="1">
      <alignment horizontal="center" vertical="center"/>
    </xf>
    <xf numFmtId="171" fontId="20" fillId="0" borderId="35" xfId="0" applyNumberFormat="1" applyFont="1" applyFill="1" applyBorder="1" applyAlignment="1">
      <alignment vertical="center" wrapText="1"/>
    </xf>
    <xf numFmtId="171" fontId="13" fillId="11" borderId="64" xfId="12" applyNumberFormat="1" applyFont="1" applyFill="1" applyBorder="1" applyAlignment="1">
      <alignment horizontal="center" vertical="center"/>
    </xf>
    <xf numFmtId="171" fontId="13" fillId="11" borderId="35" xfId="12" applyNumberFormat="1" applyFont="1" applyFill="1" applyBorder="1" applyAlignment="1">
      <alignment horizontal="center" vertical="center"/>
    </xf>
    <xf numFmtId="171" fontId="0" fillId="11" borderId="35" xfId="0" applyNumberFormat="1" applyFont="1" applyFill="1" applyBorder="1" applyAlignment="1">
      <alignment horizontal="center"/>
    </xf>
    <xf numFmtId="171" fontId="13" fillId="0" borderId="2" xfId="0" applyNumberFormat="1" applyFont="1" applyFill="1" applyBorder="1" applyAlignment="1">
      <alignment horizontal="center" vertical="center"/>
    </xf>
    <xf numFmtId="171" fontId="20" fillId="0" borderId="1" xfId="12" applyNumberFormat="1" applyFont="1" applyFill="1" applyBorder="1" applyAlignment="1">
      <alignment horizontal="left" vertical="center" indent="1"/>
    </xf>
    <xf numFmtId="171" fontId="13" fillId="11" borderId="4" xfId="12" applyNumberFormat="1" applyFont="1" applyFill="1" applyBorder="1" applyAlignment="1">
      <alignment horizontal="center" vertical="center"/>
    </xf>
    <xf numFmtId="171" fontId="13" fillId="11" borderId="1" xfId="12" applyNumberFormat="1" applyFont="1" applyFill="1" applyBorder="1" applyAlignment="1">
      <alignment horizontal="center" vertical="center"/>
    </xf>
    <xf numFmtId="171" fontId="20" fillId="0" borderId="1" xfId="12" applyNumberFormat="1" applyFont="1" applyFill="1" applyBorder="1" applyAlignment="1">
      <alignment horizontal="left" vertical="center" wrapText="1" indent="1"/>
    </xf>
    <xf numFmtId="171" fontId="0" fillId="11" borderId="6" xfId="0" applyNumberFormat="1" applyFont="1" applyFill="1" applyBorder="1" applyAlignment="1">
      <alignment horizontal="center"/>
    </xf>
    <xf numFmtId="171" fontId="20" fillId="0" borderId="1" xfId="12" applyNumberFormat="1" applyFont="1" applyFill="1" applyBorder="1" applyAlignment="1">
      <alignment horizontal="left" vertical="center" indent="3"/>
    </xf>
    <xf numFmtId="171" fontId="13" fillId="0" borderId="19" xfId="0" applyNumberFormat="1" applyFont="1" applyFill="1" applyBorder="1" applyAlignment="1">
      <alignment horizontal="center" vertical="center"/>
    </xf>
    <xf numFmtId="171" fontId="20" fillId="0" borderId="3" xfId="12" applyNumberFormat="1" applyFont="1" applyFill="1" applyBorder="1" applyAlignment="1">
      <alignment horizontal="left" vertical="center" indent="3"/>
    </xf>
    <xf numFmtId="171" fontId="13" fillId="11" borderId="45" xfId="12" applyNumberFormat="1" applyFont="1" applyFill="1" applyBorder="1" applyAlignment="1">
      <alignment horizontal="center" vertical="center"/>
    </xf>
    <xf numFmtId="171" fontId="13" fillId="0" borderId="9" xfId="0" applyNumberFormat="1" applyFont="1" applyFill="1" applyBorder="1" applyAlignment="1">
      <alignment horizontal="center" vertical="center"/>
    </xf>
    <xf numFmtId="171" fontId="20" fillId="0" borderId="6" xfId="0" applyNumberFormat="1" applyFont="1" applyFill="1" applyBorder="1" applyAlignment="1">
      <alignment vertical="center" wrapText="1"/>
    </xf>
    <xf numFmtId="171" fontId="13" fillId="11" borderId="8" xfId="12" applyNumberFormat="1" applyFont="1" applyFill="1" applyBorder="1" applyAlignment="1">
      <alignment horizontal="center" vertical="center"/>
    </xf>
    <xf numFmtId="171" fontId="20" fillId="0" borderId="1" xfId="12" applyNumberFormat="1" applyFont="1" applyFill="1" applyBorder="1" applyAlignment="1">
      <alignment horizontal="left" vertical="center" wrapText="1" indent="3"/>
    </xf>
    <xf numFmtId="171" fontId="20" fillId="0" borderId="1" xfId="0" applyNumberFormat="1" applyFont="1" applyFill="1" applyBorder="1" applyAlignment="1">
      <alignment horizontal="left" vertical="center" wrapText="1" indent="1"/>
    </xf>
    <xf numFmtId="171" fontId="20" fillId="0" borderId="1" xfId="12" applyNumberFormat="1" applyFont="1" applyFill="1" applyBorder="1" applyAlignment="1">
      <alignment horizontal="left" vertical="center" wrapText="1" indent="5"/>
    </xf>
    <xf numFmtId="171" fontId="20" fillId="0" borderId="1" xfId="0" applyNumberFormat="1" applyFont="1" applyFill="1" applyBorder="1" applyAlignment="1">
      <alignment horizontal="left" vertical="center" wrapText="1" indent="7"/>
    </xf>
    <xf numFmtId="171" fontId="13" fillId="11" borderId="2" xfId="0" applyNumberFormat="1" applyFont="1" applyFill="1" applyBorder="1" applyAlignment="1">
      <alignment horizontal="center" vertical="center"/>
    </xf>
    <xf numFmtId="171" fontId="20" fillId="11" borderId="1" xfId="0" applyNumberFormat="1" applyFont="1" applyFill="1" applyBorder="1" applyAlignment="1">
      <alignment horizontal="left" vertical="center" wrapText="1" indent="1"/>
    </xf>
    <xf numFmtId="171" fontId="13" fillId="11" borderId="3" xfId="12" applyNumberFormat="1" applyFont="1" applyFill="1" applyBorder="1" applyAlignment="1">
      <alignment horizontal="center" vertical="center"/>
    </xf>
    <xf numFmtId="171" fontId="20" fillId="11" borderId="35" xfId="0" applyNumberFormat="1" applyFont="1" applyFill="1" applyBorder="1" applyAlignment="1">
      <alignment horizontal="left" vertical="center" wrapText="1" indent="1"/>
    </xf>
    <xf numFmtId="171" fontId="13" fillId="0" borderId="15" xfId="0" applyNumberFormat="1" applyFont="1" applyFill="1" applyBorder="1" applyAlignment="1">
      <alignment horizontal="center" vertical="center"/>
    </xf>
    <xf numFmtId="171" fontId="20" fillId="0" borderId="11" xfId="12" applyNumberFormat="1" applyFont="1" applyFill="1" applyBorder="1" applyAlignment="1">
      <alignment horizontal="left" vertical="center" indent="3"/>
    </xf>
    <xf numFmtId="171" fontId="13" fillId="11" borderId="14" xfId="12" applyNumberFormat="1" applyFont="1" applyFill="1" applyBorder="1" applyAlignment="1">
      <alignment horizontal="center" vertical="center"/>
    </xf>
    <xf numFmtId="171" fontId="13" fillId="11" borderId="11" xfId="12" applyNumberFormat="1" applyFont="1" applyFill="1" applyBorder="1" applyAlignment="1">
      <alignment horizontal="center" vertical="center"/>
    </xf>
    <xf numFmtId="171" fontId="0" fillId="11" borderId="11" xfId="0" applyNumberFormat="1" applyFont="1" applyFill="1" applyBorder="1" applyAlignment="1">
      <alignment horizontal="center"/>
    </xf>
    <xf numFmtId="171" fontId="13" fillId="11" borderId="6" xfId="12" applyNumberFormat="1" applyFont="1" applyFill="1" applyBorder="1" applyAlignment="1">
      <alignment horizontal="center" vertical="center"/>
    </xf>
    <xf numFmtId="171" fontId="20" fillId="0" borderId="1" xfId="0" applyNumberFormat="1" applyFont="1" applyFill="1" applyBorder="1" applyAlignment="1">
      <alignment vertical="center" wrapText="1"/>
    </xf>
    <xf numFmtId="171" fontId="20" fillId="0" borderId="11" xfId="0" applyNumberFormat="1" applyFont="1" applyFill="1" applyBorder="1" applyAlignment="1">
      <alignment horizontal="left" vertical="center" wrapText="1" indent="1"/>
    </xf>
    <xf numFmtId="171" fontId="0" fillId="11" borderId="6" xfId="0" applyNumberFormat="1" applyFont="1" applyFill="1" applyBorder="1"/>
    <xf numFmtId="171" fontId="0" fillId="11" borderId="35" xfId="0" applyNumberFormat="1" applyFont="1" applyFill="1" applyBorder="1" applyAlignment="1">
      <alignment horizontal="center" vertical="center"/>
    </xf>
    <xf numFmtId="171" fontId="0" fillId="11" borderId="1" xfId="0" applyNumberFormat="1" applyFont="1" applyFill="1" applyBorder="1" applyAlignment="1">
      <alignment horizontal="center" vertical="center"/>
    </xf>
    <xf numFmtId="171" fontId="0" fillId="11" borderId="6" xfId="0" applyNumberFormat="1" applyFont="1" applyFill="1" applyBorder="1" applyAlignment="1">
      <alignment horizontal="center" vertical="center"/>
    </xf>
    <xf numFmtId="171" fontId="0" fillId="11" borderId="3" xfId="0" applyNumberFormat="1" applyFont="1" applyFill="1" applyBorder="1" applyAlignment="1">
      <alignment horizontal="center" vertical="center"/>
    </xf>
    <xf numFmtId="171" fontId="0" fillId="11" borderId="10" xfId="0" applyNumberFormat="1" applyFont="1" applyFill="1" applyBorder="1" applyAlignment="1">
      <alignment horizontal="center" vertical="center"/>
    </xf>
    <xf numFmtId="171" fontId="20" fillId="0" borderId="11" xfId="0" applyNumberFormat="1" applyFont="1" applyFill="1" applyBorder="1" applyAlignment="1">
      <alignment vertical="center" wrapText="1"/>
    </xf>
    <xf numFmtId="171" fontId="0" fillId="11" borderId="11" xfId="0" applyNumberFormat="1" applyFont="1" applyFill="1" applyBorder="1" applyAlignment="1">
      <alignment horizontal="center" vertical="center"/>
    </xf>
    <xf numFmtId="171" fontId="0" fillId="11" borderId="1" xfId="0" applyNumberFormat="1" applyFont="1" applyFill="1" applyBorder="1" applyAlignment="1">
      <alignment horizontal="center"/>
    </xf>
    <xf numFmtId="171" fontId="0" fillId="11" borderId="3" xfId="0" applyNumberFormat="1" applyFont="1" applyFill="1" applyBorder="1" applyAlignment="1">
      <alignment horizontal="center"/>
    </xf>
    <xf numFmtId="171" fontId="20" fillId="0" borderId="1" xfId="12" applyNumberFormat="1" applyFont="1" applyFill="1" applyBorder="1" applyAlignment="1">
      <alignment horizontal="left" vertical="center" indent="5"/>
    </xf>
    <xf numFmtId="171" fontId="20" fillId="0" borderId="11" xfId="12" applyNumberFormat="1" applyFont="1" applyFill="1" applyBorder="1" applyAlignment="1">
      <alignment horizontal="left" vertical="center" indent="5"/>
    </xf>
    <xf numFmtId="171" fontId="0" fillId="11" borderId="10" xfId="0" applyNumberFormat="1" applyFont="1" applyFill="1" applyBorder="1" applyAlignment="1">
      <alignment horizontal="center"/>
    </xf>
    <xf numFmtId="171" fontId="0" fillId="11" borderId="4" xfId="0" applyNumberFormat="1" applyFont="1" applyFill="1" applyBorder="1" applyAlignment="1">
      <alignment horizontal="center" vertical="center"/>
    </xf>
    <xf numFmtId="171" fontId="13" fillId="0" borderId="11" xfId="0" applyNumberFormat="1" applyFont="1" applyFill="1" applyBorder="1" applyAlignment="1">
      <alignment horizontal="center" vertical="center"/>
    </xf>
    <xf numFmtId="171" fontId="13" fillId="11" borderId="5" xfId="12" applyNumberFormat="1" applyFont="1" applyFill="1" applyBorder="1" applyAlignment="1">
      <alignment horizontal="center" vertical="center" wrapText="1"/>
    </xf>
    <xf numFmtId="171" fontId="13" fillId="11" borderId="1" xfId="12" applyNumberFormat="1" applyFont="1" applyFill="1" applyBorder="1" applyAlignment="1">
      <alignment horizontal="center" vertical="center" wrapText="1"/>
    </xf>
    <xf numFmtId="171" fontId="13" fillId="11" borderId="12" xfId="12" applyNumberFormat="1" applyFont="1" applyFill="1" applyBorder="1" applyAlignment="1">
      <alignment horizontal="center" vertical="center" wrapText="1"/>
    </xf>
    <xf numFmtId="171" fontId="20" fillId="11" borderId="6" xfId="12" applyNumberFormat="1" applyFont="1" applyFill="1" applyBorder="1" applyAlignment="1">
      <alignment horizontal="center" vertical="center"/>
    </xf>
    <xf numFmtId="171" fontId="20" fillId="11" borderId="6" xfId="12" applyNumberFormat="1" applyFont="1" applyFill="1" applyBorder="1" applyAlignment="1">
      <alignment horizontal="center" vertical="center" wrapText="1"/>
    </xf>
    <xf numFmtId="171" fontId="20" fillId="0" borderId="1" xfId="0" applyNumberFormat="1" applyFont="1" applyFill="1" applyBorder="1" applyAlignment="1">
      <alignment vertical="center"/>
    </xf>
    <xf numFmtId="171" fontId="20" fillId="11" borderId="1" xfId="12" applyNumberFormat="1" applyFont="1" applyFill="1" applyBorder="1" applyAlignment="1">
      <alignment horizontal="center" vertical="center"/>
    </xf>
    <xf numFmtId="171" fontId="20" fillId="11" borderId="1" xfId="0" applyNumberFormat="1" applyFont="1" applyFill="1" applyBorder="1" applyAlignment="1">
      <alignment horizontal="center" vertical="center"/>
    </xf>
    <xf numFmtId="171" fontId="20" fillId="11" borderId="1" xfId="12" applyNumberFormat="1" applyFont="1" applyFill="1" applyBorder="1" applyAlignment="1">
      <alignment horizontal="center" vertical="center" wrapText="1"/>
    </xf>
    <xf numFmtId="171" fontId="20" fillId="11" borderId="1" xfId="0" applyNumberFormat="1" applyFont="1" applyFill="1" applyBorder="1" applyAlignment="1">
      <alignment horizontal="center" vertical="center" wrapText="1"/>
    </xf>
    <xf numFmtId="171" fontId="20" fillId="0" borderId="1" xfId="12" applyNumberFormat="1" applyFont="1" applyFill="1" applyBorder="1" applyAlignment="1">
      <alignment horizontal="left" vertical="center" indent="7"/>
    </xf>
    <xf numFmtId="171" fontId="20" fillId="11" borderId="3" xfId="12" applyNumberFormat="1" applyFont="1" applyFill="1" applyBorder="1" applyAlignment="1">
      <alignment horizontal="center" vertical="center" wrapText="1"/>
    </xf>
    <xf numFmtId="171" fontId="20" fillId="0" borderId="3" xfId="0" applyNumberFormat="1" applyFont="1" applyFill="1" applyBorder="1" applyAlignment="1">
      <alignment horizontal="left" vertical="center" wrapText="1" indent="1"/>
    </xf>
    <xf numFmtId="171" fontId="20" fillId="11" borderId="3" xfId="0" applyNumberFormat="1" applyFont="1" applyFill="1" applyBorder="1" applyAlignment="1">
      <alignment horizontal="center" vertical="center" wrapText="1"/>
    </xf>
    <xf numFmtId="171" fontId="20" fillId="11" borderId="3" xfId="12" applyNumberFormat="1" applyFont="1" applyFill="1" applyBorder="1" applyAlignment="1">
      <alignment horizontal="center" vertical="center"/>
    </xf>
    <xf numFmtId="171" fontId="13" fillId="11" borderId="64" xfId="12" applyNumberFormat="1" applyFont="1" applyFill="1" applyBorder="1" applyAlignment="1">
      <alignment horizontal="center" vertical="center" wrapText="1"/>
    </xf>
    <xf numFmtId="171" fontId="20" fillId="11" borderId="35" xfId="0" applyNumberFormat="1" applyFont="1" applyFill="1" applyBorder="1" applyAlignment="1">
      <alignment horizontal="center" vertical="center" wrapText="1"/>
    </xf>
    <xf numFmtId="171" fontId="20" fillId="11" borderId="35" xfId="12" applyNumberFormat="1" applyFont="1" applyFill="1" applyBorder="1" applyAlignment="1">
      <alignment horizontal="center" vertical="center"/>
    </xf>
    <xf numFmtId="171" fontId="20" fillId="11" borderId="35" xfId="12" applyNumberFormat="1" applyFont="1" applyFill="1" applyBorder="1" applyAlignment="1">
      <alignment horizontal="center" vertical="center" wrapText="1"/>
    </xf>
    <xf numFmtId="171" fontId="13" fillId="0" borderId="2" xfId="12" applyNumberFormat="1" applyFont="1" applyFill="1" applyBorder="1" applyAlignment="1">
      <alignment horizontal="center" vertical="center"/>
    </xf>
    <xf numFmtId="171" fontId="13" fillId="11" borderId="4" xfId="12" applyNumberFormat="1" applyFont="1" applyFill="1" applyBorder="1" applyAlignment="1">
      <alignment horizontal="center" vertical="center" wrapText="1"/>
    </xf>
    <xf numFmtId="171" fontId="13" fillId="0" borderId="15" xfId="12" applyNumberFormat="1" applyFont="1" applyFill="1" applyBorder="1" applyAlignment="1">
      <alignment horizontal="center" vertical="center"/>
    </xf>
    <xf numFmtId="171" fontId="20" fillId="0" borderId="11" xfId="12" applyNumberFormat="1" applyFont="1" applyFill="1" applyBorder="1" applyAlignment="1">
      <alignment horizontal="left" vertical="center" wrapText="1" indent="3"/>
    </xf>
    <xf numFmtId="171" fontId="20" fillId="11" borderId="11" xfId="0" applyNumberFormat="1" applyFont="1" applyFill="1" applyBorder="1" applyAlignment="1">
      <alignment horizontal="center" vertical="center" wrapText="1"/>
    </xf>
    <xf numFmtId="171" fontId="20" fillId="11" borderId="11" xfId="12" applyNumberFormat="1" applyFont="1" applyFill="1" applyBorder="1" applyAlignment="1">
      <alignment horizontal="center" vertical="center"/>
    </xf>
    <xf numFmtId="171" fontId="20" fillId="11" borderId="11" xfId="12" applyNumberFormat="1" applyFont="1" applyFill="1" applyBorder="1" applyAlignment="1">
      <alignment horizontal="center" vertical="center" wrapText="1"/>
    </xf>
    <xf numFmtId="3" fontId="84" fillId="0" borderId="1" xfId="12" applyNumberFormat="1" applyFont="1" applyFill="1" applyBorder="1" applyAlignment="1">
      <alignment horizontal="center" vertical="center"/>
    </xf>
    <xf numFmtId="3" fontId="84" fillId="0" borderId="1" xfId="12" applyNumberFormat="1" applyFont="1" applyFill="1" applyBorder="1" applyAlignment="1">
      <alignment horizontal="center" vertical="center" wrapText="1"/>
    </xf>
    <xf numFmtId="3" fontId="84" fillId="11" borderId="1" xfId="12" applyNumberFormat="1" applyFont="1" applyFill="1" applyBorder="1" applyAlignment="1">
      <alignment horizontal="center" vertical="center" wrapText="1"/>
    </xf>
    <xf numFmtId="3" fontId="84" fillId="11" borderId="1" xfId="12" applyNumberFormat="1" applyFont="1" applyFill="1" applyBorder="1" applyAlignment="1">
      <alignment horizontal="center" vertical="center"/>
    </xf>
    <xf numFmtId="171" fontId="20" fillId="0" borderId="60" xfId="1325" applyNumberFormat="1" applyFont="1" applyFill="1" applyBorder="1" applyAlignment="1">
      <alignment horizontal="center" vertical="center"/>
    </xf>
    <xf numFmtId="171" fontId="20" fillId="0" borderId="29" xfId="1325" applyNumberFormat="1" applyFont="1" applyFill="1" applyBorder="1" applyAlignment="1">
      <alignment horizontal="center" vertical="center"/>
    </xf>
    <xf numFmtId="171" fontId="20" fillId="0" borderId="33" xfId="1325" applyNumberFormat="1" applyFont="1" applyFill="1" applyBorder="1" applyAlignment="1">
      <alignment horizontal="center" vertical="center"/>
    </xf>
    <xf numFmtId="171" fontId="20" fillId="0" borderId="24" xfId="1325" applyNumberFormat="1" applyFont="1" applyFill="1" applyBorder="1" applyAlignment="1">
      <alignment horizontal="center" vertical="center"/>
    </xf>
    <xf numFmtId="171" fontId="20" fillId="0" borderId="27" xfId="1325" applyNumberFormat="1" applyFont="1" applyFill="1" applyBorder="1" applyAlignment="1">
      <alignment horizontal="center" vertical="center"/>
    </xf>
    <xf numFmtId="171" fontId="20" fillId="0" borderId="37" xfId="1325" applyNumberFormat="1" applyFont="1" applyFill="1" applyBorder="1" applyAlignment="1">
      <alignment horizontal="center" vertical="center"/>
    </xf>
    <xf numFmtId="171" fontId="20" fillId="11" borderId="24" xfId="1325" applyNumberFormat="1" applyFont="1" applyFill="1" applyBorder="1" applyAlignment="1">
      <alignment horizontal="center" vertical="center"/>
    </xf>
    <xf numFmtId="171" fontId="20" fillId="11" borderId="27" xfId="1325" applyNumberFormat="1" applyFont="1" applyFill="1" applyBorder="1" applyAlignment="1">
      <alignment horizontal="center" vertical="center"/>
    </xf>
    <xf numFmtId="171" fontId="20" fillId="11" borderId="37" xfId="1325" applyNumberFormat="1" applyFont="1" applyFill="1" applyBorder="1" applyAlignment="1">
      <alignment horizontal="center" vertical="center"/>
    </xf>
    <xf numFmtId="171" fontId="20" fillId="0" borderId="26" xfId="1325" applyNumberFormat="1" applyFont="1" applyFill="1" applyBorder="1" applyAlignment="1">
      <alignment horizontal="center" vertical="center"/>
    </xf>
    <xf numFmtId="171" fontId="20" fillId="0" borderId="61" xfId="1325" applyNumberFormat="1" applyFont="1" applyFill="1" applyBorder="1" applyAlignment="1">
      <alignment horizontal="center" vertical="center"/>
    </xf>
    <xf numFmtId="171" fontId="20" fillId="0" borderId="38" xfId="1325" applyNumberFormat="1" applyFont="1" applyFill="1" applyBorder="1" applyAlignment="1">
      <alignment horizontal="center" vertical="center"/>
    </xf>
    <xf numFmtId="0" fontId="77" fillId="11" borderId="0" xfId="12" applyFont="1" applyFill="1" applyAlignment="1">
      <alignment horizontal="center" vertical="center" wrapText="1"/>
    </xf>
    <xf numFmtId="0" fontId="77" fillId="11" borderId="0" xfId="12" applyFont="1" applyFill="1" applyBorder="1" applyAlignment="1">
      <alignment horizontal="center" vertical="center" wrapText="1"/>
    </xf>
    <xf numFmtId="0" fontId="79" fillId="11" borderId="0" xfId="0" applyFont="1" applyFill="1" applyAlignment="1">
      <alignment horizontal="left" vertical="center" wrapText="1"/>
    </xf>
    <xf numFmtId="0" fontId="79" fillId="11" borderId="0" xfId="0" applyFont="1" applyFill="1" applyAlignment="1">
      <alignment horizontal="center" vertical="center"/>
    </xf>
    <xf numFmtId="0" fontId="80" fillId="11" borderId="0" xfId="0" applyFont="1" applyFill="1" applyAlignment="1">
      <alignment horizontal="left" vertical="top"/>
    </xf>
    <xf numFmtId="0" fontId="81" fillId="11" borderId="0" xfId="12" applyFont="1" applyFill="1" applyAlignment="1">
      <alignment horizontal="center" vertical="center" wrapText="1"/>
    </xf>
    <xf numFmtId="49" fontId="82" fillId="0" borderId="34" xfId="12" applyNumberFormat="1" applyFont="1" applyFill="1" applyBorder="1" applyAlignment="1">
      <alignment horizontal="center" vertical="center" wrapText="1"/>
    </xf>
    <xf numFmtId="49" fontId="82" fillId="0" borderId="2" xfId="12" applyNumberFormat="1" applyFont="1" applyFill="1" applyBorder="1" applyAlignment="1">
      <alignment horizontal="center" vertical="center" wrapText="1"/>
    </xf>
    <xf numFmtId="0" fontId="83" fillId="0" borderId="35" xfId="12" applyFont="1" applyFill="1" applyBorder="1" applyAlignment="1">
      <alignment horizontal="center" vertical="center" wrapText="1"/>
    </xf>
    <xf numFmtId="0" fontId="83" fillId="0" borderId="1" xfId="12" applyFont="1" applyFill="1" applyBorder="1" applyAlignment="1">
      <alignment horizontal="center" vertical="center" wrapText="1"/>
    </xf>
    <xf numFmtId="0" fontId="83" fillId="11" borderId="35" xfId="12" applyFont="1" applyFill="1" applyBorder="1" applyAlignment="1">
      <alignment horizontal="center" vertical="center" wrapText="1"/>
    </xf>
    <xf numFmtId="0" fontId="83" fillId="11" borderId="1" xfId="12" applyFont="1" applyFill="1" applyBorder="1" applyAlignment="1">
      <alignment horizontal="center" vertical="center" wrapText="1"/>
    </xf>
    <xf numFmtId="0" fontId="14" fillId="11" borderId="35" xfId="12" applyFont="1" applyFill="1" applyBorder="1" applyAlignment="1">
      <alignment horizontal="center" vertical="center" wrapText="1"/>
    </xf>
    <xf numFmtId="0" fontId="14" fillId="11" borderId="36" xfId="12" applyFont="1" applyFill="1" applyBorder="1" applyAlignment="1">
      <alignment horizontal="center" vertical="center" wrapText="1"/>
    </xf>
    <xf numFmtId="49" fontId="85" fillId="0" borderId="62" xfId="12" applyNumberFormat="1" applyFont="1" applyFill="1" applyBorder="1" applyAlignment="1">
      <alignment horizontal="center" vertical="center"/>
    </xf>
    <xf numFmtId="49" fontId="85" fillId="0" borderId="0" xfId="12" applyNumberFormat="1" applyFont="1" applyFill="1" applyBorder="1" applyAlignment="1">
      <alignment horizontal="center" vertical="center"/>
    </xf>
    <xf numFmtId="49" fontId="85" fillId="0" borderId="63" xfId="12" applyNumberFormat="1" applyFont="1" applyFill="1" applyBorder="1" applyAlignment="1">
      <alignment horizontal="center" vertical="center"/>
    </xf>
    <xf numFmtId="171" fontId="85" fillId="0" borderId="66" xfId="12" applyNumberFormat="1" applyFont="1" applyFill="1" applyBorder="1" applyAlignment="1">
      <alignment horizontal="center" vertical="center"/>
    </xf>
    <xf numFmtId="171" fontId="85" fillId="0" borderId="65" xfId="12" applyNumberFormat="1" applyFont="1" applyFill="1" applyBorder="1" applyAlignment="1">
      <alignment horizontal="center" vertical="center"/>
    </xf>
    <xf numFmtId="171" fontId="85" fillId="0" borderId="67" xfId="12" applyNumberFormat="1" applyFont="1" applyFill="1" applyBorder="1" applyAlignment="1">
      <alignment horizontal="center" vertical="center"/>
    </xf>
    <xf numFmtId="171" fontId="85" fillId="0" borderId="31" xfId="12" applyNumberFormat="1" applyFont="1" applyFill="1" applyBorder="1" applyAlignment="1">
      <alignment horizontal="center" vertical="center"/>
    </xf>
    <xf numFmtId="171" fontId="85" fillId="0" borderId="58" xfId="12" applyNumberFormat="1" applyFont="1" applyFill="1" applyBorder="1" applyAlignment="1">
      <alignment horizontal="center" vertical="center"/>
    </xf>
    <xf numFmtId="171" fontId="85" fillId="0" borderId="22" xfId="12" applyNumberFormat="1" applyFont="1" applyFill="1" applyBorder="1" applyAlignment="1">
      <alignment horizontal="center" vertical="center"/>
    </xf>
    <xf numFmtId="171" fontId="81" fillId="0" borderId="62" xfId="12" applyNumberFormat="1" applyFont="1" applyFill="1" applyBorder="1" applyAlignment="1">
      <alignment horizontal="center" vertical="center" wrapText="1"/>
    </xf>
    <xf numFmtId="171" fontId="81" fillId="0" borderId="0" xfId="12" applyNumberFormat="1" applyFont="1" applyFill="1" applyBorder="1" applyAlignment="1">
      <alignment horizontal="center" vertical="center" wrapText="1"/>
    </xf>
    <xf numFmtId="171" fontId="81" fillId="0" borderId="63" xfId="12" applyNumberFormat="1" applyFont="1" applyFill="1" applyBorder="1" applyAlignment="1">
      <alignment horizontal="center" vertical="center" wrapText="1"/>
    </xf>
    <xf numFmtId="171" fontId="86" fillId="0" borderId="1" xfId="12" applyNumberFormat="1" applyFont="1" applyFill="1" applyBorder="1" applyAlignment="1">
      <alignment horizontal="center" vertical="center" wrapText="1"/>
    </xf>
    <xf numFmtId="171" fontId="87" fillId="0" borderId="1" xfId="12" applyNumberFormat="1" applyFont="1" applyFill="1" applyBorder="1" applyAlignment="1">
      <alignment horizontal="center" vertical="center" wrapText="1"/>
    </xf>
    <xf numFmtId="171" fontId="87" fillId="11" borderId="4" xfId="12" applyNumberFormat="1" applyFont="1" applyFill="1" applyBorder="1" applyAlignment="1">
      <alignment horizontal="center" vertical="center" wrapText="1"/>
    </xf>
    <xf numFmtId="171" fontId="87" fillId="11" borderId="1" xfId="12" applyNumberFormat="1" applyFont="1" applyFill="1" applyBorder="1" applyAlignment="1">
      <alignment horizontal="center" vertical="center" wrapText="1"/>
    </xf>
    <xf numFmtId="171" fontId="20" fillId="11" borderId="1" xfId="12" applyNumberFormat="1" applyFont="1" applyFill="1" applyBorder="1" applyAlignment="1">
      <alignment horizontal="center" vertical="center" wrapText="1"/>
    </xf>
    <xf numFmtId="3" fontId="87" fillId="11" borderId="1" xfId="12" applyNumberFormat="1" applyFont="1" applyFill="1" applyBorder="1" applyAlignment="1">
      <alignment horizontal="center" vertical="center" wrapText="1"/>
    </xf>
    <xf numFmtId="171" fontId="20" fillId="0" borderId="59" xfId="12" applyNumberFormat="1" applyFont="1" applyFill="1" applyBorder="1" applyAlignment="1">
      <alignment horizontal="left" vertical="center" wrapText="1"/>
    </xf>
    <xf numFmtId="171" fontId="20" fillId="0" borderId="7" xfId="12" applyNumberFormat="1" applyFont="1" applyFill="1" applyBorder="1" applyAlignment="1">
      <alignment horizontal="left" vertical="center" wrapText="1"/>
    </xf>
    <xf numFmtId="49" fontId="13" fillId="0" borderId="0" xfId="12" applyNumberFormat="1" applyFont="1" applyFill="1" applyAlignment="1">
      <alignment horizontal="left" vertical="center"/>
    </xf>
    <xf numFmtId="0" fontId="13" fillId="0" borderId="0" xfId="12" applyNumberFormat="1" applyFont="1" applyFill="1" applyAlignment="1">
      <alignment horizontal="left" vertical="top" wrapText="1"/>
    </xf>
    <xf numFmtId="0" fontId="14" fillId="0" borderId="0" xfId="12" applyFont="1" applyAlignment="1">
      <alignment horizontal="center"/>
    </xf>
    <xf numFmtId="0" fontId="13" fillId="0" borderId="0" xfId="1325" applyFont="1" applyAlignment="1">
      <alignment horizontal="right" wrapText="1"/>
    </xf>
    <xf numFmtId="0" fontId="78" fillId="0" borderId="0" xfId="0" applyFont="1" applyAlignment="1"/>
    <xf numFmtId="0" fontId="40" fillId="0" borderId="0" xfId="0" applyFont="1" applyAlignment="1">
      <alignment horizontal="center"/>
    </xf>
    <xf numFmtId="0" fontId="30" fillId="0" borderId="0" xfId="0" applyFont="1" applyBorder="1" applyAlignment="1">
      <alignment horizontal="left" vertical="center"/>
    </xf>
    <xf numFmtId="168" fontId="15" fillId="0" borderId="30" xfId="0" applyNumberFormat="1" applyFont="1" applyFill="1" applyBorder="1" applyAlignment="1">
      <alignment horizontal="center" vertical="center" wrapText="1"/>
    </xf>
    <xf numFmtId="168" fontId="15" fillId="0" borderId="24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/>
    </xf>
    <xf numFmtId="0" fontId="13" fillId="6" borderId="12" xfId="0" applyFont="1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 vertical="center"/>
    </xf>
    <xf numFmtId="167" fontId="15" fillId="0" borderId="27" xfId="0" applyNumberFormat="1" applyFont="1" applyFill="1" applyBorder="1" applyAlignment="1">
      <alignment horizontal="center" vertical="center" wrapText="1"/>
    </xf>
    <xf numFmtId="167" fontId="15" fillId="0" borderId="5" xfId="0" applyNumberFormat="1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 wrapText="1"/>
    </xf>
    <xf numFmtId="49" fontId="21" fillId="0" borderId="4" xfId="0" applyNumberFormat="1" applyFont="1" applyFill="1" applyBorder="1" applyAlignment="1">
      <alignment horizontal="center" vertical="center" wrapText="1"/>
    </xf>
    <xf numFmtId="4" fontId="15" fillId="0" borderId="28" xfId="0" applyNumberFormat="1" applyFont="1" applyFill="1" applyBorder="1" applyAlignment="1">
      <alignment horizontal="center" vertical="center" wrapText="1"/>
    </xf>
    <xf numFmtId="4" fontId="15" fillId="0" borderId="0" xfId="0" applyNumberFormat="1" applyFont="1" applyFill="1" applyBorder="1" applyAlignment="1">
      <alignment horizontal="center" vertical="center" wrapText="1"/>
    </xf>
    <xf numFmtId="4" fontId="15" fillId="0" borderId="29" xfId="0" applyNumberFormat="1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19" fillId="0" borderId="0" xfId="0" applyFont="1" applyAlignment="1">
      <alignment horizontal="left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49" fontId="15" fillId="0" borderId="4" xfId="0" applyNumberFormat="1" applyFont="1" applyFill="1" applyBorder="1" applyAlignment="1">
      <alignment horizontal="center" vertical="center" wrapText="1"/>
    </xf>
    <xf numFmtId="49" fontId="15" fillId="0" borderId="27" xfId="0" applyNumberFormat="1" applyFont="1" applyFill="1" applyBorder="1" applyAlignment="1">
      <alignment horizontal="center" vertical="center" wrapText="1"/>
    </xf>
    <xf numFmtId="49" fontId="15" fillId="0" borderId="5" xfId="0" applyNumberFormat="1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 wrapText="1"/>
    </xf>
    <xf numFmtId="49" fontId="15" fillId="0" borderId="10" xfId="0" applyNumberFormat="1" applyFont="1" applyBorder="1" applyAlignment="1">
      <alignment horizontal="center" vertical="center" wrapText="1"/>
    </xf>
    <xf numFmtId="49" fontId="15" fillId="0" borderId="6" xfId="0" applyNumberFormat="1" applyFont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3" fillId="5" borderId="1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wrapText="1"/>
    </xf>
    <xf numFmtId="0" fontId="13" fillId="0" borderId="1" xfId="0" applyFont="1" applyFill="1" applyBorder="1"/>
    <xf numFmtId="0" fontId="13" fillId="0" borderId="45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21" fillId="0" borderId="0" xfId="3" applyFont="1" applyAlignment="1">
      <alignment horizontal="center" vertical="center" wrapText="1"/>
    </xf>
    <xf numFmtId="0" fontId="21" fillId="0" borderId="0" xfId="3" applyFont="1" applyAlignment="1">
      <alignment horizontal="center" wrapText="1"/>
    </xf>
    <xf numFmtId="171" fontId="20" fillId="11" borderId="1" xfId="12" applyNumberFormat="1" applyFont="1" applyFill="1" applyBorder="1" applyAlignment="1">
      <alignment horizontal="left" vertical="center" wrapText="1" indent="1"/>
    </xf>
    <xf numFmtId="171" fontId="20" fillId="11" borderId="1" xfId="12" applyNumberFormat="1" applyFont="1" applyFill="1" applyBorder="1" applyAlignment="1">
      <alignment horizontal="left" vertical="center" wrapText="1" indent="3"/>
    </xf>
    <xf numFmtId="171" fontId="20" fillId="11" borderId="1" xfId="12" applyNumberFormat="1" applyFont="1" applyFill="1" applyBorder="1" applyAlignment="1">
      <alignment horizontal="left" vertical="center" wrapText="1" indent="5"/>
    </xf>
    <xf numFmtId="171" fontId="20" fillId="11" borderId="1" xfId="12" applyNumberFormat="1" applyFont="1" applyFill="1" applyBorder="1" applyAlignment="1">
      <alignment horizontal="left" vertical="center" indent="3"/>
    </xf>
  </cellXfs>
  <cellStyles count="6793">
    <cellStyle name="20% - Accent1" xfId="629"/>
    <cellStyle name="20% - Accent2" xfId="630"/>
    <cellStyle name="20% - Accent3" xfId="631"/>
    <cellStyle name="20% - Accent4" xfId="632"/>
    <cellStyle name="20% - Accent5" xfId="633"/>
    <cellStyle name="20% - Accent6" xfId="634"/>
    <cellStyle name="20% - Акцент1 2" xfId="16"/>
    <cellStyle name="20% - Акцент2 2" xfId="17"/>
    <cellStyle name="20% - Акцент3 2" xfId="18"/>
    <cellStyle name="20% - Акцент4 2" xfId="19"/>
    <cellStyle name="20% - Акцент5 2" xfId="20"/>
    <cellStyle name="20% - Акцент6 2" xfId="21"/>
    <cellStyle name="40% - Accent1" xfId="635"/>
    <cellStyle name="40% - Accent2" xfId="636"/>
    <cellStyle name="40% - Accent3" xfId="637"/>
    <cellStyle name="40% - Accent4" xfId="638"/>
    <cellStyle name="40% - Accent5" xfId="639"/>
    <cellStyle name="40% - Accent6" xfId="640"/>
    <cellStyle name="40% - Акцент1 2" xfId="22"/>
    <cellStyle name="40% - Акцент2 2" xfId="23"/>
    <cellStyle name="40% - Акцент3 2" xfId="24"/>
    <cellStyle name="40% - Акцент4 2" xfId="25"/>
    <cellStyle name="40% - Акцент5 2" xfId="26"/>
    <cellStyle name="40% - Акцент6 2" xfId="27"/>
    <cellStyle name="60% - Accent1" xfId="641"/>
    <cellStyle name="60% - Accent2" xfId="642"/>
    <cellStyle name="60% - Accent3" xfId="643"/>
    <cellStyle name="60% - Accent4" xfId="644"/>
    <cellStyle name="60% - Accent5" xfId="645"/>
    <cellStyle name="60% - Accent6" xfId="646"/>
    <cellStyle name="60% - Акцент1 2" xfId="28"/>
    <cellStyle name="60% - Акцент2 2" xfId="29"/>
    <cellStyle name="60% - Акцент3 2" xfId="30"/>
    <cellStyle name="60% - Акцент4 2" xfId="31"/>
    <cellStyle name="60% - Акцент5 2" xfId="32"/>
    <cellStyle name="60% - Акцент6 2" xfId="33"/>
    <cellStyle name="Accent1" xfId="647"/>
    <cellStyle name="Accent2" xfId="648"/>
    <cellStyle name="Accent3" xfId="649"/>
    <cellStyle name="Accent4" xfId="650"/>
    <cellStyle name="Accent5" xfId="651"/>
    <cellStyle name="Accent6" xfId="652"/>
    <cellStyle name="Bad" xfId="653"/>
    <cellStyle name="Calculation" xfId="654"/>
    <cellStyle name="Check Cell" xfId="655"/>
    <cellStyle name="Comma_sasha_f" xfId="656"/>
    <cellStyle name="Date" xfId="657"/>
    <cellStyle name="Excel Built-in Normal" xfId="1"/>
    <cellStyle name="Explanatory Text" xfId="658"/>
    <cellStyle name="Good" xfId="659"/>
    <cellStyle name="Heading 1" xfId="660"/>
    <cellStyle name="Heading 2" xfId="661"/>
    <cellStyle name="Heading 3" xfId="662"/>
    <cellStyle name="Heading 4" xfId="663"/>
    <cellStyle name="Input" xfId="664"/>
    <cellStyle name="Linked Cell" xfId="665"/>
    <cellStyle name="Neutral" xfId="666"/>
    <cellStyle name="Normal 2" xfId="34"/>
    <cellStyle name="Note" xfId="667"/>
    <cellStyle name="Output" xfId="668"/>
    <cellStyle name="Title" xfId="669"/>
    <cellStyle name="Total" xfId="670"/>
    <cellStyle name="Warning Text" xfId="671"/>
    <cellStyle name="Акцент1 2" xfId="35"/>
    <cellStyle name="Акцент2 2" xfId="36"/>
    <cellStyle name="Акцент3 2" xfId="37"/>
    <cellStyle name="Акцент4 2" xfId="38"/>
    <cellStyle name="Акцент5 2" xfId="39"/>
    <cellStyle name="Акцент6 2" xfId="40"/>
    <cellStyle name="Ввод  2" xfId="41"/>
    <cellStyle name="Вывод 2" xfId="42"/>
    <cellStyle name="Вычисление 2" xfId="43"/>
    <cellStyle name="Гиперссылка 2" xfId="235"/>
    <cellStyle name="Гиперссылка 3" xfId="236"/>
    <cellStyle name="Денежный 2" xfId="672"/>
    <cellStyle name="Денежный 2 2" xfId="673"/>
    <cellStyle name="Заголовок 1 2" xfId="44"/>
    <cellStyle name="Заголовок 2 2" xfId="45"/>
    <cellStyle name="Заголовок 3 2" xfId="46"/>
    <cellStyle name="Заголовок 4 2" xfId="47"/>
    <cellStyle name="Итог 2" xfId="48"/>
    <cellStyle name="Контрольная ячейка 2" xfId="49"/>
    <cellStyle name="Название 2" xfId="50"/>
    <cellStyle name="Нейтральный 2" xfId="51"/>
    <cellStyle name="Обычный" xfId="0" builtinId="0"/>
    <cellStyle name="Обычный 10" xfId="237"/>
    <cellStyle name="Обычный 10 2" xfId="238"/>
    <cellStyle name="Обычный 10 2 2" xfId="239"/>
    <cellStyle name="Обычный 10 2 2 2" xfId="240"/>
    <cellStyle name="Обычный 10 2 3" xfId="241"/>
    <cellStyle name="Обычный 10 3" xfId="242"/>
    <cellStyle name="Обычный 10 3 2" xfId="243"/>
    <cellStyle name="Обычный 10 4" xfId="244"/>
    <cellStyle name="Обычный 11" xfId="2"/>
    <cellStyle name="Обычный 11 2" xfId="674"/>
    <cellStyle name="Обычный 11 3" xfId="675"/>
    <cellStyle name="Обычный 12" xfId="676"/>
    <cellStyle name="Обычный 12 2" xfId="52"/>
    <cellStyle name="Обычный 12 3" xfId="912"/>
    <cellStyle name="Обычный 12 3 2" xfId="1305"/>
    <cellStyle name="Обычный 12 3 2 2" xfId="2087"/>
    <cellStyle name="Обычный 12 3 2 2 2" xfId="3649"/>
    <cellStyle name="Обычный 12 3 2 2 2 2" xfId="6773"/>
    <cellStyle name="Обычный 12 3 2 2 3" xfId="5211"/>
    <cellStyle name="Обычный 12 3 2 3" xfId="2868"/>
    <cellStyle name="Обычный 12 3 2 3 2" xfId="5992"/>
    <cellStyle name="Обычный 12 3 2 4" xfId="4430"/>
    <cellStyle name="Обычный 12 3 3" xfId="1696"/>
    <cellStyle name="Обычный 12 3 3 2" xfId="3258"/>
    <cellStyle name="Обычный 12 3 3 2 2" xfId="6382"/>
    <cellStyle name="Обычный 12 3 3 3" xfId="4820"/>
    <cellStyle name="Обычный 12 3 4" xfId="2477"/>
    <cellStyle name="Обычный 12 3 4 2" xfId="5601"/>
    <cellStyle name="Обычный 12 3 5" xfId="4039"/>
    <cellStyle name="Обычный 12 4" xfId="1110"/>
    <cellStyle name="Обычный 12 4 2" xfId="1892"/>
    <cellStyle name="Обычный 12 4 2 2" xfId="3454"/>
    <cellStyle name="Обычный 12 4 2 2 2" xfId="6578"/>
    <cellStyle name="Обычный 12 4 2 3" xfId="5016"/>
    <cellStyle name="Обычный 12 4 3" xfId="2673"/>
    <cellStyle name="Обычный 12 4 3 2" xfId="5797"/>
    <cellStyle name="Обычный 12 4 4" xfId="4235"/>
    <cellStyle name="Обычный 12 5" xfId="1501"/>
    <cellStyle name="Обычный 12 5 2" xfId="3063"/>
    <cellStyle name="Обычный 12 5 2 2" xfId="6187"/>
    <cellStyle name="Обычный 12 5 3" xfId="4625"/>
    <cellStyle name="Обычный 12 6" xfId="2282"/>
    <cellStyle name="Обычный 12 6 2" xfId="5406"/>
    <cellStyle name="Обычный 12 7" xfId="3844"/>
    <cellStyle name="Обычный 13" xfId="677"/>
    <cellStyle name="Обычный 13 2" xfId="678"/>
    <cellStyle name="Обычный 14" xfId="679"/>
    <cellStyle name="Обычный 15" xfId="680"/>
    <cellStyle name="Обычный 15 2" xfId="681"/>
    <cellStyle name="Обычный 15 3" xfId="682"/>
    <cellStyle name="Обычный 15 3 2" xfId="683"/>
    <cellStyle name="Обычный 16" xfId="684"/>
    <cellStyle name="Обычный 17" xfId="685"/>
    <cellStyle name="Обычный 17 2" xfId="913"/>
    <cellStyle name="Обычный 17 2 2" xfId="1306"/>
    <cellStyle name="Обычный 17 2 2 2" xfId="2088"/>
    <cellStyle name="Обычный 17 2 2 2 2" xfId="3650"/>
    <cellStyle name="Обычный 17 2 2 2 2 2" xfId="6774"/>
    <cellStyle name="Обычный 17 2 2 2 3" xfId="5212"/>
    <cellStyle name="Обычный 17 2 2 3" xfId="2869"/>
    <cellStyle name="Обычный 17 2 2 3 2" xfId="5993"/>
    <cellStyle name="Обычный 17 2 2 4" xfId="4431"/>
    <cellStyle name="Обычный 17 2 3" xfId="1697"/>
    <cellStyle name="Обычный 17 2 3 2" xfId="3259"/>
    <cellStyle name="Обычный 17 2 3 2 2" xfId="6383"/>
    <cellStyle name="Обычный 17 2 3 3" xfId="4821"/>
    <cellStyle name="Обычный 17 2 4" xfId="2478"/>
    <cellStyle name="Обычный 17 2 4 2" xfId="5602"/>
    <cellStyle name="Обычный 17 2 5" xfId="4040"/>
    <cellStyle name="Обычный 17 3" xfId="1111"/>
    <cellStyle name="Обычный 17 3 2" xfId="1893"/>
    <cellStyle name="Обычный 17 3 2 2" xfId="3455"/>
    <cellStyle name="Обычный 17 3 2 2 2" xfId="6579"/>
    <cellStyle name="Обычный 17 3 2 3" xfId="5017"/>
    <cellStyle name="Обычный 17 3 3" xfId="2674"/>
    <cellStyle name="Обычный 17 3 3 2" xfId="5798"/>
    <cellStyle name="Обычный 17 3 4" xfId="4236"/>
    <cellStyle name="Обычный 17 4" xfId="1502"/>
    <cellStyle name="Обычный 17 4 2" xfId="3064"/>
    <cellStyle name="Обычный 17 4 2 2" xfId="6188"/>
    <cellStyle name="Обычный 17 4 3" xfId="4626"/>
    <cellStyle name="Обычный 17 5" xfId="2283"/>
    <cellStyle name="Обычный 17 5 2" xfId="5407"/>
    <cellStyle name="Обычный 17 6" xfId="3845"/>
    <cellStyle name="Обычный 18" xfId="686"/>
    <cellStyle name="Обычный 19" xfId="933"/>
    <cellStyle name="Обычный 2" xfId="3"/>
    <cellStyle name="Обычный 2 2" xfId="245"/>
    <cellStyle name="Обычный 2 2 2" xfId="246"/>
    <cellStyle name="Обычный 2 2 2 2" xfId="247"/>
    <cellStyle name="Обычный 2 2 2 2 2" xfId="248"/>
    <cellStyle name="Обычный 2 2 2 2 2 2" xfId="249"/>
    <cellStyle name="Обычный 2 2 2 2 2 2 2" xfId="250"/>
    <cellStyle name="Обычный 2 2 2 2 2 2 2 2" xfId="251"/>
    <cellStyle name="Обычный 2 2 2 2 2 2 3" xfId="252"/>
    <cellStyle name="Обычный 2 2 2 2 2 3" xfId="253"/>
    <cellStyle name="Обычный 2 2 2 2 2 3 2" xfId="254"/>
    <cellStyle name="Обычный 2 2 2 2 2 4" xfId="255"/>
    <cellStyle name="Обычный 2 2 2 2 3" xfId="256"/>
    <cellStyle name="Обычный 2 2 2 2 3 2" xfId="257"/>
    <cellStyle name="Обычный 2 2 2 2 3 2 2" xfId="258"/>
    <cellStyle name="Обычный 2 2 2 2 3 3" xfId="259"/>
    <cellStyle name="Обычный 2 2 2 2 4" xfId="260"/>
    <cellStyle name="Обычный 2 2 2 2 4 2" xfId="261"/>
    <cellStyle name="Обычный 2 2 2 2 5" xfId="262"/>
    <cellStyle name="Обычный 2 2 2 3" xfId="263"/>
    <cellStyle name="Обычный 2 2 2 3 2" xfId="264"/>
    <cellStyle name="Обычный 2 2 2 3 2 2" xfId="265"/>
    <cellStyle name="Обычный 2 2 2 3 2 2 2" xfId="266"/>
    <cellStyle name="Обычный 2 2 2 3 2 3" xfId="267"/>
    <cellStyle name="Обычный 2 2 2 3 3" xfId="268"/>
    <cellStyle name="Обычный 2 2 2 3 3 2" xfId="269"/>
    <cellStyle name="Обычный 2 2 2 3 4" xfId="270"/>
    <cellStyle name="Обычный 2 2 2 4" xfId="271"/>
    <cellStyle name="Обычный 2 2 2 4 2" xfId="272"/>
    <cellStyle name="Обычный 2 2 2 4 2 2" xfId="273"/>
    <cellStyle name="Обычный 2 2 2 4 3" xfId="274"/>
    <cellStyle name="Обычный 2 2 2 5" xfId="275"/>
    <cellStyle name="Обычный 2 2 2 5 2" xfId="276"/>
    <cellStyle name="Обычный 2 2 2 6" xfId="277"/>
    <cellStyle name="Обычный 2 2 3" xfId="278"/>
    <cellStyle name="Обычный 2 2 3 2" xfId="279"/>
    <cellStyle name="Обычный 2 2 3 2 2" xfId="280"/>
    <cellStyle name="Обычный 2 2 3 2 2 2" xfId="281"/>
    <cellStyle name="Обычный 2 2 3 2 2 2 2" xfId="282"/>
    <cellStyle name="Обычный 2 2 3 2 2 2 2 2" xfId="283"/>
    <cellStyle name="Обычный 2 2 3 2 2 2 3" xfId="284"/>
    <cellStyle name="Обычный 2 2 3 2 2 3" xfId="285"/>
    <cellStyle name="Обычный 2 2 3 2 2 3 2" xfId="286"/>
    <cellStyle name="Обычный 2 2 3 2 2 4" xfId="287"/>
    <cellStyle name="Обычный 2 2 3 2 3" xfId="288"/>
    <cellStyle name="Обычный 2 2 3 2 3 2" xfId="289"/>
    <cellStyle name="Обычный 2 2 3 2 3 2 2" xfId="290"/>
    <cellStyle name="Обычный 2 2 3 2 3 3" xfId="291"/>
    <cellStyle name="Обычный 2 2 3 2 4" xfId="292"/>
    <cellStyle name="Обычный 2 2 3 2 4 2" xfId="293"/>
    <cellStyle name="Обычный 2 2 3 2 5" xfId="294"/>
    <cellStyle name="Обычный 2 2 3 3" xfId="295"/>
    <cellStyle name="Обычный 2 2 3 3 2" xfId="296"/>
    <cellStyle name="Обычный 2 2 3 3 2 2" xfId="297"/>
    <cellStyle name="Обычный 2 2 3 3 2 2 2" xfId="298"/>
    <cellStyle name="Обычный 2 2 3 3 2 3" xfId="299"/>
    <cellStyle name="Обычный 2 2 3 3 3" xfId="300"/>
    <cellStyle name="Обычный 2 2 3 3 3 2" xfId="301"/>
    <cellStyle name="Обычный 2 2 3 3 4" xfId="302"/>
    <cellStyle name="Обычный 2 2 3 4" xfId="303"/>
    <cellStyle name="Обычный 2 2 3 4 2" xfId="304"/>
    <cellStyle name="Обычный 2 2 3 4 2 2" xfId="305"/>
    <cellStyle name="Обычный 2 2 3 4 3" xfId="306"/>
    <cellStyle name="Обычный 2 2 3 5" xfId="307"/>
    <cellStyle name="Обычный 2 2 3 5 2" xfId="308"/>
    <cellStyle name="Обычный 2 2 3 6" xfId="309"/>
    <cellStyle name="Обычный 2 2 4" xfId="310"/>
    <cellStyle name="Обычный 2 2 4 2" xfId="311"/>
    <cellStyle name="Обычный 2 2 4 2 2" xfId="312"/>
    <cellStyle name="Обычный 2 2 4 2 2 2" xfId="313"/>
    <cellStyle name="Обычный 2 2 4 2 2 2 2" xfId="314"/>
    <cellStyle name="Обычный 2 2 4 2 2 3" xfId="315"/>
    <cellStyle name="Обычный 2 2 4 2 3" xfId="316"/>
    <cellStyle name="Обычный 2 2 4 2 3 2" xfId="317"/>
    <cellStyle name="Обычный 2 2 4 2 4" xfId="318"/>
    <cellStyle name="Обычный 2 2 4 3" xfId="319"/>
    <cellStyle name="Обычный 2 2 4 3 2" xfId="320"/>
    <cellStyle name="Обычный 2 2 4 3 2 2" xfId="321"/>
    <cellStyle name="Обычный 2 2 4 3 3" xfId="322"/>
    <cellStyle name="Обычный 2 2 4 4" xfId="323"/>
    <cellStyle name="Обычный 2 2 4 4 2" xfId="324"/>
    <cellStyle name="Обычный 2 2 4 5" xfId="325"/>
    <cellStyle name="Обычный 2 2 5" xfId="326"/>
    <cellStyle name="Обычный 2 2 5 2" xfId="327"/>
    <cellStyle name="Обычный 2 2 5 2 2" xfId="328"/>
    <cellStyle name="Обычный 2 2 5 2 2 2" xfId="329"/>
    <cellStyle name="Обычный 2 2 5 2 3" xfId="330"/>
    <cellStyle name="Обычный 2 2 5 3" xfId="331"/>
    <cellStyle name="Обычный 2 2 5 3 2" xfId="332"/>
    <cellStyle name="Обычный 2 2 5 4" xfId="333"/>
    <cellStyle name="Обычный 2 2 6" xfId="334"/>
    <cellStyle name="Обычный 2 2 6 2" xfId="335"/>
    <cellStyle name="Обычный 2 2 6 2 2" xfId="336"/>
    <cellStyle name="Обычный 2 2 6 3" xfId="337"/>
    <cellStyle name="Обычный 2 2 7" xfId="338"/>
    <cellStyle name="Обычный 2 2 7 2" xfId="339"/>
    <cellStyle name="Обычный 2 2 8" xfId="340"/>
    <cellStyle name="Обычный 2 26 2" xfId="53"/>
    <cellStyle name="Обычный 2 3" xfId="341"/>
    <cellStyle name="Обычный 2 3 2" xfId="342"/>
    <cellStyle name="Обычный 2 3 2 2" xfId="343"/>
    <cellStyle name="Обычный 2 3 2 2 2" xfId="344"/>
    <cellStyle name="Обычный 2 3 2 2 2 2" xfId="345"/>
    <cellStyle name="Обычный 2 3 2 2 2 2 2" xfId="346"/>
    <cellStyle name="Обычный 2 3 2 2 2 2 2 2" xfId="347"/>
    <cellStyle name="Обычный 2 3 2 2 2 2 3" xfId="348"/>
    <cellStyle name="Обычный 2 3 2 2 2 3" xfId="349"/>
    <cellStyle name="Обычный 2 3 2 2 2 3 2" xfId="350"/>
    <cellStyle name="Обычный 2 3 2 2 2 4" xfId="351"/>
    <cellStyle name="Обычный 2 3 2 2 3" xfId="352"/>
    <cellStyle name="Обычный 2 3 2 2 3 2" xfId="353"/>
    <cellStyle name="Обычный 2 3 2 2 3 2 2" xfId="354"/>
    <cellStyle name="Обычный 2 3 2 2 3 3" xfId="355"/>
    <cellStyle name="Обычный 2 3 2 2 4" xfId="356"/>
    <cellStyle name="Обычный 2 3 2 2 4 2" xfId="357"/>
    <cellStyle name="Обычный 2 3 2 2 5" xfId="358"/>
    <cellStyle name="Обычный 2 3 2 3" xfId="359"/>
    <cellStyle name="Обычный 2 3 2 3 2" xfId="360"/>
    <cellStyle name="Обычный 2 3 2 3 2 2" xfId="361"/>
    <cellStyle name="Обычный 2 3 2 3 2 2 2" xfId="362"/>
    <cellStyle name="Обычный 2 3 2 3 2 3" xfId="363"/>
    <cellStyle name="Обычный 2 3 2 3 3" xfId="364"/>
    <cellStyle name="Обычный 2 3 2 3 3 2" xfId="365"/>
    <cellStyle name="Обычный 2 3 2 3 4" xfId="366"/>
    <cellStyle name="Обычный 2 3 2 4" xfId="367"/>
    <cellStyle name="Обычный 2 3 2 4 2" xfId="368"/>
    <cellStyle name="Обычный 2 3 2 4 2 2" xfId="369"/>
    <cellStyle name="Обычный 2 3 2 4 3" xfId="370"/>
    <cellStyle name="Обычный 2 3 2 5" xfId="371"/>
    <cellStyle name="Обычный 2 3 2 5 2" xfId="372"/>
    <cellStyle name="Обычный 2 3 2 6" xfId="373"/>
    <cellStyle name="Обычный 2 3 3" xfId="374"/>
    <cellStyle name="Обычный 2 3 3 2" xfId="375"/>
    <cellStyle name="Обычный 2 3 3 2 2" xfId="376"/>
    <cellStyle name="Обычный 2 3 3 2 2 2" xfId="377"/>
    <cellStyle name="Обычный 2 3 3 2 2 2 2" xfId="378"/>
    <cellStyle name="Обычный 2 3 3 2 2 3" xfId="379"/>
    <cellStyle name="Обычный 2 3 3 2 3" xfId="380"/>
    <cellStyle name="Обычный 2 3 3 2 3 2" xfId="381"/>
    <cellStyle name="Обычный 2 3 3 2 4" xfId="382"/>
    <cellStyle name="Обычный 2 3 3 3" xfId="383"/>
    <cellStyle name="Обычный 2 3 3 3 2" xfId="384"/>
    <cellStyle name="Обычный 2 3 3 3 2 2" xfId="385"/>
    <cellStyle name="Обычный 2 3 3 3 3" xfId="386"/>
    <cellStyle name="Обычный 2 3 3 4" xfId="387"/>
    <cellStyle name="Обычный 2 3 3 4 2" xfId="388"/>
    <cellStyle name="Обычный 2 3 3 5" xfId="389"/>
    <cellStyle name="Обычный 2 3 4" xfId="390"/>
    <cellStyle name="Обычный 2 3 4 2" xfId="391"/>
    <cellStyle name="Обычный 2 3 4 2 2" xfId="392"/>
    <cellStyle name="Обычный 2 3 4 2 2 2" xfId="393"/>
    <cellStyle name="Обычный 2 3 4 2 3" xfId="394"/>
    <cellStyle name="Обычный 2 3 4 3" xfId="395"/>
    <cellStyle name="Обычный 2 3 4 3 2" xfId="396"/>
    <cellStyle name="Обычный 2 3 4 4" xfId="397"/>
    <cellStyle name="Обычный 2 3 5" xfId="398"/>
    <cellStyle name="Обычный 2 3 5 2" xfId="399"/>
    <cellStyle name="Обычный 2 3 5 2 2" xfId="400"/>
    <cellStyle name="Обычный 2 3 5 3" xfId="401"/>
    <cellStyle name="Обычный 2 3 6" xfId="402"/>
    <cellStyle name="Обычный 2 3 6 2" xfId="403"/>
    <cellStyle name="Обычный 2 3 7" xfId="404"/>
    <cellStyle name="Обычный 2 4" xfId="405"/>
    <cellStyle name="Обычный 2 4 2" xfId="406"/>
    <cellStyle name="Обычный 2 4 2 2" xfId="687"/>
    <cellStyle name="Обычный 2 4 2 2 2" xfId="914"/>
    <cellStyle name="Обычный 2 4 2 2 2 2" xfId="1307"/>
    <cellStyle name="Обычный 2 4 2 2 2 2 2" xfId="2089"/>
    <cellStyle name="Обычный 2 4 2 2 2 2 2 2" xfId="3651"/>
    <cellStyle name="Обычный 2 4 2 2 2 2 2 2 2" xfId="6775"/>
    <cellStyle name="Обычный 2 4 2 2 2 2 2 3" xfId="5213"/>
    <cellStyle name="Обычный 2 4 2 2 2 2 3" xfId="2870"/>
    <cellStyle name="Обычный 2 4 2 2 2 2 3 2" xfId="5994"/>
    <cellStyle name="Обычный 2 4 2 2 2 2 4" xfId="4432"/>
    <cellStyle name="Обычный 2 4 2 2 2 3" xfId="1698"/>
    <cellStyle name="Обычный 2 4 2 2 2 3 2" xfId="3260"/>
    <cellStyle name="Обычный 2 4 2 2 2 3 2 2" xfId="6384"/>
    <cellStyle name="Обычный 2 4 2 2 2 3 3" xfId="4822"/>
    <cellStyle name="Обычный 2 4 2 2 2 4" xfId="2479"/>
    <cellStyle name="Обычный 2 4 2 2 2 4 2" xfId="5603"/>
    <cellStyle name="Обычный 2 4 2 2 2 5" xfId="4041"/>
    <cellStyle name="Обычный 2 4 2 2 3" xfId="1112"/>
    <cellStyle name="Обычный 2 4 2 2 3 2" xfId="1894"/>
    <cellStyle name="Обычный 2 4 2 2 3 2 2" xfId="3456"/>
    <cellStyle name="Обычный 2 4 2 2 3 2 2 2" xfId="6580"/>
    <cellStyle name="Обычный 2 4 2 2 3 2 3" xfId="5018"/>
    <cellStyle name="Обычный 2 4 2 2 3 3" xfId="2675"/>
    <cellStyle name="Обычный 2 4 2 2 3 3 2" xfId="5799"/>
    <cellStyle name="Обычный 2 4 2 2 3 4" xfId="4237"/>
    <cellStyle name="Обычный 2 4 2 2 4" xfId="1503"/>
    <cellStyle name="Обычный 2 4 2 2 4 2" xfId="3065"/>
    <cellStyle name="Обычный 2 4 2 2 4 2 2" xfId="6189"/>
    <cellStyle name="Обычный 2 4 2 2 4 3" xfId="4627"/>
    <cellStyle name="Обычный 2 4 2 2 5" xfId="2284"/>
    <cellStyle name="Обычный 2 4 2 2 5 2" xfId="5408"/>
    <cellStyle name="Обычный 2 4 2 2 6" xfId="3846"/>
    <cellStyle name="Обычный 2 4 2 3" xfId="688"/>
    <cellStyle name="Обычный 2 4 2 3 2" xfId="915"/>
    <cellStyle name="Обычный 2 4 2 3 2 2" xfId="1308"/>
    <cellStyle name="Обычный 2 4 2 3 2 2 2" xfId="2090"/>
    <cellStyle name="Обычный 2 4 2 3 2 2 2 2" xfId="3652"/>
    <cellStyle name="Обычный 2 4 2 3 2 2 2 2 2" xfId="6776"/>
    <cellStyle name="Обычный 2 4 2 3 2 2 2 3" xfId="5214"/>
    <cellStyle name="Обычный 2 4 2 3 2 2 3" xfId="2871"/>
    <cellStyle name="Обычный 2 4 2 3 2 2 3 2" xfId="5995"/>
    <cellStyle name="Обычный 2 4 2 3 2 2 4" xfId="4433"/>
    <cellStyle name="Обычный 2 4 2 3 2 3" xfId="1699"/>
    <cellStyle name="Обычный 2 4 2 3 2 3 2" xfId="3261"/>
    <cellStyle name="Обычный 2 4 2 3 2 3 2 2" xfId="6385"/>
    <cellStyle name="Обычный 2 4 2 3 2 3 3" xfId="4823"/>
    <cellStyle name="Обычный 2 4 2 3 2 4" xfId="2480"/>
    <cellStyle name="Обычный 2 4 2 3 2 4 2" xfId="5604"/>
    <cellStyle name="Обычный 2 4 2 3 2 5" xfId="4042"/>
    <cellStyle name="Обычный 2 4 2 3 3" xfId="1113"/>
    <cellStyle name="Обычный 2 4 2 3 3 2" xfId="1895"/>
    <cellStyle name="Обычный 2 4 2 3 3 2 2" xfId="3457"/>
    <cellStyle name="Обычный 2 4 2 3 3 2 2 2" xfId="6581"/>
    <cellStyle name="Обычный 2 4 2 3 3 2 3" xfId="5019"/>
    <cellStyle name="Обычный 2 4 2 3 3 3" xfId="2676"/>
    <cellStyle name="Обычный 2 4 2 3 3 3 2" xfId="5800"/>
    <cellStyle name="Обычный 2 4 2 3 3 4" xfId="4238"/>
    <cellStyle name="Обычный 2 4 2 3 4" xfId="1504"/>
    <cellStyle name="Обычный 2 4 2 3 4 2" xfId="3066"/>
    <cellStyle name="Обычный 2 4 2 3 4 2 2" xfId="6190"/>
    <cellStyle name="Обычный 2 4 2 3 4 3" xfId="4628"/>
    <cellStyle name="Обычный 2 4 2 3 5" xfId="2285"/>
    <cellStyle name="Обычный 2 4 2 3 5 2" xfId="5409"/>
    <cellStyle name="Обычный 2 4 2 3 6" xfId="3847"/>
    <cellStyle name="Обычный 2 4 2 4" xfId="908"/>
    <cellStyle name="Обычный 2 4 2 4 2" xfId="1301"/>
    <cellStyle name="Обычный 2 4 2 4 2 2" xfId="2083"/>
    <cellStyle name="Обычный 2 4 2 4 2 2 2" xfId="3645"/>
    <cellStyle name="Обычный 2 4 2 4 2 2 2 2" xfId="6769"/>
    <cellStyle name="Обычный 2 4 2 4 2 2 3" xfId="5207"/>
    <cellStyle name="Обычный 2 4 2 4 2 3" xfId="2864"/>
    <cellStyle name="Обычный 2 4 2 4 2 3 2" xfId="5988"/>
    <cellStyle name="Обычный 2 4 2 4 2 4" xfId="4426"/>
    <cellStyle name="Обычный 2 4 2 4 3" xfId="1692"/>
    <cellStyle name="Обычный 2 4 2 4 3 2" xfId="3254"/>
    <cellStyle name="Обычный 2 4 2 4 3 2 2" xfId="6378"/>
    <cellStyle name="Обычный 2 4 2 4 3 3" xfId="4816"/>
    <cellStyle name="Обычный 2 4 2 4 4" xfId="2473"/>
    <cellStyle name="Обычный 2 4 2 4 4 2" xfId="5597"/>
    <cellStyle name="Обычный 2 4 2 4 5" xfId="4035"/>
    <cellStyle name="Обычный 2 4 2 5" xfId="1106"/>
    <cellStyle name="Обычный 2 4 2 5 2" xfId="1888"/>
    <cellStyle name="Обычный 2 4 2 5 2 2" xfId="3450"/>
    <cellStyle name="Обычный 2 4 2 5 2 2 2" xfId="6574"/>
    <cellStyle name="Обычный 2 4 2 5 2 3" xfId="5012"/>
    <cellStyle name="Обычный 2 4 2 5 3" xfId="2669"/>
    <cellStyle name="Обычный 2 4 2 5 3 2" xfId="5793"/>
    <cellStyle name="Обычный 2 4 2 5 4" xfId="4231"/>
    <cellStyle name="Обычный 2 4 2 6" xfId="1497"/>
    <cellStyle name="Обычный 2 4 2 6 2" xfId="3059"/>
    <cellStyle name="Обычный 2 4 2 6 2 2" xfId="6183"/>
    <cellStyle name="Обычный 2 4 2 6 3" xfId="4621"/>
    <cellStyle name="Обычный 2 4 2 7" xfId="2278"/>
    <cellStyle name="Обычный 2 4 2 7 2" xfId="5402"/>
    <cellStyle name="Обычный 2 4 2 8" xfId="3840"/>
    <cellStyle name="Обычный 2 4 3" xfId="689"/>
    <cellStyle name="Обычный 2 4 3 2" xfId="916"/>
    <cellStyle name="Обычный 2 4 3 2 2" xfId="1309"/>
    <cellStyle name="Обычный 2 4 3 2 2 2" xfId="2091"/>
    <cellStyle name="Обычный 2 4 3 2 2 2 2" xfId="3653"/>
    <cellStyle name="Обычный 2 4 3 2 2 2 2 2" xfId="6777"/>
    <cellStyle name="Обычный 2 4 3 2 2 2 3" xfId="5215"/>
    <cellStyle name="Обычный 2 4 3 2 2 3" xfId="2872"/>
    <cellStyle name="Обычный 2 4 3 2 2 3 2" xfId="5996"/>
    <cellStyle name="Обычный 2 4 3 2 2 4" xfId="4434"/>
    <cellStyle name="Обычный 2 4 3 2 3" xfId="1700"/>
    <cellStyle name="Обычный 2 4 3 2 3 2" xfId="3262"/>
    <cellStyle name="Обычный 2 4 3 2 3 2 2" xfId="6386"/>
    <cellStyle name="Обычный 2 4 3 2 3 3" xfId="4824"/>
    <cellStyle name="Обычный 2 4 3 2 4" xfId="2481"/>
    <cellStyle name="Обычный 2 4 3 2 4 2" xfId="5605"/>
    <cellStyle name="Обычный 2 4 3 2 5" xfId="4043"/>
    <cellStyle name="Обычный 2 4 3 3" xfId="1114"/>
    <cellStyle name="Обычный 2 4 3 3 2" xfId="1896"/>
    <cellStyle name="Обычный 2 4 3 3 2 2" xfId="3458"/>
    <cellStyle name="Обычный 2 4 3 3 2 2 2" xfId="6582"/>
    <cellStyle name="Обычный 2 4 3 3 2 3" xfId="5020"/>
    <cellStyle name="Обычный 2 4 3 3 3" xfId="2677"/>
    <cellStyle name="Обычный 2 4 3 3 3 2" xfId="5801"/>
    <cellStyle name="Обычный 2 4 3 3 4" xfId="4239"/>
    <cellStyle name="Обычный 2 4 3 4" xfId="1505"/>
    <cellStyle name="Обычный 2 4 3 4 2" xfId="3067"/>
    <cellStyle name="Обычный 2 4 3 4 2 2" xfId="6191"/>
    <cellStyle name="Обычный 2 4 3 4 3" xfId="4629"/>
    <cellStyle name="Обычный 2 4 3 5" xfId="2286"/>
    <cellStyle name="Обычный 2 4 3 5 2" xfId="5410"/>
    <cellStyle name="Обычный 2 4 3 6" xfId="3848"/>
    <cellStyle name="Обычный 2 4 4" xfId="690"/>
    <cellStyle name="Обычный 2 4 4 2" xfId="917"/>
    <cellStyle name="Обычный 2 4 4 2 2" xfId="1310"/>
    <cellStyle name="Обычный 2 4 4 2 2 2" xfId="2092"/>
    <cellStyle name="Обычный 2 4 4 2 2 2 2" xfId="3654"/>
    <cellStyle name="Обычный 2 4 4 2 2 2 2 2" xfId="6778"/>
    <cellStyle name="Обычный 2 4 4 2 2 2 3" xfId="5216"/>
    <cellStyle name="Обычный 2 4 4 2 2 3" xfId="2873"/>
    <cellStyle name="Обычный 2 4 4 2 2 3 2" xfId="5997"/>
    <cellStyle name="Обычный 2 4 4 2 2 4" xfId="4435"/>
    <cellStyle name="Обычный 2 4 4 2 3" xfId="1701"/>
    <cellStyle name="Обычный 2 4 4 2 3 2" xfId="3263"/>
    <cellStyle name="Обычный 2 4 4 2 3 2 2" xfId="6387"/>
    <cellStyle name="Обычный 2 4 4 2 3 3" xfId="4825"/>
    <cellStyle name="Обычный 2 4 4 2 4" xfId="2482"/>
    <cellStyle name="Обычный 2 4 4 2 4 2" xfId="5606"/>
    <cellStyle name="Обычный 2 4 4 2 5" xfId="4044"/>
    <cellStyle name="Обычный 2 4 4 3" xfId="1115"/>
    <cellStyle name="Обычный 2 4 4 3 2" xfId="1897"/>
    <cellStyle name="Обычный 2 4 4 3 2 2" xfId="3459"/>
    <cellStyle name="Обычный 2 4 4 3 2 2 2" xfId="6583"/>
    <cellStyle name="Обычный 2 4 4 3 2 3" xfId="5021"/>
    <cellStyle name="Обычный 2 4 4 3 3" xfId="2678"/>
    <cellStyle name="Обычный 2 4 4 3 3 2" xfId="5802"/>
    <cellStyle name="Обычный 2 4 4 3 4" xfId="4240"/>
    <cellStyle name="Обычный 2 4 4 4" xfId="1506"/>
    <cellStyle name="Обычный 2 4 4 4 2" xfId="3068"/>
    <cellStyle name="Обычный 2 4 4 4 2 2" xfId="6192"/>
    <cellStyle name="Обычный 2 4 4 4 3" xfId="4630"/>
    <cellStyle name="Обычный 2 4 4 5" xfId="2287"/>
    <cellStyle name="Обычный 2 4 4 5 2" xfId="5411"/>
    <cellStyle name="Обычный 2 4 4 6" xfId="3849"/>
    <cellStyle name="Обычный 2 4 5" xfId="907"/>
    <cellStyle name="Обычный 2 4 5 2" xfId="1300"/>
    <cellStyle name="Обычный 2 4 5 2 2" xfId="2082"/>
    <cellStyle name="Обычный 2 4 5 2 2 2" xfId="3644"/>
    <cellStyle name="Обычный 2 4 5 2 2 2 2" xfId="6768"/>
    <cellStyle name="Обычный 2 4 5 2 2 3" xfId="5206"/>
    <cellStyle name="Обычный 2 4 5 2 3" xfId="2863"/>
    <cellStyle name="Обычный 2 4 5 2 3 2" xfId="5987"/>
    <cellStyle name="Обычный 2 4 5 2 4" xfId="4425"/>
    <cellStyle name="Обычный 2 4 5 3" xfId="1691"/>
    <cellStyle name="Обычный 2 4 5 3 2" xfId="3253"/>
    <cellStyle name="Обычный 2 4 5 3 2 2" xfId="6377"/>
    <cellStyle name="Обычный 2 4 5 3 3" xfId="4815"/>
    <cellStyle name="Обычный 2 4 5 4" xfId="2472"/>
    <cellStyle name="Обычный 2 4 5 4 2" xfId="5596"/>
    <cellStyle name="Обычный 2 4 5 5" xfId="4034"/>
    <cellStyle name="Обычный 2 4 6" xfId="1105"/>
    <cellStyle name="Обычный 2 4 6 2" xfId="1887"/>
    <cellStyle name="Обычный 2 4 6 2 2" xfId="3449"/>
    <cellStyle name="Обычный 2 4 6 2 2 2" xfId="6573"/>
    <cellStyle name="Обычный 2 4 6 2 3" xfId="5011"/>
    <cellStyle name="Обычный 2 4 6 3" xfId="2668"/>
    <cellStyle name="Обычный 2 4 6 3 2" xfId="5792"/>
    <cellStyle name="Обычный 2 4 6 4" xfId="4230"/>
    <cellStyle name="Обычный 2 4 7" xfId="1496"/>
    <cellStyle name="Обычный 2 4 7 2" xfId="3058"/>
    <cellStyle name="Обычный 2 4 7 2 2" xfId="6182"/>
    <cellStyle name="Обычный 2 4 7 3" xfId="4620"/>
    <cellStyle name="Обычный 2 4 8" xfId="2277"/>
    <cellStyle name="Обычный 2 4 8 2" xfId="5401"/>
    <cellStyle name="Обычный 2 4 9" xfId="3839"/>
    <cellStyle name="Обычный 2 5" xfId="407"/>
    <cellStyle name="Обычный 2 5 2" xfId="408"/>
    <cellStyle name="Обычный 2 5 2 2" xfId="409"/>
    <cellStyle name="Обычный 2 5 2 2 2" xfId="410"/>
    <cellStyle name="Обычный 2 5 2 2 2 2" xfId="411"/>
    <cellStyle name="Обычный 2 5 2 2 3" xfId="412"/>
    <cellStyle name="Обычный 2 5 2 3" xfId="413"/>
    <cellStyle name="Обычный 2 5 2 3 2" xfId="414"/>
    <cellStyle name="Обычный 2 5 2 4" xfId="415"/>
    <cellStyle name="Обычный 2 5 3" xfId="416"/>
    <cellStyle name="Обычный 2 5 3 2" xfId="417"/>
    <cellStyle name="Обычный 2 5 3 2 2" xfId="418"/>
    <cellStyle name="Обычный 2 5 3 3" xfId="419"/>
    <cellStyle name="Обычный 2 5 4" xfId="420"/>
    <cellStyle name="Обычный 2 5 4 2" xfId="421"/>
    <cellStyle name="Обычный 2 5 5" xfId="422"/>
    <cellStyle name="Обычный 2 6" xfId="423"/>
    <cellStyle name="Обычный 2 6 2" xfId="424"/>
    <cellStyle name="Обычный 2 6 2 2" xfId="425"/>
    <cellStyle name="Обычный 2 6 2 2 2" xfId="426"/>
    <cellStyle name="Обычный 2 6 2 3" xfId="427"/>
    <cellStyle name="Обычный 2 6 3" xfId="428"/>
    <cellStyle name="Обычный 2 6 3 2" xfId="429"/>
    <cellStyle name="Обычный 2 6 4" xfId="430"/>
    <cellStyle name="Обычный 2 7" xfId="431"/>
    <cellStyle name="Обычный 2 7 2" xfId="432"/>
    <cellStyle name="Обычный 2 7 2 2" xfId="433"/>
    <cellStyle name="Обычный 2 7 3" xfId="434"/>
    <cellStyle name="Обычный 2 8" xfId="435"/>
    <cellStyle name="Обычный 2 9" xfId="691"/>
    <cellStyle name="Обычный 20" xfId="932"/>
    <cellStyle name="Обычный 20 2" xfId="1716"/>
    <cellStyle name="Обычный 20 2 2" xfId="3278"/>
    <cellStyle name="Обычный 20 2 2 2" xfId="6402"/>
    <cellStyle name="Обычный 20 2 3" xfId="4840"/>
    <cellStyle name="Обычный 20 3" xfId="2497"/>
    <cellStyle name="Обычный 20 3 2" xfId="5621"/>
    <cellStyle name="Обычный 20 4" xfId="4059"/>
    <cellStyle name="Обычный 22_Копия Pril_2_1-12_11111(1.10.13)" xfId="692"/>
    <cellStyle name="Обычный 3" xfId="4"/>
    <cellStyle name="Обычный 3 2" xfId="12"/>
    <cellStyle name="Обычный 3 2 2" xfId="693"/>
    <cellStyle name="Обычный 3 2 2 2" xfId="54"/>
    <cellStyle name="Обычный 3 2 2 3" xfId="918"/>
    <cellStyle name="Обычный 3 2 2 3 2" xfId="1311"/>
    <cellStyle name="Обычный 3 2 2 3 2 2" xfId="2093"/>
    <cellStyle name="Обычный 3 2 2 3 2 2 2" xfId="3655"/>
    <cellStyle name="Обычный 3 2 2 3 2 2 2 2" xfId="6779"/>
    <cellStyle name="Обычный 3 2 2 3 2 2 3" xfId="5217"/>
    <cellStyle name="Обычный 3 2 2 3 2 3" xfId="2874"/>
    <cellStyle name="Обычный 3 2 2 3 2 3 2" xfId="5998"/>
    <cellStyle name="Обычный 3 2 2 3 2 4" xfId="4436"/>
    <cellStyle name="Обычный 3 2 2 3 3" xfId="1702"/>
    <cellStyle name="Обычный 3 2 2 3 3 2" xfId="3264"/>
    <cellStyle name="Обычный 3 2 2 3 3 2 2" xfId="6388"/>
    <cellStyle name="Обычный 3 2 2 3 3 3" xfId="4826"/>
    <cellStyle name="Обычный 3 2 2 3 4" xfId="2483"/>
    <cellStyle name="Обычный 3 2 2 3 4 2" xfId="5607"/>
    <cellStyle name="Обычный 3 2 2 3 5" xfId="4045"/>
    <cellStyle name="Обычный 3 2 2 4" xfId="1116"/>
    <cellStyle name="Обычный 3 2 2 4 2" xfId="1898"/>
    <cellStyle name="Обычный 3 2 2 4 2 2" xfId="3460"/>
    <cellStyle name="Обычный 3 2 2 4 2 2 2" xfId="6584"/>
    <cellStyle name="Обычный 3 2 2 4 2 3" xfId="5022"/>
    <cellStyle name="Обычный 3 2 2 4 3" xfId="2679"/>
    <cellStyle name="Обычный 3 2 2 4 3 2" xfId="5803"/>
    <cellStyle name="Обычный 3 2 2 4 4" xfId="4241"/>
    <cellStyle name="Обычный 3 2 2 5" xfId="1507"/>
    <cellStyle name="Обычный 3 2 2 5 2" xfId="3069"/>
    <cellStyle name="Обычный 3 2 2 5 2 2" xfId="6193"/>
    <cellStyle name="Обычный 3 2 2 5 3" xfId="4631"/>
    <cellStyle name="Обычный 3 2 2 6" xfId="2288"/>
    <cellStyle name="Обычный 3 2 2 6 2" xfId="5412"/>
    <cellStyle name="Обычный 3 2 2 7" xfId="3850"/>
    <cellStyle name="Обычный 3 2 3" xfId="694"/>
    <cellStyle name="Обычный 3 2 3 2" xfId="919"/>
    <cellStyle name="Обычный 3 2 3 2 2" xfId="1312"/>
    <cellStyle name="Обычный 3 2 3 2 2 2" xfId="2094"/>
    <cellStyle name="Обычный 3 2 3 2 2 2 2" xfId="3656"/>
    <cellStyle name="Обычный 3 2 3 2 2 2 2 2" xfId="6780"/>
    <cellStyle name="Обычный 3 2 3 2 2 2 3" xfId="5218"/>
    <cellStyle name="Обычный 3 2 3 2 2 3" xfId="2875"/>
    <cellStyle name="Обычный 3 2 3 2 2 3 2" xfId="5999"/>
    <cellStyle name="Обычный 3 2 3 2 2 4" xfId="4437"/>
    <cellStyle name="Обычный 3 2 3 2 3" xfId="1703"/>
    <cellStyle name="Обычный 3 2 3 2 3 2" xfId="3265"/>
    <cellStyle name="Обычный 3 2 3 2 3 2 2" xfId="6389"/>
    <cellStyle name="Обычный 3 2 3 2 3 3" xfId="4827"/>
    <cellStyle name="Обычный 3 2 3 2 4" xfId="2484"/>
    <cellStyle name="Обычный 3 2 3 2 4 2" xfId="5608"/>
    <cellStyle name="Обычный 3 2 3 2 5" xfId="4046"/>
    <cellStyle name="Обычный 3 2 3 3" xfId="1117"/>
    <cellStyle name="Обычный 3 2 3 3 2" xfId="1899"/>
    <cellStyle name="Обычный 3 2 3 3 2 2" xfId="3461"/>
    <cellStyle name="Обычный 3 2 3 3 2 2 2" xfId="6585"/>
    <cellStyle name="Обычный 3 2 3 3 2 3" xfId="5023"/>
    <cellStyle name="Обычный 3 2 3 3 3" xfId="2680"/>
    <cellStyle name="Обычный 3 2 3 3 3 2" xfId="5804"/>
    <cellStyle name="Обычный 3 2 3 3 4" xfId="4242"/>
    <cellStyle name="Обычный 3 2 3 4" xfId="1508"/>
    <cellStyle name="Обычный 3 2 3 4 2" xfId="3070"/>
    <cellStyle name="Обычный 3 2 3 4 2 2" xfId="6194"/>
    <cellStyle name="Обычный 3 2 3 4 3" xfId="4632"/>
    <cellStyle name="Обычный 3 2 3 5" xfId="2289"/>
    <cellStyle name="Обычный 3 2 3 5 2" xfId="5413"/>
    <cellStyle name="Обычный 3 2 3 6" xfId="3851"/>
    <cellStyle name="Обычный 3 21" xfId="55"/>
    <cellStyle name="Обычный 3 3" xfId="436"/>
    <cellStyle name="Обычный 3 3 2" xfId="437"/>
    <cellStyle name="Обычный 3 4" xfId="438"/>
    <cellStyle name="Обычный 3 5" xfId="737"/>
    <cellStyle name="Обычный 3 5 2" xfId="1130"/>
    <cellStyle name="Обычный 3 5 2 2" xfId="1912"/>
    <cellStyle name="Обычный 3 5 2 2 2" xfId="3474"/>
    <cellStyle name="Обычный 3 5 2 2 2 2" xfId="6598"/>
    <cellStyle name="Обычный 3 5 2 2 3" xfId="5036"/>
    <cellStyle name="Обычный 3 5 2 3" xfId="2693"/>
    <cellStyle name="Обычный 3 5 2 3 2" xfId="5817"/>
    <cellStyle name="Обычный 3 5 2 4" xfId="4255"/>
    <cellStyle name="Обычный 3 5 3" xfId="1521"/>
    <cellStyle name="Обычный 3 5 3 2" xfId="3083"/>
    <cellStyle name="Обычный 3 5 3 2 2" xfId="6207"/>
    <cellStyle name="Обычный 3 5 3 3" xfId="4645"/>
    <cellStyle name="Обычный 3 5 4" xfId="2302"/>
    <cellStyle name="Обычный 3 5 4 2" xfId="5426"/>
    <cellStyle name="Обычный 3 5 5" xfId="3864"/>
    <cellStyle name="Обычный 3 6" xfId="934"/>
    <cellStyle name="Обычный 3 6 2" xfId="1717"/>
    <cellStyle name="Обычный 3 6 2 2" xfId="3279"/>
    <cellStyle name="Обычный 3 6 2 2 2" xfId="6403"/>
    <cellStyle name="Обычный 3 6 2 3" xfId="4841"/>
    <cellStyle name="Обычный 3 6 3" xfId="2498"/>
    <cellStyle name="Обычный 3 6 3 2" xfId="5622"/>
    <cellStyle name="Обычный 3 6 4" xfId="4060"/>
    <cellStyle name="Обычный 3 7" xfId="1326"/>
    <cellStyle name="Обычный 3 7 2" xfId="2888"/>
    <cellStyle name="Обычный 3 7 2 2" xfId="6012"/>
    <cellStyle name="Обычный 3 7 3" xfId="4450"/>
    <cellStyle name="Обычный 3 8" xfId="2107"/>
    <cellStyle name="Обычный 3 8 2" xfId="5231"/>
    <cellStyle name="Обычный 3 9" xfId="3669"/>
    <cellStyle name="Обычный 4" xfId="11"/>
    <cellStyle name="Обычный 4 2" xfId="56"/>
    <cellStyle name="Обычный 4 2 2" xfId="439"/>
    <cellStyle name="Обычный 4 2 2 2" xfId="440"/>
    <cellStyle name="Обычный 4 2 2 2 2" xfId="441"/>
    <cellStyle name="Обычный 4 2 2 2 2 2" xfId="442"/>
    <cellStyle name="Обычный 4 2 2 2 2 2 2" xfId="443"/>
    <cellStyle name="Обычный 4 2 2 2 2 3" xfId="444"/>
    <cellStyle name="Обычный 4 2 2 2 3" xfId="445"/>
    <cellStyle name="Обычный 4 2 2 2 3 2" xfId="446"/>
    <cellStyle name="Обычный 4 2 2 2 4" xfId="447"/>
    <cellStyle name="Обычный 4 2 2 3" xfId="448"/>
    <cellStyle name="Обычный 4 2 2 3 2" xfId="449"/>
    <cellStyle name="Обычный 4 2 2 3 2 2" xfId="450"/>
    <cellStyle name="Обычный 4 2 2 3 3" xfId="451"/>
    <cellStyle name="Обычный 4 2 2 4" xfId="452"/>
    <cellStyle name="Обычный 4 2 2 4 2" xfId="453"/>
    <cellStyle name="Обычный 4 2 2 5" xfId="454"/>
    <cellStyle name="Обычный 4 2 3" xfId="455"/>
    <cellStyle name="Обычный 4 2 3 2" xfId="456"/>
    <cellStyle name="Обычный 4 2 3 2 2" xfId="457"/>
    <cellStyle name="Обычный 4 2 3 2 2 2" xfId="458"/>
    <cellStyle name="Обычный 4 2 3 2 3" xfId="459"/>
    <cellStyle name="Обычный 4 2 3 3" xfId="460"/>
    <cellStyle name="Обычный 4 2 3 3 2" xfId="461"/>
    <cellStyle name="Обычный 4 2 3 4" xfId="462"/>
    <cellStyle name="Обычный 4 2 4" xfId="463"/>
    <cellStyle name="Обычный 4 2 4 2" xfId="464"/>
    <cellStyle name="Обычный 4 2 4 2 2" xfId="465"/>
    <cellStyle name="Обычный 4 2 4 3" xfId="466"/>
    <cellStyle name="Обычный 4 2 5" xfId="467"/>
    <cellStyle name="Обычный 4 2 5 2" xfId="468"/>
    <cellStyle name="Обычный 4 2 6" xfId="469"/>
    <cellStyle name="Обычный 4 3" xfId="13"/>
    <cellStyle name="Обычный 4 3 2" xfId="470"/>
    <cellStyle name="Обычный 4 3 2 2" xfId="471"/>
    <cellStyle name="Обычный 4 3 2 2 2" xfId="472"/>
    <cellStyle name="Обычный 4 3 2 2 2 2" xfId="473"/>
    <cellStyle name="Обычный 4 3 2 2 2 2 2" xfId="474"/>
    <cellStyle name="Обычный 4 3 2 2 2 3" xfId="475"/>
    <cellStyle name="Обычный 4 3 2 2 3" xfId="476"/>
    <cellStyle name="Обычный 4 3 2 2 3 2" xfId="477"/>
    <cellStyle name="Обычный 4 3 2 2 4" xfId="478"/>
    <cellStyle name="Обычный 4 3 2 3" xfId="479"/>
    <cellStyle name="Обычный 4 3 2 3 2" xfId="480"/>
    <cellStyle name="Обычный 4 3 2 3 2 2" xfId="481"/>
    <cellStyle name="Обычный 4 3 2 3 3" xfId="482"/>
    <cellStyle name="Обычный 4 3 2 4" xfId="483"/>
    <cellStyle name="Обычный 4 3 2 4 2" xfId="484"/>
    <cellStyle name="Обычный 4 3 2 5" xfId="485"/>
    <cellStyle name="Обычный 4 3 3" xfId="486"/>
    <cellStyle name="Обычный 4 3 3 2" xfId="487"/>
    <cellStyle name="Обычный 4 3 3 2 2" xfId="488"/>
    <cellStyle name="Обычный 4 3 3 2 2 2" xfId="489"/>
    <cellStyle name="Обычный 4 3 3 2 3" xfId="490"/>
    <cellStyle name="Обычный 4 3 3 3" xfId="491"/>
    <cellStyle name="Обычный 4 3 3 3 2" xfId="492"/>
    <cellStyle name="Обычный 4 3 3 4" xfId="493"/>
    <cellStyle name="Обычный 4 3 4" xfId="494"/>
    <cellStyle name="Обычный 4 3 4 2" xfId="495"/>
    <cellStyle name="Обычный 4 3 4 2 2" xfId="496"/>
    <cellStyle name="Обычный 4 3 4 3" xfId="497"/>
    <cellStyle name="Обычный 4 3 5" xfId="498"/>
    <cellStyle name="Обычный 4 3 5 2" xfId="499"/>
    <cellStyle name="Обычный 4 3 6" xfId="500"/>
    <cellStyle name="Обычный 4 4" xfId="501"/>
    <cellStyle name="Обычный 4 4 2" xfId="502"/>
    <cellStyle name="Обычный 4 4 2 2" xfId="503"/>
    <cellStyle name="Обычный 4 4 2 2 2" xfId="504"/>
    <cellStyle name="Обычный 4 4 2 2 2 2" xfId="505"/>
    <cellStyle name="Обычный 4 4 2 2 3" xfId="506"/>
    <cellStyle name="Обычный 4 4 2 3" xfId="507"/>
    <cellStyle name="Обычный 4 4 2 3 2" xfId="508"/>
    <cellStyle name="Обычный 4 4 2 4" xfId="509"/>
    <cellStyle name="Обычный 4 4 3" xfId="510"/>
    <cellStyle name="Обычный 4 4 3 2" xfId="511"/>
    <cellStyle name="Обычный 4 4 3 2 2" xfId="512"/>
    <cellStyle name="Обычный 4 4 3 3" xfId="513"/>
    <cellStyle name="Обычный 4 4 4" xfId="514"/>
    <cellStyle name="Обычный 4 4 4 2" xfId="515"/>
    <cellStyle name="Обычный 4 4 5" xfId="516"/>
    <cellStyle name="Обычный 4 5" xfId="517"/>
    <cellStyle name="Обычный 4 5 2" xfId="518"/>
    <cellStyle name="Обычный 4 5 2 2" xfId="519"/>
    <cellStyle name="Обычный 4 5 2 2 2" xfId="520"/>
    <cellStyle name="Обычный 4 5 2 3" xfId="521"/>
    <cellStyle name="Обычный 4 5 3" xfId="522"/>
    <cellStyle name="Обычный 4 5 3 2" xfId="523"/>
    <cellStyle name="Обычный 4 5 4" xfId="524"/>
    <cellStyle name="Обычный 4 6" xfId="525"/>
    <cellStyle name="Обычный 4 6 2" xfId="526"/>
    <cellStyle name="Обычный 4 6 2 2" xfId="527"/>
    <cellStyle name="Обычный 4 6 3" xfId="528"/>
    <cellStyle name="Обычный 4 7" xfId="529"/>
    <cellStyle name="Обычный 4 7 2" xfId="530"/>
    <cellStyle name="Обычный 4 8" xfId="531"/>
    <cellStyle name="Обычный 5" xfId="14"/>
    <cellStyle name="Обычный 5 2" xfId="532"/>
    <cellStyle name="Обычный 5 2 2" xfId="533"/>
    <cellStyle name="Обычный 5 2 2 2" xfId="534"/>
    <cellStyle name="Обычный 5 2 2 2 2" xfId="535"/>
    <cellStyle name="Обычный 5 2 2 2 2 2" xfId="536"/>
    <cellStyle name="Обычный 5 2 2 2 3" xfId="537"/>
    <cellStyle name="Обычный 5 2 2 3" xfId="538"/>
    <cellStyle name="Обычный 5 2 2 3 2" xfId="539"/>
    <cellStyle name="Обычный 5 2 2 4" xfId="540"/>
    <cellStyle name="Обычный 5 2 3" xfId="541"/>
    <cellStyle name="Обычный 5 2 3 2" xfId="542"/>
    <cellStyle name="Обычный 5 2 3 2 2" xfId="543"/>
    <cellStyle name="Обычный 5 2 3 3" xfId="544"/>
    <cellStyle name="Обычный 5 2 4" xfId="545"/>
    <cellStyle name="Обычный 5 2 4 2" xfId="546"/>
    <cellStyle name="Обычный 5 2 5" xfId="547"/>
    <cellStyle name="Обычный 5 3" xfId="548"/>
    <cellStyle name="Обычный 5 3 2" xfId="549"/>
    <cellStyle name="Обычный 5 3 2 2" xfId="550"/>
    <cellStyle name="Обычный 5 3 2 2 2" xfId="551"/>
    <cellStyle name="Обычный 5 3 2 3" xfId="552"/>
    <cellStyle name="Обычный 5 3 3" xfId="553"/>
    <cellStyle name="Обычный 5 3 3 2" xfId="554"/>
    <cellStyle name="Обычный 5 3 4" xfId="555"/>
    <cellStyle name="Обычный 5 4" xfId="556"/>
    <cellStyle name="Обычный 5 4 2" xfId="557"/>
    <cellStyle name="Обычный 5 4 2 2" xfId="558"/>
    <cellStyle name="Обычный 5 4 3" xfId="559"/>
    <cellStyle name="Обычный 5 5" xfId="560"/>
    <cellStyle name="Обычный 5 5 2" xfId="561"/>
    <cellStyle name="Обычный 5 6" xfId="562"/>
    <cellStyle name="Обычный 6" xfId="57"/>
    <cellStyle name="Обычный 6 10" xfId="695"/>
    <cellStyle name="Обычный 6 10 2" xfId="920"/>
    <cellStyle name="Обычный 6 10 2 2" xfId="1313"/>
    <cellStyle name="Обычный 6 10 2 2 2" xfId="2095"/>
    <cellStyle name="Обычный 6 10 2 2 2 2" xfId="3657"/>
    <cellStyle name="Обычный 6 10 2 2 2 2 2" xfId="6781"/>
    <cellStyle name="Обычный 6 10 2 2 2 3" xfId="5219"/>
    <cellStyle name="Обычный 6 10 2 2 3" xfId="2876"/>
    <cellStyle name="Обычный 6 10 2 2 3 2" xfId="6000"/>
    <cellStyle name="Обычный 6 10 2 2 4" xfId="4438"/>
    <cellStyle name="Обычный 6 10 2 3" xfId="1704"/>
    <cellStyle name="Обычный 6 10 2 3 2" xfId="3266"/>
    <cellStyle name="Обычный 6 10 2 3 2 2" xfId="6390"/>
    <cellStyle name="Обычный 6 10 2 3 3" xfId="4828"/>
    <cellStyle name="Обычный 6 10 2 4" xfId="2485"/>
    <cellStyle name="Обычный 6 10 2 4 2" xfId="5609"/>
    <cellStyle name="Обычный 6 10 2 5" xfId="4047"/>
    <cellStyle name="Обычный 6 10 3" xfId="1118"/>
    <cellStyle name="Обычный 6 10 3 2" xfId="1900"/>
    <cellStyle name="Обычный 6 10 3 2 2" xfId="3462"/>
    <cellStyle name="Обычный 6 10 3 2 2 2" xfId="6586"/>
    <cellStyle name="Обычный 6 10 3 2 3" xfId="5024"/>
    <cellStyle name="Обычный 6 10 3 3" xfId="2681"/>
    <cellStyle name="Обычный 6 10 3 3 2" xfId="5805"/>
    <cellStyle name="Обычный 6 10 3 4" xfId="4243"/>
    <cellStyle name="Обычный 6 10 4" xfId="1509"/>
    <cellStyle name="Обычный 6 10 4 2" xfId="3071"/>
    <cellStyle name="Обычный 6 10 4 2 2" xfId="6195"/>
    <cellStyle name="Обычный 6 10 4 3" xfId="4633"/>
    <cellStyle name="Обычный 6 10 5" xfId="2290"/>
    <cellStyle name="Обычный 6 10 5 2" xfId="5414"/>
    <cellStyle name="Обычный 6 10 6" xfId="3852"/>
    <cellStyle name="Обычный 6 11" xfId="696"/>
    <cellStyle name="Обычный 6 11 2" xfId="921"/>
    <cellStyle name="Обычный 6 11 2 2" xfId="1314"/>
    <cellStyle name="Обычный 6 11 2 2 2" xfId="2096"/>
    <cellStyle name="Обычный 6 11 2 2 2 2" xfId="3658"/>
    <cellStyle name="Обычный 6 11 2 2 2 2 2" xfId="6782"/>
    <cellStyle name="Обычный 6 11 2 2 2 3" xfId="5220"/>
    <cellStyle name="Обычный 6 11 2 2 3" xfId="2877"/>
    <cellStyle name="Обычный 6 11 2 2 3 2" xfId="6001"/>
    <cellStyle name="Обычный 6 11 2 2 4" xfId="4439"/>
    <cellStyle name="Обычный 6 11 2 3" xfId="1705"/>
    <cellStyle name="Обычный 6 11 2 3 2" xfId="3267"/>
    <cellStyle name="Обычный 6 11 2 3 2 2" xfId="6391"/>
    <cellStyle name="Обычный 6 11 2 3 3" xfId="4829"/>
    <cellStyle name="Обычный 6 11 2 4" xfId="2486"/>
    <cellStyle name="Обычный 6 11 2 4 2" xfId="5610"/>
    <cellStyle name="Обычный 6 11 2 5" xfId="4048"/>
    <cellStyle name="Обычный 6 11 3" xfId="1119"/>
    <cellStyle name="Обычный 6 11 3 2" xfId="1901"/>
    <cellStyle name="Обычный 6 11 3 2 2" xfId="3463"/>
    <cellStyle name="Обычный 6 11 3 2 2 2" xfId="6587"/>
    <cellStyle name="Обычный 6 11 3 2 3" xfId="5025"/>
    <cellStyle name="Обычный 6 11 3 3" xfId="2682"/>
    <cellStyle name="Обычный 6 11 3 3 2" xfId="5806"/>
    <cellStyle name="Обычный 6 11 3 4" xfId="4244"/>
    <cellStyle name="Обычный 6 11 4" xfId="1510"/>
    <cellStyle name="Обычный 6 11 4 2" xfId="3072"/>
    <cellStyle name="Обычный 6 11 4 2 2" xfId="6196"/>
    <cellStyle name="Обычный 6 11 4 3" xfId="4634"/>
    <cellStyle name="Обычный 6 11 5" xfId="2291"/>
    <cellStyle name="Обычный 6 11 5 2" xfId="5415"/>
    <cellStyle name="Обычный 6 11 6" xfId="3853"/>
    <cellStyle name="Обычный 6 12" xfId="739"/>
    <cellStyle name="Обычный 6 12 2" xfId="1132"/>
    <cellStyle name="Обычный 6 12 2 2" xfId="1914"/>
    <cellStyle name="Обычный 6 12 2 2 2" xfId="3476"/>
    <cellStyle name="Обычный 6 12 2 2 2 2" xfId="6600"/>
    <cellStyle name="Обычный 6 12 2 2 3" xfId="5038"/>
    <cellStyle name="Обычный 6 12 2 3" xfId="2695"/>
    <cellStyle name="Обычный 6 12 2 3 2" xfId="5819"/>
    <cellStyle name="Обычный 6 12 2 4" xfId="4257"/>
    <cellStyle name="Обычный 6 12 3" xfId="1523"/>
    <cellStyle name="Обычный 6 12 3 2" xfId="3085"/>
    <cellStyle name="Обычный 6 12 3 2 2" xfId="6209"/>
    <cellStyle name="Обычный 6 12 3 3" xfId="4647"/>
    <cellStyle name="Обычный 6 12 4" xfId="2304"/>
    <cellStyle name="Обычный 6 12 4 2" xfId="5428"/>
    <cellStyle name="Обычный 6 12 5" xfId="3866"/>
    <cellStyle name="Обычный 6 13" xfId="937"/>
    <cellStyle name="Обычный 6 13 2" xfId="1719"/>
    <cellStyle name="Обычный 6 13 2 2" xfId="3281"/>
    <cellStyle name="Обычный 6 13 2 2 2" xfId="6405"/>
    <cellStyle name="Обычный 6 13 2 3" xfId="4843"/>
    <cellStyle name="Обычный 6 13 3" xfId="2500"/>
    <cellStyle name="Обычный 6 13 3 2" xfId="5624"/>
    <cellStyle name="Обычный 6 13 4" xfId="4062"/>
    <cellStyle name="Обычный 6 14" xfId="1328"/>
    <cellStyle name="Обычный 6 14 2" xfId="2890"/>
    <cellStyle name="Обычный 6 14 2 2" xfId="6014"/>
    <cellStyle name="Обычный 6 14 3" xfId="4452"/>
    <cellStyle name="Обычный 6 15" xfId="2109"/>
    <cellStyle name="Обычный 6 15 2" xfId="5233"/>
    <cellStyle name="Обычный 6 16" xfId="3671"/>
    <cellStyle name="Обычный 6 2" xfId="58"/>
    <cellStyle name="Обычный 6 2 10" xfId="628"/>
    <cellStyle name="Обычный 6 2 10 2" xfId="911"/>
    <cellStyle name="Обычный 6 2 10 2 2" xfId="1304"/>
    <cellStyle name="Обычный 6 2 10 2 2 2" xfId="2086"/>
    <cellStyle name="Обычный 6 2 10 2 2 2 2" xfId="3648"/>
    <cellStyle name="Обычный 6 2 10 2 2 2 2 2" xfId="6772"/>
    <cellStyle name="Обычный 6 2 10 2 2 2 3" xfId="5210"/>
    <cellStyle name="Обычный 6 2 10 2 2 3" xfId="2867"/>
    <cellStyle name="Обычный 6 2 10 2 2 3 2" xfId="5991"/>
    <cellStyle name="Обычный 6 2 10 2 2 4" xfId="4429"/>
    <cellStyle name="Обычный 6 2 10 2 3" xfId="1695"/>
    <cellStyle name="Обычный 6 2 10 2 3 2" xfId="3257"/>
    <cellStyle name="Обычный 6 2 10 2 3 2 2" xfId="6381"/>
    <cellStyle name="Обычный 6 2 10 2 3 3" xfId="4819"/>
    <cellStyle name="Обычный 6 2 10 2 4" xfId="2476"/>
    <cellStyle name="Обычный 6 2 10 2 4 2" xfId="5600"/>
    <cellStyle name="Обычный 6 2 10 2 5" xfId="4038"/>
    <cellStyle name="Обычный 6 2 10 3" xfId="1109"/>
    <cellStyle name="Обычный 6 2 10 3 2" xfId="1891"/>
    <cellStyle name="Обычный 6 2 10 3 2 2" xfId="3453"/>
    <cellStyle name="Обычный 6 2 10 3 2 2 2" xfId="6577"/>
    <cellStyle name="Обычный 6 2 10 3 2 3" xfId="5015"/>
    <cellStyle name="Обычный 6 2 10 3 3" xfId="2672"/>
    <cellStyle name="Обычный 6 2 10 3 3 2" xfId="5796"/>
    <cellStyle name="Обычный 6 2 10 3 4" xfId="4234"/>
    <cellStyle name="Обычный 6 2 10 4" xfId="1500"/>
    <cellStyle name="Обычный 6 2 10 4 2" xfId="3062"/>
    <cellStyle name="Обычный 6 2 10 4 2 2" xfId="6186"/>
    <cellStyle name="Обычный 6 2 10 4 3" xfId="4624"/>
    <cellStyle name="Обычный 6 2 10 5" xfId="2281"/>
    <cellStyle name="Обычный 6 2 10 5 2" xfId="5405"/>
    <cellStyle name="Обычный 6 2 10 6" xfId="3843"/>
    <cellStyle name="Обычный 6 2 11" xfId="740"/>
    <cellStyle name="Обычный 6 2 11 2" xfId="1133"/>
    <cellStyle name="Обычный 6 2 11 2 2" xfId="1915"/>
    <cellStyle name="Обычный 6 2 11 2 2 2" xfId="3477"/>
    <cellStyle name="Обычный 6 2 11 2 2 2 2" xfId="6601"/>
    <cellStyle name="Обычный 6 2 11 2 2 3" xfId="5039"/>
    <cellStyle name="Обычный 6 2 11 2 3" xfId="2696"/>
    <cellStyle name="Обычный 6 2 11 2 3 2" xfId="5820"/>
    <cellStyle name="Обычный 6 2 11 2 4" xfId="4258"/>
    <cellStyle name="Обычный 6 2 11 3" xfId="1524"/>
    <cellStyle name="Обычный 6 2 11 3 2" xfId="3086"/>
    <cellStyle name="Обычный 6 2 11 3 2 2" xfId="6210"/>
    <cellStyle name="Обычный 6 2 11 3 3" xfId="4648"/>
    <cellStyle name="Обычный 6 2 11 4" xfId="2305"/>
    <cellStyle name="Обычный 6 2 11 4 2" xfId="5429"/>
    <cellStyle name="Обычный 6 2 11 5" xfId="3867"/>
    <cellStyle name="Обычный 6 2 12" xfId="938"/>
    <cellStyle name="Обычный 6 2 12 2" xfId="1720"/>
    <cellStyle name="Обычный 6 2 12 2 2" xfId="3282"/>
    <cellStyle name="Обычный 6 2 12 2 2 2" xfId="6406"/>
    <cellStyle name="Обычный 6 2 12 2 3" xfId="4844"/>
    <cellStyle name="Обычный 6 2 12 3" xfId="2501"/>
    <cellStyle name="Обычный 6 2 12 3 2" xfId="5625"/>
    <cellStyle name="Обычный 6 2 12 4" xfId="4063"/>
    <cellStyle name="Обычный 6 2 13" xfId="1329"/>
    <cellStyle name="Обычный 6 2 13 2" xfId="2891"/>
    <cellStyle name="Обычный 6 2 13 2 2" xfId="6015"/>
    <cellStyle name="Обычный 6 2 13 3" xfId="4453"/>
    <cellStyle name="Обычный 6 2 14" xfId="2110"/>
    <cellStyle name="Обычный 6 2 14 2" xfId="5234"/>
    <cellStyle name="Обычный 6 2 15" xfId="3672"/>
    <cellStyle name="Обычный 6 2 2" xfId="59"/>
    <cellStyle name="Обычный 6 2 2 10" xfId="939"/>
    <cellStyle name="Обычный 6 2 2 10 2" xfId="1721"/>
    <cellStyle name="Обычный 6 2 2 10 2 2" xfId="3283"/>
    <cellStyle name="Обычный 6 2 2 10 2 2 2" xfId="6407"/>
    <cellStyle name="Обычный 6 2 2 10 2 3" xfId="4845"/>
    <cellStyle name="Обычный 6 2 2 10 3" xfId="2502"/>
    <cellStyle name="Обычный 6 2 2 10 3 2" xfId="5626"/>
    <cellStyle name="Обычный 6 2 2 10 4" xfId="4064"/>
    <cellStyle name="Обычный 6 2 2 11" xfId="1330"/>
    <cellStyle name="Обычный 6 2 2 11 2" xfId="2892"/>
    <cellStyle name="Обычный 6 2 2 11 2 2" xfId="6016"/>
    <cellStyle name="Обычный 6 2 2 11 3" xfId="4454"/>
    <cellStyle name="Обычный 6 2 2 12" xfId="2111"/>
    <cellStyle name="Обычный 6 2 2 12 2" xfId="5235"/>
    <cellStyle name="Обычный 6 2 2 13" xfId="3673"/>
    <cellStyle name="Обычный 6 2 2 2" xfId="60"/>
    <cellStyle name="Обычный 6 2 2 2 10" xfId="3674"/>
    <cellStyle name="Обычный 6 2 2 2 2" xfId="61"/>
    <cellStyle name="Обычный 6 2 2 2 2 2" xfId="62"/>
    <cellStyle name="Обычный 6 2 2 2 2 2 2" xfId="63"/>
    <cellStyle name="Обычный 6 2 2 2 2 2 2 2" xfId="745"/>
    <cellStyle name="Обычный 6 2 2 2 2 2 2 2 2" xfId="1138"/>
    <cellStyle name="Обычный 6 2 2 2 2 2 2 2 2 2" xfId="1920"/>
    <cellStyle name="Обычный 6 2 2 2 2 2 2 2 2 2 2" xfId="3482"/>
    <cellStyle name="Обычный 6 2 2 2 2 2 2 2 2 2 2 2" xfId="6606"/>
    <cellStyle name="Обычный 6 2 2 2 2 2 2 2 2 2 3" xfId="5044"/>
    <cellStyle name="Обычный 6 2 2 2 2 2 2 2 2 3" xfId="2701"/>
    <cellStyle name="Обычный 6 2 2 2 2 2 2 2 2 3 2" xfId="5825"/>
    <cellStyle name="Обычный 6 2 2 2 2 2 2 2 2 4" xfId="4263"/>
    <cellStyle name="Обычный 6 2 2 2 2 2 2 2 3" xfId="1529"/>
    <cellStyle name="Обычный 6 2 2 2 2 2 2 2 3 2" xfId="3091"/>
    <cellStyle name="Обычный 6 2 2 2 2 2 2 2 3 2 2" xfId="6215"/>
    <cellStyle name="Обычный 6 2 2 2 2 2 2 2 3 3" xfId="4653"/>
    <cellStyle name="Обычный 6 2 2 2 2 2 2 2 4" xfId="2310"/>
    <cellStyle name="Обычный 6 2 2 2 2 2 2 2 4 2" xfId="5434"/>
    <cellStyle name="Обычный 6 2 2 2 2 2 2 2 5" xfId="3872"/>
    <cellStyle name="Обычный 6 2 2 2 2 2 2 3" xfId="943"/>
    <cellStyle name="Обычный 6 2 2 2 2 2 2 3 2" xfId="1725"/>
    <cellStyle name="Обычный 6 2 2 2 2 2 2 3 2 2" xfId="3287"/>
    <cellStyle name="Обычный 6 2 2 2 2 2 2 3 2 2 2" xfId="6411"/>
    <cellStyle name="Обычный 6 2 2 2 2 2 2 3 2 3" xfId="4849"/>
    <cellStyle name="Обычный 6 2 2 2 2 2 2 3 3" xfId="2506"/>
    <cellStyle name="Обычный 6 2 2 2 2 2 2 3 3 2" xfId="5630"/>
    <cellStyle name="Обычный 6 2 2 2 2 2 2 3 4" xfId="4068"/>
    <cellStyle name="Обычный 6 2 2 2 2 2 2 4" xfId="1334"/>
    <cellStyle name="Обычный 6 2 2 2 2 2 2 4 2" xfId="2896"/>
    <cellStyle name="Обычный 6 2 2 2 2 2 2 4 2 2" xfId="6020"/>
    <cellStyle name="Обычный 6 2 2 2 2 2 2 4 3" xfId="4458"/>
    <cellStyle name="Обычный 6 2 2 2 2 2 2 5" xfId="2115"/>
    <cellStyle name="Обычный 6 2 2 2 2 2 2 5 2" xfId="5239"/>
    <cellStyle name="Обычный 6 2 2 2 2 2 2 6" xfId="3677"/>
    <cellStyle name="Обычный 6 2 2 2 2 2 3" xfId="64"/>
    <cellStyle name="Обычный 6 2 2 2 2 2 3 2" xfId="746"/>
    <cellStyle name="Обычный 6 2 2 2 2 2 3 2 2" xfId="1139"/>
    <cellStyle name="Обычный 6 2 2 2 2 2 3 2 2 2" xfId="1921"/>
    <cellStyle name="Обычный 6 2 2 2 2 2 3 2 2 2 2" xfId="3483"/>
    <cellStyle name="Обычный 6 2 2 2 2 2 3 2 2 2 2 2" xfId="6607"/>
    <cellStyle name="Обычный 6 2 2 2 2 2 3 2 2 2 3" xfId="5045"/>
    <cellStyle name="Обычный 6 2 2 2 2 2 3 2 2 3" xfId="2702"/>
    <cellStyle name="Обычный 6 2 2 2 2 2 3 2 2 3 2" xfId="5826"/>
    <cellStyle name="Обычный 6 2 2 2 2 2 3 2 2 4" xfId="4264"/>
    <cellStyle name="Обычный 6 2 2 2 2 2 3 2 3" xfId="1530"/>
    <cellStyle name="Обычный 6 2 2 2 2 2 3 2 3 2" xfId="3092"/>
    <cellStyle name="Обычный 6 2 2 2 2 2 3 2 3 2 2" xfId="6216"/>
    <cellStyle name="Обычный 6 2 2 2 2 2 3 2 3 3" xfId="4654"/>
    <cellStyle name="Обычный 6 2 2 2 2 2 3 2 4" xfId="2311"/>
    <cellStyle name="Обычный 6 2 2 2 2 2 3 2 4 2" xfId="5435"/>
    <cellStyle name="Обычный 6 2 2 2 2 2 3 2 5" xfId="3873"/>
    <cellStyle name="Обычный 6 2 2 2 2 2 3 3" xfId="944"/>
    <cellStyle name="Обычный 6 2 2 2 2 2 3 3 2" xfId="1726"/>
    <cellStyle name="Обычный 6 2 2 2 2 2 3 3 2 2" xfId="3288"/>
    <cellStyle name="Обычный 6 2 2 2 2 2 3 3 2 2 2" xfId="6412"/>
    <cellStyle name="Обычный 6 2 2 2 2 2 3 3 2 3" xfId="4850"/>
    <cellStyle name="Обычный 6 2 2 2 2 2 3 3 3" xfId="2507"/>
    <cellStyle name="Обычный 6 2 2 2 2 2 3 3 3 2" xfId="5631"/>
    <cellStyle name="Обычный 6 2 2 2 2 2 3 3 4" xfId="4069"/>
    <cellStyle name="Обычный 6 2 2 2 2 2 3 4" xfId="1335"/>
    <cellStyle name="Обычный 6 2 2 2 2 2 3 4 2" xfId="2897"/>
    <cellStyle name="Обычный 6 2 2 2 2 2 3 4 2 2" xfId="6021"/>
    <cellStyle name="Обычный 6 2 2 2 2 2 3 4 3" xfId="4459"/>
    <cellStyle name="Обычный 6 2 2 2 2 2 3 5" xfId="2116"/>
    <cellStyle name="Обычный 6 2 2 2 2 2 3 5 2" xfId="5240"/>
    <cellStyle name="Обычный 6 2 2 2 2 2 3 6" xfId="3678"/>
    <cellStyle name="Обычный 6 2 2 2 2 2 4" xfId="744"/>
    <cellStyle name="Обычный 6 2 2 2 2 2 4 2" xfId="1137"/>
    <cellStyle name="Обычный 6 2 2 2 2 2 4 2 2" xfId="1919"/>
    <cellStyle name="Обычный 6 2 2 2 2 2 4 2 2 2" xfId="3481"/>
    <cellStyle name="Обычный 6 2 2 2 2 2 4 2 2 2 2" xfId="6605"/>
    <cellStyle name="Обычный 6 2 2 2 2 2 4 2 2 3" xfId="5043"/>
    <cellStyle name="Обычный 6 2 2 2 2 2 4 2 3" xfId="2700"/>
    <cellStyle name="Обычный 6 2 2 2 2 2 4 2 3 2" xfId="5824"/>
    <cellStyle name="Обычный 6 2 2 2 2 2 4 2 4" xfId="4262"/>
    <cellStyle name="Обычный 6 2 2 2 2 2 4 3" xfId="1528"/>
    <cellStyle name="Обычный 6 2 2 2 2 2 4 3 2" xfId="3090"/>
    <cellStyle name="Обычный 6 2 2 2 2 2 4 3 2 2" xfId="6214"/>
    <cellStyle name="Обычный 6 2 2 2 2 2 4 3 3" xfId="4652"/>
    <cellStyle name="Обычный 6 2 2 2 2 2 4 4" xfId="2309"/>
    <cellStyle name="Обычный 6 2 2 2 2 2 4 4 2" xfId="5433"/>
    <cellStyle name="Обычный 6 2 2 2 2 2 4 5" xfId="3871"/>
    <cellStyle name="Обычный 6 2 2 2 2 2 5" xfId="942"/>
    <cellStyle name="Обычный 6 2 2 2 2 2 5 2" xfId="1724"/>
    <cellStyle name="Обычный 6 2 2 2 2 2 5 2 2" xfId="3286"/>
    <cellStyle name="Обычный 6 2 2 2 2 2 5 2 2 2" xfId="6410"/>
    <cellStyle name="Обычный 6 2 2 2 2 2 5 2 3" xfId="4848"/>
    <cellStyle name="Обычный 6 2 2 2 2 2 5 3" xfId="2505"/>
    <cellStyle name="Обычный 6 2 2 2 2 2 5 3 2" xfId="5629"/>
    <cellStyle name="Обычный 6 2 2 2 2 2 5 4" xfId="4067"/>
    <cellStyle name="Обычный 6 2 2 2 2 2 6" xfId="1333"/>
    <cellStyle name="Обычный 6 2 2 2 2 2 6 2" xfId="2895"/>
    <cellStyle name="Обычный 6 2 2 2 2 2 6 2 2" xfId="6019"/>
    <cellStyle name="Обычный 6 2 2 2 2 2 6 3" xfId="4457"/>
    <cellStyle name="Обычный 6 2 2 2 2 2 7" xfId="2114"/>
    <cellStyle name="Обычный 6 2 2 2 2 2 7 2" xfId="5238"/>
    <cellStyle name="Обычный 6 2 2 2 2 2 8" xfId="3676"/>
    <cellStyle name="Обычный 6 2 2 2 2 3" xfId="65"/>
    <cellStyle name="Обычный 6 2 2 2 2 3 2" xfId="747"/>
    <cellStyle name="Обычный 6 2 2 2 2 3 2 2" xfId="1140"/>
    <cellStyle name="Обычный 6 2 2 2 2 3 2 2 2" xfId="1922"/>
    <cellStyle name="Обычный 6 2 2 2 2 3 2 2 2 2" xfId="3484"/>
    <cellStyle name="Обычный 6 2 2 2 2 3 2 2 2 2 2" xfId="6608"/>
    <cellStyle name="Обычный 6 2 2 2 2 3 2 2 2 3" xfId="5046"/>
    <cellStyle name="Обычный 6 2 2 2 2 3 2 2 3" xfId="2703"/>
    <cellStyle name="Обычный 6 2 2 2 2 3 2 2 3 2" xfId="5827"/>
    <cellStyle name="Обычный 6 2 2 2 2 3 2 2 4" xfId="4265"/>
    <cellStyle name="Обычный 6 2 2 2 2 3 2 3" xfId="1531"/>
    <cellStyle name="Обычный 6 2 2 2 2 3 2 3 2" xfId="3093"/>
    <cellStyle name="Обычный 6 2 2 2 2 3 2 3 2 2" xfId="6217"/>
    <cellStyle name="Обычный 6 2 2 2 2 3 2 3 3" xfId="4655"/>
    <cellStyle name="Обычный 6 2 2 2 2 3 2 4" xfId="2312"/>
    <cellStyle name="Обычный 6 2 2 2 2 3 2 4 2" xfId="5436"/>
    <cellStyle name="Обычный 6 2 2 2 2 3 2 5" xfId="3874"/>
    <cellStyle name="Обычный 6 2 2 2 2 3 3" xfId="945"/>
    <cellStyle name="Обычный 6 2 2 2 2 3 3 2" xfId="1727"/>
    <cellStyle name="Обычный 6 2 2 2 2 3 3 2 2" xfId="3289"/>
    <cellStyle name="Обычный 6 2 2 2 2 3 3 2 2 2" xfId="6413"/>
    <cellStyle name="Обычный 6 2 2 2 2 3 3 2 3" xfId="4851"/>
    <cellStyle name="Обычный 6 2 2 2 2 3 3 3" xfId="2508"/>
    <cellStyle name="Обычный 6 2 2 2 2 3 3 3 2" xfId="5632"/>
    <cellStyle name="Обычный 6 2 2 2 2 3 3 4" xfId="4070"/>
    <cellStyle name="Обычный 6 2 2 2 2 3 4" xfId="1336"/>
    <cellStyle name="Обычный 6 2 2 2 2 3 4 2" xfId="2898"/>
    <cellStyle name="Обычный 6 2 2 2 2 3 4 2 2" xfId="6022"/>
    <cellStyle name="Обычный 6 2 2 2 2 3 4 3" xfId="4460"/>
    <cellStyle name="Обычный 6 2 2 2 2 3 5" xfId="2117"/>
    <cellStyle name="Обычный 6 2 2 2 2 3 5 2" xfId="5241"/>
    <cellStyle name="Обычный 6 2 2 2 2 3 6" xfId="3679"/>
    <cellStyle name="Обычный 6 2 2 2 2 4" xfId="66"/>
    <cellStyle name="Обычный 6 2 2 2 2 4 2" xfId="748"/>
    <cellStyle name="Обычный 6 2 2 2 2 4 2 2" xfId="1141"/>
    <cellStyle name="Обычный 6 2 2 2 2 4 2 2 2" xfId="1923"/>
    <cellStyle name="Обычный 6 2 2 2 2 4 2 2 2 2" xfId="3485"/>
    <cellStyle name="Обычный 6 2 2 2 2 4 2 2 2 2 2" xfId="6609"/>
    <cellStyle name="Обычный 6 2 2 2 2 4 2 2 2 3" xfId="5047"/>
    <cellStyle name="Обычный 6 2 2 2 2 4 2 2 3" xfId="2704"/>
    <cellStyle name="Обычный 6 2 2 2 2 4 2 2 3 2" xfId="5828"/>
    <cellStyle name="Обычный 6 2 2 2 2 4 2 2 4" xfId="4266"/>
    <cellStyle name="Обычный 6 2 2 2 2 4 2 3" xfId="1532"/>
    <cellStyle name="Обычный 6 2 2 2 2 4 2 3 2" xfId="3094"/>
    <cellStyle name="Обычный 6 2 2 2 2 4 2 3 2 2" xfId="6218"/>
    <cellStyle name="Обычный 6 2 2 2 2 4 2 3 3" xfId="4656"/>
    <cellStyle name="Обычный 6 2 2 2 2 4 2 4" xfId="2313"/>
    <cellStyle name="Обычный 6 2 2 2 2 4 2 4 2" xfId="5437"/>
    <cellStyle name="Обычный 6 2 2 2 2 4 2 5" xfId="3875"/>
    <cellStyle name="Обычный 6 2 2 2 2 4 3" xfId="946"/>
    <cellStyle name="Обычный 6 2 2 2 2 4 3 2" xfId="1728"/>
    <cellStyle name="Обычный 6 2 2 2 2 4 3 2 2" xfId="3290"/>
    <cellStyle name="Обычный 6 2 2 2 2 4 3 2 2 2" xfId="6414"/>
    <cellStyle name="Обычный 6 2 2 2 2 4 3 2 3" xfId="4852"/>
    <cellStyle name="Обычный 6 2 2 2 2 4 3 3" xfId="2509"/>
    <cellStyle name="Обычный 6 2 2 2 2 4 3 3 2" xfId="5633"/>
    <cellStyle name="Обычный 6 2 2 2 2 4 3 4" xfId="4071"/>
    <cellStyle name="Обычный 6 2 2 2 2 4 4" xfId="1337"/>
    <cellStyle name="Обычный 6 2 2 2 2 4 4 2" xfId="2899"/>
    <cellStyle name="Обычный 6 2 2 2 2 4 4 2 2" xfId="6023"/>
    <cellStyle name="Обычный 6 2 2 2 2 4 4 3" xfId="4461"/>
    <cellStyle name="Обычный 6 2 2 2 2 4 5" xfId="2118"/>
    <cellStyle name="Обычный 6 2 2 2 2 4 5 2" xfId="5242"/>
    <cellStyle name="Обычный 6 2 2 2 2 4 6" xfId="3680"/>
    <cellStyle name="Обычный 6 2 2 2 2 5" xfId="743"/>
    <cellStyle name="Обычный 6 2 2 2 2 5 2" xfId="1136"/>
    <cellStyle name="Обычный 6 2 2 2 2 5 2 2" xfId="1918"/>
    <cellStyle name="Обычный 6 2 2 2 2 5 2 2 2" xfId="3480"/>
    <cellStyle name="Обычный 6 2 2 2 2 5 2 2 2 2" xfId="6604"/>
    <cellStyle name="Обычный 6 2 2 2 2 5 2 2 3" xfId="5042"/>
    <cellStyle name="Обычный 6 2 2 2 2 5 2 3" xfId="2699"/>
    <cellStyle name="Обычный 6 2 2 2 2 5 2 3 2" xfId="5823"/>
    <cellStyle name="Обычный 6 2 2 2 2 5 2 4" xfId="4261"/>
    <cellStyle name="Обычный 6 2 2 2 2 5 3" xfId="1527"/>
    <cellStyle name="Обычный 6 2 2 2 2 5 3 2" xfId="3089"/>
    <cellStyle name="Обычный 6 2 2 2 2 5 3 2 2" xfId="6213"/>
    <cellStyle name="Обычный 6 2 2 2 2 5 3 3" xfId="4651"/>
    <cellStyle name="Обычный 6 2 2 2 2 5 4" xfId="2308"/>
    <cellStyle name="Обычный 6 2 2 2 2 5 4 2" xfId="5432"/>
    <cellStyle name="Обычный 6 2 2 2 2 5 5" xfId="3870"/>
    <cellStyle name="Обычный 6 2 2 2 2 6" xfId="941"/>
    <cellStyle name="Обычный 6 2 2 2 2 6 2" xfId="1723"/>
    <cellStyle name="Обычный 6 2 2 2 2 6 2 2" xfId="3285"/>
    <cellStyle name="Обычный 6 2 2 2 2 6 2 2 2" xfId="6409"/>
    <cellStyle name="Обычный 6 2 2 2 2 6 2 3" xfId="4847"/>
    <cellStyle name="Обычный 6 2 2 2 2 6 3" xfId="2504"/>
    <cellStyle name="Обычный 6 2 2 2 2 6 3 2" xfId="5628"/>
    <cellStyle name="Обычный 6 2 2 2 2 6 4" xfId="4066"/>
    <cellStyle name="Обычный 6 2 2 2 2 7" xfId="1332"/>
    <cellStyle name="Обычный 6 2 2 2 2 7 2" xfId="2894"/>
    <cellStyle name="Обычный 6 2 2 2 2 7 2 2" xfId="6018"/>
    <cellStyle name="Обычный 6 2 2 2 2 7 3" xfId="4456"/>
    <cellStyle name="Обычный 6 2 2 2 2 8" xfId="2113"/>
    <cellStyle name="Обычный 6 2 2 2 2 8 2" xfId="5237"/>
    <cellStyle name="Обычный 6 2 2 2 2 9" xfId="3675"/>
    <cellStyle name="Обычный 6 2 2 2 3" xfId="67"/>
    <cellStyle name="Обычный 6 2 2 2 3 2" xfId="68"/>
    <cellStyle name="Обычный 6 2 2 2 3 2 2" xfId="750"/>
    <cellStyle name="Обычный 6 2 2 2 3 2 2 2" xfId="1143"/>
    <cellStyle name="Обычный 6 2 2 2 3 2 2 2 2" xfId="1925"/>
    <cellStyle name="Обычный 6 2 2 2 3 2 2 2 2 2" xfId="3487"/>
    <cellStyle name="Обычный 6 2 2 2 3 2 2 2 2 2 2" xfId="6611"/>
    <cellStyle name="Обычный 6 2 2 2 3 2 2 2 2 3" xfId="5049"/>
    <cellStyle name="Обычный 6 2 2 2 3 2 2 2 3" xfId="2706"/>
    <cellStyle name="Обычный 6 2 2 2 3 2 2 2 3 2" xfId="5830"/>
    <cellStyle name="Обычный 6 2 2 2 3 2 2 2 4" xfId="4268"/>
    <cellStyle name="Обычный 6 2 2 2 3 2 2 3" xfId="1534"/>
    <cellStyle name="Обычный 6 2 2 2 3 2 2 3 2" xfId="3096"/>
    <cellStyle name="Обычный 6 2 2 2 3 2 2 3 2 2" xfId="6220"/>
    <cellStyle name="Обычный 6 2 2 2 3 2 2 3 3" xfId="4658"/>
    <cellStyle name="Обычный 6 2 2 2 3 2 2 4" xfId="2315"/>
    <cellStyle name="Обычный 6 2 2 2 3 2 2 4 2" xfId="5439"/>
    <cellStyle name="Обычный 6 2 2 2 3 2 2 5" xfId="3877"/>
    <cellStyle name="Обычный 6 2 2 2 3 2 3" xfId="948"/>
    <cellStyle name="Обычный 6 2 2 2 3 2 3 2" xfId="1730"/>
    <cellStyle name="Обычный 6 2 2 2 3 2 3 2 2" xfId="3292"/>
    <cellStyle name="Обычный 6 2 2 2 3 2 3 2 2 2" xfId="6416"/>
    <cellStyle name="Обычный 6 2 2 2 3 2 3 2 3" xfId="4854"/>
    <cellStyle name="Обычный 6 2 2 2 3 2 3 3" xfId="2511"/>
    <cellStyle name="Обычный 6 2 2 2 3 2 3 3 2" xfId="5635"/>
    <cellStyle name="Обычный 6 2 2 2 3 2 3 4" xfId="4073"/>
    <cellStyle name="Обычный 6 2 2 2 3 2 4" xfId="1339"/>
    <cellStyle name="Обычный 6 2 2 2 3 2 4 2" xfId="2901"/>
    <cellStyle name="Обычный 6 2 2 2 3 2 4 2 2" xfId="6025"/>
    <cellStyle name="Обычный 6 2 2 2 3 2 4 3" xfId="4463"/>
    <cellStyle name="Обычный 6 2 2 2 3 2 5" xfId="2120"/>
    <cellStyle name="Обычный 6 2 2 2 3 2 5 2" xfId="5244"/>
    <cellStyle name="Обычный 6 2 2 2 3 2 6" xfId="3682"/>
    <cellStyle name="Обычный 6 2 2 2 3 3" xfId="69"/>
    <cellStyle name="Обычный 6 2 2 2 3 3 2" xfId="751"/>
    <cellStyle name="Обычный 6 2 2 2 3 3 2 2" xfId="1144"/>
    <cellStyle name="Обычный 6 2 2 2 3 3 2 2 2" xfId="1926"/>
    <cellStyle name="Обычный 6 2 2 2 3 3 2 2 2 2" xfId="3488"/>
    <cellStyle name="Обычный 6 2 2 2 3 3 2 2 2 2 2" xfId="6612"/>
    <cellStyle name="Обычный 6 2 2 2 3 3 2 2 2 3" xfId="5050"/>
    <cellStyle name="Обычный 6 2 2 2 3 3 2 2 3" xfId="2707"/>
    <cellStyle name="Обычный 6 2 2 2 3 3 2 2 3 2" xfId="5831"/>
    <cellStyle name="Обычный 6 2 2 2 3 3 2 2 4" xfId="4269"/>
    <cellStyle name="Обычный 6 2 2 2 3 3 2 3" xfId="1535"/>
    <cellStyle name="Обычный 6 2 2 2 3 3 2 3 2" xfId="3097"/>
    <cellStyle name="Обычный 6 2 2 2 3 3 2 3 2 2" xfId="6221"/>
    <cellStyle name="Обычный 6 2 2 2 3 3 2 3 3" xfId="4659"/>
    <cellStyle name="Обычный 6 2 2 2 3 3 2 4" xfId="2316"/>
    <cellStyle name="Обычный 6 2 2 2 3 3 2 4 2" xfId="5440"/>
    <cellStyle name="Обычный 6 2 2 2 3 3 2 5" xfId="3878"/>
    <cellStyle name="Обычный 6 2 2 2 3 3 3" xfId="949"/>
    <cellStyle name="Обычный 6 2 2 2 3 3 3 2" xfId="1731"/>
    <cellStyle name="Обычный 6 2 2 2 3 3 3 2 2" xfId="3293"/>
    <cellStyle name="Обычный 6 2 2 2 3 3 3 2 2 2" xfId="6417"/>
    <cellStyle name="Обычный 6 2 2 2 3 3 3 2 3" xfId="4855"/>
    <cellStyle name="Обычный 6 2 2 2 3 3 3 3" xfId="2512"/>
    <cellStyle name="Обычный 6 2 2 2 3 3 3 3 2" xfId="5636"/>
    <cellStyle name="Обычный 6 2 2 2 3 3 3 4" xfId="4074"/>
    <cellStyle name="Обычный 6 2 2 2 3 3 4" xfId="1340"/>
    <cellStyle name="Обычный 6 2 2 2 3 3 4 2" xfId="2902"/>
    <cellStyle name="Обычный 6 2 2 2 3 3 4 2 2" xfId="6026"/>
    <cellStyle name="Обычный 6 2 2 2 3 3 4 3" xfId="4464"/>
    <cellStyle name="Обычный 6 2 2 2 3 3 5" xfId="2121"/>
    <cellStyle name="Обычный 6 2 2 2 3 3 5 2" xfId="5245"/>
    <cellStyle name="Обычный 6 2 2 2 3 3 6" xfId="3683"/>
    <cellStyle name="Обычный 6 2 2 2 3 4" xfId="749"/>
    <cellStyle name="Обычный 6 2 2 2 3 4 2" xfId="1142"/>
    <cellStyle name="Обычный 6 2 2 2 3 4 2 2" xfId="1924"/>
    <cellStyle name="Обычный 6 2 2 2 3 4 2 2 2" xfId="3486"/>
    <cellStyle name="Обычный 6 2 2 2 3 4 2 2 2 2" xfId="6610"/>
    <cellStyle name="Обычный 6 2 2 2 3 4 2 2 3" xfId="5048"/>
    <cellStyle name="Обычный 6 2 2 2 3 4 2 3" xfId="2705"/>
    <cellStyle name="Обычный 6 2 2 2 3 4 2 3 2" xfId="5829"/>
    <cellStyle name="Обычный 6 2 2 2 3 4 2 4" xfId="4267"/>
    <cellStyle name="Обычный 6 2 2 2 3 4 3" xfId="1533"/>
    <cellStyle name="Обычный 6 2 2 2 3 4 3 2" xfId="3095"/>
    <cellStyle name="Обычный 6 2 2 2 3 4 3 2 2" xfId="6219"/>
    <cellStyle name="Обычный 6 2 2 2 3 4 3 3" xfId="4657"/>
    <cellStyle name="Обычный 6 2 2 2 3 4 4" xfId="2314"/>
    <cellStyle name="Обычный 6 2 2 2 3 4 4 2" xfId="5438"/>
    <cellStyle name="Обычный 6 2 2 2 3 4 5" xfId="3876"/>
    <cellStyle name="Обычный 6 2 2 2 3 5" xfId="947"/>
    <cellStyle name="Обычный 6 2 2 2 3 5 2" xfId="1729"/>
    <cellStyle name="Обычный 6 2 2 2 3 5 2 2" xfId="3291"/>
    <cellStyle name="Обычный 6 2 2 2 3 5 2 2 2" xfId="6415"/>
    <cellStyle name="Обычный 6 2 2 2 3 5 2 3" xfId="4853"/>
    <cellStyle name="Обычный 6 2 2 2 3 5 3" xfId="2510"/>
    <cellStyle name="Обычный 6 2 2 2 3 5 3 2" xfId="5634"/>
    <cellStyle name="Обычный 6 2 2 2 3 5 4" xfId="4072"/>
    <cellStyle name="Обычный 6 2 2 2 3 6" xfId="1338"/>
    <cellStyle name="Обычный 6 2 2 2 3 6 2" xfId="2900"/>
    <cellStyle name="Обычный 6 2 2 2 3 6 2 2" xfId="6024"/>
    <cellStyle name="Обычный 6 2 2 2 3 6 3" xfId="4462"/>
    <cellStyle name="Обычный 6 2 2 2 3 7" xfId="2119"/>
    <cellStyle name="Обычный 6 2 2 2 3 7 2" xfId="5243"/>
    <cellStyle name="Обычный 6 2 2 2 3 8" xfId="3681"/>
    <cellStyle name="Обычный 6 2 2 2 4" xfId="70"/>
    <cellStyle name="Обычный 6 2 2 2 4 2" xfId="752"/>
    <cellStyle name="Обычный 6 2 2 2 4 2 2" xfId="1145"/>
    <cellStyle name="Обычный 6 2 2 2 4 2 2 2" xfId="1927"/>
    <cellStyle name="Обычный 6 2 2 2 4 2 2 2 2" xfId="3489"/>
    <cellStyle name="Обычный 6 2 2 2 4 2 2 2 2 2" xfId="6613"/>
    <cellStyle name="Обычный 6 2 2 2 4 2 2 2 3" xfId="5051"/>
    <cellStyle name="Обычный 6 2 2 2 4 2 2 3" xfId="2708"/>
    <cellStyle name="Обычный 6 2 2 2 4 2 2 3 2" xfId="5832"/>
    <cellStyle name="Обычный 6 2 2 2 4 2 2 4" xfId="4270"/>
    <cellStyle name="Обычный 6 2 2 2 4 2 3" xfId="1536"/>
    <cellStyle name="Обычный 6 2 2 2 4 2 3 2" xfId="3098"/>
    <cellStyle name="Обычный 6 2 2 2 4 2 3 2 2" xfId="6222"/>
    <cellStyle name="Обычный 6 2 2 2 4 2 3 3" xfId="4660"/>
    <cellStyle name="Обычный 6 2 2 2 4 2 4" xfId="2317"/>
    <cellStyle name="Обычный 6 2 2 2 4 2 4 2" xfId="5441"/>
    <cellStyle name="Обычный 6 2 2 2 4 2 5" xfId="3879"/>
    <cellStyle name="Обычный 6 2 2 2 4 3" xfId="950"/>
    <cellStyle name="Обычный 6 2 2 2 4 3 2" xfId="1732"/>
    <cellStyle name="Обычный 6 2 2 2 4 3 2 2" xfId="3294"/>
    <cellStyle name="Обычный 6 2 2 2 4 3 2 2 2" xfId="6418"/>
    <cellStyle name="Обычный 6 2 2 2 4 3 2 3" xfId="4856"/>
    <cellStyle name="Обычный 6 2 2 2 4 3 3" xfId="2513"/>
    <cellStyle name="Обычный 6 2 2 2 4 3 3 2" xfId="5637"/>
    <cellStyle name="Обычный 6 2 2 2 4 3 4" xfId="4075"/>
    <cellStyle name="Обычный 6 2 2 2 4 4" xfId="1341"/>
    <cellStyle name="Обычный 6 2 2 2 4 4 2" xfId="2903"/>
    <cellStyle name="Обычный 6 2 2 2 4 4 2 2" xfId="6027"/>
    <cellStyle name="Обычный 6 2 2 2 4 4 3" xfId="4465"/>
    <cellStyle name="Обычный 6 2 2 2 4 5" xfId="2122"/>
    <cellStyle name="Обычный 6 2 2 2 4 5 2" xfId="5246"/>
    <cellStyle name="Обычный 6 2 2 2 4 6" xfId="3684"/>
    <cellStyle name="Обычный 6 2 2 2 5" xfId="71"/>
    <cellStyle name="Обычный 6 2 2 2 5 2" xfId="753"/>
    <cellStyle name="Обычный 6 2 2 2 5 2 2" xfId="1146"/>
    <cellStyle name="Обычный 6 2 2 2 5 2 2 2" xfId="1928"/>
    <cellStyle name="Обычный 6 2 2 2 5 2 2 2 2" xfId="3490"/>
    <cellStyle name="Обычный 6 2 2 2 5 2 2 2 2 2" xfId="6614"/>
    <cellStyle name="Обычный 6 2 2 2 5 2 2 2 3" xfId="5052"/>
    <cellStyle name="Обычный 6 2 2 2 5 2 2 3" xfId="2709"/>
    <cellStyle name="Обычный 6 2 2 2 5 2 2 3 2" xfId="5833"/>
    <cellStyle name="Обычный 6 2 2 2 5 2 2 4" xfId="4271"/>
    <cellStyle name="Обычный 6 2 2 2 5 2 3" xfId="1537"/>
    <cellStyle name="Обычный 6 2 2 2 5 2 3 2" xfId="3099"/>
    <cellStyle name="Обычный 6 2 2 2 5 2 3 2 2" xfId="6223"/>
    <cellStyle name="Обычный 6 2 2 2 5 2 3 3" xfId="4661"/>
    <cellStyle name="Обычный 6 2 2 2 5 2 4" xfId="2318"/>
    <cellStyle name="Обычный 6 2 2 2 5 2 4 2" xfId="5442"/>
    <cellStyle name="Обычный 6 2 2 2 5 2 5" xfId="3880"/>
    <cellStyle name="Обычный 6 2 2 2 5 3" xfId="951"/>
    <cellStyle name="Обычный 6 2 2 2 5 3 2" xfId="1733"/>
    <cellStyle name="Обычный 6 2 2 2 5 3 2 2" xfId="3295"/>
    <cellStyle name="Обычный 6 2 2 2 5 3 2 2 2" xfId="6419"/>
    <cellStyle name="Обычный 6 2 2 2 5 3 2 3" xfId="4857"/>
    <cellStyle name="Обычный 6 2 2 2 5 3 3" xfId="2514"/>
    <cellStyle name="Обычный 6 2 2 2 5 3 3 2" xfId="5638"/>
    <cellStyle name="Обычный 6 2 2 2 5 3 4" xfId="4076"/>
    <cellStyle name="Обычный 6 2 2 2 5 4" xfId="1342"/>
    <cellStyle name="Обычный 6 2 2 2 5 4 2" xfId="2904"/>
    <cellStyle name="Обычный 6 2 2 2 5 4 2 2" xfId="6028"/>
    <cellStyle name="Обычный 6 2 2 2 5 4 3" xfId="4466"/>
    <cellStyle name="Обычный 6 2 2 2 5 5" xfId="2123"/>
    <cellStyle name="Обычный 6 2 2 2 5 5 2" xfId="5247"/>
    <cellStyle name="Обычный 6 2 2 2 5 6" xfId="3685"/>
    <cellStyle name="Обычный 6 2 2 2 6" xfId="742"/>
    <cellStyle name="Обычный 6 2 2 2 6 2" xfId="1135"/>
    <cellStyle name="Обычный 6 2 2 2 6 2 2" xfId="1917"/>
    <cellStyle name="Обычный 6 2 2 2 6 2 2 2" xfId="3479"/>
    <cellStyle name="Обычный 6 2 2 2 6 2 2 2 2" xfId="6603"/>
    <cellStyle name="Обычный 6 2 2 2 6 2 2 3" xfId="5041"/>
    <cellStyle name="Обычный 6 2 2 2 6 2 3" xfId="2698"/>
    <cellStyle name="Обычный 6 2 2 2 6 2 3 2" xfId="5822"/>
    <cellStyle name="Обычный 6 2 2 2 6 2 4" xfId="4260"/>
    <cellStyle name="Обычный 6 2 2 2 6 3" xfId="1526"/>
    <cellStyle name="Обычный 6 2 2 2 6 3 2" xfId="3088"/>
    <cellStyle name="Обычный 6 2 2 2 6 3 2 2" xfId="6212"/>
    <cellStyle name="Обычный 6 2 2 2 6 3 3" xfId="4650"/>
    <cellStyle name="Обычный 6 2 2 2 6 4" xfId="2307"/>
    <cellStyle name="Обычный 6 2 2 2 6 4 2" xfId="5431"/>
    <cellStyle name="Обычный 6 2 2 2 6 5" xfId="3869"/>
    <cellStyle name="Обычный 6 2 2 2 7" xfId="940"/>
    <cellStyle name="Обычный 6 2 2 2 7 2" xfId="1722"/>
    <cellStyle name="Обычный 6 2 2 2 7 2 2" xfId="3284"/>
    <cellStyle name="Обычный 6 2 2 2 7 2 2 2" xfId="6408"/>
    <cellStyle name="Обычный 6 2 2 2 7 2 3" xfId="4846"/>
    <cellStyle name="Обычный 6 2 2 2 7 3" xfId="2503"/>
    <cellStyle name="Обычный 6 2 2 2 7 3 2" xfId="5627"/>
    <cellStyle name="Обычный 6 2 2 2 7 4" xfId="4065"/>
    <cellStyle name="Обычный 6 2 2 2 8" xfId="1331"/>
    <cellStyle name="Обычный 6 2 2 2 8 2" xfId="2893"/>
    <cellStyle name="Обычный 6 2 2 2 8 2 2" xfId="6017"/>
    <cellStyle name="Обычный 6 2 2 2 8 3" xfId="4455"/>
    <cellStyle name="Обычный 6 2 2 2 9" xfId="2112"/>
    <cellStyle name="Обычный 6 2 2 2 9 2" xfId="5236"/>
    <cellStyle name="Обычный 6 2 2 3" xfId="72"/>
    <cellStyle name="Обычный 6 2 2 3 2" xfId="73"/>
    <cellStyle name="Обычный 6 2 2 3 2 2" xfId="74"/>
    <cellStyle name="Обычный 6 2 2 3 2 2 2" xfId="756"/>
    <cellStyle name="Обычный 6 2 2 3 2 2 2 2" xfId="1149"/>
    <cellStyle name="Обычный 6 2 2 3 2 2 2 2 2" xfId="1931"/>
    <cellStyle name="Обычный 6 2 2 3 2 2 2 2 2 2" xfId="3493"/>
    <cellStyle name="Обычный 6 2 2 3 2 2 2 2 2 2 2" xfId="6617"/>
    <cellStyle name="Обычный 6 2 2 3 2 2 2 2 2 3" xfId="5055"/>
    <cellStyle name="Обычный 6 2 2 3 2 2 2 2 3" xfId="2712"/>
    <cellStyle name="Обычный 6 2 2 3 2 2 2 2 3 2" xfId="5836"/>
    <cellStyle name="Обычный 6 2 2 3 2 2 2 2 4" xfId="4274"/>
    <cellStyle name="Обычный 6 2 2 3 2 2 2 3" xfId="1540"/>
    <cellStyle name="Обычный 6 2 2 3 2 2 2 3 2" xfId="3102"/>
    <cellStyle name="Обычный 6 2 2 3 2 2 2 3 2 2" xfId="6226"/>
    <cellStyle name="Обычный 6 2 2 3 2 2 2 3 3" xfId="4664"/>
    <cellStyle name="Обычный 6 2 2 3 2 2 2 4" xfId="2321"/>
    <cellStyle name="Обычный 6 2 2 3 2 2 2 4 2" xfId="5445"/>
    <cellStyle name="Обычный 6 2 2 3 2 2 2 5" xfId="3883"/>
    <cellStyle name="Обычный 6 2 2 3 2 2 3" xfId="954"/>
    <cellStyle name="Обычный 6 2 2 3 2 2 3 2" xfId="1736"/>
    <cellStyle name="Обычный 6 2 2 3 2 2 3 2 2" xfId="3298"/>
    <cellStyle name="Обычный 6 2 2 3 2 2 3 2 2 2" xfId="6422"/>
    <cellStyle name="Обычный 6 2 2 3 2 2 3 2 3" xfId="4860"/>
    <cellStyle name="Обычный 6 2 2 3 2 2 3 3" xfId="2517"/>
    <cellStyle name="Обычный 6 2 2 3 2 2 3 3 2" xfId="5641"/>
    <cellStyle name="Обычный 6 2 2 3 2 2 3 4" xfId="4079"/>
    <cellStyle name="Обычный 6 2 2 3 2 2 4" xfId="1345"/>
    <cellStyle name="Обычный 6 2 2 3 2 2 4 2" xfId="2907"/>
    <cellStyle name="Обычный 6 2 2 3 2 2 4 2 2" xfId="6031"/>
    <cellStyle name="Обычный 6 2 2 3 2 2 4 3" xfId="4469"/>
    <cellStyle name="Обычный 6 2 2 3 2 2 5" xfId="2126"/>
    <cellStyle name="Обычный 6 2 2 3 2 2 5 2" xfId="5250"/>
    <cellStyle name="Обычный 6 2 2 3 2 2 6" xfId="3688"/>
    <cellStyle name="Обычный 6 2 2 3 2 3" xfId="75"/>
    <cellStyle name="Обычный 6 2 2 3 2 3 2" xfId="757"/>
    <cellStyle name="Обычный 6 2 2 3 2 3 2 2" xfId="1150"/>
    <cellStyle name="Обычный 6 2 2 3 2 3 2 2 2" xfId="1932"/>
    <cellStyle name="Обычный 6 2 2 3 2 3 2 2 2 2" xfId="3494"/>
    <cellStyle name="Обычный 6 2 2 3 2 3 2 2 2 2 2" xfId="6618"/>
    <cellStyle name="Обычный 6 2 2 3 2 3 2 2 2 3" xfId="5056"/>
    <cellStyle name="Обычный 6 2 2 3 2 3 2 2 3" xfId="2713"/>
    <cellStyle name="Обычный 6 2 2 3 2 3 2 2 3 2" xfId="5837"/>
    <cellStyle name="Обычный 6 2 2 3 2 3 2 2 4" xfId="4275"/>
    <cellStyle name="Обычный 6 2 2 3 2 3 2 3" xfId="1541"/>
    <cellStyle name="Обычный 6 2 2 3 2 3 2 3 2" xfId="3103"/>
    <cellStyle name="Обычный 6 2 2 3 2 3 2 3 2 2" xfId="6227"/>
    <cellStyle name="Обычный 6 2 2 3 2 3 2 3 3" xfId="4665"/>
    <cellStyle name="Обычный 6 2 2 3 2 3 2 4" xfId="2322"/>
    <cellStyle name="Обычный 6 2 2 3 2 3 2 4 2" xfId="5446"/>
    <cellStyle name="Обычный 6 2 2 3 2 3 2 5" xfId="3884"/>
    <cellStyle name="Обычный 6 2 2 3 2 3 3" xfId="955"/>
    <cellStyle name="Обычный 6 2 2 3 2 3 3 2" xfId="1737"/>
    <cellStyle name="Обычный 6 2 2 3 2 3 3 2 2" xfId="3299"/>
    <cellStyle name="Обычный 6 2 2 3 2 3 3 2 2 2" xfId="6423"/>
    <cellStyle name="Обычный 6 2 2 3 2 3 3 2 3" xfId="4861"/>
    <cellStyle name="Обычный 6 2 2 3 2 3 3 3" xfId="2518"/>
    <cellStyle name="Обычный 6 2 2 3 2 3 3 3 2" xfId="5642"/>
    <cellStyle name="Обычный 6 2 2 3 2 3 3 4" xfId="4080"/>
    <cellStyle name="Обычный 6 2 2 3 2 3 4" xfId="1346"/>
    <cellStyle name="Обычный 6 2 2 3 2 3 4 2" xfId="2908"/>
    <cellStyle name="Обычный 6 2 2 3 2 3 4 2 2" xfId="6032"/>
    <cellStyle name="Обычный 6 2 2 3 2 3 4 3" xfId="4470"/>
    <cellStyle name="Обычный 6 2 2 3 2 3 5" xfId="2127"/>
    <cellStyle name="Обычный 6 2 2 3 2 3 5 2" xfId="5251"/>
    <cellStyle name="Обычный 6 2 2 3 2 3 6" xfId="3689"/>
    <cellStyle name="Обычный 6 2 2 3 2 4" xfId="755"/>
    <cellStyle name="Обычный 6 2 2 3 2 4 2" xfId="1148"/>
    <cellStyle name="Обычный 6 2 2 3 2 4 2 2" xfId="1930"/>
    <cellStyle name="Обычный 6 2 2 3 2 4 2 2 2" xfId="3492"/>
    <cellStyle name="Обычный 6 2 2 3 2 4 2 2 2 2" xfId="6616"/>
    <cellStyle name="Обычный 6 2 2 3 2 4 2 2 3" xfId="5054"/>
    <cellStyle name="Обычный 6 2 2 3 2 4 2 3" xfId="2711"/>
    <cellStyle name="Обычный 6 2 2 3 2 4 2 3 2" xfId="5835"/>
    <cellStyle name="Обычный 6 2 2 3 2 4 2 4" xfId="4273"/>
    <cellStyle name="Обычный 6 2 2 3 2 4 3" xfId="1539"/>
    <cellStyle name="Обычный 6 2 2 3 2 4 3 2" xfId="3101"/>
    <cellStyle name="Обычный 6 2 2 3 2 4 3 2 2" xfId="6225"/>
    <cellStyle name="Обычный 6 2 2 3 2 4 3 3" xfId="4663"/>
    <cellStyle name="Обычный 6 2 2 3 2 4 4" xfId="2320"/>
    <cellStyle name="Обычный 6 2 2 3 2 4 4 2" xfId="5444"/>
    <cellStyle name="Обычный 6 2 2 3 2 4 5" xfId="3882"/>
    <cellStyle name="Обычный 6 2 2 3 2 5" xfId="953"/>
    <cellStyle name="Обычный 6 2 2 3 2 5 2" xfId="1735"/>
    <cellStyle name="Обычный 6 2 2 3 2 5 2 2" xfId="3297"/>
    <cellStyle name="Обычный 6 2 2 3 2 5 2 2 2" xfId="6421"/>
    <cellStyle name="Обычный 6 2 2 3 2 5 2 3" xfId="4859"/>
    <cellStyle name="Обычный 6 2 2 3 2 5 3" xfId="2516"/>
    <cellStyle name="Обычный 6 2 2 3 2 5 3 2" xfId="5640"/>
    <cellStyle name="Обычный 6 2 2 3 2 5 4" xfId="4078"/>
    <cellStyle name="Обычный 6 2 2 3 2 6" xfId="1344"/>
    <cellStyle name="Обычный 6 2 2 3 2 6 2" xfId="2906"/>
    <cellStyle name="Обычный 6 2 2 3 2 6 2 2" xfId="6030"/>
    <cellStyle name="Обычный 6 2 2 3 2 6 3" xfId="4468"/>
    <cellStyle name="Обычный 6 2 2 3 2 7" xfId="2125"/>
    <cellStyle name="Обычный 6 2 2 3 2 7 2" xfId="5249"/>
    <cellStyle name="Обычный 6 2 2 3 2 8" xfId="3687"/>
    <cellStyle name="Обычный 6 2 2 3 3" xfId="76"/>
    <cellStyle name="Обычный 6 2 2 3 3 2" xfId="758"/>
    <cellStyle name="Обычный 6 2 2 3 3 2 2" xfId="1151"/>
    <cellStyle name="Обычный 6 2 2 3 3 2 2 2" xfId="1933"/>
    <cellStyle name="Обычный 6 2 2 3 3 2 2 2 2" xfId="3495"/>
    <cellStyle name="Обычный 6 2 2 3 3 2 2 2 2 2" xfId="6619"/>
    <cellStyle name="Обычный 6 2 2 3 3 2 2 2 3" xfId="5057"/>
    <cellStyle name="Обычный 6 2 2 3 3 2 2 3" xfId="2714"/>
    <cellStyle name="Обычный 6 2 2 3 3 2 2 3 2" xfId="5838"/>
    <cellStyle name="Обычный 6 2 2 3 3 2 2 4" xfId="4276"/>
    <cellStyle name="Обычный 6 2 2 3 3 2 3" xfId="1542"/>
    <cellStyle name="Обычный 6 2 2 3 3 2 3 2" xfId="3104"/>
    <cellStyle name="Обычный 6 2 2 3 3 2 3 2 2" xfId="6228"/>
    <cellStyle name="Обычный 6 2 2 3 3 2 3 3" xfId="4666"/>
    <cellStyle name="Обычный 6 2 2 3 3 2 4" xfId="2323"/>
    <cellStyle name="Обычный 6 2 2 3 3 2 4 2" xfId="5447"/>
    <cellStyle name="Обычный 6 2 2 3 3 2 5" xfId="3885"/>
    <cellStyle name="Обычный 6 2 2 3 3 3" xfId="956"/>
    <cellStyle name="Обычный 6 2 2 3 3 3 2" xfId="1738"/>
    <cellStyle name="Обычный 6 2 2 3 3 3 2 2" xfId="3300"/>
    <cellStyle name="Обычный 6 2 2 3 3 3 2 2 2" xfId="6424"/>
    <cellStyle name="Обычный 6 2 2 3 3 3 2 3" xfId="4862"/>
    <cellStyle name="Обычный 6 2 2 3 3 3 3" xfId="2519"/>
    <cellStyle name="Обычный 6 2 2 3 3 3 3 2" xfId="5643"/>
    <cellStyle name="Обычный 6 2 2 3 3 3 4" xfId="4081"/>
    <cellStyle name="Обычный 6 2 2 3 3 4" xfId="1347"/>
    <cellStyle name="Обычный 6 2 2 3 3 4 2" xfId="2909"/>
    <cellStyle name="Обычный 6 2 2 3 3 4 2 2" xfId="6033"/>
    <cellStyle name="Обычный 6 2 2 3 3 4 3" xfId="4471"/>
    <cellStyle name="Обычный 6 2 2 3 3 5" xfId="2128"/>
    <cellStyle name="Обычный 6 2 2 3 3 5 2" xfId="5252"/>
    <cellStyle name="Обычный 6 2 2 3 3 6" xfId="3690"/>
    <cellStyle name="Обычный 6 2 2 3 4" xfId="77"/>
    <cellStyle name="Обычный 6 2 2 3 4 2" xfId="759"/>
    <cellStyle name="Обычный 6 2 2 3 4 2 2" xfId="1152"/>
    <cellStyle name="Обычный 6 2 2 3 4 2 2 2" xfId="1934"/>
    <cellStyle name="Обычный 6 2 2 3 4 2 2 2 2" xfId="3496"/>
    <cellStyle name="Обычный 6 2 2 3 4 2 2 2 2 2" xfId="6620"/>
    <cellStyle name="Обычный 6 2 2 3 4 2 2 2 3" xfId="5058"/>
    <cellStyle name="Обычный 6 2 2 3 4 2 2 3" xfId="2715"/>
    <cellStyle name="Обычный 6 2 2 3 4 2 2 3 2" xfId="5839"/>
    <cellStyle name="Обычный 6 2 2 3 4 2 2 4" xfId="4277"/>
    <cellStyle name="Обычный 6 2 2 3 4 2 3" xfId="1543"/>
    <cellStyle name="Обычный 6 2 2 3 4 2 3 2" xfId="3105"/>
    <cellStyle name="Обычный 6 2 2 3 4 2 3 2 2" xfId="6229"/>
    <cellStyle name="Обычный 6 2 2 3 4 2 3 3" xfId="4667"/>
    <cellStyle name="Обычный 6 2 2 3 4 2 4" xfId="2324"/>
    <cellStyle name="Обычный 6 2 2 3 4 2 4 2" xfId="5448"/>
    <cellStyle name="Обычный 6 2 2 3 4 2 5" xfId="3886"/>
    <cellStyle name="Обычный 6 2 2 3 4 3" xfId="957"/>
    <cellStyle name="Обычный 6 2 2 3 4 3 2" xfId="1739"/>
    <cellStyle name="Обычный 6 2 2 3 4 3 2 2" xfId="3301"/>
    <cellStyle name="Обычный 6 2 2 3 4 3 2 2 2" xfId="6425"/>
    <cellStyle name="Обычный 6 2 2 3 4 3 2 3" xfId="4863"/>
    <cellStyle name="Обычный 6 2 2 3 4 3 3" xfId="2520"/>
    <cellStyle name="Обычный 6 2 2 3 4 3 3 2" xfId="5644"/>
    <cellStyle name="Обычный 6 2 2 3 4 3 4" xfId="4082"/>
    <cellStyle name="Обычный 6 2 2 3 4 4" xfId="1348"/>
    <cellStyle name="Обычный 6 2 2 3 4 4 2" xfId="2910"/>
    <cellStyle name="Обычный 6 2 2 3 4 4 2 2" xfId="6034"/>
    <cellStyle name="Обычный 6 2 2 3 4 4 3" xfId="4472"/>
    <cellStyle name="Обычный 6 2 2 3 4 5" xfId="2129"/>
    <cellStyle name="Обычный 6 2 2 3 4 5 2" xfId="5253"/>
    <cellStyle name="Обычный 6 2 2 3 4 6" xfId="3691"/>
    <cellStyle name="Обычный 6 2 2 3 5" xfId="754"/>
    <cellStyle name="Обычный 6 2 2 3 5 2" xfId="1147"/>
    <cellStyle name="Обычный 6 2 2 3 5 2 2" xfId="1929"/>
    <cellStyle name="Обычный 6 2 2 3 5 2 2 2" xfId="3491"/>
    <cellStyle name="Обычный 6 2 2 3 5 2 2 2 2" xfId="6615"/>
    <cellStyle name="Обычный 6 2 2 3 5 2 2 3" xfId="5053"/>
    <cellStyle name="Обычный 6 2 2 3 5 2 3" xfId="2710"/>
    <cellStyle name="Обычный 6 2 2 3 5 2 3 2" xfId="5834"/>
    <cellStyle name="Обычный 6 2 2 3 5 2 4" xfId="4272"/>
    <cellStyle name="Обычный 6 2 2 3 5 3" xfId="1538"/>
    <cellStyle name="Обычный 6 2 2 3 5 3 2" xfId="3100"/>
    <cellStyle name="Обычный 6 2 2 3 5 3 2 2" xfId="6224"/>
    <cellStyle name="Обычный 6 2 2 3 5 3 3" xfId="4662"/>
    <cellStyle name="Обычный 6 2 2 3 5 4" xfId="2319"/>
    <cellStyle name="Обычный 6 2 2 3 5 4 2" xfId="5443"/>
    <cellStyle name="Обычный 6 2 2 3 5 5" xfId="3881"/>
    <cellStyle name="Обычный 6 2 2 3 6" xfId="952"/>
    <cellStyle name="Обычный 6 2 2 3 6 2" xfId="1734"/>
    <cellStyle name="Обычный 6 2 2 3 6 2 2" xfId="3296"/>
    <cellStyle name="Обычный 6 2 2 3 6 2 2 2" xfId="6420"/>
    <cellStyle name="Обычный 6 2 2 3 6 2 3" xfId="4858"/>
    <cellStyle name="Обычный 6 2 2 3 6 3" xfId="2515"/>
    <cellStyle name="Обычный 6 2 2 3 6 3 2" xfId="5639"/>
    <cellStyle name="Обычный 6 2 2 3 6 4" xfId="4077"/>
    <cellStyle name="Обычный 6 2 2 3 7" xfId="1343"/>
    <cellStyle name="Обычный 6 2 2 3 7 2" xfId="2905"/>
    <cellStyle name="Обычный 6 2 2 3 7 2 2" xfId="6029"/>
    <cellStyle name="Обычный 6 2 2 3 7 3" xfId="4467"/>
    <cellStyle name="Обычный 6 2 2 3 8" xfId="2124"/>
    <cellStyle name="Обычный 6 2 2 3 8 2" xfId="5248"/>
    <cellStyle name="Обычный 6 2 2 3 9" xfId="3686"/>
    <cellStyle name="Обычный 6 2 2 4" xfId="78"/>
    <cellStyle name="Обычный 6 2 2 4 2" xfId="79"/>
    <cellStyle name="Обычный 6 2 2 4 2 2" xfId="80"/>
    <cellStyle name="Обычный 6 2 2 4 2 2 2" xfId="762"/>
    <cellStyle name="Обычный 6 2 2 4 2 2 2 2" xfId="1155"/>
    <cellStyle name="Обычный 6 2 2 4 2 2 2 2 2" xfId="1937"/>
    <cellStyle name="Обычный 6 2 2 4 2 2 2 2 2 2" xfId="3499"/>
    <cellStyle name="Обычный 6 2 2 4 2 2 2 2 2 2 2" xfId="6623"/>
    <cellStyle name="Обычный 6 2 2 4 2 2 2 2 2 3" xfId="5061"/>
    <cellStyle name="Обычный 6 2 2 4 2 2 2 2 3" xfId="2718"/>
    <cellStyle name="Обычный 6 2 2 4 2 2 2 2 3 2" xfId="5842"/>
    <cellStyle name="Обычный 6 2 2 4 2 2 2 2 4" xfId="4280"/>
    <cellStyle name="Обычный 6 2 2 4 2 2 2 3" xfId="1546"/>
    <cellStyle name="Обычный 6 2 2 4 2 2 2 3 2" xfId="3108"/>
    <cellStyle name="Обычный 6 2 2 4 2 2 2 3 2 2" xfId="6232"/>
    <cellStyle name="Обычный 6 2 2 4 2 2 2 3 3" xfId="4670"/>
    <cellStyle name="Обычный 6 2 2 4 2 2 2 4" xfId="2327"/>
    <cellStyle name="Обычный 6 2 2 4 2 2 2 4 2" xfId="5451"/>
    <cellStyle name="Обычный 6 2 2 4 2 2 2 5" xfId="3889"/>
    <cellStyle name="Обычный 6 2 2 4 2 2 3" xfId="960"/>
    <cellStyle name="Обычный 6 2 2 4 2 2 3 2" xfId="1742"/>
    <cellStyle name="Обычный 6 2 2 4 2 2 3 2 2" xfId="3304"/>
    <cellStyle name="Обычный 6 2 2 4 2 2 3 2 2 2" xfId="6428"/>
    <cellStyle name="Обычный 6 2 2 4 2 2 3 2 3" xfId="4866"/>
    <cellStyle name="Обычный 6 2 2 4 2 2 3 3" xfId="2523"/>
    <cellStyle name="Обычный 6 2 2 4 2 2 3 3 2" xfId="5647"/>
    <cellStyle name="Обычный 6 2 2 4 2 2 3 4" xfId="4085"/>
    <cellStyle name="Обычный 6 2 2 4 2 2 4" xfId="1351"/>
    <cellStyle name="Обычный 6 2 2 4 2 2 4 2" xfId="2913"/>
    <cellStyle name="Обычный 6 2 2 4 2 2 4 2 2" xfId="6037"/>
    <cellStyle name="Обычный 6 2 2 4 2 2 4 3" xfId="4475"/>
    <cellStyle name="Обычный 6 2 2 4 2 2 5" xfId="2132"/>
    <cellStyle name="Обычный 6 2 2 4 2 2 5 2" xfId="5256"/>
    <cellStyle name="Обычный 6 2 2 4 2 2 6" xfId="3694"/>
    <cellStyle name="Обычный 6 2 2 4 2 3" xfId="81"/>
    <cellStyle name="Обычный 6 2 2 4 2 3 2" xfId="763"/>
    <cellStyle name="Обычный 6 2 2 4 2 3 2 2" xfId="1156"/>
    <cellStyle name="Обычный 6 2 2 4 2 3 2 2 2" xfId="1938"/>
    <cellStyle name="Обычный 6 2 2 4 2 3 2 2 2 2" xfId="3500"/>
    <cellStyle name="Обычный 6 2 2 4 2 3 2 2 2 2 2" xfId="6624"/>
    <cellStyle name="Обычный 6 2 2 4 2 3 2 2 2 3" xfId="5062"/>
    <cellStyle name="Обычный 6 2 2 4 2 3 2 2 3" xfId="2719"/>
    <cellStyle name="Обычный 6 2 2 4 2 3 2 2 3 2" xfId="5843"/>
    <cellStyle name="Обычный 6 2 2 4 2 3 2 2 4" xfId="4281"/>
    <cellStyle name="Обычный 6 2 2 4 2 3 2 3" xfId="1547"/>
    <cellStyle name="Обычный 6 2 2 4 2 3 2 3 2" xfId="3109"/>
    <cellStyle name="Обычный 6 2 2 4 2 3 2 3 2 2" xfId="6233"/>
    <cellStyle name="Обычный 6 2 2 4 2 3 2 3 3" xfId="4671"/>
    <cellStyle name="Обычный 6 2 2 4 2 3 2 4" xfId="2328"/>
    <cellStyle name="Обычный 6 2 2 4 2 3 2 4 2" xfId="5452"/>
    <cellStyle name="Обычный 6 2 2 4 2 3 2 5" xfId="3890"/>
    <cellStyle name="Обычный 6 2 2 4 2 3 3" xfId="961"/>
    <cellStyle name="Обычный 6 2 2 4 2 3 3 2" xfId="1743"/>
    <cellStyle name="Обычный 6 2 2 4 2 3 3 2 2" xfId="3305"/>
    <cellStyle name="Обычный 6 2 2 4 2 3 3 2 2 2" xfId="6429"/>
    <cellStyle name="Обычный 6 2 2 4 2 3 3 2 3" xfId="4867"/>
    <cellStyle name="Обычный 6 2 2 4 2 3 3 3" xfId="2524"/>
    <cellStyle name="Обычный 6 2 2 4 2 3 3 3 2" xfId="5648"/>
    <cellStyle name="Обычный 6 2 2 4 2 3 3 4" xfId="4086"/>
    <cellStyle name="Обычный 6 2 2 4 2 3 4" xfId="1352"/>
    <cellStyle name="Обычный 6 2 2 4 2 3 4 2" xfId="2914"/>
    <cellStyle name="Обычный 6 2 2 4 2 3 4 2 2" xfId="6038"/>
    <cellStyle name="Обычный 6 2 2 4 2 3 4 3" xfId="4476"/>
    <cellStyle name="Обычный 6 2 2 4 2 3 5" xfId="2133"/>
    <cellStyle name="Обычный 6 2 2 4 2 3 5 2" xfId="5257"/>
    <cellStyle name="Обычный 6 2 2 4 2 3 6" xfId="3695"/>
    <cellStyle name="Обычный 6 2 2 4 2 4" xfId="761"/>
    <cellStyle name="Обычный 6 2 2 4 2 4 2" xfId="1154"/>
    <cellStyle name="Обычный 6 2 2 4 2 4 2 2" xfId="1936"/>
    <cellStyle name="Обычный 6 2 2 4 2 4 2 2 2" xfId="3498"/>
    <cellStyle name="Обычный 6 2 2 4 2 4 2 2 2 2" xfId="6622"/>
    <cellStyle name="Обычный 6 2 2 4 2 4 2 2 3" xfId="5060"/>
    <cellStyle name="Обычный 6 2 2 4 2 4 2 3" xfId="2717"/>
    <cellStyle name="Обычный 6 2 2 4 2 4 2 3 2" xfId="5841"/>
    <cellStyle name="Обычный 6 2 2 4 2 4 2 4" xfId="4279"/>
    <cellStyle name="Обычный 6 2 2 4 2 4 3" xfId="1545"/>
    <cellStyle name="Обычный 6 2 2 4 2 4 3 2" xfId="3107"/>
    <cellStyle name="Обычный 6 2 2 4 2 4 3 2 2" xfId="6231"/>
    <cellStyle name="Обычный 6 2 2 4 2 4 3 3" xfId="4669"/>
    <cellStyle name="Обычный 6 2 2 4 2 4 4" xfId="2326"/>
    <cellStyle name="Обычный 6 2 2 4 2 4 4 2" xfId="5450"/>
    <cellStyle name="Обычный 6 2 2 4 2 4 5" xfId="3888"/>
    <cellStyle name="Обычный 6 2 2 4 2 5" xfId="959"/>
    <cellStyle name="Обычный 6 2 2 4 2 5 2" xfId="1741"/>
    <cellStyle name="Обычный 6 2 2 4 2 5 2 2" xfId="3303"/>
    <cellStyle name="Обычный 6 2 2 4 2 5 2 2 2" xfId="6427"/>
    <cellStyle name="Обычный 6 2 2 4 2 5 2 3" xfId="4865"/>
    <cellStyle name="Обычный 6 2 2 4 2 5 3" xfId="2522"/>
    <cellStyle name="Обычный 6 2 2 4 2 5 3 2" xfId="5646"/>
    <cellStyle name="Обычный 6 2 2 4 2 5 4" xfId="4084"/>
    <cellStyle name="Обычный 6 2 2 4 2 6" xfId="1350"/>
    <cellStyle name="Обычный 6 2 2 4 2 6 2" xfId="2912"/>
    <cellStyle name="Обычный 6 2 2 4 2 6 2 2" xfId="6036"/>
    <cellStyle name="Обычный 6 2 2 4 2 6 3" xfId="4474"/>
    <cellStyle name="Обычный 6 2 2 4 2 7" xfId="2131"/>
    <cellStyle name="Обычный 6 2 2 4 2 7 2" xfId="5255"/>
    <cellStyle name="Обычный 6 2 2 4 2 8" xfId="3693"/>
    <cellStyle name="Обычный 6 2 2 4 3" xfId="82"/>
    <cellStyle name="Обычный 6 2 2 4 3 2" xfId="764"/>
    <cellStyle name="Обычный 6 2 2 4 3 2 2" xfId="1157"/>
    <cellStyle name="Обычный 6 2 2 4 3 2 2 2" xfId="1939"/>
    <cellStyle name="Обычный 6 2 2 4 3 2 2 2 2" xfId="3501"/>
    <cellStyle name="Обычный 6 2 2 4 3 2 2 2 2 2" xfId="6625"/>
    <cellStyle name="Обычный 6 2 2 4 3 2 2 2 3" xfId="5063"/>
    <cellStyle name="Обычный 6 2 2 4 3 2 2 3" xfId="2720"/>
    <cellStyle name="Обычный 6 2 2 4 3 2 2 3 2" xfId="5844"/>
    <cellStyle name="Обычный 6 2 2 4 3 2 2 4" xfId="4282"/>
    <cellStyle name="Обычный 6 2 2 4 3 2 3" xfId="1548"/>
    <cellStyle name="Обычный 6 2 2 4 3 2 3 2" xfId="3110"/>
    <cellStyle name="Обычный 6 2 2 4 3 2 3 2 2" xfId="6234"/>
    <cellStyle name="Обычный 6 2 2 4 3 2 3 3" xfId="4672"/>
    <cellStyle name="Обычный 6 2 2 4 3 2 4" xfId="2329"/>
    <cellStyle name="Обычный 6 2 2 4 3 2 4 2" xfId="5453"/>
    <cellStyle name="Обычный 6 2 2 4 3 2 5" xfId="3891"/>
    <cellStyle name="Обычный 6 2 2 4 3 3" xfId="962"/>
    <cellStyle name="Обычный 6 2 2 4 3 3 2" xfId="1744"/>
    <cellStyle name="Обычный 6 2 2 4 3 3 2 2" xfId="3306"/>
    <cellStyle name="Обычный 6 2 2 4 3 3 2 2 2" xfId="6430"/>
    <cellStyle name="Обычный 6 2 2 4 3 3 2 3" xfId="4868"/>
    <cellStyle name="Обычный 6 2 2 4 3 3 3" xfId="2525"/>
    <cellStyle name="Обычный 6 2 2 4 3 3 3 2" xfId="5649"/>
    <cellStyle name="Обычный 6 2 2 4 3 3 4" xfId="4087"/>
    <cellStyle name="Обычный 6 2 2 4 3 4" xfId="1353"/>
    <cellStyle name="Обычный 6 2 2 4 3 4 2" xfId="2915"/>
    <cellStyle name="Обычный 6 2 2 4 3 4 2 2" xfId="6039"/>
    <cellStyle name="Обычный 6 2 2 4 3 4 3" xfId="4477"/>
    <cellStyle name="Обычный 6 2 2 4 3 5" xfId="2134"/>
    <cellStyle name="Обычный 6 2 2 4 3 5 2" xfId="5258"/>
    <cellStyle name="Обычный 6 2 2 4 3 6" xfId="3696"/>
    <cellStyle name="Обычный 6 2 2 4 4" xfId="83"/>
    <cellStyle name="Обычный 6 2 2 4 4 2" xfId="765"/>
    <cellStyle name="Обычный 6 2 2 4 4 2 2" xfId="1158"/>
    <cellStyle name="Обычный 6 2 2 4 4 2 2 2" xfId="1940"/>
    <cellStyle name="Обычный 6 2 2 4 4 2 2 2 2" xfId="3502"/>
    <cellStyle name="Обычный 6 2 2 4 4 2 2 2 2 2" xfId="6626"/>
    <cellStyle name="Обычный 6 2 2 4 4 2 2 2 3" xfId="5064"/>
    <cellStyle name="Обычный 6 2 2 4 4 2 2 3" xfId="2721"/>
    <cellStyle name="Обычный 6 2 2 4 4 2 2 3 2" xfId="5845"/>
    <cellStyle name="Обычный 6 2 2 4 4 2 2 4" xfId="4283"/>
    <cellStyle name="Обычный 6 2 2 4 4 2 3" xfId="1549"/>
    <cellStyle name="Обычный 6 2 2 4 4 2 3 2" xfId="3111"/>
    <cellStyle name="Обычный 6 2 2 4 4 2 3 2 2" xfId="6235"/>
    <cellStyle name="Обычный 6 2 2 4 4 2 3 3" xfId="4673"/>
    <cellStyle name="Обычный 6 2 2 4 4 2 4" xfId="2330"/>
    <cellStyle name="Обычный 6 2 2 4 4 2 4 2" xfId="5454"/>
    <cellStyle name="Обычный 6 2 2 4 4 2 5" xfId="3892"/>
    <cellStyle name="Обычный 6 2 2 4 4 3" xfId="963"/>
    <cellStyle name="Обычный 6 2 2 4 4 3 2" xfId="1745"/>
    <cellStyle name="Обычный 6 2 2 4 4 3 2 2" xfId="3307"/>
    <cellStyle name="Обычный 6 2 2 4 4 3 2 2 2" xfId="6431"/>
    <cellStyle name="Обычный 6 2 2 4 4 3 2 3" xfId="4869"/>
    <cellStyle name="Обычный 6 2 2 4 4 3 3" xfId="2526"/>
    <cellStyle name="Обычный 6 2 2 4 4 3 3 2" xfId="5650"/>
    <cellStyle name="Обычный 6 2 2 4 4 3 4" xfId="4088"/>
    <cellStyle name="Обычный 6 2 2 4 4 4" xfId="1354"/>
    <cellStyle name="Обычный 6 2 2 4 4 4 2" xfId="2916"/>
    <cellStyle name="Обычный 6 2 2 4 4 4 2 2" xfId="6040"/>
    <cellStyle name="Обычный 6 2 2 4 4 4 3" xfId="4478"/>
    <cellStyle name="Обычный 6 2 2 4 4 5" xfId="2135"/>
    <cellStyle name="Обычный 6 2 2 4 4 5 2" xfId="5259"/>
    <cellStyle name="Обычный 6 2 2 4 4 6" xfId="3697"/>
    <cellStyle name="Обычный 6 2 2 4 5" xfId="760"/>
    <cellStyle name="Обычный 6 2 2 4 5 2" xfId="1153"/>
    <cellStyle name="Обычный 6 2 2 4 5 2 2" xfId="1935"/>
    <cellStyle name="Обычный 6 2 2 4 5 2 2 2" xfId="3497"/>
    <cellStyle name="Обычный 6 2 2 4 5 2 2 2 2" xfId="6621"/>
    <cellStyle name="Обычный 6 2 2 4 5 2 2 3" xfId="5059"/>
    <cellStyle name="Обычный 6 2 2 4 5 2 3" xfId="2716"/>
    <cellStyle name="Обычный 6 2 2 4 5 2 3 2" xfId="5840"/>
    <cellStyle name="Обычный 6 2 2 4 5 2 4" xfId="4278"/>
    <cellStyle name="Обычный 6 2 2 4 5 3" xfId="1544"/>
    <cellStyle name="Обычный 6 2 2 4 5 3 2" xfId="3106"/>
    <cellStyle name="Обычный 6 2 2 4 5 3 2 2" xfId="6230"/>
    <cellStyle name="Обычный 6 2 2 4 5 3 3" xfId="4668"/>
    <cellStyle name="Обычный 6 2 2 4 5 4" xfId="2325"/>
    <cellStyle name="Обычный 6 2 2 4 5 4 2" xfId="5449"/>
    <cellStyle name="Обычный 6 2 2 4 5 5" xfId="3887"/>
    <cellStyle name="Обычный 6 2 2 4 6" xfId="958"/>
    <cellStyle name="Обычный 6 2 2 4 6 2" xfId="1740"/>
    <cellStyle name="Обычный 6 2 2 4 6 2 2" xfId="3302"/>
    <cellStyle name="Обычный 6 2 2 4 6 2 2 2" xfId="6426"/>
    <cellStyle name="Обычный 6 2 2 4 6 2 3" xfId="4864"/>
    <cellStyle name="Обычный 6 2 2 4 6 3" xfId="2521"/>
    <cellStyle name="Обычный 6 2 2 4 6 3 2" xfId="5645"/>
    <cellStyle name="Обычный 6 2 2 4 6 4" xfId="4083"/>
    <cellStyle name="Обычный 6 2 2 4 7" xfId="1349"/>
    <cellStyle name="Обычный 6 2 2 4 7 2" xfId="2911"/>
    <cellStyle name="Обычный 6 2 2 4 7 2 2" xfId="6035"/>
    <cellStyle name="Обычный 6 2 2 4 7 3" xfId="4473"/>
    <cellStyle name="Обычный 6 2 2 4 8" xfId="2130"/>
    <cellStyle name="Обычный 6 2 2 4 8 2" xfId="5254"/>
    <cellStyle name="Обычный 6 2 2 4 9" xfId="3692"/>
    <cellStyle name="Обычный 6 2 2 5" xfId="84"/>
    <cellStyle name="Обычный 6 2 2 5 2" xfId="85"/>
    <cellStyle name="Обычный 6 2 2 5 2 2" xfId="767"/>
    <cellStyle name="Обычный 6 2 2 5 2 2 2" xfId="1160"/>
    <cellStyle name="Обычный 6 2 2 5 2 2 2 2" xfId="1942"/>
    <cellStyle name="Обычный 6 2 2 5 2 2 2 2 2" xfId="3504"/>
    <cellStyle name="Обычный 6 2 2 5 2 2 2 2 2 2" xfId="6628"/>
    <cellStyle name="Обычный 6 2 2 5 2 2 2 2 3" xfId="5066"/>
    <cellStyle name="Обычный 6 2 2 5 2 2 2 3" xfId="2723"/>
    <cellStyle name="Обычный 6 2 2 5 2 2 2 3 2" xfId="5847"/>
    <cellStyle name="Обычный 6 2 2 5 2 2 2 4" xfId="4285"/>
    <cellStyle name="Обычный 6 2 2 5 2 2 3" xfId="1551"/>
    <cellStyle name="Обычный 6 2 2 5 2 2 3 2" xfId="3113"/>
    <cellStyle name="Обычный 6 2 2 5 2 2 3 2 2" xfId="6237"/>
    <cellStyle name="Обычный 6 2 2 5 2 2 3 3" xfId="4675"/>
    <cellStyle name="Обычный 6 2 2 5 2 2 4" xfId="2332"/>
    <cellStyle name="Обычный 6 2 2 5 2 2 4 2" xfId="5456"/>
    <cellStyle name="Обычный 6 2 2 5 2 2 5" xfId="3894"/>
    <cellStyle name="Обычный 6 2 2 5 2 3" xfId="965"/>
    <cellStyle name="Обычный 6 2 2 5 2 3 2" xfId="1747"/>
    <cellStyle name="Обычный 6 2 2 5 2 3 2 2" xfId="3309"/>
    <cellStyle name="Обычный 6 2 2 5 2 3 2 2 2" xfId="6433"/>
    <cellStyle name="Обычный 6 2 2 5 2 3 2 3" xfId="4871"/>
    <cellStyle name="Обычный 6 2 2 5 2 3 3" xfId="2528"/>
    <cellStyle name="Обычный 6 2 2 5 2 3 3 2" xfId="5652"/>
    <cellStyle name="Обычный 6 2 2 5 2 3 4" xfId="4090"/>
    <cellStyle name="Обычный 6 2 2 5 2 4" xfId="1356"/>
    <cellStyle name="Обычный 6 2 2 5 2 4 2" xfId="2918"/>
    <cellStyle name="Обычный 6 2 2 5 2 4 2 2" xfId="6042"/>
    <cellStyle name="Обычный 6 2 2 5 2 4 3" xfId="4480"/>
    <cellStyle name="Обычный 6 2 2 5 2 5" xfId="2137"/>
    <cellStyle name="Обычный 6 2 2 5 2 5 2" xfId="5261"/>
    <cellStyle name="Обычный 6 2 2 5 2 6" xfId="3699"/>
    <cellStyle name="Обычный 6 2 2 5 3" xfId="86"/>
    <cellStyle name="Обычный 6 2 2 5 3 2" xfId="768"/>
    <cellStyle name="Обычный 6 2 2 5 3 2 2" xfId="1161"/>
    <cellStyle name="Обычный 6 2 2 5 3 2 2 2" xfId="1943"/>
    <cellStyle name="Обычный 6 2 2 5 3 2 2 2 2" xfId="3505"/>
    <cellStyle name="Обычный 6 2 2 5 3 2 2 2 2 2" xfId="6629"/>
    <cellStyle name="Обычный 6 2 2 5 3 2 2 2 3" xfId="5067"/>
    <cellStyle name="Обычный 6 2 2 5 3 2 2 3" xfId="2724"/>
    <cellStyle name="Обычный 6 2 2 5 3 2 2 3 2" xfId="5848"/>
    <cellStyle name="Обычный 6 2 2 5 3 2 2 4" xfId="4286"/>
    <cellStyle name="Обычный 6 2 2 5 3 2 3" xfId="1552"/>
    <cellStyle name="Обычный 6 2 2 5 3 2 3 2" xfId="3114"/>
    <cellStyle name="Обычный 6 2 2 5 3 2 3 2 2" xfId="6238"/>
    <cellStyle name="Обычный 6 2 2 5 3 2 3 3" xfId="4676"/>
    <cellStyle name="Обычный 6 2 2 5 3 2 4" xfId="2333"/>
    <cellStyle name="Обычный 6 2 2 5 3 2 4 2" xfId="5457"/>
    <cellStyle name="Обычный 6 2 2 5 3 2 5" xfId="3895"/>
    <cellStyle name="Обычный 6 2 2 5 3 3" xfId="966"/>
    <cellStyle name="Обычный 6 2 2 5 3 3 2" xfId="1748"/>
    <cellStyle name="Обычный 6 2 2 5 3 3 2 2" xfId="3310"/>
    <cellStyle name="Обычный 6 2 2 5 3 3 2 2 2" xfId="6434"/>
    <cellStyle name="Обычный 6 2 2 5 3 3 2 3" xfId="4872"/>
    <cellStyle name="Обычный 6 2 2 5 3 3 3" xfId="2529"/>
    <cellStyle name="Обычный 6 2 2 5 3 3 3 2" xfId="5653"/>
    <cellStyle name="Обычный 6 2 2 5 3 3 4" xfId="4091"/>
    <cellStyle name="Обычный 6 2 2 5 3 4" xfId="1357"/>
    <cellStyle name="Обычный 6 2 2 5 3 4 2" xfId="2919"/>
    <cellStyle name="Обычный 6 2 2 5 3 4 2 2" xfId="6043"/>
    <cellStyle name="Обычный 6 2 2 5 3 4 3" xfId="4481"/>
    <cellStyle name="Обычный 6 2 2 5 3 5" xfId="2138"/>
    <cellStyle name="Обычный 6 2 2 5 3 5 2" xfId="5262"/>
    <cellStyle name="Обычный 6 2 2 5 3 6" xfId="3700"/>
    <cellStyle name="Обычный 6 2 2 5 4" xfId="766"/>
    <cellStyle name="Обычный 6 2 2 5 4 2" xfId="1159"/>
    <cellStyle name="Обычный 6 2 2 5 4 2 2" xfId="1941"/>
    <cellStyle name="Обычный 6 2 2 5 4 2 2 2" xfId="3503"/>
    <cellStyle name="Обычный 6 2 2 5 4 2 2 2 2" xfId="6627"/>
    <cellStyle name="Обычный 6 2 2 5 4 2 2 3" xfId="5065"/>
    <cellStyle name="Обычный 6 2 2 5 4 2 3" xfId="2722"/>
    <cellStyle name="Обычный 6 2 2 5 4 2 3 2" xfId="5846"/>
    <cellStyle name="Обычный 6 2 2 5 4 2 4" xfId="4284"/>
    <cellStyle name="Обычный 6 2 2 5 4 3" xfId="1550"/>
    <cellStyle name="Обычный 6 2 2 5 4 3 2" xfId="3112"/>
    <cellStyle name="Обычный 6 2 2 5 4 3 2 2" xfId="6236"/>
    <cellStyle name="Обычный 6 2 2 5 4 3 3" xfId="4674"/>
    <cellStyle name="Обычный 6 2 2 5 4 4" xfId="2331"/>
    <cellStyle name="Обычный 6 2 2 5 4 4 2" xfId="5455"/>
    <cellStyle name="Обычный 6 2 2 5 4 5" xfId="3893"/>
    <cellStyle name="Обычный 6 2 2 5 5" xfId="964"/>
    <cellStyle name="Обычный 6 2 2 5 5 2" xfId="1746"/>
    <cellStyle name="Обычный 6 2 2 5 5 2 2" xfId="3308"/>
    <cellStyle name="Обычный 6 2 2 5 5 2 2 2" xfId="6432"/>
    <cellStyle name="Обычный 6 2 2 5 5 2 3" xfId="4870"/>
    <cellStyle name="Обычный 6 2 2 5 5 3" xfId="2527"/>
    <cellStyle name="Обычный 6 2 2 5 5 3 2" xfId="5651"/>
    <cellStyle name="Обычный 6 2 2 5 5 4" xfId="4089"/>
    <cellStyle name="Обычный 6 2 2 5 6" xfId="1355"/>
    <cellStyle name="Обычный 6 2 2 5 6 2" xfId="2917"/>
    <cellStyle name="Обычный 6 2 2 5 6 2 2" xfId="6041"/>
    <cellStyle name="Обычный 6 2 2 5 6 3" xfId="4479"/>
    <cellStyle name="Обычный 6 2 2 5 7" xfId="2136"/>
    <cellStyle name="Обычный 6 2 2 5 7 2" xfId="5260"/>
    <cellStyle name="Обычный 6 2 2 5 8" xfId="3698"/>
    <cellStyle name="Обычный 6 2 2 6" xfId="87"/>
    <cellStyle name="Обычный 6 2 2 6 2" xfId="769"/>
    <cellStyle name="Обычный 6 2 2 6 2 2" xfId="1162"/>
    <cellStyle name="Обычный 6 2 2 6 2 2 2" xfId="1944"/>
    <cellStyle name="Обычный 6 2 2 6 2 2 2 2" xfId="3506"/>
    <cellStyle name="Обычный 6 2 2 6 2 2 2 2 2" xfId="6630"/>
    <cellStyle name="Обычный 6 2 2 6 2 2 2 3" xfId="5068"/>
    <cellStyle name="Обычный 6 2 2 6 2 2 3" xfId="2725"/>
    <cellStyle name="Обычный 6 2 2 6 2 2 3 2" xfId="5849"/>
    <cellStyle name="Обычный 6 2 2 6 2 2 4" xfId="4287"/>
    <cellStyle name="Обычный 6 2 2 6 2 3" xfId="1553"/>
    <cellStyle name="Обычный 6 2 2 6 2 3 2" xfId="3115"/>
    <cellStyle name="Обычный 6 2 2 6 2 3 2 2" xfId="6239"/>
    <cellStyle name="Обычный 6 2 2 6 2 3 3" xfId="4677"/>
    <cellStyle name="Обычный 6 2 2 6 2 4" xfId="2334"/>
    <cellStyle name="Обычный 6 2 2 6 2 4 2" xfId="5458"/>
    <cellStyle name="Обычный 6 2 2 6 2 5" xfId="3896"/>
    <cellStyle name="Обычный 6 2 2 6 3" xfId="967"/>
    <cellStyle name="Обычный 6 2 2 6 3 2" xfId="1749"/>
    <cellStyle name="Обычный 6 2 2 6 3 2 2" xfId="3311"/>
    <cellStyle name="Обычный 6 2 2 6 3 2 2 2" xfId="6435"/>
    <cellStyle name="Обычный 6 2 2 6 3 2 3" xfId="4873"/>
    <cellStyle name="Обычный 6 2 2 6 3 3" xfId="2530"/>
    <cellStyle name="Обычный 6 2 2 6 3 3 2" xfId="5654"/>
    <cellStyle name="Обычный 6 2 2 6 3 4" xfId="4092"/>
    <cellStyle name="Обычный 6 2 2 6 4" xfId="1358"/>
    <cellStyle name="Обычный 6 2 2 6 4 2" xfId="2920"/>
    <cellStyle name="Обычный 6 2 2 6 4 2 2" xfId="6044"/>
    <cellStyle name="Обычный 6 2 2 6 4 3" xfId="4482"/>
    <cellStyle name="Обычный 6 2 2 6 5" xfId="2139"/>
    <cellStyle name="Обычный 6 2 2 6 5 2" xfId="5263"/>
    <cellStyle name="Обычный 6 2 2 6 6" xfId="3701"/>
    <cellStyle name="Обычный 6 2 2 7" xfId="88"/>
    <cellStyle name="Обычный 6 2 2 7 2" xfId="770"/>
    <cellStyle name="Обычный 6 2 2 7 2 2" xfId="1163"/>
    <cellStyle name="Обычный 6 2 2 7 2 2 2" xfId="1945"/>
    <cellStyle name="Обычный 6 2 2 7 2 2 2 2" xfId="3507"/>
    <cellStyle name="Обычный 6 2 2 7 2 2 2 2 2" xfId="6631"/>
    <cellStyle name="Обычный 6 2 2 7 2 2 2 3" xfId="5069"/>
    <cellStyle name="Обычный 6 2 2 7 2 2 3" xfId="2726"/>
    <cellStyle name="Обычный 6 2 2 7 2 2 3 2" xfId="5850"/>
    <cellStyle name="Обычный 6 2 2 7 2 2 4" xfId="4288"/>
    <cellStyle name="Обычный 6 2 2 7 2 3" xfId="1554"/>
    <cellStyle name="Обычный 6 2 2 7 2 3 2" xfId="3116"/>
    <cellStyle name="Обычный 6 2 2 7 2 3 2 2" xfId="6240"/>
    <cellStyle name="Обычный 6 2 2 7 2 3 3" xfId="4678"/>
    <cellStyle name="Обычный 6 2 2 7 2 4" xfId="2335"/>
    <cellStyle name="Обычный 6 2 2 7 2 4 2" xfId="5459"/>
    <cellStyle name="Обычный 6 2 2 7 2 5" xfId="3897"/>
    <cellStyle name="Обычный 6 2 2 7 3" xfId="968"/>
    <cellStyle name="Обычный 6 2 2 7 3 2" xfId="1750"/>
    <cellStyle name="Обычный 6 2 2 7 3 2 2" xfId="3312"/>
    <cellStyle name="Обычный 6 2 2 7 3 2 2 2" xfId="6436"/>
    <cellStyle name="Обычный 6 2 2 7 3 2 3" xfId="4874"/>
    <cellStyle name="Обычный 6 2 2 7 3 3" xfId="2531"/>
    <cellStyle name="Обычный 6 2 2 7 3 3 2" xfId="5655"/>
    <cellStyle name="Обычный 6 2 2 7 3 4" xfId="4093"/>
    <cellStyle name="Обычный 6 2 2 7 4" xfId="1359"/>
    <cellStyle name="Обычный 6 2 2 7 4 2" xfId="2921"/>
    <cellStyle name="Обычный 6 2 2 7 4 2 2" xfId="6045"/>
    <cellStyle name="Обычный 6 2 2 7 4 3" xfId="4483"/>
    <cellStyle name="Обычный 6 2 2 7 5" xfId="2140"/>
    <cellStyle name="Обычный 6 2 2 7 5 2" xfId="5264"/>
    <cellStyle name="Обычный 6 2 2 7 6" xfId="3702"/>
    <cellStyle name="Обычный 6 2 2 8" xfId="89"/>
    <cellStyle name="Обычный 6 2 2 8 2" xfId="771"/>
    <cellStyle name="Обычный 6 2 2 8 2 2" xfId="1164"/>
    <cellStyle name="Обычный 6 2 2 8 2 2 2" xfId="1946"/>
    <cellStyle name="Обычный 6 2 2 8 2 2 2 2" xfId="3508"/>
    <cellStyle name="Обычный 6 2 2 8 2 2 2 2 2" xfId="6632"/>
    <cellStyle name="Обычный 6 2 2 8 2 2 2 3" xfId="5070"/>
    <cellStyle name="Обычный 6 2 2 8 2 2 3" xfId="2727"/>
    <cellStyle name="Обычный 6 2 2 8 2 2 3 2" xfId="5851"/>
    <cellStyle name="Обычный 6 2 2 8 2 2 4" xfId="4289"/>
    <cellStyle name="Обычный 6 2 2 8 2 3" xfId="1555"/>
    <cellStyle name="Обычный 6 2 2 8 2 3 2" xfId="3117"/>
    <cellStyle name="Обычный 6 2 2 8 2 3 2 2" xfId="6241"/>
    <cellStyle name="Обычный 6 2 2 8 2 3 3" xfId="4679"/>
    <cellStyle name="Обычный 6 2 2 8 2 4" xfId="2336"/>
    <cellStyle name="Обычный 6 2 2 8 2 4 2" xfId="5460"/>
    <cellStyle name="Обычный 6 2 2 8 2 5" xfId="3898"/>
    <cellStyle name="Обычный 6 2 2 8 3" xfId="969"/>
    <cellStyle name="Обычный 6 2 2 8 3 2" xfId="1751"/>
    <cellStyle name="Обычный 6 2 2 8 3 2 2" xfId="3313"/>
    <cellStyle name="Обычный 6 2 2 8 3 2 2 2" xfId="6437"/>
    <cellStyle name="Обычный 6 2 2 8 3 2 3" xfId="4875"/>
    <cellStyle name="Обычный 6 2 2 8 3 3" xfId="2532"/>
    <cellStyle name="Обычный 6 2 2 8 3 3 2" xfId="5656"/>
    <cellStyle name="Обычный 6 2 2 8 3 4" xfId="4094"/>
    <cellStyle name="Обычный 6 2 2 8 4" xfId="1360"/>
    <cellStyle name="Обычный 6 2 2 8 4 2" xfId="2922"/>
    <cellStyle name="Обычный 6 2 2 8 4 2 2" xfId="6046"/>
    <cellStyle name="Обычный 6 2 2 8 4 3" xfId="4484"/>
    <cellStyle name="Обычный 6 2 2 8 5" xfId="2141"/>
    <cellStyle name="Обычный 6 2 2 8 5 2" xfId="5265"/>
    <cellStyle name="Обычный 6 2 2 8 6" xfId="3703"/>
    <cellStyle name="Обычный 6 2 2 9" xfId="741"/>
    <cellStyle name="Обычный 6 2 2 9 2" xfId="1134"/>
    <cellStyle name="Обычный 6 2 2 9 2 2" xfId="1916"/>
    <cellStyle name="Обычный 6 2 2 9 2 2 2" xfId="3478"/>
    <cellStyle name="Обычный 6 2 2 9 2 2 2 2" xfId="6602"/>
    <cellStyle name="Обычный 6 2 2 9 2 2 3" xfId="5040"/>
    <cellStyle name="Обычный 6 2 2 9 2 3" xfId="2697"/>
    <cellStyle name="Обычный 6 2 2 9 2 3 2" xfId="5821"/>
    <cellStyle name="Обычный 6 2 2 9 2 4" xfId="4259"/>
    <cellStyle name="Обычный 6 2 2 9 3" xfId="1525"/>
    <cellStyle name="Обычный 6 2 2 9 3 2" xfId="3087"/>
    <cellStyle name="Обычный 6 2 2 9 3 2 2" xfId="6211"/>
    <cellStyle name="Обычный 6 2 2 9 3 3" xfId="4649"/>
    <cellStyle name="Обычный 6 2 2 9 4" xfId="2306"/>
    <cellStyle name="Обычный 6 2 2 9 4 2" xfId="5430"/>
    <cellStyle name="Обычный 6 2 2 9 5" xfId="3868"/>
    <cellStyle name="Обычный 6 2 3" xfId="15"/>
    <cellStyle name="Обычный 6 2 3 10" xfId="936"/>
    <cellStyle name="Обычный 6 2 3 10 2" xfId="1718"/>
    <cellStyle name="Обычный 6 2 3 10 2 2" xfId="3280"/>
    <cellStyle name="Обычный 6 2 3 10 2 2 2" xfId="6404"/>
    <cellStyle name="Обычный 6 2 3 10 2 3" xfId="4842"/>
    <cellStyle name="Обычный 6 2 3 10 3" xfId="2499"/>
    <cellStyle name="Обычный 6 2 3 10 3 2" xfId="5623"/>
    <cellStyle name="Обычный 6 2 3 10 4" xfId="4061"/>
    <cellStyle name="Обычный 6 2 3 11" xfId="1327"/>
    <cellStyle name="Обычный 6 2 3 11 2" xfId="2889"/>
    <cellStyle name="Обычный 6 2 3 11 2 2" xfId="6013"/>
    <cellStyle name="Обычный 6 2 3 11 3" xfId="4451"/>
    <cellStyle name="Обычный 6 2 3 12" xfId="2108"/>
    <cellStyle name="Обычный 6 2 3 12 2" xfId="5232"/>
    <cellStyle name="Обычный 6 2 3 13" xfId="3670"/>
    <cellStyle name="Обычный 6 2 3 2" xfId="90"/>
    <cellStyle name="Обычный 6 2 3 2 10" xfId="3704"/>
    <cellStyle name="Обычный 6 2 3 2 2" xfId="91"/>
    <cellStyle name="Обычный 6 2 3 2 2 2" xfId="92"/>
    <cellStyle name="Обычный 6 2 3 2 2 2 2" xfId="93"/>
    <cellStyle name="Обычный 6 2 3 2 2 2 2 2" xfId="775"/>
    <cellStyle name="Обычный 6 2 3 2 2 2 2 2 2" xfId="1168"/>
    <cellStyle name="Обычный 6 2 3 2 2 2 2 2 2 2" xfId="1950"/>
    <cellStyle name="Обычный 6 2 3 2 2 2 2 2 2 2 2" xfId="3512"/>
    <cellStyle name="Обычный 6 2 3 2 2 2 2 2 2 2 2 2" xfId="6636"/>
    <cellStyle name="Обычный 6 2 3 2 2 2 2 2 2 2 3" xfId="5074"/>
    <cellStyle name="Обычный 6 2 3 2 2 2 2 2 2 3" xfId="2731"/>
    <cellStyle name="Обычный 6 2 3 2 2 2 2 2 2 3 2" xfId="5855"/>
    <cellStyle name="Обычный 6 2 3 2 2 2 2 2 2 4" xfId="4293"/>
    <cellStyle name="Обычный 6 2 3 2 2 2 2 2 3" xfId="1559"/>
    <cellStyle name="Обычный 6 2 3 2 2 2 2 2 3 2" xfId="3121"/>
    <cellStyle name="Обычный 6 2 3 2 2 2 2 2 3 2 2" xfId="6245"/>
    <cellStyle name="Обычный 6 2 3 2 2 2 2 2 3 3" xfId="4683"/>
    <cellStyle name="Обычный 6 2 3 2 2 2 2 2 4" xfId="2340"/>
    <cellStyle name="Обычный 6 2 3 2 2 2 2 2 4 2" xfId="5464"/>
    <cellStyle name="Обычный 6 2 3 2 2 2 2 2 5" xfId="3902"/>
    <cellStyle name="Обычный 6 2 3 2 2 2 2 3" xfId="973"/>
    <cellStyle name="Обычный 6 2 3 2 2 2 2 3 2" xfId="1755"/>
    <cellStyle name="Обычный 6 2 3 2 2 2 2 3 2 2" xfId="3317"/>
    <cellStyle name="Обычный 6 2 3 2 2 2 2 3 2 2 2" xfId="6441"/>
    <cellStyle name="Обычный 6 2 3 2 2 2 2 3 2 3" xfId="4879"/>
    <cellStyle name="Обычный 6 2 3 2 2 2 2 3 3" xfId="2536"/>
    <cellStyle name="Обычный 6 2 3 2 2 2 2 3 3 2" xfId="5660"/>
    <cellStyle name="Обычный 6 2 3 2 2 2 2 3 4" xfId="4098"/>
    <cellStyle name="Обычный 6 2 3 2 2 2 2 4" xfId="1364"/>
    <cellStyle name="Обычный 6 2 3 2 2 2 2 4 2" xfId="2926"/>
    <cellStyle name="Обычный 6 2 3 2 2 2 2 4 2 2" xfId="6050"/>
    <cellStyle name="Обычный 6 2 3 2 2 2 2 4 3" xfId="4488"/>
    <cellStyle name="Обычный 6 2 3 2 2 2 2 5" xfId="2145"/>
    <cellStyle name="Обычный 6 2 3 2 2 2 2 5 2" xfId="5269"/>
    <cellStyle name="Обычный 6 2 3 2 2 2 2 6" xfId="3707"/>
    <cellStyle name="Обычный 6 2 3 2 2 2 3" xfId="94"/>
    <cellStyle name="Обычный 6 2 3 2 2 2 3 2" xfId="776"/>
    <cellStyle name="Обычный 6 2 3 2 2 2 3 2 2" xfId="1169"/>
    <cellStyle name="Обычный 6 2 3 2 2 2 3 2 2 2" xfId="1951"/>
    <cellStyle name="Обычный 6 2 3 2 2 2 3 2 2 2 2" xfId="3513"/>
    <cellStyle name="Обычный 6 2 3 2 2 2 3 2 2 2 2 2" xfId="6637"/>
    <cellStyle name="Обычный 6 2 3 2 2 2 3 2 2 2 3" xfId="5075"/>
    <cellStyle name="Обычный 6 2 3 2 2 2 3 2 2 3" xfId="2732"/>
    <cellStyle name="Обычный 6 2 3 2 2 2 3 2 2 3 2" xfId="5856"/>
    <cellStyle name="Обычный 6 2 3 2 2 2 3 2 2 4" xfId="4294"/>
    <cellStyle name="Обычный 6 2 3 2 2 2 3 2 3" xfId="1560"/>
    <cellStyle name="Обычный 6 2 3 2 2 2 3 2 3 2" xfId="3122"/>
    <cellStyle name="Обычный 6 2 3 2 2 2 3 2 3 2 2" xfId="6246"/>
    <cellStyle name="Обычный 6 2 3 2 2 2 3 2 3 3" xfId="4684"/>
    <cellStyle name="Обычный 6 2 3 2 2 2 3 2 4" xfId="2341"/>
    <cellStyle name="Обычный 6 2 3 2 2 2 3 2 4 2" xfId="5465"/>
    <cellStyle name="Обычный 6 2 3 2 2 2 3 2 5" xfId="3903"/>
    <cellStyle name="Обычный 6 2 3 2 2 2 3 3" xfId="974"/>
    <cellStyle name="Обычный 6 2 3 2 2 2 3 3 2" xfId="1756"/>
    <cellStyle name="Обычный 6 2 3 2 2 2 3 3 2 2" xfId="3318"/>
    <cellStyle name="Обычный 6 2 3 2 2 2 3 3 2 2 2" xfId="6442"/>
    <cellStyle name="Обычный 6 2 3 2 2 2 3 3 2 3" xfId="4880"/>
    <cellStyle name="Обычный 6 2 3 2 2 2 3 3 3" xfId="2537"/>
    <cellStyle name="Обычный 6 2 3 2 2 2 3 3 3 2" xfId="5661"/>
    <cellStyle name="Обычный 6 2 3 2 2 2 3 3 4" xfId="4099"/>
    <cellStyle name="Обычный 6 2 3 2 2 2 3 4" xfId="1365"/>
    <cellStyle name="Обычный 6 2 3 2 2 2 3 4 2" xfId="2927"/>
    <cellStyle name="Обычный 6 2 3 2 2 2 3 4 2 2" xfId="6051"/>
    <cellStyle name="Обычный 6 2 3 2 2 2 3 4 3" xfId="4489"/>
    <cellStyle name="Обычный 6 2 3 2 2 2 3 5" xfId="2146"/>
    <cellStyle name="Обычный 6 2 3 2 2 2 3 5 2" xfId="5270"/>
    <cellStyle name="Обычный 6 2 3 2 2 2 3 6" xfId="3708"/>
    <cellStyle name="Обычный 6 2 3 2 2 2 4" xfId="774"/>
    <cellStyle name="Обычный 6 2 3 2 2 2 4 2" xfId="1167"/>
    <cellStyle name="Обычный 6 2 3 2 2 2 4 2 2" xfId="1949"/>
    <cellStyle name="Обычный 6 2 3 2 2 2 4 2 2 2" xfId="3511"/>
    <cellStyle name="Обычный 6 2 3 2 2 2 4 2 2 2 2" xfId="6635"/>
    <cellStyle name="Обычный 6 2 3 2 2 2 4 2 2 3" xfId="5073"/>
    <cellStyle name="Обычный 6 2 3 2 2 2 4 2 3" xfId="2730"/>
    <cellStyle name="Обычный 6 2 3 2 2 2 4 2 3 2" xfId="5854"/>
    <cellStyle name="Обычный 6 2 3 2 2 2 4 2 4" xfId="4292"/>
    <cellStyle name="Обычный 6 2 3 2 2 2 4 3" xfId="1558"/>
    <cellStyle name="Обычный 6 2 3 2 2 2 4 3 2" xfId="3120"/>
    <cellStyle name="Обычный 6 2 3 2 2 2 4 3 2 2" xfId="6244"/>
    <cellStyle name="Обычный 6 2 3 2 2 2 4 3 3" xfId="4682"/>
    <cellStyle name="Обычный 6 2 3 2 2 2 4 4" xfId="2339"/>
    <cellStyle name="Обычный 6 2 3 2 2 2 4 4 2" xfId="5463"/>
    <cellStyle name="Обычный 6 2 3 2 2 2 4 5" xfId="3901"/>
    <cellStyle name="Обычный 6 2 3 2 2 2 5" xfId="972"/>
    <cellStyle name="Обычный 6 2 3 2 2 2 5 2" xfId="1754"/>
    <cellStyle name="Обычный 6 2 3 2 2 2 5 2 2" xfId="3316"/>
    <cellStyle name="Обычный 6 2 3 2 2 2 5 2 2 2" xfId="6440"/>
    <cellStyle name="Обычный 6 2 3 2 2 2 5 2 3" xfId="4878"/>
    <cellStyle name="Обычный 6 2 3 2 2 2 5 3" xfId="2535"/>
    <cellStyle name="Обычный 6 2 3 2 2 2 5 3 2" xfId="5659"/>
    <cellStyle name="Обычный 6 2 3 2 2 2 5 4" xfId="4097"/>
    <cellStyle name="Обычный 6 2 3 2 2 2 6" xfId="1363"/>
    <cellStyle name="Обычный 6 2 3 2 2 2 6 2" xfId="2925"/>
    <cellStyle name="Обычный 6 2 3 2 2 2 6 2 2" xfId="6049"/>
    <cellStyle name="Обычный 6 2 3 2 2 2 6 3" xfId="4487"/>
    <cellStyle name="Обычный 6 2 3 2 2 2 7" xfId="2144"/>
    <cellStyle name="Обычный 6 2 3 2 2 2 7 2" xfId="5268"/>
    <cellStyle name="Обычный 6 2 3 2 2 2 8" xfId="3706"/>
    <cellStyle name="Обычный 6 2 3 2 2 3" xfId="95"/>
    <cellStyle name="Обычный 6 2 3 2 2 3 2" xfId="777"/>
    <cellStyle name="Обычный 6 2 3 2 2 3 2 2" xfId="1170"/>
    <cellStyle name="Обычный 6 2 3 2 2 3 2 2 2" xfId="1952"/>
    <cellStyle name="Обычный 6 2 3 2 2 3 2 2 2 2" xfId="3514"/>
    <cellStyle name="Обычный 6 2 3 2 2 3 2 2 2 2 2" xfId="6638"/>
    <cellStyle name="Обычный 6 2 3 2 2 3 2 2 2 3" xfId="5076"/>
    <cellStyle name="Обычный 6 2 3 2 2 3 2 2 3" xfId="2733"/>
    <cellStyle name="Обычный 6 2 3 2 2 3 2 2 3 2" xfId="5857"/>
    <cellStyle name="Обычный 6 2 3 2 2 3 2 2 4" xfId="4295"/>
    <cellStyle name="Обычный 6 2 3 2 2 3 2 3" xfId="1561"/>
    <cellStyle name="Обычный 6 2 3 2 2 3 2 3 2" xfId="3123"/>
    <cellStyle name="Обычный 6 2 3 2 2 3 2 3 2 2" xfId="6247"/>
    <cellStyle name="Обычный 6 2 3 2 2 3 2 3 3" xfId="4685"/>
    <cellStyle name="Обычный 6 2 3 2 2 3 2 4" xfId="2342"/>
    <cellStyle name="Обычный 6 2 3 2 2 3 2 4 2" xfId="5466"/>
    <cellStyle name="Обычный 6 2 3 2 2 3 2 5" xfId="3904"/>
    <cellStyle name="Обычный 6 2 3 2 2 3 3" xfId="975"/>
    <cellStyle name="Обычный 6 2 3 2 2 3 3 2" xfId="1757"/>
    <cellStyle name="Обычный 6 2 3 2 2 3 3 2 2" xfId="3319"/>
    <cellStyle name="Обычный 6 2 3 2 2 3 3 2 2 2" xfId="6443"/>
    <cellStyle name="Обычный 6 2 3 2 2 3 3 2 3" xfId="4881"/>
    <cellStyle name="Обычный 6 2 3 2 2 3 3 3" xfId="2538"/>
    <cellStyle name="Обычный 6 2 3 2 2 3 3 3 2" xfId="5662"/>
    <cellStyle name="Обычный 6 2 3 2 2 3 3 4" xfId="4100"/>
    <cellStyle name="Обычный 6 2 3 2 2 3 4" xfId="1366"/>
    <cellStyle name="Обычный 6 2 3 2 2 3 4 2" xfId="2928"/>
    <cellStyle name="Обычный 6 2 3 2 2 3 4 2 2" xfId="6052"/>
    <cellStyle name="Обычный 6 2 3 2 2 3 4 3" xfId="4490"/>
    <cellStyle name="Обычный 6 2 3 2 2 3 5" xfId="2147"/>
    <cellStyle name="Обычный 6 2 3 2 2 3 5 2" xfId="5271"/>
    <cellStyle name="Обычный 6 2 3 2 2 3 6" xfId="3709"/>
    <cellStyle name="Обычный 6 2 3 2 2 4" xfId="96"/>
    <cellStyle name="Обычный 6 2 3 2 2 4 2" xfId="778"/>
    <cellStyle name="Обычный 6 2 3 2 2 4 2 2" xfId="1171"/>
    <cellStyle name="Обычный 6 2 3 2 2 4 2 2 2" xfId="1953"/>
    <cellStyle name="Обычный 6 2 3 2 2 4 2 2 2 2" xfId="3515"/>
    <cellStyle name="Обычный 6 2 3 2 2 4 2 2 2 2 2" xfId="6639"/>
    <cellStyle name="Обычный 6 2 3 2 2 4 2 2 2 3" xfId="5077"/>
    <cellStyle name="Обычный 6 2 3 2 2 4 2 2 3" xfId="2734"/>
    <cellStyle name="Обычный 6 2 3 2 2 4 2 2 3 2" xfId="5858"/>
    <cellStyle name="Обычный 6 2 3 2 2 4 2 2 4" xfId="4296"/>
    <cellStyle name="Обычный 6 2 3 2 2 4 2 3" xfId="1562"/>
    <cellStyle name="Обычный 6 2 3 2 2 4 2 3 2" xfId="3124"/>
    <cellStyle name="Обычный 6 2 3 2 2 4 2 3 2 2" xfId="6248"/>
    <cellStyle name="Обычный 6 2 3 2 2 4 2 3 3" xfId="4686"/>
    <cellStyle name="Обычный 6 2 3 2 2 4 2 4" xfId="2343"/>
    <cellStyle name="Обычный 6 2 3 2 2 4 2 4 2" xfId="5467"/>
    <cellStyle name="Обычный 6 2 3 2 2 4 2 5" xfId="3905"/>
    <cellStyle name="Обычный 6 2 3 2 2 4 3" xfId="976"/>
    <cellStyle name="Обычный 6 2 3 2 2 4 3 2" xfId="1758"/>
    <cellStyle name="Обычный 6 2 3 2 2 4 3 2 2" xfId="3320"/>
    <cellStyle name="Обычный 6 2 3 2 2 4 3 2 2 2" xfId="6444"/>
    <cellStyle name="Обычный 6 2 3 2 2 4 3 2 3" xfId="4882"/>
    <cellStyle name="Обычный 6 2 3 2 2 4 3 3" xfId="2539"/>
    <cellStyle name="Обычный 6 2 3 2 2 4 3 3 2" xfId="5663"/>
    <cellStyle name="Обычный 6 2 3 2 2 4 3 4" xfId="4101"/>
    <cellStyle name="Обычный 6 2 3 2 2 4 4" xfId="1367"/>
    <cellStyle name="Обычный 6 2 3 2 2 4 4 2" xfId="2929"/>
    <cellStyle name="Обычный 6 2 3 2 2 4 4 2 2" xfId="6053"/>
    <cellStyle name="Обычный 6 2 3 2 2 4 4 3" xfId="4491"/>
    <cellStyle name="Обычный 6 2 3 2 2 4 5" xfId="2148"/>
    <cellStyle name="Обычный 6 2 3 2 2 4 5 2" xfId="5272"/>
    <cellStyle name="Обычный 6 2 3 2 2 4 6" xfId="3710"/>
    <cellStyle name="Обычный 6 2 3 2 2 5" xfId="773"/>
    <cellStyle name="Обычный 6 2 3 2 2 5 2" xfId="1166"/>
    <cellStyle name="Обычный 6 2 3 2 2 5 2 2" xfId="1948"/>
    <cellStyle name="Обычный 6 2 3 2 2 5 2 2 2" xfId="3510"/>
    <cellStyle name="Обычный 6 2 3 2 2 5 2 2 2 2" xfId="6634"/>
    <cellStyle name="Обычный 6 2 3 2 2 5 2 2 3" xfId="5072"/>
    <cellStyle name="Обычный 6 2 3 2 2 5 2 3" xfId="2729"/>
    <cellStyle name="Обычный 6 2 3 2 2 5 2 3 2" xfId="5853"/>
    <cellStyle name="Обычный 6 2 3 2 2 5 2 4" xfId="4291"/>
    <cellStyle name="Обычный 6 2 3 2 2 5 3" xfId="1557"/>
    <cellStyle name="Обычный 6 2 3 2 2 5 3 2" xfId="3119"/>
    <cellStyle name="Обычный 6 2 3 2 2 5 3 2 2" xfId="6243"/>
    <cellStyle name="Обычный 6 2 3 2 2 5 3 3" xfId="4681"/>
    <cellStyle name="Обычный 6 2 3 2 2 5 4" xfId="2338"/>
    <cellStyle name="Обычный 6 2 3 2 2 5 4 2" xfId="5462"/>
    <cellStyle name="Обычный 6 2 3 2 2 5 5" xfId="3900"/>
    <cellStyle name="Обычный 6 2 3 2 2 6" xfId="971"/>
    <cellStyle name="Обычный 6 2 3 2 2 6 2" xfId="1753"/>
    <cellStyle name="Обычный 6 2 3 2 2 6 2 2" xfId="3315"/>
    <cellStyle name="Обычный 6 2 3 2 2 6 2 2 2" xfId="6439"/>
    <cellStyle name="Обычный 6 2 3 2 2 6 2 3" xfId="4877"/>
    <cellStyle name="Обычный 6 2 3 2 2 6 3" xfId="2534"/>
    <cellStyle name="Обычный 6 2 3 2 2 6 3 2" xfId="5658"/>
    <cellStyle name="Обычный 6 2 3 2 2 6 4" xfId="4096"/>
    <cellStyle name="Обычный 6 2 3 2 2 7" xfId="1362"/>
    <cellStyle name="Обычный 6 2 3 2 2 7 2" xfId="2924"/>
    <cellStyle name="Обычный 6 2 3 2 2 7 2 2" xfId="6048"/>
    <cellStyle name="Обычный 6 2 3 2 2 7 3" xfId="4486"/>
    <cellStyle name="Обычный 6 2 3 2 2 8" xfId="2143"/>
    <cellStyle name="Обычный 6 2 3 2 2 8 2" xfId="5267"/>
    <cellStyle name="Обычный 6 2 3 2 2 9" xfId="3705"/>
    <cellStyle name="Обычный 6 2 3 2 3" xfId="97"/>
    <cellStyle name="Обычный 6 2 3 2 3 2" xfId="98"/>
    <cellStyle name="Обычный 6 2 3 2 3 2 2" xfId="780"/>
    <cellStyle name="Обычный 6 2 3 2 3 2 2 2" xfId="1173"/>
    <cellStyle name="Обычный 6 2 3 2 3 2 2 2 2" xfId="1955"/>
    <cellStyle name="Обычный 6 2 3 2 3 2 2 2 2 2" xfId="3517"/>
    <cellStyle name="Обычный 6 2 3 2 3 2 2 2 2 2 2" xfId="6641"/>
    <cellStyle name="Обычный 6 2 3 2 3 2 2 2 2 3" xfId="5079"/>
    <cellStyle name="Обычный 6 2 3 2 3 2 2 2 3" xfId="2736"/>
    <cellStyle name="Обычный 6 2 3 2 3 2 2 2 3 2" xfId="5860"/>
    <cellStyle name="Обычный 6 2 3 2 3 2 2 2 4" xfId="4298"/>
    <cellStyle name="Обычный 6 2 3 2 3 2 2 3" xfId="1564"/>
    <cellStyle name="Обычный 6 2 3 2 3 2 2 3 2" xfId="3126"/>
    <cellStyle name="Обычный 6 2 3 2 3 2 2 3 2 2" xfId="6250"/>
    <cellStyle name="Обычный 6 2 3 2 3 2 2 3 3" xfId="4688"/>
    <cellStyle name="Обычный 6 2 3 2 3 2 2 4" xfId="2345"/>
    <cellStyle name="Обычный 6 2 3 2 3 2 2 4 2" xfId="5469"/>
    <cellStyle name="Обычный 6 2 3 2 3 2 2 5" xfId="3907"/>
    <cellStyle name="Обычный 6 2 3 2 3 2 3" xfId="978"/>
    <cellStyle name="Обычный 6 2 3 2 3 2 3 2" xfId="1760"/>
    <cellStyle name="Обычный 6 2 3 2 3 2 3 2 2" xfId="3322"/>
    <cellStyle name="Обычный 6 2 3 2 3 2 3 2 2 2" xfId="6446"/>
    <cellStyle name="Обычный 6 2 3 2 3 2 3 2 3" xfId="4884"/>
    <cellStyle name="Обычный 6 2 3 2 3 2 3 3" xfId="2541"/>
    <cellStyle name="Обычный 6 2 3 2 3 2 3 3 2" xfId="5665"/>
    <cellStyle name="Обычный 6 2 3 2 3 2 3 4" xfId="4103"/>
    <cellStyle name="Обычный 6 2 3 2 3 2 4" xfId="1369"/>
    <cellStyle name="Обычный 6 2 3 2 3 2 4 2" xfId="2931"/>
    <cellStyle name="Обычный 6 2 3 2 3 2 4 2 2" xfId="6055"/>
    <cellStyle name="Обычный 6 2 3 2 3 2 4 3" xfId="4493"/>
    <cellStyle name="Обычный 6 2 3 2 3 2 5" xfId="2150"/>
    <cellStyle name="Обычный 6 2 3 2 3 2 5 2" xfId="5274"/>
    <cellStyle name="Обычный 6 2 3 2 3 2 6" xfId="3712"/>
    <cellStyle name="Обычный 6 2 3 2 3 3" xfId="99"/>
    <cellStyle name="Обычный 6 2 3 2 3 3 2" xfId="781"/>
    <cellStyle name="Обычный 6 2 3 2 3 3 2 2" xfId="1174"/>
    <cellStyle name="Обычный 6 2 3 2 3 3 2 2 2" xfId="1956"/>
    <cellStyle name="Обычный 6 2 3 2 3 3 2 2 2 2" xfId="3518"/>
    <cellStyle name="Обычный 6 2 3 2 3 3 2 2 2 2 2" xfId="6642"/>
    <cellStyle name="Обычный 6 2 3 2 3 3 2 2 2 3" xfId="5080"/>
    <cellStyle name="Обычный 6 2 3 2 3 3 2 2 3" xfId="2737"/>
    <cellStyle name="Обычный 6 2 3 2 3 3 2 2 3 2" xfId="5861"/>
    <cellStyle name="Обычный 6 2 3 2 3 3 2 2 4" xfId="4299"/>
    <cellStyle name="Обычный 6 2 3 2 3 3 2 3" xfId="1565"/>
    <cellStyle name="Обычный 6 2 3 2 3 3 2 3 2" xfId="3127"/>
    <cellStyle name="Обычный 6 2 3 2 3 3 2 3 2 2" xfId="6251"/>
    <cellStyle name="Обычный 6 2 3 2 3 3 2 3 3" xfId="4689"/>
    <cellStyle name="Обычный 6 2 3 2 3 3 2 4" xfId="2346"/>
    <cellStyle name="Обычный 6 2 3 2 3 3 2 4 2" xfId="5470"/>
    <cellStyle name="Обычный 6 2 3 2 3 3 2 5" xfId="3908"/>
    <cellStyle name="Обычный 6 2 3 2 3 3 3" xfId="979"/>
    <cellStyle name="Обычный 6 2 3 2 3 3 3 2" xfId="1761"/>
    <cellStyle name="Обычный 6 2 3 2 3 3 3 2 2" xfId="3323"/>
    <cellStyle name="Обычный 6 2 3 2 3 3 3 2 2 2" xfId="6447"/>
    <cellStyle name="Обычный 6 2 3 2 3 3 3 2 3" xfId="4885"/>
    <cellStyle name="Обычный 6 2 3 2 3 3 3 3" xfId="2542"/>
    <cellStyle name="Обычный 6 2 3 2 3 3 3 3 2" xfId="5666"/>
    <cellStyle name="Обычный 6 2 3 2 3 3 3 4" xfId="4104"/>
    <cellStyle name="Обычный 6 2 3 2 3 3 4" xfId="1370"/>
    <cellStyle name="Обычный 6 2 3 2 3 3 4 2" xfId="2932"/>
    <cellStyle name="Обычный 6 2 3 2 3 3 4 2 2" xfId="6056"/>
    <cellStyle name="Обычный 6 2 3 2 3 3 4 3" xfId="4494"/>
    <cellStyle name="Обычный 6 2 3 2 3 3 5" xfId="2151"/>
    <cellStyle name="Обычный 6 2 3 2 3 3 5 2" xfId="5275"/>
    <cellStyle name="Обычный 6 2 3 2 3 3 6" xfId="3713"/>
    <cellStyle name="Обычный 6 2 3 2 3 4" xfId="779"/>
    <cellStyle name="Обычный 6 2 3 2 3 4 2" xfId="1172"/>
    <cellStyle name="Обычный 6 2 3 2 3 4 2 2" xfId="1954"/>
    <cellStyle name="Обычный 6 2 3 2 3 4 2 2 2" xfId="3516"/>
    <cellStyle name="Обычный 6 2 3 2 3 4 2 2 2 2" xfId="6640"/>
    <cellStyle name="Обычный 6 2 3 2 3 4 2 2 3" xfId="5078"/>
    <cellStyle name="Обычный 6 2 3 2 3 4 2 3" xfId="2735"/>
    <cellStyle name="Обычный 6 2 3 2 3 4 2 3 2" xfId="5859"/>
    <cellStyle name="Обычный 6 2 3 2 3 4 2 4" xfId="4297"/>
    <cellStyle name="Обычный 6 2 3 2 3 4 3" xfId="1563"/>
    <cellStyle name="Обычный 6 2 3 2 3 4 3 2" xfId="3125"/>
    <cellStyle name="Обычный 6 2 3 2 3 4 3 2 2" xfId="6249"/>
    <cellStyle name="Обычный 6 2 3 2 3 4 3 3" xfId="4687"/>
    <cellStyle name="Обычный 6 2 3 2 3 4 4" xfId="2344"/>
    <cellStyle name="Обычный 6 2 3 2 3 4 4 2" xfId="5468"/>
    <cellStyle name="Обычный 6 2 3 2 3 4 5" xfId="3906"/>
    <cellStyle name="Обычный 6 2 3 2 3 5" xfId="977"/>
    <cellStyle name="Обычный 6 2 3 2 3 5 2" xfId="1759"/>
    <cellStyle name="Обычный 6 2 3 2 3 5 2 2" xfId="3321"/>
    <cellStyle name="Обычный 6 2 3 2 3 5 2 2 2" xfId="6445"/>
    <cellStyle name="Обычный 6 2 3 2 3 5 2 3" xfId="4883"/>
    <cellStyle name="Обычный 6 2 3 2 3 5 3" xfId="2540"/>
    <cellStyle name="Обычный 6 2 3 2 3 5 3 2" xfId="5664"/>
    <cellStyle name="Обычный 6 2 3 2 3 5 4" xfId="4102"/>
    <cellStyle name="Обычный 6 2 3 2 3 6" xfId="1368"/>
    <cellStyle name="Обычный 6 2 3 2 3 6 2" xfId="2930"/>
    <cellStyle name="Обычный 6 2 3 2 3 6 2 2" xfId="6054"/>
    <cellStyle name="Обычный 6 2 3 2 3 6 3" xfId="4492"/>
    <cellStyle name="Обычный 6 2 3 2 3 7" xfId="2149"/>
    <cellStyle name="Обычный 6 2 3 2 3 7 2" xfId="5273"/>
    <cellStyle name="Обычный 6 2 3 2 3 8" xfId="3711"/>
    <cellStyle name="Обычный 6 2 3 2 4" xfId="100"/>
    <cellStyle name="Обычный 6 2 3 2 4 2" xfId="782"/>
    <cellStyle name="Обычный 6 2 3 2 4 2 2" xfId="1175"/>
    <cellStyle name="Обычный 6 2 3 2 4 2 2 2" xfId="1957"/>
    <cellStyle name="Обычный 6 2 3 2 4 2 2 2 2" xfId="3519"/>
    <cellStyle name="Обычный 6 2 3 2 4 2 2 2 2 2" xfId="6643"/>
    <cellStyle name="Обычный 6 2 3 2 4 2 2 2 3" xfId="5081"/>
    <cellStyle name="Обычный 6 2 3 2 4 2 2 3" xfId="2738"/>
    <cellStyle name="Обычный 6 2 3 2 4 2 2 3 2" xfId="5862"/>
    <cellStyle name="Обычный 6 2 3 2 4 2 2 4" xfId="4300"/>
    <cellStyle name="Обычный 6 2 3 2 4 2 3" xfId="1566"/>
    <cellStyle name="Обычный 6 2 3 2 4 2 3 2" xfId="3128"/>
    <cellStyle name="Обычный 6 2 3 2 4 2 3 2 2" xfId="6252"/>
    <cellStyle name="Обычный 6 2 3 2 4 2 3 3" xfId="4690"/>
    <cellStyle name="Обычный 6 2 3 2 4 2 4" xfId="2347"/>
    <cellStyle name="Обычный 6 2 3 2 4 2 4 2" xfId="5471"/>
    <cellStyle name="Обычный 6 2 3 2 4 2 5" xfId="3909"/>
    <cellStyle name="Обычный 6 2 3 2 4 3" xfId="980"/>
    <cellStyle name="Обычный 6 2 3 2 4 3 2" xfId="1762"/>
    <cellStyle name="Обычный 6 2 3 2 4 3 2 2" xfId="3324"/>
    <cellStyle name="Обычный 6 2 3 2 4 3 2 2 2" xfId="6448"/>
    <cellStyle name="Обычный 6 2 3 2 4 3 2 3" xfId="4886"/>
    <cellStyle name="Обычный 6 2 3 2 4 3 3" xfId="2543"/>
    <cellStyle name="Обычный 6 2 3 2 4 3 3 2" xfId="5667"/>
    <cellStyle name="Обычный 6 2 3 2 4 3 4" xfId="4105"/>
    <cellStyle name="Обычный 6 2 3 2 4 4" xfId="1371"/>
    <cellStyle name="Обычный 6 2 3 2 4 4 2" xfId="2933"/>
    <cellStyle name="Обычный 6 2 3 2 4 4 2 2" xfId="6057"/>
    <cellStyle name="Обычный 6 2 3 2 4 4 3" xfId="4495"/>
    <cellStyle name="Обычный 6 2 3 2 4 5" xfId="2152"/>
    <cellStyle name="Обычный 6 2 3 2 4 5 2" xfId="5276"/>
    <cellStyle name="Обычный 6 2 3 2 4 6" xfId="3714"/>
    <cellStyle name="Обычный 6 2 3 2 5" xfId="101"/>
    <cellStyle name="Обычный 6 2 3 2 5 2" xfId="783"/>
    <cellStyle name="Обычный 6 2 3 2 5 2 2" xfId="1176"/>
    <cellStyle name="Обычный 6 2 3 2 5 2 2 2" xfId="1958"/>
    <cellStyle name="Обычный 6 2 3 2 5 2 2 2 2" xfId="3520"/>
    <cellStyle name="Обычный 6 2 3 2 5 2 2 2 2 2" xfId="6644"/>
    <cellStyle name="Обычный 6 2 3 2 5 2 2 2 3" xfId="5082"/>
    <cellStyle name="Обычный 6 2 3 2 5 2 2 3" xfId="2739"/>
    <cellStyle name="Обычный 6 2 3 2 5 2 2 3 2" xfId="5863"/>
    <cellStyle name="Обычный 6 2 3 2 5 2 2 4" xfId="4301"/>
    <cellStyle name="Обычный 6 2 3 2 5 2 3" xfId="1567"/>
    <cellStyle name="Обычный 6 2 3 2 5 2 3 2" xfId="3129"/>
    <cellStyle name="Обычный 6 2 3 2 5 2 3 2 2" xfId="6253"/>
    <cellStyle name="Обычный 6 2 3 2 5 2 3 3" xfId="4691"/>
    <cellStyle name="Обычный 6 2 3 2 5 2 4" xfId="2348"/>
    <cellStyle name="Обычный 6 2 3 2 5 2 4 2" xfId="5472"/>
    <cellStyle name="Обычный 6 2 3 2 5 2 5" xfId="3910"/>
    <cellStyle name="Обычный 6 2 3 2 5 3" xfId="981"/>
    <cellStyle name="Обычный 6 2 3 2 5 3 2" xfId="1763"/>
    <cellStyle name="Обычный 6 2 3 2 5 3 2 2" xfId="3325"/>
    <cellStyle name="Обычный 6 2 3 2 5 3 2 2 2" xfId="6449"/>
    <cellStyle name="Обычный 6 2 3 2 5 3 2 3" xfId="4887"/>
    <cellStyle name="Обычный 6 2 3 2 5 3 3" xfId="2544"/>
    <cellStyle name="Обычный 6 2 3 2 5 3 3 2" xfId="5668"/>
    <cellStyle name="Обычный 6 2 3 2 5 3 4" xfId="4106"/>
    <cellStyle name="Обычный 6 2 3 2 5 4" xfId="1372"/>
    <cellStyle name="Обычный 6 2 3 2 5 4 2" xfId="2934"/>
    <cellStyle name="Обычный 6 2 3 2 5 4 2 2" xfId="6058"/>
    <cellStyle name="Обычный 6 2 3 2 5 4 3" xfId="4496"/>
    <cellStyle name="Обычный 6 2 3 2 5 5" xfId="2153"/>
    <cellStyle name="Обычный 6 2 3 2 5 5 2" xfId="5277"/>
    <cellStyle name="Обычный 6 2 3 2 5 6" xfId="3715"/>
    <cellStyle name="Обычный 6 2 3 2 6" xfId="772"/>
    <cellStyle name="Обычный 6 2 3 2 6 2" xfId="1165"/>
    <cellStyle name="Обычный 6 2 3 2 6 2 2" xfId="1947"/>
    <cellStyle name="Обычный 6 2 3 2 6 2 2 2" xfId="3509"/>
    <cellStyle name="Обычный 6 2 3 2 6 2 2 2 2" xfId="6633"/>
    <cellStyle name="Обычный 6 2 3 2 6 2 2 3" xfId="5071"/>
    <cellStyle name="Обычный 6 2 3 2 6 2 3" xfId="2728"/>
    <cellStyle name="Обычный 6 2 3 2 6 2 3 2" xfId="5852"/>
    <cellStyle name="Обычный 6 2 3 2 6 2 4" xfId="4290"/>
    <cellStyle name="Обычный 6 2 3 2 6 3" xfId="1556"/>
    <cellStyle name="Обычный 6 2 3 2 6 3 2" xfId="3118"/>
    <cellStyle name="Обычный 6 2 3 2 6 3 2 2" xfId="6242"/>
    <cellStyle name="Обычный 6 2 3 2 6 3 3" xfId="4680"/>
    <cellStyle name="Обычный 6 2 3 2 6 4" xfId="2337"/>
    <cellStyle name="Обычный 6 2 3 2 6 4 2" xfId="5461"/>
    <cellStyle name="Обычный 6 2 3 2 6 5" xfId="3899"/>
    <cellStyle name="Обычный 6 2 3 2 7" xfId="970"/>
    <cellStyle name="Обычный 6 2 3 2 7 2" xfId="1752"/>
    <cellStyle name="Обычный 6 2 3 2 7 2 2" xfId="3314"/>
    <cellStyle name="Обычный 6 2 3 2 7 2 2 2" xfId="6438"/>
    <cellStyle name="Обычный 6 2 3 2 7 2 3" xfId="4876"/>
    <cellStyle name="Обычный 6 2 3 2 7 3" xfId="2533"/>
    <cellStyle name="Обычный 6 2 3 2 7 3 2" xfId="5657"/>
    <cellStyle name="Обычный 6 2 3 2 7 4" xfId="4095"/>
    <cellStyle name="Обычный 6 2 3 2 8" xfId="1361"/>
    <cellStyle name="Обычный 6 2 3 2 8 2" xfId="2923"/>
    <cellStyle name="Обычный 6 2 3 2 8 2 2" xfId="6047"/>
    <cellStyle name="Обычный 6 2 3 2 8 3" xfId="4485"/>
    <cellStyle name="Обычный 6 2 3 2 9" xfId="2142"/>
    <cellStyle name="Обычный 6 2 3 2 9 2" xfId="5266"/>
    <cellStyle name="Обычный 6 2 3 3" xfId="102"/>
    <cellStyle name="Обычный 6 2 3 3 2" xfId="103"/>
    <cellStyle name="Обычный 6 2 3 3 2 2" xfId="104"/>
    <cellStyle name="Обычный 6 2 3 3 2 2 2" xfId="786"/>
    <cellStyle name="Обычный 6 2 3 3 2 2 2 2" xfId="1179"/>
    <cellStyle name="Обычный 6 2 3 3 2 2 2 2 2" xfId="1961"/>
    <cellStyle name="Обычный 6 2 3 3 2 2 2 2 2 2" xfId="3523"/>
    <cellStyle name="Обычный 6 2 3 3 2 2 2 2 2 2 2" xfId="6647"/>
    <cellStyle name="Обычный 6 2 3 3 2 2 2 2 2 3" xfId="5085"/>
    <cellStyle name="Обычный 6 2 3 3 2 2 2 2 3" xfId="2742"/>
    <cellStyle name="Обычный 6 2 3 3 2 2 2 2 3 2" xfId="5866"/>
    <cellStyle name="Обычный 6 2 3 3 2 2 2 2 4" xfId="4304"/>
    <cellStyle name="Обычный 6 2 3 3 2 2 2 3" xfId="1570"/>
    <cellStyle name="Обычный 6 2 3 3 2 2 2 3 2" xfId="3132"/>
    <cellStyle name="Обычный 6 2 3 3 2 2 2 3 2 2" xfId="6256"/>
    <cellStyle name="Обычный 6 2 3 3 2 2 2 3 3" xfId="4694"/>
    <cellStyle name="Обычный 6 2 3 3 2 2 2 4" xfId="2351"/>
    <cellStyle name="Обычный 6 2 3 3 2 2 2 4 2" xfId="5475"/>
    <cellStyle name="Обычный 6 2 3 3 2 2 2 5" xfId="3913"/>
    <cellStyle name="Обычный 6 2 3 3 2 2 3" xfId="984"/>
    <cellStyle name="Обычный 6 2 3 3 2 2 3 2" xfId="1766"/>
    <cellStyle name="Обычный 6 2 3 3 2 2 3 2 2" xfId="3328"/>
    <cellStyle name="Обычный 6 2 3 3 2 2 3 2 2 2" xfId="6452"/>
    <cellStyle name="Обычный 6 2 3 3 2 2 3 2 3" xfId="4890"/>
    <cellStyle name="Обычный 6 2 3 3 2 2 3 3" xfId="2547"/>
    <cellStyle name="Обычный 6 2 3 3 2 2 3 3 2" xfId="5671"/>
    <cellStyle name="Обычный 6 2 3 3 2 2 3 4" xfId="4109"/>
    <cellStyle name="Обычный 6 2 3 3 2 2 4" xfId="1375"/>
    <cellStyle name="Обычный 6 2 3 3 2 2 4 2" xfId="2937"/>
    <cellStyle name="Обычный 6 2 3 3 2 2 4 2 2" xfId="6061"/>
    <cellStyle name="Обычный 6 2 3 3 2 2 4 3" xfId="4499"/>
    <cellStyle name="Обычный 6 2 3 3 2 2 5" xfId="2156"/>
    <cellStyle name="Обычный 6 2 3 3 2 2 5 2" xfId="5280"/>
    <cellStyle name="Обычный 6 2 3 3 2 2 6" xfId="3718"/>
    <cellStyle name="Обычный 6 2 3 3 2 3" xfId="105"/>
    <cellStyle name="Обычный 6 2 3 3 2 3 2" xfId="787"/>
    <cellStyle name="Обычный 6 2 3 3 2 3 2 2" xfId="1180"/>
    <cellStyle name="Обычный 6 2 3 3 2 3 2 2 2" xfId="1962"/>
    <cellStyle name="Обычный 6 2 3 3 2 3 2 2 2 2" xfId="3524"/>
    <cellStyle name="Обычный 6 2 3 3 2 3 2 2 2 2 2" xfId="6648"/>
    <cellStyle name="Обычный 6 2 3 3 2 3 2 2 2 3" xfId="5086"/>
    <cellStyle name="Обычный 6 2 3 3 2 3 2 2 3" xfId="2743"/>
    <cellStyle name="Обычный 6 2 3 3 2 3 2 2 3 2" xfId="5867"/>
    <cellStyle name="Обычный 6 2 3 3 2 3 2 2 4" xfId="4305"/>
    <cellStyle name="Обычный 6 2 3 3 2 3 2 3" xfId="1571"/>
    <cellStyle name="Обычный 6 2 3 3 2 3 2 3 2" xfId="3133"/>
    <cellStyle name="Обычный 6 2 3 3 2 3 2 3 2 2" xfId="6257"/>
    <cellStyle name="Обычный 6 2 3 3 2 3 2 3 3" xfId="4695"/>
    <cellStyle name="Обычный 6 2 3 3 2 3 2 4" xfId="2352"/>
    <cellStyle name="Обычный 6 2 3 3 2 3 2 4 2" xfId="5476"/>
    <cellStyle name="Обычный 6 2 3 3 2 3 2 5" xfId="3914"/>
    <cellStyle name="Обычный 6 2 3 3 2 3 3" xfId="985"/>
    <cellStyle name="Обычный 6 2 3 3 2 3 3 2" xfId="1767"/>
    <cellStyle name="Обычный 6 2 3 3 2 3 3 2 2" xfId="3329"/>
    <cellStyle name="Обычный 6 2 3 3 2 3 3 2 2 2" xfId="6453"/>
    <cellStyle name="Обычный 6 2 3 3 2 3 3 2 3" xfId="4891"/>
    <cellStyle name="Обычный 6 2 3 3 2 3 3 3" xfId="2548"/>
    <cellStyle name="Обычный 6 2 3 3 2 3 3 3 2" xfId="5672"/>
    <cellStyle name="Обычный 6 2 3 3 2 3 3 4" xfId="4110"/>
    <cellStyle name="Обычный 6 2 3 3 2 3 4" xfId="1376"/>
    <cellStyle name="Обычный 6 2 3 3 2 3 4 2" xfId="2938"/>
    <cellStyle name="Обычный 6 2 3 3 2 3 4 2 2" xfId="6062"/>
    <cellStyle name="Обычный 6 2 3 3 2 3 4 3" xfId="4500"/>
    <cellStyle name="Обычный 6 2 3 3 2 3 5" xfId="2157"/>
    <cellStyle name="Обычный 6 2 3 3 2 3 5 2" xfId="5281"/>
    <cellStyle name="Обычный 6 2 3 3 2 3 6" xfId="3719"/>
    <cellStyle name="Обычный 6 2 3 3 2 4" xfId="785"/>
    <cellStyle name="Обычный 6 2 3 3 2 4 2" xfId="1178"/>
    <cellStyle name="Обычный 6 2 3 3 2 4 2 2" xfId="1960"/>
    <cellStyle name="Обычный 6 2 3 3 2 4 2 2 2" xfId="3522"/>
    <cellStyle name="Обычный 6 2 3 3 2 4 2 2 2 2" xfId="6646"/>
    <cellStyle name="Обычный 6 2 3 3 2 4 2 2 3" xfId="5084"/>
    <cellStyle name="Обычный 6 2 3 3 2 4 2 3" xfId="2741"/>
    <cellStyle name="Обычный 6 2 3 3 2 4 2 3 2" xfId="5865"/>
    <cellStyle name="Обычный 6 2 3 3 2 4 2 4" xfId="4303"/>
    <cellStyle name="Обычный 6 2 3 3 2 4 3" xfId="1569"/>
    <cellStyle name="Обычный 6 2 3 3 2 4 3 2" xfId="3131"/>
    <cellStyle name="Обычный 6 2 3 3 2 4 3 2 2" xfId="6255"/>
    <cellStyle name="Обычный 6 2 3 3 2 4 3 3" xfId="4693"/>
    <cellStyle name="Обычный 6 2 3 3 2 4 4" xfId="2350"/>
    <cellStyle name="Обычный 6 2 3 3 2 4 4 2" xfId="5474"/>
    <cellStyle name="Обычный 6 2 3 3 2 4 5" xfId="3912"/>
    <cellStyle name="Обычный 6 2 3 3 2 5" xfId="983"/>
    <cellStyle name="Обычный 6 2 3 3 2 5 2" xfId="1765"/>
    <cellStyle name="Обычный 6 2 3 3 2 5 2 2" xfId="3327"/>
    <cellStyle name="Обычный 6 2 3 3 2 5 2 2 2" xfId="6451"/>
    <cellStyle name="Обычный 6 2 3 3 2 5 2 3" xfId="4889"/>
    <cellStyle name="Обычный 6 2 3 3 2 5 3" xfId="2546"/>
    <cellStyle name="Обычный 6 2 3 3 2 5 3 2" xfId="5670"/>
    <cellStyle name="Обычный 6 2 3 3 2 5 4" xfId="4108"/>
    <cellStyle name="Обычный 6 2 3 3 2 6" xfId="1374"/>
    <cellStyle name="Обычный 6 2 3 3 2 6 2" xfId="2936"/>
    <cellStyle name="Обычный 6 2 3 3 2 6 2 2" xfId="6060"/>
    <cellStyle name="Обычный 6 2 3 3 2 6 3" xfId="4498"/>
    <cellStyle name="Обычный 6 2 3 3 2 7" xfId="2155"/>
    <cellStyle name="Обычный 6 2 3 3 2 7 2" xfId="5279"/>
    <cellStyle name="Обычный 6 2 3 3 2 8" xfId="3717"/>
    <cellStyle name="Обычный 6 2 3 3 3" xfId="106"/>
    <cellStyle name="Обычный 6 2 3 3 3 2" xfId="788"/>
    <cellStyle name="Обычный 6 2 3 3 3 2 2" xfId="1181"/>
    <cellStyle name="Обычный 6 2 3 3 3 2 2 2" xfId="1963"/>
    <cellStyle name="Обычный 6 2 3 3 3 2 2 2 2" xfId="3525"/>
    <cellStyle name="Обычный 6 2 3 3 3 2 2 2 2 2" xfId="6649"/>
    <cellStyle name="Обычный 6 2 3 3 3 2 2 2 3" xfId="5087"/>
    <cellStyle name="Обычный 6 2 3 3 3 2 2 3" xfId="2744"/>
    <cellStyle name="Обычный 6 2 3 3 3 2 2 3 2" xfId="5868"/>
    <cellStyle name="Обычный 6 2 3 3 3 2 2 4" xfId="4306"/>
    <cellStyle name="Обычный 6 2 3 3 3 2 3" xfId="1572"/>
    <cellStyle name="Обычный 6 2 3 3 3 2 3 2" xfId="3134"/>
    <cellStyle name="Обычный 6 2 3 3 3 2 3 2 2" xfId="6258"/>
    <cellStyle name="Обычный 6 2 3 3 3 2 3 3" xfId="4696"/>
    <cellStyle name="Обычный 6 2 3 3 3 2 4" xfId="2353"/>
    <cellStyle name="Обычный 6 2 3 3 3 2 4 2" xfId="5477"/>
    <cellStyle name="Обычный 6 2 3 3 3 2 5" xfId="3915"/>
    <cellStyle name="Обычный 6 2 3 3 3 3" xfId="986"/>
    <cellStyle name="Обычный 6 2 3 3 3 3 2" xfId="1768"/>
    <cellStyle name="Обычный 6 2 3 3 3 3 2 2" xfId="3330"/>
    <cellStyle name="Обычный 6 2 3 3 3 3 2 2 2" xfId="6454"/>
    <cellStyle name="Обычный 6 2 3 3 3 3 2 3" xfId="4892"/>
    <cellStyle name="Обычный 6 2 3 3 3 3 3" xfId="2549"/>
    <cellStyle name="Обычный 6 2 3 3 3 3 3 2" xfId="5673"/>
    <cellStyle name="Обычный 6 2 3 3 3 3 4" xfId="4111"/>
    <cellStyle name="Обычный 6 2 3 3 3 4" xfId="1377"/>
    <cellStyle name="Обычный 6 2 3 3 3 4 2" xfId="2939"/>
    <cellStyle name="Обычный 6 2 3 3 3 4 2 2" xfId="6063"/>
    <cellStyle name="Обычный 6 2 3 3 3 4 3" xfId="4501"/>
    <cellStyle name="Обычный 6 2 3 3 3 5" xfId="2158"/>
    <cellStyle name="Обычный 6 2 3 3 3 5 2" xfId="5282"/>
    <cellStyle name="Обычный 6 2 3 3 3 6" xfId="3720"/>
    <cellStyle name="Обычный 6 2 3 3 4" xfId="107"/>
    <cellStyle name="Обычный 6 2 3 3 4 2" xfId="789"/>
    <cellStyle name="Обычный 6 2 3 3 4 2 2" xfId="1182"/>
    <cellStyle name="Обычный 6 2 3 3 4 2 2 2" xfId="1964"/>
    <cellStyle name="Обычный 6 2 3 3 4 2 2 2 2" xfId="3526"/>
    <cellStyle name="Обычный 6 2 3 3 4 2 2 2 2 2" xfId="6650"/>
    <cellStyle name="Обычный 6 2 3 3 4 2 2 2 3" xfId="5088"/>
    <cellStyle name="Обычный 6 2 3 3 4 2 2 3" xfId="2745"/>
    <cellStyle name="Обычный 6 2 3 3 4 2 2 3 2" xfId="5869"/>
    <cellStyle name="Обычный 6 2 3 3 4 2 2 4" xfId="4307"/>
    <cellStyle name="Обычный 6 2 3 3 4 2 3" xfId="1573"/>
    <cellStyle name="Обычный 6 2 3 3 4 2 3 2" xfId="3135"/>
    <cellStyle name="Обычный 6 2 3 3 4 2 3 2 2" xfId="6259"/>
    <cellStyle name="Обычный 6 2 3 3 4 2 3 3" xfId="4697"/>
    <cellStyle name="Обычный 6 2 3 3 4 2 4" xfId="2354"/>
    <cellStyle name="Обычный 6 2 3 3 4 2 4 2" xfId="5478"/>
    <cellStyle name="Обычный 6 2 3 3 4 2 5" xfId="3916"/>
    <cellStyle name="Обычный 6 2 3 3 4 3" xfId="987"/>
    <cellStyle name="Обычный 6 2 3 3 4 3 2" xfId="1769"/>
    <cellStyle name="Обычный 6 2 3 3 4 3 2 2" xfId="3331"/>
    <cellStyle name="Обычный 6 2 3 3 4 3 2 2 2" xfId="6455"/>
    <cellStyle name="Обычный 6 2 3 3 4 3 2 3" xfId="4893"/>
    <cellStyle name="Обычный 6 2 3 3 4 3 3" xfId="2550"/>
    <cellStyle name="Обычный 6 2 3 3 4 3 3 2" xfId="5674"/>
    <cellStyle name="Обычный 6 2 3 3 4 3 4" xfId="4112"/>
    <cellStyle name="Обычный 6 2 3 3 4 4" xfId="1378"/>
    <cellStyle name="Обычный 6 2 3 3 4 4 2" xfId="2940"/>
    <cellStyle name="Обычный 6 2 3 3 4 4 2 2" xfId="6064"/>
    <cellStyle name="Обычный 6 2 3 3 4 4 3" xfId="4502"/>
    <cellStyle name="Обычный 6 2 3 3 4 5" xfId="2159"/>
    <cellStyle name="Обычный 6 2 3 3 4 5 2" xfId="5283"/>
    <cellStyle name="Обычный 6 2 3 3 4 6" xfId="3721"/>
    <cellStyle name="Обычный 6 2 3 3 5" xfId="784"/>
    <cellStyle name="Обычный 6 2 3 3 5 2" xfId="1177"/>
    <cellStyle name="Обычный 6 2 3 3 5 2 2" xfId="1959"/>
    <cellStyle name="Обычный 6 2 3 3 5 2 2 2" xfId="3521"/>
    <cellStyle name="Обычный 6 2 3 3 5 2 2 2 2" xfId="6645"/>
    <cellStyle name="Обычный 6 2 3 3 5 2 2 3" xfId="5083"/>
    <cellStyle name="Обычный 6 2 3 3 5 2 3" xfId="2740"/>
    <cellStyle name="Обычный 6 2 3 3 5 2 3 2" xfId="5864"/>
    <cellStyle name="Обычный 6 2 3 3 5 2 4" xfId="4302"/>
    <cellStyle name="Обычный 6 2 3 3 5 3" xfId="1568"/>
    <cellStyle name="Обычный 6 2 3 3 5 3 2" xfId="3130"/>
    <cellStyle name="Обычный 6 2 3 3 5 3 2 2" xfId="6254"/>
    <cellStyle name="Обычный 6 2 3 3 5 3 3" xfId="4692"/>
    <cellStyle name="Обычный 6 2 3 3 5 4" xfId="2349"/>
    <cellStyle name="Обычный 6 2 3 3 5 4 2" xfId="5473"/>
    <cellStyle name="Обычный 6 2 3 3 5 5" xfId="3911"/>
    <cellStyle name="Обычный 6 2 3 3 6" xfId="982"/>
    <cellStyle name="Обычный 6 2 3 3 6 2" xfId="1764"/>
    <cellStyle name="Обычный 6 2 3 3 6 2 2" xfId="3326"/>
    <cellStyle name="Обычный 6 2 3 3 6 2 2 2" xfId="6450"/>
    <cellStyle name="Обычный 6 2 3 3 6 2 3" xfId="4888"/>
    <cellStyle name="Обычный 6 2 3 3 6 3" xfId="2545"/>
    <cellStyle name="Обычный 6 2 3 3 6 3 2" xfId="5669"/>
    <cellStyle name="Обычный 6 2 3 3 6 4" xfId="4107"/>
    <cellStyle name="Обычный 6 2 3 3 7" xfId="1373"/>
    <cellStyle name="Обычный 6 2 3 3 7 2" xfId="2935"/>
    <cellStyle name="Обычный 6 2 3 3 7 2 2" xfId="6059"/>
    <cellStyle name="Обычный 6 2 3 3 7 3" xfId="4497"/>
    <cellStyle name="Обычный 6 2 3 3 8" xfId="2154"/>
    <cellStyle name="Обычный 6 2 3 3 8 2" xfId="5278"/>
    <cellStyle name="Обычный 6 2 3 3 9" xfId="3716"/>
    <cellStyle name="Обычный 6 2 3 4" xfId="108"/>
    <cellStyle name="Обычный 6 2 3 4 2" xfId="109"/>
    <cellStyle name="Обычный 6 2 3 4 2 2" xfId="110"/>
    <cellStyle name="Обычный 6 2 3 4 2 2 2" xfId="792"/>
    <cellStyle name="Обычный 6 2 3 4 2 2 2 2" xfId="1185"/>
    <cellStyle name="Обычный 6 2 3 4 2 2 2 2 2" xfId="1967"/>
    <cellStyle name="Обычный 6 2 3 4 2 2 2 2 2 2" xfId="3529"/>
    <cellStyle name="Обычный 6 2 3 4 2 2 2 2 2 2 2" xfId="6653"/>
    <cellStyle name="Обычный 6 2 3 4 2 2 2 2 2 3" xfId="5091"/>
    <cellStyle name="Обычный 6 2 3 4 2 2 2 2 3" xfId="2748"/>
    <cellStyle name="Обычный 6 2 3 4 2 2 2 2 3 2" xfId="5872"/>
    <cellStyle name="Обычный 6 2 3 4 2 2 2 2 4" xfId="4310"/>
    <cellStyle name="Обычный 6 2 3 4 2 2 2 3" xfId="1576"/>
    <cellStyle name="Обычный 6 2 3 4 2 2 2 3 2" xfId="3138"/>
    <cellStyle name="Обычный 6 2 3 4 2 2 2 3 2 2" xfId="6262"/>
    <cellStyle name="Обычный 6 2 3 4 2 2 2 3 3" xfId="4700"/>
    <cellStyle name="Обычный 6 2 3 4 2 2 2 4" xfId="2357"/>
    <cellStyle name="Обычный 6 2 3 4 2 2 2 4 2" xfId="5481"/>
    <cellStyle name="Обычный 6 2 3 4 2 2 2 5" xfId="3919"/>
    <cellStyle name="Обычный 6 2 3 4 2 2 3" xfId="990"/>
    <cellStyle name="Обычный 6 2 3 4 2 2 3 2" xfId="1772"/>
    <cellStyle name="Обычный 6 2 3 4 2 2 3 2 2" xfId="3334"/>
    <cellStyle name="Обычный 6 2 3 4 2 2 3 2 2 2" xfId="6458"/>
    <cellStyle name="Обычный 6 2 3 4 2 2 3 2 3" xfId="4896"/>
    <cellStyle name="Обычный 6 2 3 4 2 2 3 3" xfId="2553"/>
    <cellStyle name="Обычный 6 2 3 4 2 2 3 3 2" xfId="5677"/>
    <cellStyle name="Обычный 6 2 3 4 2 2 3 4" xfId="4115"/>
    <cellStyle name="Обычный 6 2 3 4 2 2 4" xfId="1381"/>
    <cellStyle name="Обычный 6 2 3 4 2 2 4 2" xfId="2943"/>
    <cellStyle name="Обычный 6 2 3 4 2 2 4 2 2" xfId="6067"/>
    <cellStyle name="Обычный 6 2 3 4 2 2 4 3" xfId="4505"/>
    <cellStyle name="Обычный 6 2 3 4 2 2 5" xfId="2162"/>
    <cellStyle name="Обычный 6 2 3 4 2 2 5 2" xfId="5286"/>
    <cellStyle name="Обычный 6 2 3 4 2 2 6" xfId="3724"/>
    <cellStyle name="Обычный 6 2 3 4 2 3" xfId="111"/>
    <cellStyle name="Обычный 6 2 3 4 2 3 2" xfId="793"/>
    <cellStyle name="Обычный 6 2 3 4 2 3 2 2" xfId="1186"/>
    <cellStyle name="Обычный 6 2 3 4 2 3 2 2 2" xfId="1968"/>
    <cellStyle name="Обычный 6 2 3 4 2 3 2 2 2 2" xfId="3530"/>
    <cellStyle name="Обычный 6 2 3 4 2 3 2 2 2 2 2" xfId="6654"/>
    <cellStyle name="Обычный 6 2 3 4 2 3 2 2 2 3" xfId="5092"/>
    <cellStyle name="Обычный 6 2 3 4 2 3 2 2 3" xfId="2749"/>
    <cellStyle name="Обычный 6 2 3 4 2 3 2 2 3 2" xfId="5873"/>
    <cellStyle name="Обычный 6 2 3 4 2 3 2 2 4" xfId="4311"/>
    <cellStyle name="Обычный 6 2 3 4 2 3 2 3" xfId="1577"/>
    <cellStyle name="Обычный 6 2 3 4 2 3 2 3 2" xfId="3139"/>
    <cellStyle name="Обычный 6 2 3 4 2 3 2 3 2 2" xfId="6263"/>
    <cellStyle name="Обычный 6 2 3 4 2 3 2 3 3" xfId="4701"/>
    <cellStyle name="Обычный 6 2 3 4 2 3 2 4" xfId="2358"/>
    <cellStyle name="Обычный 6 2 3 4 2 3 2 4 2" xfId="5482"/>
    <cellStyle name="Обычный 6 2 3 4 2 3 2 5" xfId="3920"/>
    <cellStyle name="Обычный 6 2 3 4 2 3 3" xfId="991"/>
    <cellStyle name="Обычный 6 2 3 4 2 3 3 2" xfId="1773"/>
    <cellStyle name="Обычный 6 2 3 4 2 3 3 2 2" xfId="3335"/>
    <cellStyle name="Обычный 6 2 3 4 2 3 3 2 2 2" xfId="6459"/>
    <cellStyle name="Обычный 6 2 3 4 2 3 3 2 3" xfId="4897"/>
    <cellStyle name="Обычный 6 2 3 4 2 3 3 3" xfId="2554"/>
    <cellStyle name="Обычный 6 2 3 4 2 3 3 3 2" xfId="5678"/>
    <cellStyle name="Обычный 6 2 3 4 2 3 3 4" xfId="4116"/>
    <cellStyle name="Обычный 6 2 3 4 2 3 4" xfId="1382"/>
    <cellStyle name="Обычный 6 2 3 4 2 3 4 2" xfId="2944"/>
    <cellStyle name="Обычный 6 2 3 4 2 3 4 2 2" xfId="6068"/>
    <cellStyle name="Обычный 6 2 3 4 2 3 4 3" xfId="4506"/>
    <cellStyle name="Обычный 6 2 3 4 2 3 5" xfId="2163"/>
    <cellStyle name="Обычный 6 2 3 4 2 3 5 2" xfId="5287"/>
    <cellStyle name="Обычный 6 2 3 4 2 3 6" xfId="3725"/>
    <cellStyle name="Обычный 6 2 3 4 2 4" xfId="791"/>
    <cellStyle name="Обычный 6 2 3 4 2 4 2" xfId="1184"/>
    <cellStyle name="Обычный 6 2 3 4 2 4 2 2" xfId="1966"/>
    <cellStyle name="Обычный 6 2 3 4 2 4 2 2 2" xfId="3528"/>
    <cellStyle name="Обычный 6 2 3 4 2 4 2 2 2 2" xfId="6652"/>
    <cellStyle name="Обычный 6 2 3 4 2 4 2 2 3" xfId="5090"/>
    <cellStyle name="Обычный 6 2 3 4 2 4 2 3" xfId="2747"/>
    <cellStyle name="Обычный 6 2 3 4 2 4 2 3 2" xfId="5871"/>
    <cellStyle name="Обычный 6 2 3 4 2 4 2 4" xfId="4309"/>
    <cellStyle name="Обычный 6 2 3 4 2 4 3" xfId="1575"/>
    <cellStyle name="Обычный 6 2 3 4 2 4 3 2" xfId="3137"/>
    <cellStyle name="Обычный 6 2 3 4 2 4 3 2 2" xfId="6261"/>
    <cellStyle name="Обычный 6 2 3 4 2 4 3 3" xfId="4699"/>
    <cellStyle name="Обычный 6 2 3 4 2 4 4" xfId="2356"/>
    <cellStyle name="Обычный 6 2 3 4 2 4 4 2" xfId="5480"/>
    <cellStyle name="Обычный 6 2 3 4 2 4 5" xfId="3918"/>
    <cellStyle name="Обычный 6 2 3 4 2 5" xfId="989"/>
    <cellStyle name="Обычный 6 2 3 4 2 5 2" xfId="1771"/>
    <cellStyle name="Обычный 6 2 3 4 2 5 2 2" xfId="3333"/>
    <cellStyle name="Обычный 6 2 3 4 2 5 2 2 2" xfId="6457"/>
    <cellStyle name="Обычный 6 2 3 4 2 5 2 3" xfId="4895"/>
    <cellStyle name="Обычный 6 2 3 4 2 5 3" xfId="2552"/>
    <cellStyle name="Обычный 6 2 3 4 2 5 3 2" xfId="5676"/>
    <cellStyle name="Обычный 6 2 3 4 2 5 4" xfId="4114"/>
    <cellStyle name="Обычный 6 2 3 4 2 6" xfId="1380"/>
    <cellStyle name="Обычный 6 2 3 4 2 6 2" xfId="2942"/>
    <cellStyle name="Обычный 6 2 3 4 2 6 2 2" xfId="6066"/>
    <cellStyle name="Обычный 6 2 3 4 2 6 3" xfId="4504"/>
    <cellStyle name="Обычный 6 2 3 4 2 7" xfId="2161"/>
    <cellStyle name="Обычный 6 2 3 4 2 7 2" xfId="5285"/>
    <cellStyle name="Обычный 6 2 3 4 2 8" xfId="3723"/>
    <cellStyle name="Обычный 6 2 3 4 3" xfId="112"/>
    <cellStyle name="Обычный 6 2 3 4 3 2" xfId="794"/>
    <cellStyle name="Обычный 6 2 3 4 3 2 2" xfId="1187"/>
    <cellStyle name="Обычный 6 2 3 4 3 2 2 2" xfId="1969"/>
    <cellStyle name="Обычный 6 2 3 4 3 2 2 2 2" xfId="3531"/>
    <cellStyle name="Обычный 6 2 3 4 3 2 2 2 2 2" xfId="6655"/>
    <cellStyle name="Обычный 6 2 3 4 3 2 2 2 3" xfId="5093"/>
    <cellStyle name="Обычный 6 2 3 4 3 2 2 3" xfId="2750"/>
    <cellStyle name="Обычный 6 2 3 4 3 2 2 3 2" xfId="5874"/>
    <cellStyle name="Обычный 6 2 3 4 3 2 2 4" xfId="4312"/>
    <cellStyle name="Обычный 6 2 3 4 3 2 3" xfId="1578"/>
    <cellStyle name="Обычный 6 2 3 4 3 2 3 2" xfId="3140"/>
    <cellStyle name="Обычный 6 2 3 4 3 2 3 2 2" xfId="6264"/>
    <cellStyle name="Обычный 6 2 3 4 3 2 3 3" xfId="4702"/>
    <cellStyle name="Обычный 6 2 3 4 3 2 4" xfId="2359"/>
    <cellStyle name="Обычный 6 2 3 4 3 2 4 2" xfId="5483"/>
    <cellStyle name="Обычный 6 2 3 4 3 2 5" xfId="3921"/>
    <cellStyle name="Обычный 6 2 3 4 3 3" xfId="992"/>
    <cellStyle name="Обычный 6 2 3 4 3 3 2" xfId="1774"/>
    <cellStyle name="Обычный 6 2 3 4 3 3 2 2" xfId="3336"/>
    <cellStyle name="Обычный 6 2 3 4 3 3 2 2 2" xfId="6460"/>
    <cellStyle name="Обычный 6 2 3 4 3 3 2 3" xfId="4898"/>
    <cellStyle name="Обычный 6 2 3 4 3 3 3" xfId="2555"/>
    <cellStyle name="Обычный 6 2 3 4 3 3 3 2" xfId="5679"/>
    <cellStyle name="Обычный 6 2 3 4 3 3 4" xfId="4117"/>
    <cellStyle name="Обычный 6 2 3 4 3 4" xfId="1383"/>
    <cellStyle name="Обычный 6 2 3 4 3 4 2" xfId="2945"/>
    <cellStyle name="Обычный 6 2 3 4 3 4 2 2" xfId="6069"/>
    <cellStyle name="Обычный 6 2 3 4 3 4 3" xfId="4507"/>
    <cellStyle name="Обычный 6 2 3 4 3 5" xfId="2164"/>
    <cellStyle name="Обычный 6 2 3 4 3 5 2" xfId="5288"/>
    <cellStyle name="Обычный 6 2 3 4 3 6" xfId="3726"/>
    <cellStyle name="Обычный 6 2 3 4 4" xfId="113"/>
    <cellStyle name="Обычный 6 2 3 4 4 2" xfId="795"/>
    <cellStyle name="Обычный 6 2 3 4 4 2 2" xfId="1188"/>
    <cellStyle name="Обычный 6 2 3 4 4 2 2 2" xfId="1970"/>
    <cellStyle name="Обычный 6 2 3 4 4 2 2 2 2" xfId="3532"/>
    <cellStyle name="Обычный 6 2 3 4 4 2 2 2 2 2" xfId="6656"/>
    <cellStyle name="Обычный 6 2 3 4 4 2 2 2 3" xfId="5094"/>
    <cellStyle name="Обычный 6 2 3 4 4 2 2 3" xfId="2751"/>
    <cellStyle name="Обычный 6 2 3 4 4 2 2 3 2" xfId="5875"/>
    <cellStyle name="Обычный 6 2 3 4 4 2 2 4" xfId="4313"/>
    <cellStyle name="Обычный 6 2 3 4 4 2 3" xfId="1579"/>
    <cellStyle name="Обычный 6 2 3 4 4 2 3 2" xfId="3141"/>
    <cellStyle name="Обычный 6 2 3 4 4 2 3 2 2" xfId="6265"/>
    <cellStyle name="Обычный 6 2 3 4 4 2 3 3" xfId="4703"/>
    <cellStyle name="Обычный 6 2 3 4 4 2 4" xfId="2360"/>
    <cellStyle name="Обычный 6 2 3 4 4 2 4 2" xfId="5484"/>
    <cellStyle name="Обычный 6 2 3 4 4 2 5" xfId="3922"/>
    <cellStyle name="Обычный 6 2 3 4 4 3" xfId="993"/>
    <cellStyle name="Обычный 6 2 3 4 4 3 2" xfId="1775"/>
    <cellStyle name="Обычный 6 2 3 4 4 3 2 2" xfId="3337"/>
    <cellStyle name="Обычный 6 2 3 4 4 3 2 2 2" xfId="6461"/>
    <cellStyle name="Обычный 6 2 3 4 4 3 2 3" xfId="4899"/>
    <cellStyle name="Обычный 6 2 3 4 4 3 3" xfId="2556"/>
    <cellStyle name="Обычный 6 2 3 4 4 3 3 2" xfId="5680"/>
    <cellStyle name="Обычный 6 2 3 4 4 3 4" xfId="4118"/>
    <cellStyle name="Обычный 6 2 3 4 4 4" xfId="1384"/>
    <cellStyle name="Обычный 6 2 3 4 4 4 2" xfId="2946"/>
    <cellStyle name="Обычный 6 2 3 4 4 4 2 2" xfId="6070"/>
    <cellStyle name="Обычный 6 2 3 4 4 4 3" xfId="4508"/>
    <cellStyle name="Обычный 6 2 3 4 4 5" xfId="2165"/>
    <cellStyle name="Обычный 6 2 3 4 4 5 2" xfId="5289"/>
    <cellStyle name="Обычный 6 2 3 4 4 6" xfId="3727"/>
    <cellStyle name="Обычный 6 2 3 4 5" xfId="790"/>
    <cellStyle name="Обычный 6 2 3 4 5 2" xfId="1183"/>
    <cellStyle name="Обычный 6 2 3 4 5 2 2" xfId="1965"/>
    <cellStyle name="Обычный 6 2 3 4 5 2 2 2" xfId="3527"/>
    <cellStyle name="Обычный 6 2 3 4 5 2 2 2 2" xfId="6651"/>
    <cellStyle name="Обычный 6 2 3 4 5 2 2 3" xfId="5089"/>
    <cellStyle name="Обычный 6 2 3 4 5 2 3" xfId="2746"/>
    <cellStyle name="Обычный 6 2 3 4 5 2 3 2" xfId="5870"/>
    <cellStyle name="Обычный 6 2 3 4 5 2 4" xfId="4308"/>
    <cellStyle name="Обычный 6 2 3 4 5 3" xfId="1574"/>
    <cellStyle name="Обычный 6 2 3 4 5 3 2" xfId="3136"/>
    <cellStyle name="Обычный 6 2 3 4 5 3 2 2" xfId="6260"/>
    <cellStyle name="Обычный 6 2 3 4 5 3 3" xfId="4698"/>
    <cellStyle name="Обычный 6 2 3 4 5 4" xfId="2355"/>
    <cellStyle name="Обычный 6 2 3 4 5 4 2" xfId="5479"/>
    <cellStyle name="Обычный 6 2 3 4 5 5" xfId="3917"/>
    <cellStyle name="Обычный 6 2 3 4 6" xfId="988"/>
    <cellStyle name="Обычный 6 2 3 4 6 2" xfId="1770"/>
    <cellStyle name="Обычный 6 2 3 4 6 2 2" xfId="3332"/>
    <cellStyle name="Обычный 6 2 3 4 6 2 2 2" xfId="6456"/>
    <cellStyle name="Обычный 6 2 3 4 6 2 3" xfId="4894"/>
    <cellStyle name="Обычный 6 2 3 4 6 3" xfId="2551"/>
    <cellStyle name="Обычный 6 2 3 4 6 3 2" xfId="5675"/>
    <cellStyle name="Обычный 6 2 3 4 6 4" xfId="4113"/>
    <cellStyle name="Обычный 6 2 3 4 7" xfId="1379"/>
    <cellStyle name="Обычный 6 2 3 4 7 2" xfId="2941"/>
    <cellStyle name="Обычный 6 2 3 4 7 2 2" xfId="6065"/>
    <cellStyle name="Обычный 6 2 3 4 7 3" xfId="4503"/>
    <cellStyle name="Обычный 6 2 3 4 8" xfId="2160"/>
    <cellStyle name="Обычный 6 2 3 4 8 2" xfId="5284"/>
    <cellStyle name="Обычный 6 2 3 4 9" xfId="3722"/>
    <cellStyle name="Обычный 6 2 3 5" xfId="114"/>
    <cellStyle name="Обычный 6 2 3 5 2" xfId="115"/>
    <cellStyle name="Обычный 6 2 3 5 2 2" xfId="797"/>
    <cellStyle name="Обычный 6 2 3 5 2 2 2" xfId="1190"/>
    <cellStyle name="Обычный 6 2 3 5 2 2 2 2" xfId="1972"/>
    <cellStyle name="Обычный 6 2 3 5 2 2 2 2 2" xfId="3534"/>
    <cellStyle name="Обычный 6 2 3 5 2 2 2 2 2 2" xfId="6658"/>
    <cellStyle name="Обычный 6 2 3 5 2 2 2 2 3" xfId="5096"/>
    <cellStyle name="Обычный 6 2 3 5 2 2 2 3" xfId="2753"/>
    <cellStyle name="Обычный 6 2 3 5 2 2 2 3 2" xfId="5877"/>
    <cellStyle name="Обычный 6 2 3 5 2 2 2 4" xfId="4315"/>
    <cellStyle name="Обычный 6 2 3 5 2 2 3" xfId="1581"/>
    <cellStyle name="Обычный 6 2 3 5 2 2 3 2" xfId="3143"/>
    <cellStyle name="Обычный 6 2 3 5 2 2 3 2 2" xfId="6267"/>
    <cellStyle name="Обычный 6 2 3 5 2 2 3 3" xfId="4705"/>
    <cellStyle name="Обычный 6 2 3 5 2 2 4" xfId="2362"/>
    <cellStyle name="Обычный 6 2 3 5 2 2 4 2" xfId="5486"/>
    <cellStyle name="Обычный 6 2 3 5 2 2 5" xfId="3924"/>
    <cellStyle name="Обычный 6 2 3 5 2 3" xfId="995"/>
    <cellStyle name="Обычный 6 2 3 5 2 3 2" xfId="1777"/>
    <cellStyle name="Обычный 6 2 3 5 2 3 2 2" xfId="3339"/>
    <cellStyle name="Обычный 6 2 3 5 2 3 2 2 2" xfId="6463"/>
    <cellStyle name="Обычный 6 2 3 5 2 3 2 3" xfId="4901"/>
    <cellStyle name="Обычный 6 2 3 5 2 3 3" xfId="2558"/>
    <cellStyle name="Обычный 6 2 3 5 2 3 3 2" xfId="5682"/>
    <cellStyle name="Обычный 6 2 3 5 2 3 4" xfId="4120"/>
    <cellStyle name="Обычный 6 2 3 5 2 4" xfId="1386"/>
    <cellStyle name="Обычный 6 2 3 5 2 4 2" xfId="2948"/>
    <cellStyle name="Обычный 6 2 3 5 2 4 2 2" xfId="6072"/>
    <cellStyle name="Обычный 6 2 3 5 2 4 3" xfId="4510"/>
    <cellStyle name="Обычный 6 2 3 5 2 5" xfId="2167"/>
    <cellStyle name="Обычный 6 2 3 5 2 5 2" xfId="5291"/>
    <cellStyle name="Обычный 6 2 3 5 2 6" xfId="3729"/>
    <cellStyle name="Обычный 6 2 3 5 3" xfId="116"/>
    <cellStyle name="Обычный 6 2 3 5 3 2" xfId="798"/>
    <cellStyle name="Обычный 6 2 3 5 3 2 2" xfId="1191"/>
    <cellStyle name="Обычный 6 2 3 5 3 2 2 2" xfId="1973"/>
    <cellStyle name="Обычный 6 2 3 5 3 2 2 2 2" xfId="3535"/>
    <cellStyle name="Обычный 6 2 3 5 3 2 2 2 2 2" xfId="6659"/>
    <cellStyle name="Обычный 6 2 3 5 3 2 2 2 3" xfId="5097"/>
    <cellStyle name="Обычный 6 2 3 5 3 2 2 3" xfId="2754"/>
    <cellStyle name="Обычный 6 2 3 5 3 2 2 3 2" xfId="5878"/>
    <cellStyle name="Обычный 6 2 3 5 3 2 2 4" xfId="4316"/>
    <cellStyle name="Обычный 6 2 3 5 3 2 3" xfId="1582"/>
    <cellStyle name="Обычный 6 2 3 5 3 2 3 2" xfId="3144"/>
    <cellStyle name="Обычный 6 2 3 5 3 2 3 2 2" xfId="6268"/>
    <cellStyle name="Обычный 6 2 3 5 3 2 3 3" xfId="4706"/>
    <cellStyle name="Обычный 6 2 3 5 3 2 4" xfId="2363"/>
    <cellStyle name="Обычный 6 2 3 5 3 2 4 2" xfId="5487"/>
    <cellStyle name="Обычный 6 2 3 5 3 2 5" xfId="3925"/>
    <cellStyle name="Обычный 6 2 3 5 3 3" xfId="996"/>
    <cellStyle name="Обычный 6 2 3 5 3 3 2" xfId="1778"/>
    <cellStyle name="Обычный 6 2 3 5 3 3 2 2" xfId="3340"/>
    <cellStyle name="Обычный 6 2 3 5 3 3 2 2 2" xfId="6464"/>
    <cellStyle name="Обычный 6 2 3 5 3 3 2 3" xfId="4902"/>
    <cellStyle name="Обычный 6 2 3 5 3 3 3" xfId="2559"/>
    <cellStyle name="Обычный 6 2 3 5 3 3 3 2" xfId="5683"/>
    <cellStyle name="Обычный 6 2 3 5 3 3 4" xfId="4121"/>
    <cellStyle name="Обычный 6 2 3 5 3 4" xfId="1387"/>
    <cellStyle name="Обычный 6 2 3 5 3 4 2" xfId="2949"/>
    <cellStyle name="Обычный 6 2 3 5 3 4 2 2" xfId="6073"/>
    <cellStyle name="Обычный 6 2 3 5 3 4 3" xfId="4511"/>
    <cellStyle name="Обычный 6 2 3 5 3 5" xfId="2168"/>
    <cellStyle name="Обычный 6 2 3 5 3 5 2" xfId="5292"/>
    <cellStyle name="Обычный 6 2 3 5 3 6" xfId="3730"/>
    <cellStyle name="Обычный 6 2 3 5 4" xfId="796"/>
    <cellStyle name="Обычный 6 2 3 5 4 2" xfId="1189"/>
    <cellStyle name="Обычный 6 2 3 5 4 2 2" xfId="1971"/>
    <cellStyle name="Обычный 6 2 3 5 4 2 2 2" xfId="3533"/>
    <cellStyle name="Обычный 6 2 3 5 4 2 2 2 2" xfId="6657"/>
    <cellStyle name="Обычный 6 2 3 5 4 2 2 3" xfId="5095"/>
    <cellStyle name="Обычный 6 2 3 5 4 2 3" xfId="2752"/>
    <cellStyle name="Обычный 6 2 3 5 4 2 3 2" xfId="5876"/>
    <cellStyle name="Обычный 6 2 3 5 4 2 4" xfId="4314"/>
    <cellStyle name="Обычный 6 2 3 5 4 3" xfId="1580"/>
    <cellStyle name="Обычный 6 2 3 5 4 3 2" xfId="3142"/>
    <cellStyle name="Обычный 6 2 3 5 4 3 2 2" xfId="6266"/>
    <cellStyle name="Обычный 6 2 3 5 4 3 3" xfId="4704"/>
    <cellStyle name="Обычный 6 2 3 5 4 4" xfId="2361"/>
    <cellStyle name="Обычный 6 2 3 5 4 4 2" xfId="5485"/>
    <cellStyle name="Обычный 6 2 3 5 4 5" xfId="3923"/>
    <cellStyle name="Обычный 6 2 3 5 5" xfId="994"/>
    <cellStyle name="Обычный 6 2 3 5 5 2" xfId="1776"/>
    <cellStyle name="Обычный 6 2 3 5 5 2 2" xfId="3338"/>
    <cellStyle name="Обычный 6 2 3 5 5 2 2 2" xfId="6462"/>
    <cellStyle name="Обычный 6 2 3 5 5 2 3" xfId="4900"/>
    <cellStyle name="Обычный 6 2 3 5 5 3" xfId="2557"/>
    <cellStyle name="Обычный 6 2 3 5 5 3 2" xfId="5681"/>
    <cellStyle name="Обычный 6 2 3 5 5 4" xfId="4119"/>
    <cellStyle name="Обычный 6 2 3 5 6" xfId="1385"/>
    <cellStyle name="Обычный 6 2 3 5 6 2" xfId="2947"/>
    <cellStyle name="Обычный 6 2 3 5 6 2 2" xfId="6071"/>
    <cellStyle name="Обычный 6 2 3 5 6 3" xfId="4509"/>
    <cellStyle name="Обычный 6 2 3 5 7" xfId="2166"/>
    <cellStyle name="Обычный 6 2 3 5 7 2" xfId="5290"/>
    <cellStyle name="Обычный 6 2 3 5 8" xfId="3728"/>
    <cellStyle name="Обычный 6 2 3 6" xfId="117"/>
    <cellStyle name="Обычный 6 2 3 6 2" xfId="799"/>
    <cellStyle name="Обычный 6 2 3 6 2 2" xfId="1192"/>
    <cellStyle name="Обычный 6 2 3 6 2 2 2" xfId="1974"/>
    <cellStyle name="Обычный 6 2 3 6 2 2 2 2" xfId="3536"/>
    <cellStyle name="Обычный 6 2 3 6 2 2 2 2 2" xfId="6660"/>
    <cellStyle name="Обычный 6 2 3 6 2 2 2 3" xfId="5098"/>
    <cellStyle name="Обычный 6 2 3 6 2 2 3" xfId="2755"/>
    <cellStyle name="Обычный 6 2 3 6 2 2 3 2" xfId="5879"/>
    <cellStyle name="Обычный 6 2 3 6 2 2 4" xfId="4317"/>
    <cellStyle name="Обычный 6 2 3 6 2 3" xfId="1583"/>
    <cellStyle name="Обычный 6 2 3 6 2 3 2" xfId="3145"/>
    <cellStyle name="Обычный 6 2 3 6 2 3 2 2" xfId="6269"/>
    <cellStyle name="Обычный 6 2 3 6 2 3 3" xfId="4707"/>
    <cellStyle name="Обычный 6 2 3 6 2 4" xfId="2364"/>
    <cellStyle name="Обычный 6 2 3 6 2 4 2" xfId="5488"/>
    <cellStyle name="Обычный 6 2 3 6 2 5" xfId="3926"/>
    <cellStyle name="Обычный 6 2 3 6 3" xfId="997"/>
    <cellStyle name="Обычный 6 2 3 6 3 2" xfId="1779"/>
    <cellStyle name="Обычный 6 2 3 6 3 2 2" xfId="3341"/>
    <cellStyle name="Обычный 6 2 3 6 3 2 2 2" xfId="6465"/>
    <cellStyle name="Обычный 6 2 3 6 3 2 3" xfId="4903"/>
    <cellStyle name="Обычный 6 2 3 6 3 3" xfId="2560"/>
    <cellStyle name="Обычный 6 2 3 6 3 3 2" xfId="5684"/>
    <cellStyle name="Обычный 6 2 3 6 3 4" xfId="4122"/>
    <cellStyle name="Обычный 6 2 3 6 4" xfId="1388"/>
    <cellStyle name="Обычный 6 2 3 6 4 2" xfId="2950"/>
    <cellStyle name="Обычный 6 2 3 6 4 2 2" xfId="6074"/>
    <cellStyle name="Обычный 6 2 3 6 4 3" xfId="4512"/>
    <cellStyle name="Обычный 6 2 3 6 5" xfId="2169"/>
    <cellStyle name="Обычный 6 2 3 6 5 2" xfId="5293"/>
    <cellStyle name="Обычный 6 2 3 6 6" xfId="3731"/>
    <cellStyle name="Обычный 6 2 3 7" xfId="118"/>
    <cellStyle name="Обычный 6 2 3 7 2" xfId="800"/>
    <cellStyle name="Обычный 6 2 3 7 2 2" xfId="1193"/>
    <cellStyle name="Обычный 6 2 3 7 2 2 2" xfId="1975"/>
    <cellStyle name="Обычный 6 2 3 7 2 2 2 2" xfId="3537"/>
    <cellStyle name="Обычный 6 2 3 7 2 2 2 2 2" xfId="6661"/>
    <cellStyle name="Обычный 6 2 3 7 2 2 2 3" xfId="5099"/>
    <cellStyle name="Обычный 6 2 3 7 2 2 3" xfId="2756"/>
    <cellStyle name="Обычный 6 2 3 7 2 2 3 2" xfId="5880"/>
    <cellStyle name="Обычный 6 2 3 7 2 2 4" xfId="4318"/>
    <cellStyle name="Обычный 6 2 3 7 2 3" xfId="1584"/>
    <cellStyle name="Обычный 6 2 3 7 2 3 2" xfId="3146"/>
    <cellStyle name="Обычный 6 2 3 7 2 3 2 2" xfId="6270"/>
    <cellStyle name="Обычный 6 2 3 7 2 3 3" xfId="4708"/>
    <cellStyle name="Обычный 6 2 3 7 2 4" xfId="2365"/>
    <cellStyle name="Обычный 6 2 3 7 2 4 2" xfId="5489"/>
    <cellStyle name="Обычный 6 2 3 7 2 5" xfId="3927"/>
    <cellStyle name="Обычный 6 2 3 7 3" xfId="998"/>
    <cellStyle name="Обычный 6 2 3 7 3 2" xfId="1780"/>
    <cellStyle name="Обычный 6 2 3 7 3 2 2" xfId="3342"/>
    <cellStyle name="Обычный 6 2 3 7 3 2 2 2" xfId="6466"/>
    <cellStyle name="Обычный 6 2 3 7 3 2 3" xfId="4904"/>
    <cellStyle name="Обычный 6 2 3 7 3 3" xfId="2561"/>
    <cellStyle name="Обычный 6 2 3 7 3 3 2" xfId="5685"/>
    <cellStyle name="Обычный 6 2 3 7 3 4" xfId="4123"/>
    <cellStyle name="Обычный 6 2 3 7 4" xfId="1389"/>
    <cellStyle name="Обычный 6 2 3 7 4 2" xfId="2951"/>
    <cellStyle name="Обычный 6 2 3 7 4 2 2" xfId="6075"/>
    <cellStyle name="Обычный 6 2 3 7 4 3" xfId="4513"/>
    <cellStyle name="Обычный 6 2 3 7 5" xfId="2170"/>
    <cellStyle name="Обычный 6 2 3 7 5 2" xfId="5294"/>
    <cellStyle name="Обычный 6 2 3 7 6" xfId="3732"/>
    <cellStyle name="Обычный 6 2 3 8" xfId="119"/>
    <cellStyle name="Обычный 6 2 3 8 2" xfId="801"/>
    <cellStyle name="Обычный 6 2 3 8 2 2" xfId="1194"/>
    <cellStyle name="Обычный 6 2 3 8 2 2 2" xfId="1976"/>
    <cellStyle name="Обычный 6 2 3 8 2 2 2 2" xfId="3538"/>
    <cellStyle name="Обычный 6 2 3 8 2 2 2 2 2" xfId="6662"/>
    <cellStyle name="Обычный 6 2 3 8 2 2 2 3" xfId="5100"/>
    <cellStyle name="Обычный 6 2 3 8 2 2 3" xfId="2757"/>
    <cellStyle name="Обычный 6 2 3 8 2 2 3 2" xfId="5881"/>
    <cellStyle name="Обычный 6 2 3 8 2 2 4" xfId="4319"/>
    <cellStyle name="Обычный 6 2 3 8 2 3" xfId="1585"/>
    <cellStyle name="Обычный 6 2 3 8 2 3 2" xfId="3147"/>
    <cellStyle name="Обычный 6 2 3 8 2 3 2 2" xfId="6271"/>
    <cellStyle name="Обычный 6 2 3 8 2 3 3" xfId="4709"/>
    <cellStyle name="Обычный 6 2 3 8 2 4" xfId="2366"/>
    <cellStyle name="Обычный 6 2 3 8 2 4 2" xfId="5490"/>
    <cellStyle name="Обычный 6 2 3 8 2 5" xfId="3928"/>
    <cellStyle name="Обычный 6 2 3 8 3" xfId="999"/>
    <cellStyle name="Обычный 6 2 3 8 3 2" xfId="1781"/>
    <cellStyle name="Обычный 6 2 3 8 3 2 2" xfId="3343"/>
    <cellStyle name="Обычный 6 2 3 8 3 2 2 2" xfId="6467"/>
    <cellStyle name="Обычный 6 2 3 8 3 2 3" xfId="4905"/>
    <cellStyle name="Обычный 6 2 3 8 3 3" xfId="2562"/>
    <cellStyle name="Обычный 6 2 3 8 3 3 2" xfId="5686"/>
    <cellStyle name="Обычный 6 2 3 8 3 4" xfId="4124"/>
    <cellStyle name="Обычный 6 2 3 8 4" xfId="1390"/>
    <cellStyle name="Обычный 6 2 3 8 4 2" xfId="2952"/>
    <cellStyle name="Обычный 6 2 3 8 4 2 2" xfId="6076"/>
    <cellStyle name="Обычный 6 2 3 8 4 3" xfId="4514"/>
    <cellStyle name="Обычный 6 2 3 8 5" xfId="2171"/>
    <cellStyle name="Обычный 6 2 3 8 5 2" xfId="5295"/>
    <cellStyle name="Обычный 6 2 3 8 6" xfId="3733"/>
    <cellStyle name="Обычный 6 2 3 9" xfId="738"/>
    <cellStyle name="Обычный 6 2 3 9 2" xfId="1131"/>
    <cellStyle name="Обычный 6 2 3 9 2 2" xfId="1913"/>
    <cellStyle name="Обычный 6 2 3 9 2 2 2" xfId="3475"/>
    <cellStyle name="Обычный 6 2 3 9 2 2 2 2" xfId="6599"/>
    <cellStyle name="Обычный 6 2 3 9 2 2 3" xfId="5037"/>
    <cellStyle name="Обычный 6 2 3 9 2 3" xfId="2694"/>
    <cellStyle name="Обычный 6 2 3 9 2 3 2" xfId="5818"/>
    <cellStyle name="Обычный 6 2 3 9 2 4" xfId="4256"/>
    <cellStyle name="Обычный 6 2 3 9 3" xfId="1522"/>
    <cellStyle name="Обычный 6 2 3 9 3 2" xfId="3084"/>
    <cellStyle name="Обычный 6 2 3 9 3 2 2" xfId="6208"/>
    <cellStyle name="Обычный 6 2 3 9 3 3" xfId="4646"/>
    <cellStyle name="Обычный 6 2 3 9 4" xfId="2303"/>
    <cellStyle name="Обычный 6 2 3 9 4 2" xfId="5427"/>
    <cellStyle name="Обычный 6 2 3 9 5" xfId="3865"/>
    <cellStyle name="Обычный 6 2 4" xfId="120"/>
    <cellStyle name="Обычный 6 2 4 2" xfId="121"/>
    <cellStyle name="Обычный 6 2 4 2 2" xfId="122"/>
    <cellStyle name="Обычный 6 2 4 2 2 2" xfId="804"/>
    <cellStyle name="Обычный 6 2 4 2 2 2 2" xfId="1197"/>
    <cellStyle name="Обычный 6 2 4 2 2 2 2 2" xfId="1979"/>
    <cellStyle name="Обычный 6 2 4 2 2 2 2 2 2" xfId="3541"/>
    <cellStyle name="Обычный 6 2 4 2 2 2 2 2 2 2" xfId="6665"/>
    <cellStyle name="Обычный 6 2 4 2 2 2 2 2 3" xfId="5103"/>
    <cellStyle name="Обычный 6 2 4 2 2 2 2 3" xfId="2760"/>
    <cellStyle name="Обычный 6 2 4 2 2 2 2 3 2" xfId="5884"/>
    <cellStyle name="Обычный 6 2 4 2 2 2 2 4" xfId="4322"/>
    <cellStyle name="Обычный 6 2 4 2 2 2 3" xfId="1588"/>
    <cellStyle name="Обычный 6 2 4 2 2 2 3 2" xfId="3150"/>
    <cellStyle name="Обычный 6 2 4 2 2 2 3 2 2" xfId="6274"/>
    <cellStyle name="Обычный 6 2 4 2 2 2 3 3" xfId="4712"/>
    <cellStyle name="Обычный 6 2 4 2 2 2 4" xfId="2369"/>
    <cellStyle name="Обычный 6 2 4 2 2 2 4 2" xfId="5493"/>
    <cellStyle name="Обычный 6 2 4 2 2 2 5" xfId="3931"/>
    <cellStyle name="Обычный 6 2 4 2 2 3" xfId="1002"/>
    <cellStyle name="Обычный 6 2 4 2 2 3 2" xfId="1784"/>
    <cellStyle name="Обычный 6 2 4 2 2 3 2 2" xfId="3346"/>
    <cellStyle name="Обычный 6 2 4 2 2 3 2 2 2" xfId="6470"/>
    <cellStyle name="Обычный 6 2 4 2 2 3 2 3" xfId="4908"/>
    <cellStyle name="Обычный 6 2 4 2 2 3 3" xfId="2565"/>
    <cellStyle name="Обычный 6 2 4 2 2 3 3 2" xfId="5689"/>
    <cellStyle name="Обычный 6 2 4 2 2 3 4" xfId="4127"/>
    <cellStyle name="Обычный 6 2 4 2 2 4" xfId="1393"/>
    <cellStyle name="Обычный 6 2 4 2 2 4 2" xfId="2955"/>
    <cellStyle name="Обычный 6 2 4 2 2 4 2 2" xfId="6079"/>
    <cellStyle name="Обычный 6 2 4 2 2 4 3" xfId="4517"/>
    <cellStyle name="Обычный 6 2 4 2 2 5" xfId="2174"/>
    <cellStyle name="Обычный 6 2 4 2 2 5 2" xfId="5298"/>
    <cellStyle name="Обычный 6 2 4 2 2 6" xfId="3736"/>
    <cellStyle name="Обычный 6 2 4 2 3" xfId="123"/>
    <cellStyle name="Обычный 6 2 4 2 3 2" xfId="805"/>
    <cellStyle name="Обычный 6 2 4 2 3 2 2" xfId="1198"/>
    <cellStyle name="Обычный 6 2 4 2 3 2 2 2" xfId="1980"/>
    <cellStyle name="Обычный 6 2 4 2 3 2 2 2 2" xfId="3542"/>
    <cellStyle name="Обычный 6 2 4 2 3 2 2 2 2 2" xfId="6666"/>
    <cellStyle name="Обычный 6 2 4 2 3 2 2 2 3" xfId="5104"/>
    <cellStyle name="Обычный 6 2 4 2 3 2 2 3" xfId="2761"/>
    <cellStyle name="Обычный 6 2 4 2 3 2 2 3 2" xfId="5885"/>
    <cellStyle name="Обычный 6 2 4 2 3 2 2 4" xfId="4323"/>
    <cellStyle name="Обычный 6 2 4 2 3 2 3" xfId="1589"/>
    <cellStyle name="Обычный 6 2 4 2 3 2 3 2" xfId="3151"/>
    <cellStyle name="Обычный 6 2 4 2 3 2 3 2 2" xfId="6275"/>
    <cellStyle name="Обычный 6 2 4 2 3 2 3 3" xfId="4713"/>
    <cellStyle name="Обычный 6 2 4 2 3 2 4" xfId="2370"/>
    <cellStyle name="Обычный 6 2 4 2 3 2 4 2" xfId="5494"/>
    <cellStyle name="Обычный 6 2 4 2 3 2 5" xfId="3932"/>
    <cellStyle name="Обычный 6 2 4 2 3 3" xfId="1003"/>
    <cellStyle name="Обычный 6 2 4 2 3 3 2" xfId="1785"/>
    <cellStyle name="Обычный 6 2 4 2 3 3 2 2" xfId="3347"/>
    <cellStyle name="Обычный 6 2 4 2 3 3 2 2 2" xfId="6471"/>
    <cellStyle name="Обычный 6 2 4 2 3 3 2 3" xfId="4909"/>
    <cellStyle name="Обычный 6 2 4 2 3 3 3" xfId="2566"/>
    <cellStyle name="Обычный 6 2 4 2 3 3 3 2" xfId="5690"/>
    <cellStyle name="Обычный 6 2 4 2 3 3 4" xfId="4128"/>
    <cellStyle name="Обычный 6 2 4 2 3 4" xfId="1394"/>
    <cellStyle name="Обычный 6 2 4 2 3 4 2" xfId="2956"/>
    <cellStyle name="Обычный 6 2 4 2 3 4 2 2" xfId="6080"/>
    <cellStyle name="Обычный 6 2 4 2 3 4 3" xfId="4518"/>
    <cellStyle name="Обычный 6 2 4 2 3 5" xfId="2175"/>
    <cellStyle name="Обычный 6 2 4 2 3 5 2" xfId="5299"/>
    <cellStyle name="Обычный 6 2 4 2 3 6" xfId="3737"/>
    <cellStyle name="Обычный 6 2 4 2 4" xfId="803"/>
    <cellStyle name="Обычный 6 2 4 2 4 2" xfId="1196"/>
    <cellStyle name="Обычный 6 2 4 2 4 2 2" xfId="1978"/>
    <cellStyle name="Обычный 6 2 4 2 4 2 2 2" xfId="3540"/>
    <cellStyle name="Обычный 6 2 4 2 4 2 2 2 2" xfId="6664"/>
    <cellStyle name="Обычный 6 2 4 2 4 2 2 3" xfId="5102"/>
    <cellStyle name="Обычный 6 2 4 2 4 2 3" xfId="2759"/>
    <cellStyle name="Обычный 6 2 4 2 4 2 3 2" xfId="5883"/>
    <cellStyle name="Обычный 6 2 4 2 4 2 4" xfId="4321"/>
    <cellStyle name="Обычный 6 2 4 2 4 3" xfId="1587"/>
    <cellStyle name="Обычный 6 2 4 2 4 3 2" xfId="3149"/>
    <cellStyle name="Обычный 6 2 4 2 4 3 2 2" xfId="6273"/>
    <cellStyle name="Обычный 6 2 4 2 4 3 3" xfId="4711"/>
    <cellStyle name="Обычный 6 2 4 2 4 4" xfId="2368"/>
    <cellStyle name="Обычный 6 2 4 2 4 4 2" xfId="5492"/>
    <cellStyle name="Обычный 6 2 4 2 4 5" xfId="3930"/>
    <cellStyle name="Обычный 6 2 4 2 5" xfId="1001"/>
    <cellStyle name="Обычный 6 2 4 2 5 2" xfId="1783"/>
    <cellStyle name="Обычный 6 2 4 2 5 2 2" xfId="3345"/>
    <cellStyle name="Обычный 6 2 4 2 5 2 2 2" xfId="6469"/>
    <cellStyle name="Обычный 6 2 4 2 5 2 3" xfId="4907"/>
    <cellStyle name="Обычный 6 2 4 2 5 3" xfId="2564"/>
    <cellStyle name="Обычный 6 2 4 2 5 3 2" xfId="5688"/>
    <cellStyle name="Обычный 6 2 4 2 5 4" xfId="4126"/>
    <cellStyle name="Обычный 6 2 4 2 6" xfId="1392"/>
    <cellStyle name="Обычный 6 2 4 2 6 2" xfId="2954"/>
    <cellStyle name="Обычный 6 2 4 2 6 2 2" xfId="6078"/>
    <cellStyle name="Обычный 6 2 4 2 6 3" xfId="4516"/>
    <cellStyle name="Обычный 6 2 4 2 7" xfId="2173"/>
    <cellStyle name="Обычный 6 2 4 2 7 2" xfId="5297"/>
    <cellStyle name="Обычный 6 2 4 2 8" xfId="3735"/>
    <cellStyle name="Обычный 6 2 4 3" xfId="124"/>
    <cellStyle name="Обычный 6 2 4 3 2" xfId="806"/>
    <cellStyle name="Обычный 6 2 4 3 2 2" xfId="1199"/>
    <cellStyle name="Обычный 6 2 4 3 2 2 2" xfId="1981"/>
    <cellStyle name="Обычный 6 2 4 3 2 2 2 2" xfId="3543"/>
    <cellStyle name="Обычный 6 2 4 3 2 2 2 2 2" xfId="6667"/>
    <cellStyle name="Обычный 6 2 4 3 2 2 2 3" xfId="5105"/>
    <cellStyle name="Обычный 6 2 4 3 2 2 3" xfId="2762"/>
    <cellStyle name="Обычный 6 2 4 3 2 2 3 2" xfId="5886"/>
    <cellStyle name="Обычный 6 2 4 3 2 2 4" xfId="4324"/>
    <cellStyle name="Обычный 6 2 4 3 2 3" xfId="1590"/>
    <cellStyle name="Обычный 6 2 4 3 2 3 2" xfId="3152"/>
    <cellStyle name="Обычный 6 2 4 3 2 3 2 2" xfId="6276"/>
    <cellStyle name="Обычный 6 2 4 3 2 3 3" xfId="4714"/>
    <cellStyle name="Обычный 6 2 4 3 2 4" xfId="2371"/>
    <cellStyle name="Обычный 6 2 4 3 2 4 2" xfId="5495"/>
    <cellStyle name="Обычный 6 2 4 3 2 5" xfId="3933"/>
    <cellStyle name="Обычный 6 2 4 3 3" xfId="1004"/>
    <cellStyle name="Обычный 6 2 4 3 3 2" xfId="1786"/>
    <cellStyle name="Обычный 6 2 4 3 3 2 2" xfId="3348"/>
    <cellStyle name="Обычный 6 2 4 3 3 2 2 2" xfId="6472"/>
    <cellStyle name="Обычный 6 2 4 3 3 2 3" xfId="4910"/>
    <cellStyle name="Обычный 6 2 4 3 3 3" xfId="2567"/>
    <cellStyle name="Обычный 6 2 4 3 3 3 2" xfId="5691"/>
    <cellStyle name="Обычный 6 2 4 3 3 4" xfId="4129"/>
    <cellStyle name="Обычный 6 2 4 3 4" xfId="1395"/>
    <cellStyle name="Обычный 6 2 4 3 4 2" xfId="2957"/>
    <cellStyle name="Обычный 6 2 4 3 4 2 2" xfId="6081"/>
    <cellStyle name="Обычный 6 2 4 3 4 3" xfId="4519"/>
    <cellStyle name="Обычный 6 2 4 3 5" xfId="2176"/>
    <cellStyle name="Обычный 6 2 4 3 5 2" xfId="5300"/>
    <cellStyle name="Обычный 6 2 4 3 6" xfId="3738"/>
    <cellStyle name="Обычный 6 2 4 4" xfId="125"/>
    <cellStyle name="Обычный 6 2 4 4 2" xfId="807"/>
    <cellStyle name="Обычный 6 2 4 4 2 2" xfId="1200"/>
    <cellStyle name="Обычный 6 2 4 4 2 2 2" xfId="1982"/>
    <cellStyle name="Обычный 6 2 4 4 2 2 2 2" xfId="3544"/>
    <cellStyle name="Обычный 6 2 4 4 2 2 2 2 2" xfId="6668"/>
    <cellStyle name="Обычный 6 2 4 4 2 2 2 3" xfId="5106"/>
    <cellStyle name="Обычный 6 2 4 4 2 2 3" xfId="2763"/>
    <cellStyle name="Обычный 6 2 4 4 2 2 3 2" xfId="5887"/>
    <cellStyle name="Обычный 6 2 4 4 2 2 4" xfId="4325"/>
    <cellStyle name="Обычный 6 2 4 4 2 3" xfId="1591"/>
    <cellStyle name="Обычный 6 2 4 4 2 3 2" xfId="3153"/>
    <cellStyle name="Обычный 6 2 4 4 2 3 2 2" xfId="6277"/>
    <cellStyle name="Обычный 6 2 4 4 2 3 3" xfId="4715"/>
    <cellStyle name="Обычный 6 2 4 4 2 4" xfId="2372"/>
    <cellStyle name="Обычный 6 2 4 4 2 4 2" xfId="5496"/>
    <cellStyle name="Обычный 6 2 4 4 2 5" xfId="3934"/>
    <cellStyle name="Обычный 6 2 4 4 3" xfId="1005"/>
    <cellStyle name="Обычный 6 2 4 4 3 2" xfId="1787"/>
    <cellStyle name="Обычный 6 2 4 4 3 2 2" xfId="3349"/>
    <cellStyle name="Обычный 6 2 4 4 3 2 2 2" xfId="6473"/>
    <cellStyle name="Обычный 6 2 4 4 3 2 3" xfId="4911"/>
    <cellStyle name="Обычный 6 2 4 4 3 3" xfId="2568"/>
    <cellStyle name="Обычный 6 2 4 4 3 3 2" xfId="5692"/>
    <cellStyle name="Обычный 6 2 4 4 3 4" xfId="4130"/>
    <cellStyle name="Обычный 6 2 4 4 4" xfId="1396"/>
    <cellStyle name="Обычный 6 2 4 4 4 2" xfId="2958"/>
    <cellStyle name="Обычный 6 2 4 4 4 2 2" xfId="6082"/>
    <cellStyle name="Обычный 6 2 4 4 4 3" xfId="4520"/>
    <cellStyle name="Обычный 6 2 4 4 5" xfId="2177"/>
    <cellStyle name="Обычный 6 2 4 4 5 2" xfId="5301"/>
    <cellStyle name="Обычный 6 2 4 4 6" xfId="3739"/>
    <cellStyle name="Обычный 6 2 4 5" xfId="802"/>
    <cellStyle name="Обычный 6 2 4 5 2" xfId="1195"/>
    <cellStyle name="Обычный 6 2 4 5 2 2" xfId="1977"/>
    <cellStyle name="Обычный 6 2 4 5 2 2 2" xfId="3539"/>
    <cellStyle name="Обычный 6 2 4 5 2 2 2 2" xfId="6663"/>
    <cellStyle name="Обычный 6 2 4 5 2 2 3" xfId="5101"/>
    <cellStyle name="Обычный 6 2 4 5 2 3" xfId="2758"/>
    <cellStyle name="Обычный 6 2 4 5 2 3 2" xfId="5882"/>
    <cellStyle name="Обычный 6 2 4 5 2 4" xfId="4320"/>
    <cellStyle name="Обычный 6 2 4 5 3" xfId="1586"/>
    <cellStyle name="Обычный 6 2 4 5 3 2" xfId="3148"/>
    <cellStyle name="Обычный 6 2 4 5 3 2 2" xfId="6272"/>
    <cellStyle name="Обычный 6 2 4 5 3 3" xfId="4710"/>
    <cellStyle name="Обычный 6 2 4 5 4" xfId="2367"/>
    <cellStyle name="Обычный 6 2 4 5 4 2" xfId="5491"/>
    <cellStyle name="Обычный 6 2 4 5 5" xfId="3929"/>
    <cellStyle name="Обычный 6 2 4 6" xfId="1000"/>
    <cellStyle name="Обычный 6 2 4 6 2" xfId="1782"/>
    <cellStyle name="Обычный 6 2 4 6 2 2" xfId="3344"/>
    <cellStyle name="Обычный 6 2 4 6 2 2 2" xfId="6468"/>
    <cellStyle name="Обычный 6 2 4 6 2 3" xfId="4906"/>
    <cellStyle name="Обычный 6 2 4 6 3" xfId="2563"/>
    <cellStyle name="Обычный 6 2 4 6 3 2" xfId="5687"/>
    <cellStyle name="Обычный 6 2 4 6 4" xfId="4125"/>
    <cellStyle name="Обычный 6 2 4 7" xfId="1391"/>
    <cellStyle name="Обычный 6 2 4 7 2" xfId="2953"/>
    <cellStyle name="Обычный 6 2 4 7 2 2" xfId="6077"/>
    <cellStyle name="Обычный 6 2 4 7 3" xfId="4515"/>
    <cellStyle name="Обычный 6 2 4 8" xfId="2172"/>
    <cellStyle name="Обычный 6 2 4 8 2" xfId="5296"/>
    <cellStyle name="Обычный 6 2 4 9" xfId="3734"/>
    <cellStyle name="Обычный 6 2 5" xfId="126"/>
    <cellStyle name="Обычный 6 2 5 2" xfId="127"/>
    <cellStyle name="Обычный 6 2 5 2 2" xfId="128"/>
    <cellStyle name="Обычный 6 2 5 2 2 2" xfId="810"/>
    <cellStyle name="Обычный 6 2 5 2 2 2 2" xfId="1203"/>
    <cellStyle name="Обычный 6 2 5 2 2 2 2 2" xfId="1985"/>
    <cellStyle name="Обычный 6 2 5 2 2 2 2 2 2" xfId="3547"/>
    <cellStyle name="Обычный 6 2 5 2 2 2 2 2 2 2" xfId="6671"/>
    <cellStyle name="Обычный 6 2 5 2 2 2 2 2 3" xfId="5109"/>
    <cellStyle name="Обычный 6 2 5 2 2 2 2 3" xfId="2766"/>
    <cellStyle name="Обычный 6 2 5 2 2 2 2 3 2" xfId="5890"/>
    <cellStyle name="Обычный 6 2 5 2 2 2 2 4" xfId="4328"/>
    <cellStyle name="Обычный 6 2 5 2 2 2 3" xfId="1594"/>
    <cellStyle name="Обычный 6 2 5 2 2 2 3 2" xfId="3156"/>
    <cellStyle name="Обычный 6 2 5 2 2 2 3 2 2" xfId="6280"/>
    <cellStyle name="Обычный 6 2 5 2 2 2 3 3" xfId="4718"/>
    <cellStyle name="Обычный 6 2 5 2 2 2 4" xfId="2375"/>
    <cellStyle name="Обычный 6 2 5 2 2 2 4 2" xfId="5499"/>
    <cellStyle name="Обычный 6 2 5 2 2 2 5" xfId="3937"/>
    <cellStyle name="Обычный 6 2 5 2 2 3" xfId="1008"/>
    <cellStyle name="Обычный 6 2 5 2 2 3 2" xfId="1790"/>
    <cellStyle name="Обычный 6 2 5 2 2 3 2 2" xfId="3352"/>
    <cellStyle name="Обычный 6 2 5 2 2 3 2 2 2" xfId="6476"/>
    <cellStyle name="Обычный 6 2 5 2 2 3 2 3" xfId="4914"/>
    <cellStyle name="Обычный 6 2 5 2 2 3 3" xfId="2571"/>
    <cellStyle name="Обычный 6 2 5 2 2 3 3 2" xfId="5695"/>
    <cellStyle name="Обычный 6 2 5 2 2 3 4" xfId="4133"/>
    <cellStyle name="Обычный 6 2 5 2 2 4" xfId="1399"/>
    <cellStyle name="Обычный 6 2 5 2 2 4 2" xfId="2961"/>
    <cellStyle name="Обычный 6 2 5 2 2 4 2 2" xfId="6085"/>
    <cellStyle name="Обычный 6 2 5 2 2 4 3" xfId="4523"/>
    <cellStyle name="Обычный 6 2 5 2 2 5" xfId="2180"/>
    <cellStyle name="Обычный 6 2 5 2 2 5 2" xfId="5304"/>
    <cellStyle name="Обычный 6 2 5 2 2 6" xfId="3742"/>
    <cellStyle name="Обычный 6 2 5 2 3" xfId="129"/>
    <cellStyle name="Обычный 6 2 5 2 3 2" xfId="811"/>
    <cellStyle name="Обычный 6 2 5 2 3 2 2" xfId="1204"/>
    <cellStyle name="Обычный 6 2 5 2 3 2 2 2" xfId="1986"/>
    <cellStyle name="Обычный 6 2 5 2 3 2 2 2 2" xfId="3548"/>
    <cellStyle name="Обычный 6 2 5 2 3 2 2 2 2 2" xfId="6672"/>
    <cellStyle name="Обычный 6 2 5 2 3 2 2 2 3" xfId="5110"/>
    <cellStyle name="Обычный 6 2 5 2 3 2 2 3" xfId="2767"/>
    <cellStyle name="Обычный 6 2 5 2 3 2 2 3 2" xfId="5891"/>
    <cellStyle name="Обычный 6 2 5 2 3 2 2 4" xfId="4329"/>
    <cellStyle name="Обычный 6 2 5 2 3 2 3" xfId="1595"/>
    <cellStyle name="Обычный 6 2 5 2 3 2 3 2" xfId="3157"/>
    <cellStyle name="Обычный 6 2 5 2 3 2 3 2 2" xfId="6281"/>
    <cellStyle name="Обычный 6 2 5 2 3 2 3 3" xfId="4719"/>
    <cellStyle name="Обычный 6 2 5 2 3 2 4" xfId="2376"/>
    <cellStyle name="Обычный 6 2 5 2 3 2 4 2" xfId="5500"/>
    <cellStyle name="Обычный 6 2 5 2 3 2 5" xfId="3938"/>
    <cellStyle name="Обычный 6 2 5 2 3 3" xfId="1009"/>
    <cellStyle name="Обычный 6 2 5 2 3 3 2" xfId="1791"/>
    <cellStyle name="Обычный 6 2 5 2 3 3 2 2" xfId="3353"/>
    <cellStyle name="Обычный 6 2 5 2 3 3 2 2 2" xfId="6477"/>
    <cellStyle name="Обычный 6 2 5 2 3 3 2 3" xfId="4915"/>
    <cellStyle name="Обычный 6 2 5 2 3 3 3" xfId="2572"/>
    <cellStyle name="Обычный 6 2 5 2 3 3 3 2" xfId="5696"/>
    <cellStyle name="Обычный 6 2 5 2 3 3 4" xfId="4134"/>
    <cellStyle name="Обычный 6 2 5 2 3 4" xfId="1400"/>
    <cellStyle name="Обычный 6 2 5 2 3 4 2" xfId="2962"/>
    <cellStyle name="Обычный 6 2 5 2 3 4 2 2" xfId="6086"/>
    <cellStyle name="Обычный 6 2 5 2 3 4 3" xfId="4524"/>
    <cellStyle name="Обычный 6 2 5 2 3 5" xfId="2181"/>
    <cellStyle name="Обычный 6 2 5 2 3 5 2" xfId="5305"/>
    <cellStyle name="Обычный 6 2 5 2 3 6" xfId="3743"/>
    <cellStyle name="Обычный 6 2 5 2 4" xfId="809"/>
    <cellStyle name="Обычный 6 2 5 2 4 2" xfId="1202"/>
    <cellStyle name="Обычный 6 2 5 2 4 2 2" xfId="1984"/>
    <cellStyle name="Обычный 6 2 5 2 4 2 2 2" xfId="3546"/>
    <cellStyle name="Обычный 6 2 5 2 4 2 2 2 2" xfId="6670"/>
    <cellStyle name="Обычный 6 2 5 2 4 2 2 3" xfId="5108"/>
    <cellStyle name="Обычный 6 2 5 2 4 2 3" xfId="2765"/>
    <cellStyle name="Обычный 6 2 5 2 4 2 3 2" xfId="5889"/>
    <cellStyle name="Обычный 6 2 5 2 4 2 4" xfId="4327"/>
    <cellStyle name="Обычный 6 2 5 2 4 3" xfId="1593"/>
    <cellStyle name="Обычный 6 2 5 2 4 3 2" xfId="3155"/>
    <cellStyle name="Обычный 6 2 5 2 4 3 2 2" xfId="6279"/>
    <cellStyle name="Обычный 6 2 5 2 4 3 3" xfId="4717"/>
    <cellStyle name="Обычный 6 2 5 2 4 4" xfId="2374"/>
    <cellStyle name="Обычный 6 2 5 2 4 4 2" xfId="5498"/>
    <cellStyle name="Обычный 6 2 5 2 4 5" xfId="3936"/>
    <cellStyle name="Обычный 6 2 5 2 5" xfId="1007"/>
    <cellStyle name="Обычный 6 2 5 2 5 2" xfId="1789"/>
    <cellStyle name="Обычный 6 2 5 2 5 2 2" xfId="3351"/>
    <cellStyle name="Обычный 6 2 5 2 5 2 2 2" xfId="6475"/>
    <cellStyle name="Обычный 6 2 5 2 5 2 3" xfId="4913"/>
    <cellStyle name="Обычный 6 2 5 2 5 3" xfId="2570"/>
    <cellStyle name="Обычный 6 2 5 2 5 3 2" xfId="5694"/>
    <cellStyle name="Обычный 6 2 5 2 5 4" xfId="4132"/>
    <cellStyle name="Обычный 6 2 5 2 6" xfId="1398"/>
    <cellStyle name="Обычный 6 2 5 2 6 2" xfId="2960"/>
    <cellStyle name="Обычный 6 2 5 2 6 2 2" xfId="6084"/>
    <cellStyle name="Обычный 6 2 5 2 6 3" xfId="4522"/>
    <cellStyle name="Обычный 6 2 5 2 7" xfId="2179"/>
    <cellStyle name="Обычный 6 2 5 2 7 2" xfId="5303"/>
    <cellStyle name="Обычный 6 2 5 2 8" xfId="3741"/>
    <cellStyle name="Обычный 6 2 5 3" xfId="130"/>
    <cellStyle name="Обычный 6 2 5 3 2" xfId="812"/>
    <cellStyle name="Обычный 6 2 5 3 2 2" xfId="1205"/>
    <cellStyle name="Обычный 6 2 5 3 2 2 2" xfId="1987"/>
    <cellStyle name="Обычный 6 2 5 3 2 2 2 2" xfId="3549"/>
    <cellStyle name="Обычный 6 2 5 3 2 2 2 2 2" xfId="6673"/>
    <cellStyle name="Обычный 6 2 5 3 2 2 2 3" xfId="5111"/>
    <cellStyle name="Обычный 6 2 5 3 2 2 3" xfId="2768"/>
    <cellStyle name="Обычный 6 2 5 3 2 2 3 2" xfId="5892"/>
    <cellStyle name="Обычный 6 2 5 3 2 2 4" xfId="4330"/>
    <cellStyle name="Обычный 6 2 5 3 2 3" xfId="1596"/>
    <cellStyle name="Обычный 6 2 5 3 2 3 2" xfId="3158"/>
    <cellStyle name="Обычный 6 2 5 3 2 3 2 2" xfId="6282"/>
    <cellStyle name="Обычный 6 2 5 3 2 3 3" xfId="4720"/>
    <cellStyle name="Обычный 6 2 5 3 2 4" xfId="2377"/>
    <cellStyle name="Обычный 6 2 5 3 2 4 2" xfId="5501"/>
    <cellStyle name="Обычный 6 2 5 3 2 5" xfId="3939"/>
    <cellStyle name="Обычный 6 2 5 3 3" xfId="1010"/>
    <cellStyle name="Обычный 6 2 5 3 3 2" xfId="1792"/>
    <cellStyle name="Обычный 6 2 5 3 3 2 2" xfId="3354"/>
    <cellStyle name="Обычный 6 2 5 3 3 2 2 2" xfId="6478"/>
    <cellStyle name="Обычный 6 2 5 3 3 2 3" xfId="4916"/>
    <cellStyle name="Обычный 6 2 5 3 3 3" xfId="2573"/>
    <cellStyle name="Обычный 6 2 5 3 3 3 2" xfId="5697"/>
    <cellStyle name="Обычный 6 2 5 3 3 4" xfId="4135"/>
    <cellStyle name="Обычный 6 2 5 3 4" xfId="1401"/>
    <cellStyle name="Обычный 6 2 5 3 4 2" xfId="2963"/>
    <cellStyle name="Обычный 6 2 5 3 4 2 2" xfId="6087"/>
    <cellStyle name="Обычный 6 2 5 3 4 3" xfId="4525"/>
    <cellStyle name="Обычный 6 2 5 3 5" xfId="2182"/>
    <cellStyle name="Обычный 6 2 5 3 5 2" xfId="5306"/>
    <cellStyle name="Обычный 6 2 5 3 6" xfId="3744"/>
    <cellStyle name="Обычный 6 2 5 4" xfId="131"/>
    <cellStyle name="Обычный 6 2 5 4 2" xfId="813"/>
    <cellStyle name="Обычный 6 2 5 4 2 2" xfId="1206"/>
    <cellStyle name="Обычный 6 2 5 4 2 2 2" xfId="1988"/>
    <cellStyle name="Обычный 6 2 5 4 2 2 2 2" xfId="3550"/>
    <cellStyle name="Обычный 6 2 5 4 2 2 2 2 2" xfId="6674"/>
    <cellStyle name="Обычный 6 2 5 4 2 2 2 3" xfId="5112"/>
    <cellStyle name="Обычный 6 2 5 4 2 2 3" xfId="2769"/>
    <cellStyle name="Обычный 6 2 5 4 2 2 3 2" xfId="5893"/>
    <cellStyle name="Обычный 6 2 5 4 2 2 4" xfId="4331"/>
    <cellStyle name="Обычный 6 2 5 4 2 3" xfId="1597"/>
    <cellStyle name="Обычный 6 2 5 4 2 3 2" xfId="3159"/>
    <cellStyle name="Обычный 6 2 5 4 2 3 2 2" xfId="6283"/>
    <cellStyle name="Обычный 6 2 5 4 2 3 3" xfId="4721"/>
    <cellStyle name="Обычный 6 2 5 4 2 4" xfId="2378"/>
    <cellStyle name="Обычный 6 2 5 4 2 4 2" xfId="5502"/>
    <cellStyle name="Обычный 6 2 5 4 2 5" xfId="3940"/>
    <cellStyle name="Обычный 6 2 5 4 3" xfId="1011"/>
    <cellStyle name="Обычный 6 2 5 4 3 2" xfId="1793"/>
    <cellStyle name="Обычный 6 2 5 4 3 2 2" xfId="3355"/>
    <cellStyle name="Обычный 6 2 5 4 3 2 2 2" xfId="6479"/>
    <cellStyle name="Обычный 6 2 5 4 3 2 3" xfId="4917"/>
    <cellStyle name="Обычный 6 2 5 4 3 3" xfId="2574"/>
    <cellStyle name="Обычный 6 2 5 4 3 3 2" xfId="5698"/>
    <cellStyle name="Обычный 6 2 5 4 3 4" xfId="4136"/>
    <cellStyle name="Обычный 6 2 5 4 4" xfId="1402"/>
    <cellStyle name="Обычный 6 2 5 4 4 2" xfId="2964"/>
    <cellStyle name="Обычный 6 2 5 4 4 2 2" xfId="6088"/>
    <cellStyle name="Обычный 6 2 5 4 4 3" xfId="4526"/>
    <cellStyle name="Обычный 6 2 5 4 5" xfId="2183"/>
    <cellStyle name="Обычный 6 2 5 4 5 2" xfId="5307"/>
    <cellStyle name="Обычный 6 2 5 4 6" xfId="3745"/>
    <cellStyle name="Обычный 6 2 5 5" xfId="808"/>
    <cellStyle name="Обычный 6 2 5 5 2" xfId="1201"/>
    <cellStyle name="Обычный 6 2 5 5 2 2" xfId="1983"/>
    <cellStyle name="Обычный 6 2 5 5 2 2 2" xfId="3545"/>
    <cellStyle name="Обычный 6 2 5 5 2 2 2 2" xfId="6669"/>
    <cellStyle name="Обычный 6 2 5 5 2 2 3" xfId="5107"/>
    <cellStyle name="Обычный 6 2 5 5 2 3" xfId="2764"/>
    <cellStyle name="Обычный 6 2 5 5 2 3 2" xfId="5888"/>
    <cellStyle name="Обычный 6 2 5 5 2 4" xfId="4326"/>
    <cellStyle name="Обычный 6 2 5 5 3" xfId="1592"/>
    <cellStyle name="Обычный 6 2 5 5 3 2" xfId="3154"/>
    <cellStyle name="Обычный 6 2 5 5 3 2 2" xfId="6278"/>
    <cellStyle name="Обычный 6 2 5 5 3 3" xfId="4716"/>
    <cellStyle name="Обычный 6 2 5 5 4" xfId="2373"/>
    <cellStyle name="Обычный 6 2 5 5 4 2" xfId="5497"/>
    <cellStyle name="Обычный 6 2 5 5 5" xfId="3935"/>
    <cellStyle name="Обычный 6 2 5 6" xfId="1006"/>
    <cellStyle name="Обычный 6 2 5 6 2" xfId="1788"/>
    <cellStyle name="Обычный 6 2 5 6 2 2" xfId="3350"/>
    <cellStyle name="Обычный 6 2 5 6 2 2 2" xfId="6474"/>
    <cellStyle name="Обычный 6 2 5 6 2 3" xfId="4912"/>
    <cellStyle name="Обычный 6 2 5 6 3" xfId="2569"/>
    <cellStyle name="Обычный 6 2 5 6 3 2" xfId="5693"/>
    <cellStyle name="Обычный 6 2 5 6 4" xfId="4131"/>
    <cellStyle name="Обычный 6 2 5 7" xfId="1397"/>
    <cellStyle name="Обычный 6 2 5 7 2" xfId="2959"/>
    <cellStyle name="Обычный 6 2 5 7 2 2" xfId="6083"/>
    <cellStyle name="Обычный 6 2 5 7 3" xfId="4521"/>
    <cellStyle name="Обычный 6 2 5 8" xfId="2178"/>
    <cellStyle name="Обычный 6 2 5 8 2" xfId="5302"/>
    <cellStyle name="Обычный 6 2 5 9" xfId="3740"/>
    <cellStyle name="Обычный 6 2 6" xfId="132"/>
    <cellStyle name="Обычный 6 2 6 2" xfId="133"/>
    <cellStyle name="Обычный 6 2 6 2 2" xfId="815"/>
    <cellStyle name="Обычный 6 2 6 2 2 2" xfId="1208"/>
    <cellStyle name="Обычный 6 2 6 2 2 2 2" xfId="1990"/>
    <cellStyle name="Обычный 6 2 6 2 2 2 2 2" xfId="3552"/>
    <cellStyle name="Обычный 6 2 6 2 2 2 2 2 2" xfId="6676"/>
    <cellStyle name="Обычный 6 2 6 2 2 2 2 3" xfId="5114"/>
    <cellStyle name="Обычный 6 2 6 2 2 2 3" xfId="2771"/>
    <cellStyle name="Обычный 6 2 6 2 2 2 3 2" xfId="5895"/>
    <cellStyle name="Обычный 6 2 6 2 2 2 4" xfId="4333"/>
    <cellStyle name="Обычный 6 2 6 2 2 3" xfId="1599"/>
    <cellStyle name="Обычный 6 2 6 2 2 3 2" xfId="3161"/>
    <cellStyle name="Обычный 6 2 6 2 2 3 2 2" xfId="6285"/>
    <cellStyle name="Обычный 6 2 6 2 2 3 3" xfId="4723"/>
    <cellStyle name="Обычный 6 2 6 2 2 4" xfId="2380"/>
    <cellStyle name="Обычный 6 2 6 2 2 4 2" xfId="5504"/>
    <cellStyle name="Обычный 6 2 6 2 2 5" xfId="3942"/>
    <cellStyle name="Обычный 6 2 6 2 3" xfId="1013"/>
    <cellStyle name="Обычный 6 2 6 2 3 2" xfId="1795"/>
    <cellStyle name="Обычный 6 2 6 2 3 2 2" xfId="3357"/>
    <cellStyle name="Обычный 6 2 6 2 3 2 2 2" xfId="6481"/>
    <cellStyle name="Обычный 6 2 6 2 3 2 3" xfId="4919"/>
    <cellStyle name="Обычный 6 2 6 2 3 3" xfId="2576"/>
    <cellStyle name="Обычный 6 2 6 2 3 3 2" xfId="5700"/>
    <cellStyle name="Обычный 6 2 6 2 3 4" xfId="4138"/>
    <cellStyle name="Обычный 6 2 6 2 4" xfId="1404"/>
    <cellStyle name="Обычный 6 2 6 2 4 2" xfId="2966"/>
    <cellStyle name="Обычный 6 2 6 2 4 2 2" xfId="6090"/>
    <cellStyle name="Обычный 6 2 6 2 4 3" xfId="4528"/>
    <cellStyle name="Обычный 6 2 6 2 5" xfId="2185"/>
    <cellStyle name="Обычный 6 2 6 2 5 2" xfId="5309"/>
    <cellStyle name="Обычный 6 2 6 2 6" xfId="3747"/>
    <cellStyle name="Обычный 6 2 6 3" xfId="134"/>
    <cellStyle name="Обычный 6 2 6 3 2" xfId="816"/>
    <cellStyle name="Обычный 6 2 6 3 2 2" xfId="1209"/>
    <cellStyle name="Обычный 6 2 6 3 2 2 2" xfId="1991"/>
    <cellStyle name="Обычный 6 2 6 3 2 2 2 2" xfId="3553"/>
    <cellStyle name="Обычный 6 2 6 3 2 2 2 2 2" xfId="6677"/>
    <cellStyle name="Обычный 6 2 6 3 2 2 2 3" xfId="5115"/>
    <cellStyle name="Обычный 6 2 6 3 2 2 3" xfId="2772"/>
    <cellStyle name="Обычный 6 2 6 3 2 2 3 2" xfId="5896"/>
    <cellStyle name="Обычный 6 2 6 3 2 2 4" xfId="4334"/>
    <cellStyle name="Обычный 6 2 6 3 2 3" xfId="1600"/>
    <cellStyle name="Обычный 6 2 6 3 2 3 2" xfId="3162"/>
    <cellStyle name="Обычный 6 2 6 3 2 3 2 2" xfId="6286"/>
    <cellStyle name="Обычный 6 2 6 3 2 3 3" xfId="4724"/>
    <cellStyle name="Обычный 6 2 6 3 2 4" xfId="2381"/>
    <cellStyle name="Обычный 6 2 6 3 2 4 2" xfId="5505"/>
    <cellStyle name="Обычный 6 2 6 3 2 5" xfId="3943"/>
    <cellStyle name="Обычный 6 2 6 3 3" xfId="1014"/>
    <cellStyle name="Обычный 6 2 6 3 3 2" xfId="1796"/>
    <cellStyle name="Обычный 6 2 6 3 3 2 2" xfId="3358"/>
    <cellStyle name="Обычный 6 2 6 3 3 2 2 2" xfId="6482"/>
    <cellStyle name="Обычный 6 2 6 3 3 2 3" xfId="4920"/>
    <cellStyle name="Обычный 6 2 6 3 3 3" xfId="2577"/>
    <cellStyle name="Обычный 6 2 6 3 3 3 2" xfId="5701"/>
    <cellStyle name="Обычный 6 2 6 3 3 4" xfId="4139"/>
    <cellStyle name="Обычный 6 2 6 3 4" xfId="1405"/>
    <cellStyle name="Обычный 6 2 6 3 4 2" xfId="2967"/>
    <cellStyle name="Обычный 6 2 6 3 4 2 2" xfId="6091"/>
    <cellStyle name="Обычный 6 2 6 3 4 3" xfId="4529"/>
    <cellStyle name="Обычный 6 2 6 3 5" xfId="2186"/>
    <cellStyle name="Обычный 6 2 6 3 5 2" xfId="5310"/>
    <cellStyle name="Обычный 6 2 6 3 6" xfId="3748"/>
    <cellStyle name="Обычный 6 2 6 4" xfId="814"/>
    <cellStyle name="Обычный 6 2 6 4 2" xfId="1207"/>
    <cellStyle name="Обычный 6 2 6 4 2 2" xfId="1989"/>
    <cellStyle name="Обычный 6 2 6 4 2 2 2" xfId="3551"/>
    <cellStyle name="Обычный 6 2 6 4 2 2 2 2" xfId="6675"/>
    <cellStyle name="Обычный 6 2 6 4 2 2 3" xfId="5113"/>
    <cellStyle name="Обычный 6 2 6 4 2 3" xfId="2770"/>
    <cellStyle name="Обычный 6 2 6 4 2 3 2" xfId="5894"/>
    <cellStyle name="Обычный 6 2 6 4 2 4" xfId="4332"/>
    <cellStyle name="Обычный 6 2 6 4 3" xfId="1598"/>
    <cellStyle name="Обычный 6 2 6 4 3 2" xfId="3160"/>
    <cellStyle name="Обычный 6 2 6 4 3 2 2" xfId="6284"/>
    <cellStyle name="Обычный 6 2 6 4 3 3" xfId="4722"/>
    <cellStyle name="Обычный 6 2 6 4 4" xfId="2379"/>
    <cellStyle name="Обычный 6 2 6 4 4 2" xfId="5503"/>
    <cellStyle name="Обычный 6 2 6 4 5" xfId="3941"/>
    <cellStyle name="Обычный 6 2 6 5" xfId="1012"/>
    <cellStyle name="Обычный 6 2 6 5 2" xfId="1794"/>
    <cellStyle name="Обычный 6 2 6 5 2 2" xfId="3356"/>
    <cellStyle name="Обычный 6 2 6 5 2 2 2" xfId="6480"/>
    <cellStyle name="Обычный 6 2 6 5 2 3" xfId="4918"/>
    <cellStyle name="Обычный 6 2 6 5 3" xfId="2575"/>
    <cellStyle name="Обычный 6 2 6 5 3 2" xfId="5699"/>
    <cellStyle name="Обычный 6 2 6 5 4" xfId="4137"/>
    <cellStyle name="Обычный 6 2 6 6" xfId="1403"/>
    <cellStyle name="Обычный 6 2 6 6 2" xfId="2965"/>
    <cellStyle name="Обычный 6 2 6 6 2 2" xfId="6089"/>
    <cellStyle name="Обычный 6 2 6 6 3" xfId="4527"/>
    <cellStyle name="Обычный 6 2 6 7" xfId="2184"/>
    <cellStyle name="Обычный 6 2 6 7 2" xfId="5308"/>
    <cellStyle name="Обычный 6 2 6 8" xfId="3746"/>
    <cellStyle name="Обычный 6 2 7" xfId="135"/>
    <cellStyle name="Обычный 6 2 7 2" xfId="817"/>
    <cellStyle name="Обычный 6 2 7 2 2" xfId="1210"/>
    <cellStyle name="Обычный 6 2 7 2 2 2" xfId="1992"/>
    <cellStyle name="Обычный 6 2 7 2 2 2 2" xfId="3554"/>
    <cellStyle name="Обычный 6 2 7 2 2 2 2 2" xfId="6678"/>
    <cellStyle name="Обычный 6 2 7 2 2 2 3" xfId="5116"/>
    <cellStyle name="Обычный 6 2 7 2 2 3" xfId="2773"/>
    <cellStyle name="Обычный 6 2 7 2 2 3 2" xfId="5897"/>
    <cellStyle name="Обычный 6 2 7 2 2 4" xfId="4335"/>
    <cellStyle name="Обычный 6 2 7 2 3" xfId="1601"/>
    <cellStyle name="Обычный 6 2 7 2 3 2" xfId="3163"/>
    <cellStyle name="Обычный 6 2 7 2 3 2 2" xfId="6287"/>
    <cellStyle name="Обычный 6 2 7 2 3 3" xfId="4725"/>
    <cellStyle name="Обычный 6 2 7 2 4" xfId="2382"/>
    <cellStyle name="Обычный 6 2 7 2 4 2" xfId="5506"/>
    <cellStyle name="Обычный 6 2 7 2 5" xfId="3944"/>
    <cellStyle name="Обычный 6 2 7 3" xfId="1015"/>
    <cellStyle name="Обычный 6 2 7 3 2" xfId="1797"/>
    <cellStyle name="Обычный 6 2 7 3 2 2" xfId="3359"/>
    <cellStyle name="Обычный 6 2 7 3 2 2 2" xfId="6483"/>
    <cellStyle name="Обычный 6 2 7 3 2 3" xfId="4921"/>
    <cellStyle name="Обычный 6 2 7 3 3" xfId="2578"/>
    <cellStyle name="Обычный 6 2 7 3 3 2" xfId="5702"/>
    <cellStyle name="Обычный 6 2 7 3 4" xfId="4140"/>
    <cellStyle name="Обычный 6 2 7 4" xfId="1406"/>
    <cellStyle name="Обычный 6 2 7 4 2" xfId="2968"/>
    <cellStyle name="Обычный 6 2 7 4 2 2" xfId="6092"/>
    <cellStyle name="Обычный 6 2 7 4 3" xfId="4530"/>
    <cellStyle name="Обычный 6 2 7 5" xfId="2187"/>
    <cellStyle name="Обычный 6 2 7 5 2" xfId="5311"/>
    <cellStyle name="Обычный 6 2 7 6" xfId="3749"/>
    <cellStyle name="Обычный 6 2 8" xfId="136"/>
    <cellStyle name="Обычный 6 2 8 2" xfId="818"/>
    <cellStyle name="Обычный 6 2 8 2 2" xfId="1211"/>
    <cellStyle name="Обычный 6 2 8 2 2 2" xfId="1993"/>
    <cellStyle name="Обычный 6 2 8 2 2 2 2" xfId="3555"/>
    <cellStyle name="Обычный 6 2 8 2 2 2 2 2" xfId="6679"/>
    <cellStyle name="Обычный 6 2 8 2 2 2 3" xfId="5117"/>
    <cellStyle name="Обычный 6 2 8 2 2 3" xfId="2774"/>
    <cellStyle name="Обычный 6 2 8 2 2 3 2" xfId="5898"/>
    <cellStyle name="Обычный 6 2 8 2 2 4" xfId="4336"/>
    <cellStyle name="Обычный 6 2 8 2 3" xfId="1602"/>
    <cellStyle name="Обычный 6 2 8 2 3 2" xfId="3164"/>
    <cellStyle name="Обычный 6 2 8 2 3 2 2" xfId="6288"/>
    <cellStyle name="Обычный 6 2 8 2 3 3" xfId="4726"/>
    <cellStyle name="Обычный 6 2 8 2 4" xfId="2383"/>
    <cellStyle name="Обычный 6 2 8 2 4 2" xfId="5507"/>
    <cellStyle name="Обычный 6 2 8 2 5" xfId="3945"/>
    <cellStyle name="Обычный 6 2 8 3" xfId="1016"/>
    <cellStyle name="Обычный 6 2 8 3 2" xfId="1798"/>
    <cellStyle name="Обычный 6 2 8 3 2 2" xfId="3360"/>
    <cellStyle name="Обычный 6 2 8 3 2 2 2" xfId="6484"/>
    <cellStyle name="Обычный 6 2 8 3 2 3" xfId="4922"/>
    <cellStyle name="Обычный 6 2 8 3 3" xfId="2579"/>
    <cellStyle name="Обычный 6 2 8 3 3 2" xfId="5703"/>
    <cellStyle name="Обычный 6 2 8 3 4" xfId="4141"/>
    <cellStyle name="Обычный 6 2 8 4" xfId="1407"/>
    <cellStyle name="Обычный 6 2 8 4 2" xfId="2969"/>
    <cellStyle name="Обычный 6 2 8 4 2 2" xfId="6093"/>
    <cellStyle name="Обычный 6 2 8 4 3" xfId="4531"/>
    <cellStyle name="Обычный 6 2 8 5" xfId="2188"/>
    <cellStyle name="Обычный 6 2 8 5 2" xfId="5312"/>
    <cellStyle name="Обычный 6 2 8 6" xfId="3750"/>
    <cellStyle name="Обычный 6 2 9" xfId="137"/>
    <cellStyle name="Обычный 6 2 9 2" xfId="819"/>
    <cellStyle name="Обычный 6 2 9 2 2" xfId="1212"/>
    <cellStyle name="Обычный 6 2 9 2 2 2" xfId="1994"/>
    <cellStyle name="Обычный 6 2 9 2 2 2 2" xfId="3556"/>
    <cellStyle name="Обычный 6 2 9 2 2 2 2 2" xfId="6680"/>
    <cellStyle name="Обычный 6 2 9 2 2 2 3" xfId="5118"/>
    <cellStyle name="Обычный 6 2 9 2 2 3" xfId="2775"/>
    <cellStyle name="Обычный 6 2 9 2 2 3 2" xfId="5899"/>
    <cellStyle name="Обычный 6 2 9 2 2 4" xfId="4337"/>
    <cellStyle name="Обычный 6 2 9 2 3" xfId="1603"/>
    <cellStyle name="Обычный 6 2 9 2 3 2" xfId="3165"/>
    <cellStyle name="Обычный 6 2 9 2 3 2 2" xfId="6289"/>
    <cellStyle name="Обычный 6 2 9 2 3 3" xfId="4727"/>
    <cellStyle name="Обычный 6 2 9 2 4" xfId="2384"/>
    <cellStyle name="Обычный 6 2 9 2 4 2" xfId="5508"/>
    <cellStyle name="Обычный 6 2 9 2 5" xfId="3946"/>
    <cellStyle name="Обычный 6 2 9 3" xfId="1017"/>
    <cellStyle name="Обычный 6 2 9 3 2" xfId="1799"/>
    <cellStyle name="Обычный 6 2 9 3 2 2" xfId="3361"/>
    <cellStyle name="Обычный 6 2 9 3 2 2 2" xfId="6485"/>
    <cellStyle name="Обычный 6 2 9 3 2 3" xfId="4923"/>
    <cellStyle name="Обычный 6 2 9 3 3" xfId="2580"/>
    <cellStyle name="Обычный 6 2 9 3 3 2" xfId="5704"/>
    <cellStyle name="Обычный 6 2 9 3 4" xfId="4142"/>
    <cellStyle name="Обычный 6 2 9 4" xfId="1408"/>
    <cellStyle name="Обычный 6 2 9 4 2" xfId="2970"/>
    <cellStyle name="Обычный 6 2 9 4 2 2" xfId="6094"/>
    <cellStyle name="Обычный 6 2 9 4 3" xfId="4532"/>
    <cellStyle name="Обычный 6 2 9 5" xfId="2189"/>
    <cellStyle name="Обычный 6 2 9 5 2" xfId="5313"/>
    <cellStyle name="Обычный 6 2 9 6" xfId="3751"/>
    <cellStyle name="Обычный 6 3" xfId="138"/>
    <cellStyle name="Обычный 6 3 10" xfId="3752"/>
    <cellStyle name="Обычный 6 3 2" xfId="139"/>
    <cellStyle name="Обычный 6 3 2 2" xfId="140"/>
    <cellStyle name="Обычный 6 3 2 2 2" xfId="563"/>
    <cellStyle name="Обычный 6 3 2 2 2 2" xfId="564"/>
    <cellStyle name="Обычный 6 3 2 2 3" xfId="565"/>
    <cellStyle name="Обычный 6 3 2 2 4" xfId="822"/>
    <cellStyle name="Обычный 6 3 2 2 4 2" xfId="1215"/>
    <cellStyle name="Обычный 6 3 2 2 4 2 2" xfId="1997"/>
    <cellStyle name="Обычный 6 3 2 2 4 2 2 2" xfId="3559"/>
    <cellStyle name="Обычный 6 3 2 2 4 2 2 2 2" xfId="6683"/>
    <cellStyle name="Обычный 6 3 2 2 4 2 2 3" xfId="5121"/>
    <cellStyle name="Обычный 6 3 2 2 4 2 3" xfId="2778"/>
    <cellStyle name="Обычный 6 3 2 2 4 2 3 2" xfId="5902"/>
    <cellStyle name="Обычный 6 3 2 2 4 2 4" xfId="4340"/>
    <cellStyle name="Обычный 6 3 2 2 4 3" xfId="1606"/>
    <cellStyle name="Обычный 6 3 2 2 4 3 2" xfId="3168"/>
    <cellStyle name="Обычный 6 3 2 2 4 3 2 2" xfId="6292"/>
    <cellStyle name="Обычный 6 3 2 2 4 3 3" xfId="4730"/>
    <cellStyle name="Обычный 6 3 2 2 4 4" xfId="2387"/>
    <cellStyle name="Обычный 6 3 2 2 4 4 2" xfId="5511"/>
    <cellStyle name="Обычный 6 3 2 2 4 5" xfId="3949"/>
    <cellStyle name="Обычный 6 3 2 2 5" xfId="1020"/>
    <cellStyle name="Обычный 6 3 2 2 5 2" xfId="1802"/>
    <cellStyle name="Обычный 6 3 2 2 5 2 2" xfId="3364"/>
    <cellStyle name="Обычный 6 3 2 2 5 2 2 2" xfId="6488"/>
    <cellStyle name="Обычный 6 3 2 2 5 2 3" xfId="4926"/>
    <cellStyle name="Обычный 6 3 2 2 5 3" xfId="2583"/>
    <cellStyle name="Обычный 6 3 2 2 5 3 2" xfId="5707"/>
    <cellStyle name="Обычный 6 3 2 2 5 4" xfId="4145"/>
    <cellStyle name="Обычный 6 3 2 2 6" xfId="1411"/>
    <cellStyle name="Обычный 6 3 2 2 6 2" xfId="2973"/>
    <cellStyle name="Обычный 6 3 2 2 6 2 2" xfId="6097"/>
    <cellStyle name="Обычный 6 3 2 2 6 3" xfId="4535"/>
    <cellStyle name="Обычный 6 3 2 2 7" xfId="2192"/>
    <cellStyle name="Обычный 6 3 2 2 7 2" xfId="5316"/>
    <cellStyle name="Обычный 6 3 2 2 8" xfId="3754"/>
    <cellStyle name="Обычный 6 3 2 3" xfId="141"/>
    <cellStyle name="Обычный 6 3 2 3 2" xfId="566"/>
    <cellStyle name="Обычный 6 3 2 3 3" xfId="823"/>
    <cellStyle name="Обычный 6 3 2 3 3 2" xfId="1216"/>
    <cellStyle name="Обычный 6 3 2 3 3 2 2" xfId="1998"/>
    <cellStyle name="Обычный 6 3 2 3 3 2 2 2" xfId="3560"/>
    <cellStyle name="Обычный 6 3 2 3 3 2 2 2 2" xfId="6684"/>
    <cellStyle name="Обычный 6 3 2 3 3 2 2 3" xfId="5122"/>
    <cellStyle name="Обычный 6 3 2 3 3 2 3" xfId="2779"/>
    <cellStyle name="Обычный 6 3 2 3 3 2 3 2" xfId="5903"/>
    <cellStyle name="Обычный 6 3 2 3 3 2 4" xfId="4341"/>
    <cellStyle name="Обычный 6 3 2 3 3 3" xfId="1607"/>
    <cellStyle name="Обычный 6 3 2 3 3 3 2" xfId="3169"/>
    <cellStyle name="Обычный 6 3 2 3 3 3 2 2" xfId="6293"/>
    <cellStyle name="Обычный 6 3 2 3 3 3 3" xfId="4731"/>
    <cellStyle name="Обычный 6 3 2 3 3 4" xfId="2388"/>
    <cellStyle name="Обычный 6 3 2 3 3 4 2" xfId="5512"/>
    <cellStyle name="Обычный 6 3 2 3 3 5" xfId="3950"/>
    <cellStyle name="Обычный 6 3 2 3 4" xfId="1021"/>
    <cellStyle name="Обычный 6 3 2 3 4 2" xfId="1803"/>
    <cellStyle name="Обычный 6 3 2 3 4 2 2" xfId="3365"/>
    <cellStyle name="Обычный 6 3 2 3 4 2 2 2" xfId="6489"/>
    <cellStyle name="Обычный 6 3 2 3 4 2 3" xfId="4927"/>
    <cellStyle name="Обычный 6 3 2 3 4 3" xfId="2584"/>
    <cellStyle name="Обычный 6 3 2 3 4 3 2" xfId="5708"/>
    <cellStyle name="Обычный 6 3 2 3 4 4" xfId="4146"/>
    <cellStyle name="Обычный 6 3 2 3 5" xfId="1412"/>
    <cellStyle name="Обычный 6 3 2 3 5 2" xfId="2974"/>
    <cellStyle name="Обычный 6 3 2 3 5 2 2" xfId="6098"/>
    <cellStyle name="Обычный 6 3 2 3 5 3" xfId="4536"/>
    <cellStyle name="Обычный 6 3 2 3 6" xfId="2193"/>
    <cellStyle name="Обычный 6 3 2 3 6 2" xfId="5317"/>
    <cellStyle name="Обычный 6 3 2 3 7" xfId="3755"/>
    <cellStyle name="Обычный 6 3 2 4" xfId="567"/>
    <cellStyle name="Обычный 6 3 2 5" xfId="821"/>
    <cellStyle name="Обычный 6 3 2 5 2" xfId="1214"/>
    <cellStyle name="Обычный 6 3 2 5 2 2" xfId="1996"/>
    <cellStyle name="Обычный 6 3 2 5 2 2 2" xfId="3558"/>
    <cellStyle name="Обычный 6 3 2 5 2 2 2 2" xfId="6682"/>
    <cellStyle name="Обычный 6 3 2 5 2 2 3" xfId="5120"/>
    <cellStyle name="Обычный 6 3 2 5 2 3" xfId="2777"/>
    <cellStyle name="Обычный 6 3 2 5 2 3 2" xfId="5901"/>
    <cellStyle name="Обычный 6 3 2 5 2 4" xfId="4339"/>
    <cellStyle name="Обычный 6 3 2 5 3" xfId="1605"/>
    <cellStyle name="Обычный 6 3 2 5 3 2" xfId="3167"/>
    <cellStyle name="Обычный 6 3 2 5 3 2 2" xfId="6291"/>
    <cellStyle name="Обычный 6 3 2 5 3 3" xfId="4729"/>
    <cellStyle name="Обычный 6 3 2 5 4" xfId="2386"/>
    <cellStyle name="Обычный 6 3 2 5 4 2" xfId="5510"/>
    <cellStyle name="Обычный 6 3 2 5 5" xfId="3948"/>
    <cellStyle name="Обычный 6 3 2 6" xfId="1019"/>
    <cellStyle name="Обычный 6 3 2 6 2" xfId="1801"/>
    <cellStyle name="Обычный 6 3 2 6 2 2" xfId="3363"/>
    <cellStyle name="Обычный 6 3 2 6 2 2 2" xfId="6487"/>
    <cellStyle name="Обычный 6 3 2 6 2 3" xfId="4925"/>
    <cellStyle name="Обычный 6 3 2 6 3" xfId="2582"/>
    <cellStyle name="Обычный 6 3 2 6 3 2" xfId="5706"/>
    <cellStyle name="Обычный 6 3 2 6 4" xfId="4144"/>
    <cellStyle name="Обычный 6 3 2 7" xfId="1410"/>
    <cellStyle name="Обычный 6 3 2 7 2" xfId="2972"/>
    <cellStyle name="Обычный 6 3 2 7 2 2" xfId="6096"/>
    <cellStyle name="Обычный 6 3 2 7 3" xfId="4534"/>
    <cellStyle name="Обычный 6 3 2 8" xfId="2191"/>
    <cellStyle name="Обычный 6 3 2 8 2" xfId="5315"/>
    <cellStyle name="Обычный 6 3 2 9" xfId="3753"/>
    <cellStyle name="Обычный 6 3 3" xfId="142"/>
    <cellStyle name="Обычный 6 3 3 2" xfId="568"/>
    <cellStyle name="Обычный 6 3 3 2 2" xfId="569"/>
    <cellStyle name="Обычный 6 3 3 3" xfId="570"/>
    <cellStyle name="Обычный 6 3 3 4" xfId="824"/>
    <cellStyle name="Обычный 6 3 3 4 2" xfId="1217"/>
    <cellStyle name="Обычный 6 3 3 4 2 2" xfId="1999"/>
    <cellStyle name="Обычный 6 3 3 4 2 2 2" xfId="3561"/>
    <cellStyle name="Обычный 6 3 3 4 2 2 2 2" xfId="6685"/>
    <cellStyle name="Обычный 6 3 3 4 2 2 3" xfId="5123"/>
    <cellStyle name="Обычный 6 3 3 4 2 3" xfId="2780"/>
    <cellStyle name="Обычный 6 3 3 4 2 3 2" xfId="5904"/>
    <cellStyle name="Обычный 6 3 3 4 2 4" xfId="4342"/>
    <cellStyle name="Обычный 6 3 3 4 3" xfId="1608"/>
    <cellStyle name="Обычный 6 3 3 4 3 2" xfId="3170"/>
    <cellStyle name="Обычный 6 3 3 4 3 2 2" xfId="6294"/>
    <cellStyle name="Обычный 6 3 3 4 3 3" xfId="4732"/>
    <cellStyle name="Обычный 6 3 3 4 4" xfId="2389"/>
    <cellStyle name="Обычный 6 3 3 4 4 2" xfId="5513"/>
    <cellStyle name="Обычный 6 3 3 4 5" xfId="3951"/>
    <cellStyle name="Обычный 6 3 3 5" xfId="1022"/>
    <cellStyle name="Обычный 6 3 3 5 2" xfId="1804"/>
    <cellStyle name="Обычный 6 3 3 5 2 2" xfId="3366"/>
    <cellStyle name="Обычный 6 3 3 5 2 2 2" xfId="6490"/>
    <cellStyle name="Обычный 6 3 3 5 2 3" xfId="4928"/>
    <cellStyle name="Обычный 6 3 3 5 3" xfId="2585"/>
    <cellStyle name="Обычный 6 3 3 5 3 2" xfId="5709"/>
    <cellStyle name="Обычный 6 3 3 5 4" xfId="4147"/>
    <cellStyle name="Обычный 6 3 3 6" xfId="1413"/>
    <cellStyle name="Обычный 6 3 3 6 2" xfId="2975"/>
    <cellStyle name="Обычный 6 3 3 6 2 2" xfId="6099"/>
    <cellStyle name="Обычный 6 3 3 6 3" xfId="4537"/>
    <cellStyle name="Обычный 6 3 3 7" xfId="2194"/>
    <cellStyle name="Обычный 6 3 3 7 2" xfId="5318"/>
    <cellStyle name="Обычный 6 3 3 8" xfId="3756"/>
    <cellStyle name="Обычный 6 3 4" xfId="143"/>
    <cellStyle name="Обычный 6 3 4 2" xfId="571"/>
    <cellStyle name="Обычный 6 3 4 3" xfId="825"/>
    <cellStyle name="Обычный 6 3 4 3 2" xfId="1218"/>
    <cellStyle name="Обычный 6 3 4 3 2 2" xfId="2000"/>
    <cellStyle name="Обычный 6 3 4 3 2 2 2" xfId="3562"/>
    <cellStyle name="Обычный 6 3 4 3 2 2 2 2" xfId="6686"/>
    <cellStyle name="Обычный 6 3 4 3 2 2 3" xfId="5124"/>
    <cellStyle name="Обычный 6 3 4 3 2 3" xfId="2781"/>
    <cellStyle name="Обычный 6 3 4 3 2 3 2" xfId="5905"/>
    <cellStyle name="Обычный 6 3 4 3 2 4" xfId="4343"/>
    <cellStyle name="Обычный 6 3 4 3 3" xfId="1609"/>
    <cellStyle name="Обычный 6 3 4 3 3 2" xfId="3171"/>
    <cellStyle name="Обычный 6 3 4 3 3 2 2" xfId="6295"/>
    <cellStyle name="Обычный 6 3 4 3 3 3" xfId="4733"/>
    <cellStyle name="Обычный 6 3 4 3 4" xfId="2390"/>
    <cellStyle name="Обычный 6 3 4 3 4 2" xfId="5514"/>
    <cellStyle name="Обычный 6 3 4 3 5" xfId="3952"/>
    <cellStyle name="Обычный 6 3 4 4" xfId="1023"/>
    <cellStyle name="Обычный 6 3 4 4 2" xfId="1805"/>
    <cellStyle name="Обычный 6 3 4 4 2 2" xfId="3367"/>
    <cellStyle name="Обычный 6 3 4 4 2 2 2" xfId="6491"/>
    <cellStyle name="Обычный 6 3 4 4 2 3" xfId="4929"/>
    <cellStyle name="Обычный 6 3 4 4 3" xfId="2586"/>
    <cellStyle name="Обычный 6 3 4 4 3 2" xfId="5710"/>
    <cellStyle name="Обычный 6 3 4 4 4" xfId="4148"/>
    <cellStyle name="Обычный 6 3 4 5" xfId="1414"/>
    <cellStyle name="Обычный 6 3 4 5 2" xfId="2976"/>
    <cellStyle name="Обычный 6 3 4 5 2 2" xfId="6100"/>
    <cellStyle name="Обычный 6 3 4 5 3" xfId="4538"/>
    <cellStyle name="Обычный 6 3 4 6" xfId="2195"/>
    <cellStyle name="Обычный 6 3 4 6 2" xfId="5319"/>
    <cellStyle name="Обычный 6 3 4 7" xfId="3757"/>
    <cellStyle name="Обычный 6 3 5" xfId="572"/>
    <cellStyle name="Обычный 6 3 6" xfId="820"/>
    <cellStyle name="Обычный 6 3 6 2" xfId="1213"/>
    <cellStyle name="Обычный 6 3 6 2 2" xfId="1995"/>
    <cellStyle name="Обычный 6 3 6 2 2 2" xfId="3557"/>
    <cellStyle name="Обычный 6 3 6 2 2 2 2" xfId="6681"/>
    <cellStyle name="Обычный 6 3 6 2 2 3" xfId="5119"/>
    <cellStyle name="Обычный 6 3 6 2 3" xfId="2776"/>
    <cellStyle name="Обычный 6 3 6 2 3 2" xfId="5900"/>
    <cellStyle name="Обычный 6 3 6 2 4" xfId="4338"/>
    <cellStyle name="Обычный 6 3 6 3" xfId="1604"/>
    <cellStyle name="Обычный 6 3 6 3 2" xfId="3166"/>
    <cellStyle name="Обычный 6 3 6 3 2 2" xfId="6290"/>
    <cellStyle name="Обычный 6 3 6 3 3" xfId="4728"/>
    <cellStyle name="Обычный 6 3 6 4" xfId="2385"/>
    <cellStyle name="Обычный 6 3 6 4 2" xfId="5509"/>
    <cellStyle name="Обычный 6 3 6 5" xfId="3947"/>
    <cellStyle name="Обычный 6 3 7" xfId="1018"/>
    <cellStyle name="Обычный 6 3 7 2" xfId="1800"/>
    <cellStyle name="Обычный 6 3 7 2 2" xfId="3362"/>
    <cellStyle name="Обычный 6 3 7 2 2 2" xfId="6486"/>
    <cellStyle name="Обычный 6 3 7 2 3" xfId="4924"/>
    <cellStyle name="Обычный 6 3 7 3" xfId="2581"/>
    <cellStyle name="Обычный 6 3 7 3 2" xfId="5705"/>
    <cellStyle name="Обычный 6 3 7 4" xfId="4143"/>
    <cellStyle name="Обычный 6 3 8" xfId="1409"/>
    <cellStyle name="Обычный 6 3 8 2" xfId="2971"/>
    <cellStyle name="Обычный 6 3 8 2 2" xfId="6095"/>
    <cellStyle name="Обычный 6 3 8 3" xfId="4533"/>
    <cellStyle name="Обычный 6 3 9" xfId="2190"/>
    <cellStyle name="Обычный 6 3 9 2" xfId="5314"/>
    <cellStyle name="Обычный 6 4" xfId="144"/>
    <cellStyle name="Обычный 6 4 2" xfId="145"/>
    <cellStyle name="Обычный 6 4 2 2" xfId="146"/>
    <cellStyle name="Обычный 6 4 2 2 2" xfId="573"/>
    <cellStyle name="Обычный 6 4 2 2 3" xfId="828"/>
    <cellStyle name="Обычный 6 4 2 2 3 2" xfId="1221"/>
    <cellStyle name="Обычный 6 4 2 2 3 2 2" xfId="2003"/>
    <cellStyle name="Обычный 6 4 2 2 3 2 2 2" xfId="3565"/>
    <cellStyle name="Обычный 6 4 2 2 3 2 2 2 2" xfId="6689"/>
    <cellStyle name="Обычный 6 4 2 2 3 2 2 3" xfId="5127"/>
    <cellStyle name="Обычный 6 4 2 2 3 2 3" xfId="2784"/>
    <cellStyle name="Обычный 6 4 2 2 3 2 3 2" xfId="5908"/>
    <cellStyle name="Обычный 6 4 2 2 3 2 4" xfId="4346"/>
    <cellStyle name="Обычный 6 4 2 2 3 3" xfId="1612"/>
    <cellStyle name="Обычный 6 4 2 2 3 3 2" xfId="3174"/>
    <cellStyle name="Обычный 6 4 2 2 3 3 2 2" xfId="6298"/>
    <cellStyle name="Обычный 6 4 2 2 3 3 3" xfId="4736"/>
    <cellStyle name="Обычный 6 4 2 2 3 4" xfId="2393"/>
    <cellStyle name="Обычный 6 4 2 2 3 4 2" xfId="5517"/>
    <cellStyle name="Обычный 6 4 2 2 3 5" xfId="3955"/>
    <cellStyle name="Обычный 6 4 2 2 4" xfId="1026"/>
    <cellStyle name="Обычный 6 4 2 2 4 2" xfId="1808"/>
    <cellStyle name="Обычный 6 4 2 2 4 2 2" xfId="3370"/>
    <cellStyle name="Обычный 6 4 2 2 4 2 2 2" xfId="6494"/>
    <cellStyle name="Обычный 6 4 2 2 4 2 3" xfId="4932"/>
    <cellStyle name="Обычный 6 4 2 2 4 3" xfId="2589"/>
    <cellStyle name="Обычный 6 4 2 2 4 3 2" xfId="5713"/>
    <cellStyle name="Обычный 6 4 2 2 4 4" xfId="4151"/>
    <cellStyle name="Обычный 6 4 2 2 5" xfId="1417"/>
    <cellStyle name="Обычный 6 4 2 2 5 2" xfId="2979"/>
    <cellStyle name="Обычный 6 4 2 2 5 2 2" xfId="6103"/>
    <cellStyle name="Обычный 6 4 2 2 5 3" xfId="4541"/>
    <cellStyle name="Обычный 6 4 2 2 6" xfId="2198"/>
    <cellStyle name="Обычный 6 4 2 2 6 2" xfId="5322"/>
    <cellStyle name="Обычный 6 4 2 2 7" xfId="3760"/>
    <cellStyle name="Обычный 6 4 2 3" xfId="147"/>
    <cellStyle name="Обычный 6 4 2 3 2" xfId="829"/>
    <cellStyle name="Обычный 6 4 2 3 2 2" xfId="1222"/>
    <cellStyle name="Обычный 6 4 2 3 2 2 2" xfId="2004"/>
    <cellStyle name="Обычный 6 4 2 3 2 2 2 2" xfId="3566"/>
    <cellStyle name="Обычный 6 4 2 3 2 2 2 2 2" xfId="6690"/>
    <cellStyle name="Обычный 6 4 2 3 2 2 2 3" xfId="5128"/>
    <cellStyle name="Обычный 6 4 2 3 2 2 3" xfId="2785"/>
    <cellStyle name="Обычный 6 4 2 3 2 2 3 2" xfId="5909"/>
    <cellStyle name="Обычный 6 4 2 3 2 2 4" xfId="4347"/>
    <cellStyle name="Обычный 6 4 2 3 2 3" xfId="1613"/>
    <cellStyle name="Обычный 6 4 2 3 2 3 2" xfId="3175"/>
    <cellStyle name="Обычный 6 4 2 3 2 3 2 2" xfId="6299"/>
    <cellStyle name="Обычный 6 4 2 3 2 3 3" xfId="4737"/>
    <cellStyle name="Обычный 6 4 2 3 2 4" xfId="2394"/>
    <cellStyle name="Обычный 6 4 2 3 2 4 2" xfId="5518"/>
    <cellStyle name="Обычный 6 4 2 3 2 5" xfId="3956"/>
    <cellStyle name="Обычный 6 4 2 3 3" xfId="1027"/>
    <cellStyle name="Обычный 6 4 2 3 3 2" xfId="1809"/>
    <cellStyle name="Обычный 6 4 2 3 3 2 2" xfId="3371"/>
    <cellStyle name="Обычный 6 4 2 3 3 2 2 2" xfId="6495"/>
    <cellStyle name="Обычный 6 4 2 3 3 2 3" xfId="4933"/>
    <cellStyle name="Обычный 6 4 2 3 3 3" xfId="2590"/>
    <cellStyle name="Обычный 6 4 2 3 3 3 2" xfId="5714"/>
    <cellStyle name="Обычный 6 4 2 3 3 4" xfId="4152"/>
    <cellStyle name="Обычный 6 4 2 3 4" xfId="1418"/>
    <cellStyle name="Обычный 6 4 2 3 4 2" xfId="2980"/>
    <cellStyle name="Обычный 6 4 2 3 4 2 2" xfId="6104"/>
    <cellStyle name="Обычный 6 4 2 3 4 3" xfId="4542"/>
    <cellStyle name="Обычный 6 4 2 3 5" xfId="2199"/>
    <cellStyle name="Обычный 6 4 2 3 5 2" xfId="5323"/>
    <cellStyle name="Обычный 6 4 2 3 6" xfId="3761"/>
    <cellStyle name="Обычный 6 4 2 4" xfId="827"/>
    <cellStyle name="Обычный 6 4 2 4 2" xfId="1220"/>
    <cellStyle name="Обычный 6 4 2 4 2 2" xfId="2002"/>
    <cellStyle name="Обычный 6 4 2 4 2 2 2" xfId="3564"/>
    <cellStyle name="Обычный 6 4 2 4 2 2 2 2" xfId="6688"/>
    <cellStyle name="Обычный 6 4 2 4 2 2 3" xfId="5126"/>
    <cellStyle name="Обычный 6 4 2 4 2 3" xfId="2783"/>
    <cellStyle name="Обычный 6 4 2 4 2 3 2" xfId="5907"/>
    <cellStyle name="Обычный 6 4 2 4 2 4" xfId="4345"/>
    <cellStyle name="Обычный 6 4 2 4 3" xfId="1611"/>
    <cellStyle name="Обычный 6 4 2 4 3 2" xfId="3173"/>
    <cellStyle name="Обычный 6 4 2 4 3 2 2" xfId="6297"/>
    <cellStyle name="Обычный 6 4 2 4 3 3" xfId="4735"/>
    <cellStyle name="Обычный 6 4 2 4 4" xfId="2392"/>
    <cellStyle name="Обычный 6 4 2 4 4 2" xfId="5516"/>
    <cellStyle name="Обычный 6 4 2 4 5" xfId="3954"/>
    <cellStyle name="Обычный 6 4 2 5" xfId="1025"/>
    <cellStyle name="Обычный 6 4 2 5 2" xfId="1807"/>
    <cellStyle name="Обычный 6 4 2 5 2 2" xfId="3369"/>
    <cellStyle name="Обычный 6 4 2 5 2 2 2" xfId="6493"/>
    <cellStyle name="Обычный 6 4 2 5 2 3" xfId="4931"/>
    <cellStyle name="Обычный 6 4 2 5 3" xfId="2588"/>
    <cellStyle name="Обычный 6 4 2 5 3 2" xfId="5712"/>
    <cellStyle name="Обычный 6 4 2 5 4" xfId="4150"/>
    <cellStyle name="Обычный 6 4 2 6" xfId="1416"/>
    <cellStyle name="Обычный 6 4 2 6 2" xfId="2978"/>
    <cellStyle name="Обычный 6 4 2 6 2 2" xfId="6102"/>
    <cellStyle name="Обычный 6 4 2 6 3" xfId="4540"/>
    <cellStyle name="Обычный 6 4 2 7" xfId="2197"/>
    <cellStyle name="Обычный 6 4 2 7 2" xfId="5321"/>
    <cellStyle name="Обычный 6 4 2 8" xfId="3759"/>
    <cellStyle name="Обычный 6 4 3" xfId="148"/>
    <cellStyle name="Обычный 6 4 3 2" xfId="574"/>
    <cellStyle name="Обычный 6 4 3 3" xfId="830"/>
    <cellStyle name="Обычный 6 4 3 3 2" xfId="1223"/>
    <cellStyle name="Обычный 6 4 3 3 2 2" xfId="2005"/>
    <cellStyle name="Обычный 6 4 3 3 2 2 2" xfId="3567"/>
    <cellStyle name="Обычный 6 4 3 3 2 2 2 2" xfId="6691"/>
    <cellStyle name="Обычный 6 4 3 3 2 2 3" xfId="5129"/>
    <cellStyle name="Обычный 6 4 3 3 2 3" xfId="2786"/>
    <cellStyle name="Обычный 6 4 3 3 2 3 2" xfId="5910"/>
    <cellStyle name="Обычный 6 4 3 3 2 4" xfId="4348"/>
    <cellStyle name="Обычный 6 4 3 3 3" xfId="1614"/>
    <cellStyle name="Обычный 6 4 3 3 3 2" xfId="3176"/>
    <cellStyle name="Обычный 6 4 3 3 3 2 2" xfId="6300"/>
    <cellStyle name="Обычный 6 4 3 3 3 3" xfId="4738"/>
    <cellStyle name="Обычный 6 4 3 3 4" xfId="2395"/>
    <cellStyle name="Обычный 6 4 3 3 4 2" xfId="5519"/>
    <cellStyle name="Обычный 6 4 3 3 5" xfId="3957"/>
    <cellStyle name="Обычный 6 4 3 4" xfId="1028"/>
    <cellStyle name="Обычный 6 4 3 4 2" xfId="1810"/>
    <cellStyle name="Обычный 6 4 3 4 2 2" xfId="3372"/>
    <cellStyle name="Обычный 6 4 3 4 2 2 2" xfId="6496"/>
    <cellStyle name="Обычный 6 4 3 4 2 3" xfId="4934"/>
    <cellStyle name="Обычный 6 4 3 4 3" xfId="2591"/>
    <cellStyle name="Обычный 6 4 3 4 3 2" xfId="5715"/>
    <cellStyle name="Обычный 6 4 3 4 4" xfId="4153"/>
    <cellStyle name="Обычный 6 4 3 5" xfId="1419"/>
    <cellStyle name="Обычный 6 4 3 5 2" xfId="2981"/>
    <cellStyle name="Обычный 6 4 3 5 2 2" xfId="6105"/>
    <cellStyle name="Обычный 6 4 3 5 3" xfId="4543"/>
    <cellStyle name="Обычный 6 4 3 6" xfId="2200"/>
    <cellStyle name="Обычный 6 4 3 6 2" xfId="5324"/>
    <cellStyle name="Обычный 6 4 3 7" xfId="3762"/>
    <cellStyle name="Обычный 6 4 4" xfId="149"/>
    <cellStyle name="Обычный 6 4 4 2" xfId="831"/>
    <cellStyle name="Обычный 6 4 4 2 2" xfId="1224"/>
    <cellStyle name="Обычный 6 4 4 2 2 2" xfId="2006"/>
    <cellStyle name="Обычный 6 4 4 2 2 2 2" xfId="3568"/>
    <cellStyle name="Обычный 6 4 4 2 2 2 2 2" xfId="6692"/>
    <cellStyle name="Обычный 6 4 4 2 2 2 3" xfId="5130"/>
    <cellStyle name="Обычный 6 4 4 2 2 3" xfId="2787"/>
    <cellStyle name="Обычный 6 4 4 2 2 3 2" xfId="5911"/>
    <cellStyle name="Обычный 6 4 4 2 2 4" xfId="4349"/>
    <cellStyle name="Обычный 6 4 4 2 3" xfId="1615"/>
    <cellStyle name="Обычный 6 4 4 2 3 2" xfId="3177"/>
    <cellStyle name="Обычный 6 4 4 2 3 2 2" xfId="6301"/>
    <cellStyle name="Обычный 6 4 4 2 3 3" xfId="4739"/>
    <cellStyle name="Обычный 6 4 4 2 4" xfId="2396"/>
    <cellStyle name="Обычный 6 4 4 2 4 2" xfId="5520"/>
    <cellStyle name="Обычный 6 4 4 2 5" xfId="3958"/>
    <cellStyle name="Обычный 6 4 4 3" xfId="1029"/>
    <cellStyle name="Обычный 6 4 4 3 2" xfId="1811"/>
    <cellStyle name="Обычный 6 4 4 3 2 2" xfId="3373"/>
    <cellStyle name="Обычный 6 4 4 3 2 2 2" xfId="6497"/>
    <cellStyle name="Обычный 6 4 4 3 2 3" xfId="4935"/>
    <cellStyle name="Обычный 6 4 4 3 3" xfId="2592"/>
    <cellStyle name="Обычный 6 4 4 3 3 2" xfId="5716"/>
    <cellStyle name="Обычный 6 4 4 3 4" xfId="4154"/>
    <cellStyle name="Обычный 6 4 4 4" xfId="1420"/>
    <cellStyle name="Обычный 6 4 4 4 2" xfId="2982"/>
    <cellStyle name="Обычный 6 4 4 4 2 2" xfId="6106"/>
    <cellStyle name="Обычный 6 4 4 4 3" xfId="4544"/>
    <cellStyle name="Обычный 6 4 4 5" xfId="2201"/>
    <cellStyle name="Обычный 6 4 4 5 2" xfId="5325"/>
    <cellStyle name="Обычный 6 4 4 6" xfId="3763"/>
    <cellStyle name="Обычный 6 4 5" xfId="826"/>
    <cellStyle name="Обычный 6 4 5 2" xfId="1219"/>
    <cellStyle name="Обычный 6 4 5 2 2" xfId="2001"/>
    <cellStyle name="Обычный 6 4 5 2 2 2" xfId="3563"/>
    <cellStyle name="Обычный 6 4 5 2 2 2 2" xfId="6687"/>
    <cellStyle name="Обычный 6 4 5 2 2 3" xfId="5125"/>
    <cellStyle name="Обычный 6 4 5 2 3" xfId="2782"/>
    <cellStyle name="Обычный 6 4 5 2 3 2" xfId="5906"/>
    <cellStyle name="Обычный 6 4 5 2 4" xfId="4344"/>
    <cellStyle name="Обычный 6 4 5 3" xfId="1610"/>
    <cellStyle name="Обычный 6 4 5 3 2" xfId="3172"/>
    <cellStyle name="Обычный 6 4 5 3 2 2" xfId="6296"/>
    <cellStyle name="Обычный 6 4 5 3 3" xfId="4734"/>
    <cellStyle name="Обычный 6 4 5 4" xfId="2391"/>
    <cellStyle name="Обычный 6 4 5 4 2" xfId="5515"/>
    <cellStyle name="Обычный 6 4 5 5" xfId="3953"/>
    <cellStyle name="Обычный 6 4 6" xfId="1024"/>
    <cellStyle name="Обычный 6 4 6 2" xfId="1806"/>
    <cellStyle name="Обычный 6 4 6 2 2" xfId="3368"/>
    <cellStyle name="Обычный 6 4 6 2 2 2" xfId="6492"/>
    <cellStyle name="Обычный 6 4 6 2 3" xfId="4930"/>
    <cellStyle name="Обычный 6 4 6 3" xfId="2587"/>
    <cellStyle name="Обычный 6 4 6 3 2" xfId="5711"/>
    <cellStyle name="Обычный 6 4 6 4" xfId="4149"/>
    <cellStyle name="Обычный 6 4 7" xfId="1415"/>
    <cellStyle name="Обычный 6 4 7 2" xfId="2977"/>
    <cellStyle name="Обычный 6 4 7 2 2" xfId="6101"/>
    <cellStyle name="Обычный 6 4 7 3" xfId="4539"/>
    <cellStyle name="Обычный 6 4 8" xfId="2196"/>
    <cellStyle name="Обычный 6 4 8 2" xfId="5320"/>
    <cellStyle name="Обычный 6 4 9" xfId="3758"/>
    <cellStyle name="Обычный 6 5" xfId="150"/>
    <cellStyle name="Обычный 6 5 2" xfId="151"/>
    <cellStyle name="Обычный 6 5 2 2" xfId="575"/>
    <cellStyle name="Обычный 6 5 2 2 2" xfId="576"/>
    <cellStyle name="Обычный 6 5 2 3" xfId="577"/>
    <cellStyle name="Обычный 6 5 2 4" xfId="833"/>
    <cellStyle name="Обычный 6 5 2 4 2" xfId="1226"/>
    <cellStyle name="Обычный 6 5 2 4 2 2" xfId="2008"/>
    <cellStyle name="Обычный 6 5 2 4 2 2 2" xfId="3570"/>
    <cellStyle name="Обычный 6 5 2 4 2 2 2 2" xfId="6694"/>
    <cellStyle name="Обычный 6 5 2 4 2 2 3" xfId="5132"/>
    <cellStyle name="Обычный 6 5 2 4 2 3" xfId="2789"/>
    <cellStyle name="Обычный 6 5 2 4 2 3 2" xfId="5913"/>
    <cellStyle name="Обычный 6 5 2 4 2 4" xfId="4351"/>
    <cellStyle name="Обычный 6 5 2 4 3" xfId="1617"/>
    <cellStyle name="Обычный 6 5 2 4 3 2" xfId="3179"/>
    <cellStyle name="Обычный 6 5 2 4 3 2 2" xfId="6303"/>
    <cellStyle name="Обычный 6 5 2 4 3 3" xfId="4741"/>
    <cellStyle name="Обычный 6 5 2 4 4" xfId="2398"/>
    <cellStyle name="Обычный 6 5 2 4 4 2" xfId="5522"/>
    <cellStyle name="Обычный 6 5 2 4 5" xfId="3960"/>
    <cellStyle name="Обычный 6 5 2 5" xfId="1031"/>
    <cellStyle name="Обычный 6 5 2 5 2" xfId="1813"/>
    <cellStyle name="Обычный 6 5 2 5 2 2" xfId="3375"/>
    <cellStyle name="Обычный 6 5 2 5 2 2 2" xfId="6499"/>
    <cellStyle name="Обычный 6 5 2 5 2 3" xfId="4937"/>
    <cellStyle name="Обычный 6 5 2 5 3" xfId="2594"/>
    <cellStyle name="Обычный 6 5 2 5 3 2" xfId="5718"/>
    <cellStyle name="Обычный 6 5 2 5 4" xfId="4156"/>
    <cellStyle name="Обычный 6 5 2 6" xfId="1422"/>
    <cellStyle name="Обычный 6 5 2 6 2" xfId="2984"/>
    <cellStyle name="Обычный 6 5 2 6 2 2" xfId="6108"/>
    <cellStyle name="Обычный 6 5 2 6 3" xfId="4546"/>
    <cellStyle name="Обычный 6 5 2 7" xfId="2203"/>
    <cellStyle name="Обычный 6 5 2 7 2" xfId="5327"/>
    <cellStyle name="Обычный 6 5 2 8" xfId="3765"/>
    <cellStyle name="Обычный 6 5 3" xfId="152"/>
    <cellStyle name="Обычный 6 5 3 2" xfId="834"/>
    <cellStyle name="Обычный 6 5 3 2 2" xfId="1227"/>
    <cellStyle name="Обычный 6 5 3 2 2 2" xfId="2009"/>
    <cellStyle name="Обычный 6 5 3 2 2 2 2" xfId="3571"/>
    <cellStyle name="Обычный 6 5 3 2 2 2 2 2" xfId="6695"/>
    <cellStyle name="Обычный 6 5 3 2 2 2 3" xfId="5133"/>
    <cellStyle name="Обычный 6 5 3 2 2 3" xfId="2790"/>
    <cellStyle name="Обычный 6 5 3 2 2 3 2" xfId="5914"/>
    <cellStyle name="Обычный 6 5 3 2 2 4" xfId="4352"/>
    <cellStyle name="Обычный 6 5 3 2 3" xfId="1618"/>
    <cellStyle name="Обычный 6 5 3 2 3 2" xfId="3180"/>
    <cellStyle name="Обычный 6 5 3 2 3 2 2" xfId="6304"/>
    <cellStyle name="Обычный 6 5 3 2 3 3" xfId="4742"/>
    <cellStyle name="Обычный 6 5 3 2 4" xfId="2399"/>
    <cellStyle name="Обычный 6 5 3 2 4 2" xfId="5523"/>
    <cellStyle name="Обычный 6 5 3 2 5" xfId="3961"/>
    <cellStyle name="Обычный 6 5 3 3" xfId="1032"/>
    <cellStyle name="Обычный 6 5 3 3 2" xfId="1814"/>
    <cellStyle name="Обычный 6 5 3 3 2 2" xfId="3376"/>
    <cellStyle name="Обычный 6 5 3 3 2 2 2" xfId="6500"/>
    <cellStyle name="Обычный 6 5 3 3 2 3" xfId="4938"/>
    <cellStyle name="Обычный 6 5 3 3 3" xfId="2595"/>
    <cellStyle name="Обычный 6 5 3 3 3 2" xfId="5719"/>
    <cellStyle name="Обычный 6 5 3 3 4" xfId="4157"/>
    <cellStyle name="Обычный 6 5 3 4" xfId="1423"/>
    <cellStyle name="Обычный 6 5 3 4 2" xfId="2985"/>
    <cellStyle name="Обычный 6 5 3 4 2 2" xfId="6109"/>
    <cellStyle name="Обычный 6 5 3 4 3" xfId="4547"/>
    <cellStyle name="Обычный 6 5 3 5" xfId="2204"/>
    <cellStyle name="Обычный 6 5 3 5 2" xfId="5328"/>
    <cellStyle name="Обычный 6 5 3 6" xfId="3766"/>
    <cellStyle name="Обычный 6 5 4" xfId="697"/>
    <cellStyle name="Обычный 6 5 4 2" xfId="922"/>
    <cellStyle name="Обычный 6 5 4 2 2" xfId="1315"/>
    <cellStyle name="Обычный 6 5 4 2 2 2" xfId="2097"/>
    <cellStyle name="Обычный 6 5 4 2 2 2 2" xfId="3659"/>
    <cellStyle name="Обычный 6 5 4 2 2 2 2 2" xfId="6783"/>
    <cellStyle name="Обычный 6 5 4 2 2 2 3" xfId="5221"/>
    <cellStyle name="Обычный 6 5 4 2 2 3" xfId="2878"/>
    <cellStyle name="Обычный 6 5 4 2 2 3 2" xfId="6002"/>
    <cellStyle name="Обычный 6 5 4 2 2 4" xfId="4440"/>
    <cellStyle name="Обычный 6 5 4 2 3" xfId="1706"/>
    <cellStyle name="Обычный 6 5 4 2 3 2" xfId="3268"/>
    <cellStyle name="Обычный 6 5 4 2 3 2 2" xfId="6392"/>
    <cellStyle name="Обычный 6 5 4 2 3 3" xfId="4830"/>
    <cellStyle name="Обычный 6 5 4 2 4" xfId="2487"/>
    <cellStyle name="Обычный 6 5 4 2 4 2" xfId="5611"/>
    <cellStyle name="Обычный 6 5 4 2 5" xfId="4049"/>
    <cellStyle name="Обычный 6 5 4 3" xfId="1120"/>
    <cellStyle name="Обычный 6 5 4 3 2" xfId="1902"/>
    <cellStyle name="Обычный 6 5 4 3 2 2" xfId="3464"/>
    <cellStyle name="Обычный 6 5 4 3 2 2 2" xfId="6588"/>
    <cellStyle name="Обычный 6 5 4 3 2 3" xfId="5026"/>
    <cellStyle name="Обычный 6 5 4 3 3" xfId="2683"/>
    <cellStyle name="Обычный 6 5 4 3 3 2" xfId="5807"/>
    <cellStyle name="Обычный 6 5 4 3 4" xfId="4245"/>
    <cellStyle name="Обычный 6 5 4 4" xfId="1511"/>
    <cellStyle name="Обычный 6 5 4 4 2" xfId="3073"/>
    <cellStyle name="Обычный 6 5 4 4 2 2" xfId="6197"/>
    <cellStyle name="Обычный 6 5 4 4 3" xfId="4635"/>
    <cellStyle name="Обычный 6 5 4 5" xfId="2292"/>
    <cellStyle name="Обычный 6 5 4 5 2" xfId="5416"/>
    <cellStyle name="Обычный 6 5 4 6" xfId="3854"/>
    <cellStyle name="Обычный 6 5 5" xfId="832"/>
    <cellStyle name="Обычный 6 5 5 2" xfId="1225"/>
    <cellStyle name="Обычный 6 5 5 2 2" xfId="2007"/>
    <cellStyle name="Обычный 6 5 5 2 2 2" xfId="3569"/>
    <cellStyle name="Обычный 6 5 5 2 2 2 2" xfId="6693"/>
    <cellStyle name="Обычный 6 5 5 2 2 3" xfId="5131"/>
    <cellStyle name="Обычный 6 5 5 2 3" xfId="2788"/>
    <cellStyle name="Обычный 6 5 5 2 3 2" xfId="5912"/>
    <cellStyle name="Обычный 6 5 5 2 4" xfId="4350"/>
    <cellStyle name="Обычный 6 5 5 3" xfId="1616"/>
    <cellStyle name="Обычный 6 5 5 3 2" xfId="3178"/>
    <cellStyle name="Обычный 6 5 5 3 2 2" xfId="6302"/>
    <cellStyle name="Обычный 6 5 5 3 3" xfId="4740"/>
    <cellStyle name="Обычный 6 5 5 4" xfId="2397"/>
    <cellStyle name="Обычный 6 5 5 4 2" xfId="5521"/>
    <cellStyle name="Обычный 6 5 5 5" xfId="3959"/>
    <cellStyle name="Обычный 6 5 6" xfId="1030"/>
    <cellStyle name="Обычный 6 5 6 2" xfId="1812"/>
    <cellStyle name="Обычный 6 5 6 2 2" xfId="3374"/>
    <cellStyle name="Обычный 6 5 6 2 2 2" xfId="6498"/>
    <cellStyle name="Обычный 6 5 6 2 3" xfId="4936"/>
    <cellStyle name="Обычный 6 5 6 3" xfId="2593"/>
    <cellStyle name="Обычный 6 5 6 3 2" xfId="5717"/>
    <cellStyle name="Обычный 6 5 6 4" xfId="4155"/>
    <cellStyle name="Обычный 6 5 7" xfId="1421"/>
    <cellStyle name="Обычный 6 5 7 2" xfId="2983"/>
    <cellStyle name="Обычный 6 5 7 2 2" xfId="6107"/>
    <cellStyle name="Обычный 6 5 7 3" xfId="4545"/>
    <cellStyle name="Обычный 6 5 8" xfId="2202"/>
    <cellStyle name="Обычный 6 5 8 2" xfId="5326"/>
    <cellStyle name="Обычный 6 5 9" xfId="3764"/>
    <cellStyle name="Обычный 6 6" xfId="153"/>
    <cellStyle name="Обычный 6 6 10" xfId="3767"/>
    <cellStyle name="Обычный 6 6 2" xfId="578"/>
    <cellStyle name="Обычный 6 6 2 2" xfId="698"/>
    <cellStyle name="Обычный 6 6 2 2 2" xfId="923"/>
    <cellStyle name="Обычный 6 6 2 2 2 2" xfId="1316"/>
    <cellStyle name="Обычный 6 6 2 2 2 2 2" xfId="2098"/>
    <cellStyle name="Обычный 6 6 2 2 2 2 2 2" xfId="3660"/>
    <cellStyle name="Обычный 6 6 2 2 2 2 2 2 2" xfId="6784"/>
    <cellStyle name="Обычный 6 6 2 2 2 2 2 3" xfId="5222"/>
    <cellStyle name="Обычный 6 6 2 2 2 2 3" xfId="2879"/>
    <cellStyle name="Обычный 6 6 2 2 2 2 3 2" xfId="6003"/>
    <cellStyle name="Обычный 6 6 2 2 2 2 4" xfId="4441"/>
    <cellStyle name="Обычный 6 6 2 2 2 3" xfId="1707"/>
    <cellStyle name="Обычный 6 6 2 2 2 3 2" xfId="3269"/>
    <cellStyle name="Обычный 6 6 2 2 2 3 2 2" xfId="6393"/>
    <cellStyle name="Обычный 6 6 2 2 2 3 3" xfId="4831"/>
    <cellStyle name="Обычный 6 6 2 2 2 4" xfId="2488"/>
    <cellStyle name="Обычный 6 6 2 2 2 4 2" xfId="5612"/>
    <cellStyle name="Обычный 6 6 2 2 2 5" xfId="4050"/>
    <cellStyle name="Обычный 6 6 2 2 3" xfId="1121"/>
    <cellStyle name="Обычный 6 6 2 2 3 2" xfId="1903"/>
    <cellStyle name="Обычный 6 6 2 2 3 2 2" xfId="3465"/>
    <cellStyle name="Обычный 6 6 2 2 3 2 2 2" xfId="6589"/>
    <cellStyle name="Обычный 6 6 2 2 3 2 3" xfId="5027"/>
    <cellStyle name="Обычный 6 6 2 2 3 3" xfId="2684"/>
    <cellStyle name="Обычный 6 6 2 2 3 3 2" xfId="5808"/>
    <cellStyle name="Обычный 6 6 2 2 3 4" xfId="4246"/>
    <cellStyle name="Обычный 6 6 2 2 4" xfId="1512"/>
    <cellStyle name="Обычный 6 6 2 2 4 2" xfId="3074"/>
    <cellStyle name="Обычный 6 6 2 2 4 2 2" xfId="6198"/>
    <cellStyle name="Обычный 6 6 2 2 4 3" xfId="4636"/>
    <cellStyle name="Обычный 6 6 2 2 5" xfId="2293"/>
    <cellStyle name="Обычный 6 6 2 2 5 2" xfId="5417"/>
    <cellStyle name="Обычный 6 6 2 2 6" xfId="3855"/>
    <cellStyle name="Обычный 6 6 2 3" xfId="909"/>
    <cellStyle name="Обычный 6 6 2 3 2" xfId="1302"/>
    <cellStyle name="Обычный 6 6 2 3 2 2" xfId="2084"/>
    <cellStyle name="Обычный 6 6 2 3 2 2 2" xfId="3646"/>
    <cellStyle name="Обычный 6 6 2 3 2 2 2 2" xfId="6770"/>
    <cellStyle name="Обычный 6 6 2 3 2 2 3" xfId="5208"/>
    <cellStyle name="Обычный 6 6 2 3 2 3" xfId="2865"/>
    <cellStyle name="Обычный 6 6 2 3 2 3 2" xfId="5989"/>
    <cellStyle name="Обычный 6 6 2 3 2 4" xfId="4427"/>
    <cellStyle name="Обычный 6 6 2 3 3" xfId="1693"/>
    <cellStyle name="Обычный 6 6 2 3 3 2" xfId="3255"/>
    <cellStyle name="Обычный 6 6 2 3 3 2 2" xfId="6379"/>
    <cellStyle name="Обычный 6 6 2 3 3 3" xfId="4817"/>
    <cellStyle name="Обычный 6 6 2 3 4" xfId="2474"/>
    <cellStyle name="Обычный 6 6 2 3 4 2" xfId="5598"/>
    <cellStyle name="Обычный 6 6 2 3 5" xfId="4036"/>
    <cellStyle name="Обычный 6 6 2 4" xfId="1107"/>
    <cellStyle name="Обычный 6 6 2 4 2" xfId="1889"/>
    <cellStyle name="Обычный 6 6 2 4 2 2" xfId="3451"/>
    <cellStyle name="Обычный 6 6 2 4 2 2 2" xfId="6575"/>
    <cellStyle name="Обычный 6 6 2 4 2 3" xfId="5013"/>
    <cellStyle name="Обычный 6 6 2 4 3" xfId="2670"/>
    <cellStyle name="Обычный 6 6 2 4 3 2" xfId="5794"/>
    <cellStyle name="Обычный 6 6 2 4 4" xfId="4232"/>
    <cellStyle name="Обычный 6 6 2 5" xfId="1498"/>
    <cellStyle name="Обычный 6 6 2 5 2" xfId="3060"/>
    <cellStyle name="Обычный 6 6 2 5 2 2" xfId="6184"/>
    <cellStyle name="Обычный 6 6 2 5 3" xfId="4622"/>
    <cellStyle name="Обычный 6 6 2 6" xfId="2279"/>
    <cellStyle name="Обычный 6 6 2 6 2" xfId="5403"/>
    <cellStyle name="Обычный 6 6 2 7" xfId="3841"/>
    <cellStyle name="Обычный 6 6 3" xfId="699"/>
    <cellStyle name="Обычный 6 6 3 2" xfId="924"/>
    <cellStyle name="Обычный 6 6 3 2 2" xfId="1317"/>
    <cellStyle name="Обычный 6 6 3 2 2 2" xfId="2099"/>
    <cellStyle name="Обычный 6 6 3 2 2 2 2" xfId="3661"/>
    <cellStyle name="Обычный 6 6 3 2 2 2 2 2" xfId="6785"/>
    <cellStyle name="Обычный 6 6 3 2 2 2 3" xfId="5223"/>
    <cellStyle name="Обычный 6 6 3 2 2 3" xfId="2880"/>
    <cellStyle name="Обычный 6 6 3 2 2 3 2" xfId="6004"/>
    <cellStyle name="Обычный 6 6 3 2 2 4" xfId="4442"/>
    <cellStyle name="Обычный 6 6 3 2 3" xfId="1708"/>
    <cellStyle name="Обычный 6 6 3 2 3 2" xfId="3270"/>
    <cellStyle name="Обычный 6 6 3 2 3 2 2" xfId="6394"/>
    <cellStyle name="Обычный 6 6 3 2 3 3" xfId="4832"/>
    <cellStyle name="Обычный 6 6 3 2 4" xfId="2489"/>
    <cellStyle name="Обычный 6 6 3 2 4 2" xfId="5613"/>
    <cellStyle name="Обычный 6 6 3 2 5" xfId="4051"/>
    <cellStyle name="Обычный 6 6 3 3" xfId="1122"/>
    <cellStyle name="Обычный 6 6 3 3 2" xfId="1904"/>
    <cellStyle name="Обычный 6 6 3 3 2 2" xfId="3466"/>
    <cellStyle name="Обычный 6 6 3 3 2 2 2" xfId="6590"/>
    <cellStyle name="Обычный 6 6 3 3 2 3" xfId="5028"/>
    <cellStyle name="Обычный 6 6 3 3 3" xfId="2685"/>
    <cellStyle name="Обычный 6 6 3 3 3 2" xfId="5809"/>
    <cellStyle name="Обычный 6 6 3 3 4" xfId="4247"/>
    <cellStyle name="Обычный 6 6 3 4" xfId="1513"/>
    <cellStyle name="Обычный 6 6 3 4 2" xfId="3075"/>
    <cellStyle name="Обычный 6 6 3 4 2 2" xfId="6199"/>
    <cellStyle name="Обычный 6 6 3 4 3" xfId="4637"/>
    <cellStyle name="Обычный 6 6 3 5" xfId="2294"/>
    <cellStyle name="Обычный 6 6 3 5 2" xfId="5418"/>
    <cellStyle name="Обычный 6 6 3 6" xfId="3856"/>
    <cellStyle name="Обычный 6 6 4" xfId="700"/>
    <cellStyle name="Обычный 6 6 4 2" xfId="925"/>
    <cellStyle name="Обычный 6 6 4 2 2" xfId="1318"/>
    <cellStyle name="Обычный 6 6 4 2 2 2" xfId="2100"/>
    <cellStyle name="Обычный 6 6 4 2 2 2 2" xfId="3662"/>
    <cellStyle name="Обычный 6 6 4 2 2 2 2 2" xfId="6786"/>
    <cellStyle name="Обычный 6 6 4 2 2 2 3" xfId="5224"/>
    <cellStyle name="Обычный 6 6 4 2 2 3" xfId="2881"/>
    <cellStyle name="Обычный 6 6 4 2 2 3 2" xfId="6005"/>
    <cellStyle name="Обычный 6 6 4 2 2 4" xfId="4443"/>
    <cellStyle name="Обычный 6 6 4 2 3" xfId="1709"/>
    <cellStyle name="Обычный 6 6 4 2 3 2" xfId="3271"/>
    <cellStyle name="Обычный 6 6 4 2 3 2 2" xfId="6395"/>
    <cellStyle name="Обычный 6 6 4 2 3 3" xfId="4833"/>
    <cellStyle name="Обычный 6 6 4 2 4" xfId="2490"/>
    <cellStyle name="Обычный 6 6 4 2 4 2" xfId="5614"/>
    <cellStyle name="Обычный 6 6 4 2 5" xfId="4052"/>
    <cellStyle name="Обычный 6 6 4 3" xfId="1123"/>
    <cellStyle name="Обычный 6 6 4 3 2" xfId="1905"/>
    <cellStyle name="Обычный 6 6 4 3 2 2" xfId="3467"/>
    <cellStyle name="Обычный 6 6 4 3 2 2 2" xfId="6591"/>
    <cellStyle name="Обычный 6 6 4 3 2 3" xfId="5029"/>
    <cellStyle name="Обычный 6 6 4 3 3" xfId="2686"/>
    <cellStyle name="Обычный 6 6 4 3 3 2" xfId="5810"/>
    <cellStyle name="Обычный 6 6 4 3 4" xfId="4248"/>
    <cellStyle name="Обычный 6 6 4 4" xfId="1514"/>
    <cellStyle name="Обычный 6 6 4 4 2" xfId="3076"/>
    <cellStyle name="Обычный 6 6 4 4 2 2" xfId="6200"/>
    <cellStyle name="Обычный 6 6 4 4 3" xfId="4638"/>
    <cellStyle name="Обычный 6 6 4 5" xfId="2295"/>
    <cellStyle name="Обычный 6 6 4 5 2" xfId="5419"/>
    <cellStyle name="Обычный 6 6 4 6" xfId="3857"/>
    <cellStyle name="Обычный 6 6 5" xfId="701"/>
    <cellStyle name="Обычный 6 6 5 2" xfId="926"/>
    <cellStyle name="Обычный 6 6 5 2 2" xfId="1319"/>
    <cellStyle name="Обычный 6 6 5 2 2 2" xfId="2101"/>
    <cellStyle name="Обычный 6 6 5 2 2 2 2" xfId="3663"/>
    <cellStyle name="Обычный 6 6 5 2 2 2 2 2" xfId="6787"/>
    <cellStyle name="Обычный 6 6 5 2 2 2 3" xfId="5225"/>
    <cellStyle name="Обычный 6 6 5 2 2 3" xfId="2882"/>
    <cellStyle name="Обычный 6 6 5 2 2 3 2" xfId="6006"/>
    <cellStyle name="Обычный 6 6 5 2 2 4" xfId="4444"/>
    <cellStyle name="Обычный 6 6 5 2 3" xfId="1710"/>
    <cellStyle name="Обычный 6 6 5 2 3 2" xfId="3272"/>
    <cellStyle name="Обычный 6 6 5 2 3 2 2" xfId="6396"/>
    <cellStyle name="Обычный 6 6 5 2 3 3" xfId="4834"/>
    <cellStyle name="Обычный 6 6 5 2 4" xfId="2491"/>
    <cellStyle name="Обычный 6 6 5 2 4 2" xfId="5615"/>
    <cellStyle name="Обычный 6 6 5 2 5" xfId="4053"/>
    <cellStyle name="Обычный 6 6 5 3" xfId="1124"/>
    <cellStyle name="Обычный 6 6 5 3 2" xfId="1906"/>
    <cellStyle name="Обычный 6 6 5 3 2 2" xfId="3468"/>
    <cellStyle name="Обычный 6 6 5 3 2 2 2" xfId="6592"/>
    <cellStyle name="Обычный 6 6 5 3 2 3" xfId="5030"/>
    <cellStyle name="Обычный 6 6 5 3 3" xfId="2687"/>
    <cellStyle name="Обычный 6 6 5 3 3 2" xfId="5811"/>
    <cellStyle name="Обычный 6 6 5 3 4" xfId="4249"/>
    <cellStyle name="Обычный 6 6 5 4" xfId="1515"/>
    <cellStyle name="Обычный 6 6 5 4 2" xfId="3077"/>
    <cellStyle name="Обычный 6 6 5 4 2 2" xfId="6201"/>
    <cellStyle name="Обычный 6 6 5 4 3" xfId="4639"/>
    <cellStyle name="Обычный 6 6 5 5" xfId="2296"/>
    <cellStyle name="Обычный 6 6 5 5 2" xfId="5420"/>
    <cellStyle name="Обычный 6 6 5 6" xfId="3858"/>
    <cellStyle name="Обычный 6 6 6" xfId="835"/>
    <cellStyle name="Обычный 6 6 6 2" xfId="1228"/>
    <cellStyle name="Обычный 6 6 6 2 2" xfId="2010"/>
    <cellStyle name="Обычный 6 6 6 2 2 2" xfId="3572"/>
    <cellStyle name="Обычный 6 6 6 2 2 2 2" xfId="6696"/>
    <cellStyle name="Обычный 6 6 6 2 2 3" xfId="5134"/>
    <cellStyle name="Обычный 6 6 6 2 3" xfId="2791"/>
    <cellStyle name="Обычный 6 6 6 2 3 2" xfId="5915"/>
    <cellStyle name="Обычный 6 6 6 2 4" xfId="4353"/>
    <cellStyle name="Обычный 6 6 6 3" xfId="1619"/>
    <cellStyle name="Обычный 6 6 6 3 2" xfId="3181"/>
    <cellStyle name="Обычный 6 6 6 3 2 2" xfId="6305"/>
    <cellStyle name="Обычный 6 6 6 3 3" xfId="4743"/>
    <cellStyle name="Обычный 6 6 6 4" xfId="2400"/>
    <cellStyle name="Обычный 6 6 6 4 2" xfId="5524"/>
    <cellStyle name="Обычный 6 6 6 5" xfId="3962"/>
    <cellStyle name="Обычный 6 6 7" xfId="1033"/>
    <cellStyle name="Обычный 6 6 7 2" xfId="1815"/>
    <cellStyle name="Обычный 6 6 7 2 2" xfId="3377"/>
    <cellStyle name="Обычный 6 6 7 2 2 2" xfId="6501"/>
    <cellStyle name="Обычный 6 6 7 2 3" xfId="4939"/>
    <cellStyle name="Обычный 6 6 7 3" xfId="2596"/>
    <cellStyle name="Обычный 6 6 7 3 2" xfId="5720"/>
    <cellStyle name="Обычный 6 6 7 4" xfId="4158"/>
    <cellStyle name="Обычный 6 6 8" xfId="1424"/>
    <cellStyle name="Обычный 6 6 8 2" xfId="2986"/>
    <cellStyle name="Обычный 6 6 8 2 2" xfId="6110"/>
    <cellStyle name="Обычный 6 6 8 3" xfId="4548"/>
    <cellStyle name="Обычный 6 6 9" xfId="2205"/>
    <cellStyle name="Обычный 6 6 9 2" xfId="5329"/>
    <cellStyle name="Обычный 6 7" xfId="154"/>
    <cellStyle name="Обычный 6 7 2" xfId="702"/>
    <cellStyle name="Обычный 6 7 2 2" xfId="927"/>
    <cellStyle name="Обычный 6 7 2 2 2" xfId="1320"/>
    <cellStyle name="Обычный 6 7 2 2 2 2" xfId="2102"/>
    <cellStyle name="Обычный 6 7 2 2 2 2 2" xfId="3664"/>
    <cellStyle name="Обычный 6 7 2 2 2 2 2 2" xfId="6788"/>
    <cellStyle name="Обычный 6 7 2 2 2 2 3" xfId="5226"/>
    <cellStyle name="Обычный 6 7 2 2 2 3" xfId="2883"/>
    <cellStyle name="Обычный 6 7 2 2 2 3 2" xfId="6007"/>
    <cellStyle name="Обычный 6 7 2 2 2 4" xfId="4445"/>
    <cellStyle name="Обычный 6 7 2 2 3" xfId="1711"/>
    <cellStyle name="Обычный 6 7 2 2 3 2" xfId="3273"/>
    <cellStyle name="Обычный 6 7 2 2 3 2 2" xfId="6397"/>
    <cellStyle name="Обычный 6 7 2 2 3 3" xfId="4835"/>
    <cellStyle name="Обычный 6 7 2 2 4" xfId="2492"/>
    <cellStyle name="Обычный 6 7 2 2 4 2" xfId="5616"/>
    <cellStyle name="Обычный 6 7 2 2 5" xfId="4054"/>
    <cellStyle name="Обычный 6 7 2 3" xfId="1125"/>
    <cellStyle name="Обычный 6 7 2 3 2" xfId="1907"/>
    <cellStyle name="Обычный 6 7 2 3 2 2" xfId="3469"/>
    <cellStyle name="Обычный 6 7 2 3 2 2 2" xfId="6593"/>
    <cellStyle name="Обычный 6 7 2 3 2 3" xfId="5031"/>
    <cellStyle name="Обычный 6 7 2 3 3" xfId="2688"/>
    <cellStyle name="Обычный 6 7 2 3 3 2" xfId="5812"/>
    <cellStyle name="Обычный 6 7 2 3 4" xfId="4250"/>
    <cellStyle name="Обычный 6 7 2 4" xfId="1516"/>
    <cellStyle name="Обычный 6 7 2 4 2" xfId="3078"/>
    <cellStyle name="Обычный 6 7 2 4 2 2" xfId="6202"/>
    <cellStyle name="Обычный 6 7 2 4 3" xfId="4640"/>
    <cellStyle name="Обычный 6 7 2 5" xfId="2297"/>
    <cellStyle name="Обычный 6 7 2 5 2" xfId="5421"/>
    <cellStyle name="Обычный 6 7 2 6" xfId="3859"/>
    <cellStyle name="Обычный 6 7 3" xfId="836"/>
    <cellStyle name="Обычный 6 7 3 2" xfId="1229"/>
    <cellStyle name="Обычный 6 7 3 2 2" xfId="2011"/>
    <cellStyle name="Обычный 6 7 3 2 2 2" xfId="3573"/>
    <cellStyle name="Обычный 6 7 3 2 2 2 2" xfId="6697"/>
    <cellStyle name="Обычный 6 7 3 2 2 3" xfId="5135"/>
    <cellStyle name="Обычный 6 7 3 2 3" xfId="2792"/>
    <cellStyle name="Обычный 6 7 3 2 3 2" xfId="5916"/>
    <cellStyle name="Обычный 6 7 3 2 4" xfId="4354"/>
    <cellStyle name="Обычный 6 7 3 3" xfId="1620"/>
    <cellStyle name="Обычный 6 7 3 3 2" xfId="3182"/>
    <cellStyle name="Обычный 6 7 3 3 2 2" xfId="6306"/>
    <cellStyle name="Обычный 6 7 3 3 3" xfId="4744"/>
    <cellStyle name="Обычный 6 7 3 4" xfId="2401"/>
    <cellStyle name="Обычный 6 7 3 4 2" xfId="5525"/>
    <cellStyle name="Обычный 6 7 3 5" xfId="3963"/>
    <cellStyle name="Обычный 6 7 4" xfId="1034"/>
    <cellStyle name="Обычный 6 7 4 2" xfId="1816"/>
    <cellStyle name="Обычный 6 7 4 2 2" xfId="3378"/>
    <cellStyle name="Обычный 6 7 4 2 2 2" xfId="6502"/>
    <cellStyle name="Обычный 6 7 4 2 3" xfId="4940"/>
    <cellStyle name="Обычный 6 7 4 3" xfId="2597"/>
    <cellStyle name="Обычный 6 7 4 3 2" xfId="5721"/>
    <cellStyle name="Обычный 6 7 4 4" xfId="4159"/>
    <cellStyle name="Обычный 6 7 5" xfId="1425"/>
    <cellStyle name="Обычный 6 7 5 2" xfId="2987"/>
    <cellStyle name="Обычный 6 7 5 2 2" xfId="6111"/>
    <cellStyle name="Обычный 6 7 5 3" xfId="4549"/>
    <cellStyle name="Обычный 6 7 6" xfId="2206"/>
    <cellStyle name="Обычный 6 7 6 2" xfId="5330"/>
    <cellStyle name="Обычный 6 7 7" xfId="3768"/>
    <cellStyle name="Обычный 6 8" xfId="155"/>
    <cellStyle name="Обычный 6 8 2" xfId="703"/>
    <cellStyle name="Обычный 6 8 2 2" xfId="928"/>
    <cellStyle name="Обычный 6 8 2 2 2" xfId="1321"/>
    <cellStyle name="Обычный 6 8 2 2 2 2" xfId="2103"/>
    <cellStyle name="Обычный 6 8 2 2 2 2 2" xfId="3665"/>
    <cellStyle name="Обычный 6 8 2 2 2 2 2 2" xfId="6789"/>
    <cellStyle name="Обычный 6 8 2 2 2 2 3" xfId="5227"/>
    <cellStyle name="Обычный 6 8 2 2 2 3" xfId="2884"/>
    <cellStyle name="Обычный 6 8 2 2 2 3 2" xfId="6008"/>
    <cellStyle name="Обычный 6 8 2 2 2 4" xfId="4446"/>
    <cellStyle name="Обычный 6 8 2 2 3" xfId="1712"/>
    <cellStyle name="Обычный 6 8 2 2 3 2" xfId="3274"/>
    <cellStyle name="Обычный 6 8 2 2 3 2 2" xfId="6398"/>
    <cellStyle name="Обычный 6 8 2 2 3 3" xfId="4836"/>
    <cellStyle name="Обычный 6 8 2 2 4" xfId="2493"/>
    <cellStyle name="Обычный 6 8 2 2 4 2" xfId="5617"/>
    <cellStyle name="Обычный 6 8 2 2 5" xfId="4055"/>
    <cellStyle name="Обычный 6 8 2 3" xfId="1126"/>
    <cellStyle name="Обычный 6 8 2 3 2" xfId="1908"/>
    <cellStyle name="Обычный 6 8 2 3 2 2" xfId="3470"/>
    <cellStyle name="Обычный 6 8 2 3 2 2 2" xfId="6594"/>
    <cellStyle name="Обычный 6 8 2 3 2 3" xfId="5032"/>
    <cellStyle name="Обычный 6 8 2 3 3" xfId="2689"/>
    <cellStyle name="Обычный 6 8 2 3 3 2" xfId="5813"/>
    <cellStyle name="Обычный 6 8 2 3 4" xfId="4251"/>
    <cellStyle name="Обычный 6 8 2 4" xfId="1517"/>
    <cellStyle name="Обычный 6 8 2 4 2" xfId="3079"/>
    <cellStyle name="Обычный 6 8 2 4 2 2" xfId="6203"/>
    <cellStyle name="Обычный 6 8 2 4 3" xfId="4641"/>
    <cellStyle name="Обычный 6 8 2 5" xfId="2298"/>
    <cellStyle name="Обычный 6 8 2 5 2" xfId="5422"/>
    <cellStyle name="Обычный 6 8 2 6" xfId="3860"/>
    <cellStyle name="Обычный 6 8 3" xfId="837"/>
    <cellStyle name="Обычный 6 8 3 2" xfId="1230"/>
    <cellStyle name="Обычный 6 8 3 2 2" xfId="2012"/>
    <cellStyle name="Обычный 6 8 3 2 2 2" xfId="3574"/>
    <cellStyle name="Обычный 6 8 3 2 2 2 2" xfId="6698"/>
    <cellStyle name="Обычный 6 8 3 2 2 3" xfId="5136"/>
    <cellStyle name="Обычный 6 8 3 2 3" xfId="2793"/>
    <cellStyle name="Обычный 6 8 3 2 3 2" xfId="5917"/>
    <cellStyle name="Обычный 6 8 3 2 4" xfId="4355"/>
    <cellStyle name="Обычный 6 8 3 3" xfId="1621"/>
    <cellStyle name="Обычный 6 8 3 3 2" xfId="3183"/>
    <cellStyle name="Обычный 6 8 3 3 2 2" xfId="6307"/>
    <cellStyle name="Обычный 6 8 3 3 3" xfId="4745"/>
    <cellStyle name="Обычный 6 8 3 4" xfId="2402"/>
    <cellStyle name="Обычный 6 8 3 4 2" xfId="5526"/>
    <cellStyle name="Обычный 6 8 3 5" xfId="3964"/>
    <cellStyle name="Обычный 6 8 4" xfId="1035"/>
    <cellStyle name="Обычный 6 8 4 2" xfId="1817"/>
    <cellStyle name="Обычный 6 8 4 2 2" xfId="3379"/>
    <cellStyle name="Обычный 6 8 4 2 2 2" xfId="6503"/>
    <cellStyle name="Обычный 6 8 4 2 3" xfId="4941"/>
    <cellStyle name="Обычный 6 8 4 3" xfId="2598"/>
    <cellStyle name="Обычный 6 8 4 3 2" xfId="5722"/>
    <cellStyle name="Обычный 6 8 4 4" xfId="4160"/>
    <cellStyle name="Обычный 6 8 5" xfId="1426"/>
    <cellStyle name="Обычный 6 8 5 2" xfId="2988"/>
    <cellStyle name="Обычный 6 8 5 2 2" xfId="6112"/>
    <cellStyle name="Обычный 6 8 5 3" xfId="4550"/>
    <cellStyle name="Обычный 6 8 6" xfId="2207"/>
    <cellStyle name="Обычный 6 8 6 2" xfId="5331"/>
    <cellStyle name="Обычный 6 8 7" xfId="3769"/>
    <cellStyle name="Обычный 6 9" xfId="579"/>
    <cellStyle name="Обычный 6 9 2" xfId="704"/>
    <cellStyle name="Обычный 6 9 2 2" xfId="929"/>
    <cellStyle name="Обычный 6 9 2 2 2" xfId="1322"/>
    <cellStyle name="Обычный 6 9 2 2 2 2" xfId="2104"/>
    <cellStyle name="Обычный 6 9 2 2 2 2 2" xfId="3666"/>
    <cellStyle name="Обычный 6 9 2 2 2 2 2 2" xfId="6790"/>
    <cellStyle name="Обычный 6 9 2 2 2 2 3" xfId="5228"/>
    <cellStyle name="Обычный 6 9 2 2 2 3" xfId="2885"/>
    <cellStyle name="Обычный 6 9 2 2 2 3 2" xfId="6009"/>
    <cellStyle name="Обычный 6 9 2 2 2 4" xfId="4447"/>
    <cellStyle name="Обычный 6 9 2 2 3" xfId="1713"/>
    <cellStyle name="Обычный 6 9 2 2 3 2" xfId="3275"/>
    <cellStyle name="Обычный 6 9 2 2 3 2 2" xfId="6399"/>
    <cellStyle name="Обычный 6 9 2 2 3 3" xfId="4837"/>
    <cellStyle name="Обычный 6 9 2 2 4" xfId="2494"/>
    <cellStyle name="Обычный 6 9 2 2 4 2" xfId="5618"/>
    <cellStyle name="Обычный 6 9 2 2 5" xfId="4056"/>
    <cellStyle name="Обычный 6 9 2 3" xfId="1127"/>
    <cellStyle name="Обычный 6 9 2 3 2" xfId="1909"/>
    <cellStyle name="Обычный 6 9 2 3 2 2" xfId="3471"/>
    <cellStyle name="Обычный 6 9 2 3 2 2 2" xfId="6595"/>
    <cellStyle name="Обычный 6 9 2 3 2 3" xfId="5033"/>
    <cellStyle name="Обычный 6 9 2 3 3" xfId="2690"/>
    <cellStyle name="Обычный 6 9 2 3 3 2" xfId="5814"/>
    <cellStyle name="Обычный 6 9 2 3 4" xfId="4252"/>
    <cellStyle name="Обычный 6 9 2 4" xfId="1518"/>
    <cellStyle name="Обычный 6 9 2 4 2" xfId="3080"/>
    <cellStyle name="Обычный 6 9 2 4 2 2" xfId="6204"/>
    <cellStyle name="Обычный 6 9 2 4 3" xfId="4642"/>
    <cellStyle name="Обычный 6 9 2 5" xfId="2299"/>
    <cellStyle name="Обычный 6 9 2 5 2" xfId="5423"/>
    <cellStyle name="Обычный 6 9 2 6" xfId="3861"/>
    <cellStyle name="Обычный 6 9 3" xfId="705"/>
    <cellStyle name="Обычный 6 9 3 2" xfId="930"/>
    <cellStyle name="Обычный 6 9 3 2 2" xfId="1323"/>
    <cellStyle name="Обычный 6 9 3 2 2 2" xfId="2105"/>
    <cellStyle name="Обычный 6 9 3 2 2 2 2" xfId="3667"/>
    <cellStyle name="Обычный 6 9 3 2 2 2 2 2" xfId="6791"/>
    <cellStyle name="Обычный 6 9 3 2 2 2 3" xfId="5229"/>
    <cellStyle name="Обычный 6 9 3 2 2 3" xfId="2886"/>
    <cellStyle name="Обычный 6 9 3 2 2 3 2" xfId="6010"/>
    <cellStyle name="Обычный 6 9 3 2 2 4" xfId="4448"/>
    <cellStyle name="Обычный 6 9 3 2 3" xfId="1714"/>
    <cellStyle name="Обычный 6 9 3 2 3 2" xfId="3276"/>
    <cellStyle name="Обычный 6 9 3 2 3 2 2" xfId="6400"/>
    <cellStyle name="Обычный 6 9 3 2 3 3" xfId="4838"/>
    <cellStyle name="Обычный 6 9 3 2 4" xfId="2495"/>
    <cellStyle name="Обычный 6 9 3 2 4 2" xfId="5619"/>
    <cellStyle name="Обычный 6 9 3 2 5" xfId="4057"/>
    <cellStyle name="Обычный 6 9 3 3" xfId="1128"/>
    <cellStyle name="Обычный 6 9 3 3 2" xfId="1910"/>
    <cellStyle name="Обычный 6 9 3 3 2 2" xfId="3472"/>
    <cellStyle name="Обычный 6 9 3 3 2 2 2" xfId="6596"/>
    <cellStyle name="Обычный 6 9 3 3 2 3" xfId="5034"/>
    <cellStyle name="Обычный 6 9 3 3 3" xfId="2691"/>
    <cellStyle name="Обычный 6 9 3 3 3 2" xfId="5815"/>
    <cellStyle name="Обычный 6 9 3 3 4" xfId="4253"/>
    <cellStyle name="Обычный 6 9 3 4" xfId="1519"/>
    <cellStyle name="Обычный 6 9 3 4 2" xfId="3081"/>
    <cellStyle name="Обычный 6 9 3 4 2 2" xfId="6205"/>
    <cellStyle name="Обычный 6 9 3 4 3" xfId="4643"/>
    <cellStyle name="Обычный 6 9 3 5" xfId="2300"/>
    <cellStyle name="Обычный 6 9 3 5 2" xfId="5424"/>
    <cellStyle name="Обычный 6 9 3 6" xfId="3862"/>
    <cellStyle name="Обычный 6 9 4" xfId="706"/>
    <cellStyle name="Обычный 6 9 4 2" xfId="931"/>
    <cellStyle name="Обычный 6 9 4 2 2" xfId="1324"/>
    <cellStyle name="Обычный 6 9 4 2 2 2" xfId="2106"/>
    <cellStyle name="Обычный 6 9 4 2 2 2 2" xfId="3668"/>
    <cellStyle name="Обычный 6 9 4 2 2 2 2 2" xfId="6792"/>
    <cellStyle name="Обычный 6 9 4 2 2 2 3" xfId="5230"/>
    <cellStyle name="Обычный 6 9 4 2 2 3" xfId="2887"/>
    <cellStyle name="Обычный 6 9 4 2 2 3 2" xfId="6011"/>
    <cellStyle name="Обычный 6 9 4 2 2 4" xfId="4449"/>
    <cellStyle name="Обычный 6 9 4 2 3" xfId="1715"/>
    <cellStyle name="Обычный 6 9 4 2 3 2" xfId="3277"/>
    <cellStyle name="Обычный 6 9 4 2 3 2 2" xfId="6401"/>
    <cellStyle name="Обычный 6 9 4 2 3 3" xfId="4839"/>
    <cellStyle name="Обычный 6 9 4 2 4" xfId="2496"/>
    <cellStyle name="Обычный 6 9 4 2 4 2" xfId="5620"/>
    <cellStyle name="Обычный 6 9 4 2 5" xfId="4058"/>
    <cellStyle name="Обычный 6 9 4 3" xfId="1129"/>
    <cellStyle name="Обычный 6 9 4 3 2" xfId="1911"/>
    <cellStyle name="Обычный 6 9 4 3 2 2" xfId="3473"/>
    <cellStyle name="Обычный 6 9 4 3 2 2 2" xfId="6597"/>
    <cellStyle name="Обычный 6 9 4 3 2 3" xfId="5035"/>
    <cellStyle name="Обычный 6 9 4 3 3" xfId="2692"/>
    <cellStyle name="Обычный 6 9 4 3 3 2" xfId="5816"/>
    <cellStyle name="Обычный 6 9 4 3 4" xfId="4254"/>
    <cellStyle name="Обычный 6 9 4 4" xfId="1520"/>
    <cellStyle name="Обычный 6 9 4 4 2" xfId="3082"/>
    <cellStyle name="Обычный 6 9 4 4 2 2" xfId="6206"/>
    <cellStyle name="Обычный 6 9 4 4 3" xfId="4644"/>
    <cellStyle name="Обычный 6 9 4 5" xfId="2301"/>
    <cellStyle name="Обычный 6 9 4 5 2" xfId="5425"/>
    <cellStyle name="Обычный 6 9 4 6" xfId="3863"/>
    <cellStyle name="Обычный 6 9 5" xfId="910"/>
    <cellStyle name="Обычный 6 9 5 2" xfId="1303"/>
    <cellStyle name="Обычный 6 9 5 2 2" xfId="2085"/>
    <cellStyle name="Обычный 6 9 5 2 2 2" xfId="3647"/>
    <cellStyle name="Обычный 6 9 5 2 2 2 2" xfId="6771"/>
    <cellStyle name="Обычный 6 9 5 2 2 3" xfId="5209"/>
    <cellStyle name="Обычный 6 9 5 2 3" xfId="2866"/>
    <cellStyle name="Обычный 6 9 5 2 3 2" xfId="5990"/>
    <cellStyle name="Обычный 6 9 5 2 4" xfId="4428"/>
    <cellStyle name="Обычный 6 9 5 3" xfId="1694"/>
    <cellStyle name="Обычный 6 9 5 3 2" xfId="3256"/>
    <cellStyle name="Обычный 6 9 5 3 2 2" xfId="6380"/>
    <cellStyle name="Обычный 6 9 5 3 3" xfId="4818"/>
    <cellStyle name="Обычный 6 9 5 4" xfId="2475"/>
    <cellStyle name="Обычный 6 9 5 4 2" xfId="5599"/>
    <cellStyle name="Обычный 6 9 5 5" xfId="4037"/>
    <cellStyle name="Обычный 6 9 6" xfId="1108"/>
    <cellStyle name="Обычный 6 9 6 2" xfId="1890"/>
    <cellStyle name="Обычный 6 9 6 2 2" xfId="3452"/>
    <cellStyle name="Обычный 6 9 6 2 2 2" xfId="6576"/>
    <cellStyle name="Обычный 6 9 6 2 3" xfId="5014"/>
    <cellStyle name="Обычный 6 9 6 3" xfId="2671"/>
    <cellStyle name="Обычный 6 9 6 3 2" xfId="5795"/>
    <cellStyle name="Обычный 6 9 6 4" xfId="4233"/>
    <cellStyle name="Обычный 6 9 7" xfId="1499"/>
    <cellStyle name="Обычный 6 9 7 2" xfId="3061"/>
    <cellStyle name="Обычный 6 9 7 2 2" xfId="6185"/>
    <cellStyle name="Обычный 6 9 7 3" xfId="4623"/>
    <cellStyle name="Обычный 6 9 8" xfId="2280"/>
    <cellStyle name="Обычный 6 9 8 2" xfId="5404"/>
    <cellStyle name="Обычный 6 9 9" xfId="3842"/>
    <cellStyle name="Обычный 7" xfId="10"/>
    <cellStyle name="Обычный 7 2" xfId="156"/>
    <cellStyle name="Обычный 7 2 10" xfId="1427"/>
    <cellStyle name="Обычный 7 2 10 2" xfId="2989"/>
    <cellStyle name="Обычный 7 2 10 2 2" xfId="6113"/>
    <cellStyle name="Обычный 7 2 10 3" xfId="4551"/>
    <cellStyle name="Обычный 7 2 11" xfId="2208"/>
    <cellStyle name="Обычный 7 2 11 2" xfId="5332"/>
    <cellStyle name="Обычный 7 2 12" xfId="3770"/>
    <cellStyle name="Обычный 7 2 2" xfId="157"/>
    <cellStyle name="Обычный 7 2 2 2" xfId="158"/>
    <cellStyle name="Обычный 7 2 2 2 2" xfId="159"/>
    <cellStyle name="Обычный 7 2 2 2 2 2" xfId="580"/>
    <cellStyle name="Обычный 7 2 2 2 2 3" xfId="841"/>
    <cellStyle name="Обычный 7 2 2 2 2 3 2" xfId="1234"/>
    <cellStyle name="Обычный 7 2 2 2 2 3 2 2" xfId="2016"/>
    <cellStyle name="Обычный 7 2 2 2 2 3 2 2 2" xfId="3578"/>
    <cellStyle name="Обычный 7 2 2 2 2 3 2 2 2 2" xfId="6702"/>
    <cellStyle name="Обычный 7 2 2 2 2 3 2 2 3" xfId="5140"/>
    <cellStyle name="Обычный 7 2 2 2 2 3 2 3" xfId="2797"/>
    <cellStyle name="Обычный 7 2 2 2 2 3 2 3 2" xfId="5921"/>
    <cellStyle name="Обычный 7 2 2 2 2 3 2 4" xfId="4359"/>
    <cellStyle name="Обычный 7 2 2 2 2 3 3" xfId="1625"/>
    <cellStyle name="Обычный 7 2 2 2 2 3 3 2" xfId="3187"/>
    <cellStyle name="Обычный 7 2 2 2 2 3 3 2 2" xfId="6311"/>
    <cellStyle name="Обычный 7 2 2 2 2 3 3 3" xfId="4749"/>
    <cellStyle name="Обычный 7 2 2 2 2 3 4" xfId="2406"/>
    <cellStyle name="Обычный 7 2 2 2 2 3 4 2" xfId="5530"/>
    <cellStyle name="Обычный 7 2 2 2 2 3 5" xfId="3968"/>
    <cellStyle name="Обычный 7 2 2 2 2 4" xfId="1039"/>
    <cellStyle name="Обычный 7 2 2 2 2 4 2" xfId="1821"/>
    <cellStyle name="Обычный 7 2 2 2 2 4 2 2" xfId="3383"/>
    <cellStyle name="Обычный 7 2 2 2 2 4 2 2 2" xfId="6507"/>
    <cellStyle name="Обычный 7 2 2 2 2 4 2 3" xfId="4945"/>
    <cellStyle name="Обычный 7 2 2 2 2 4 3" xfId="2602"/>
    <cellStyle name="Обычный 7 2 2 2 2 4 3 2" xfId="5726"/>
    <cellStyle name="Обычный 7 2 2 2 2 4 4" xfId="4164"/>
    <cellStyle name="Обычный 7 2 2 2 2 5" xfId="1430"/>
    <cellStyle name="Обычный 7 2 2 2 2 5 2" xfId="2992"/>
    <cellStyle name="Обычный 7 2 2 2 2 5 2 2" xfId="6116"/>
    <cellStyle name="Обычный 7 2 2 2 2 5 3" xfId="4554"/>
    <cellStyle name="Обычный 7 2 2 2 2 6" xfId="2211"/>
    <cellStyle name="Обычный 7 2 2 2 2 6 2" xfId="5335"/>
    <cellStyle name="Обычный 7 2 2 2 2 7" xfId="3773"/>
    <cellStyle name="Обычный 7 2 2 2 3" xfId="160"/>
    <cellStyle name="Обычный 7 2 2 2 3 2" xfId="842"/>
    <cellStyle name="Обычный 7 2 2 2 3 2 2" xfId="1235"/>
    <cellStyle name="Обычный 7 2 2 2 3 2 2 2" xfId="2017"/>
    <cellStyle name="Обычный 7 2 2 2 3 2 2 2 2" xfId="3579"/>
    <cellStyle name="Обычный 7 2 2 2 3 2 2 2 2 2" xfId="6703"/>
    <cellStyle name="Обычный 7 2 2 2 3 2 2 2 3" xfId="5141"/>
    <cellStyle name="Обычный 7 2 2 2 3 2 2 3" xfId="2798"/>
    <cellStyle name="Обычный 7 2 2 2 3 2 2 3 2" xfId="5922"/>
    <cellStyle name="Обычный 7 2 2 2 3 2 2 4" xfId="4360"/>
    <cellStyle name="Обычный 7 2 2 2 3 2 3" xfId="1626"/>
    <cellStyle name="Обычный 7 2 2 2 3 2 3 2" xfId="3188"/>
    <cellStyle name="Обычный 7 2 2 2 3 2 3 2 2" xfId="6312"/>
    <cellStyle name="Обычный 7 2 2 2 3 2 3 3" xfId="4750"/>
    <cellStyle name="Обычный 7 2 2 2 3 2 4" xfId="2407"/>
    <cellStyle name="Обычный 7 2 2 2 3 2 4 2" xfId="5531"/>
    <cellStyle name="Обычный 7 2 2 2 3 2 5" xfId="3969"/>
    <cellStyle name="Обычный 7 2 2 2 3 3" xfId="1040"/>
    <cellStyle name="Обычный 7 2 2 2 3 3 2" xfId="1822"/>
    <cellStyle name="Обычный 7 2 2 2 3 3 2 2" xfId="3384"/>
    <cellStyle name="Обычный 7 2 2 2 3 3 2 2 2" xfId="6508"/>
    <cellStyle name="Обычный 7 2 2 2 3 3 2 3" xfId="4946"/>
    <cellStyle name="Обычный 7 2 2 2 3 3 3" xfId="2603"/>
    <cellStyle name="Обычный 7 2 2 2 3 3 3 2" xfId="5727"/>
    <cellStyle name="Обычный 7 2 2 2 3 3 4" xfId="4165"/>
    <cellStyle name="Обычный 7 2 2 2 3 4" xfId="1431"/>
    <cellStyle name="Обычный 7 2 2 2 3 4 2" xfId="2993"/>
    <cellStyle name="Обычный 7 2 2 2 3 4 2 2" xfId="6117"/>
    <cellStyle name="Обычный 7 2 2 2 3 4 3" xfId="4555"/>
    <cellStyle name="Обычный 7 2 2 2 3 5" xfId="2212"/>
    <cellStyle name="Обычный 7 2 2 2 3 5 2" xfId="5336"/>
    <cellStyle name="Обычный 7 2 2 2 3 6" xfId="3774"/>
    <cellStyle name="Обычный 7 2 2 2 4" xfId="840"/>
    <cellStyle name="Обычный 7 2 2 2 4 2" xfId="1233"/>
    <cellStyle name="Обычный 7 2 2 2 4 2 2" xfId="2015"/>
    <cellStyle name="Обычный 7 2 2 2 4 2 2 2" xfId="3577"/>
    <cellStyle name="Обычный 7 2 2 2 4 2 2 2 2" xfId="6701"/>
    <cellStyle name="Обычный 7 2 2 2 4 2 2 3" xfId="5139"/>
    <cellStyle name="Обычный 7 2 2 2 4 2 3" xfId="2796"/>
    <cellStyle name="Обычный 7 2 2 2 4 2 3 2" xfId="5920"/>
    <cellStyle name="Обычный 7 2 2 2 4 2 4" xfId="4358"/>
    <cellStyle name="Обычный 7 2 2 2 4 3" xfId="1624"/>
    <cellStyle name="Обычный 7 2 2 2 4 3 2" xfId="3186"/>
    <cellStyle name="Обычный 7 2 2 2 4 3 2 2" xfId="6310"/>
    <cellStyle name="Обычный 7 2 2 2 4 3 3" xfId="4748"/>
    <cellStyle name="Обычный 7 2 2 2 4 4" xfId="2405"/>
    <cellStyle name="Обычный 7 2 2 2 4 4 2" xfId="5529"/>
    <cellStyle name="Обычный 7 2 2 2 4 5" xfId="3967"/>
    <cellStyle name="Обычный 7 2 2 2 5" xfId="1038"/>
    <cellStyle name="Обычный 7 2 2 2 5 2" xfId="1820"/>
    <cellStyle name="Обычный 7 2 2 2 5 2 2" xfId="3382"/>
    <cellStyle name="Обычный 7 2 2 2 5 2 2 2" xfId="6506"/>
    <cellStyle name="Обычный 7 2 2 2 5 2 3" xfId="4944"/>
    <cellStyle name="Обычный 7 2 2 2 5 3" xfId="2601"/>
    <cellStyle name="Обычный 7 2 2 2 5 3 2" xfId="5725"/>
    <cellStyle name="Обычный 7 2 2 2 5 4" xfId="4163"/>
    <cellStyle name="Обычный 7 2 2 2 6" xfId="1429"/>
    <cellStyle name="Обычный 7 2 2 2 6 2" xfId="2991"/>
    <cellStyle name="Обычный 7 2 2 2 6 2 2" xfId="6115"/>
    <cellStyle name="Обычный 7 2 2 2 6 3" xfId="4553"/>
    <cellStyle name="Обычный 7 2 2 2 7" xfId="2210"/>
    <cellStyle name="Обычный 7 2 2 2 7 2" xfId="5334"/>
    <cellStyle name="Обычный 7 2 2 2 8" xfId="3772"/>
    <cellStyle name="Обычный 7 2 2 3" xfId="161"/>
    <cellStyle name="Обычный 7 2 2 3 2" xfId="581"/>
    <cellStyle name="Обычный 7 2 2 3 3" xfId="843"/>
    <cellStyle name="Обычный 7 2 2 3 3 2" xfId="1236"/>
    <cellStyle name="Обычный 7 2 2 3 3 2 2" xfId="2018"/>
    <cellStyle name="Обычный 7 2 2 3 3 2 2 2" xfId="3580"/>
    <cellStyle name="Обычный 7 2 2 3 3 2 2 2 2" xfId="6704"/>
    <cellStyle name="Обычный 7 2 2 3 3 2 2 3" xfId="5142"/>
    <cellStyle name="Обычный 7 2 2 3 3 2 3" xfId="2799"/>
    <cellStyle name="Обычный 7 2 2 3 3 2 3 2" xfId="5923"/>
    <cellStyle name="Обычный 7 2 2 3 3 2 4" xfId="4361"/>
    <cellStyle name="Обычный 7 2 2 3 3 3" xfId="1627"/>
    <cellStyle name="Обычный 7 2 2 3 3 3 2" xfId="3189"/>
    <cellStyle name="Обычный 7 2 2 3 3 3 2 2" xfId="6313"/>
    <cellStyle name="Обычный 7 2 2 3 3 3 3" xfId="4751"/>
    <cellStyle name="Обычный 7 2 2 3 3 4" xfId="2408"/>
    <cellStyle name="Обычный 7 2 2 3 3 4 2" xfId="5532"/>
    <cellStyle name="Обычный 7 2 2 3 3 5" xfId="3970"/>
    <cellStyle name="Обычный 7 2 2 3 4" xfId="1041"/>
    <cellStyle name="Обычный 7 2 2 3 4 2" xfId="1823"/>
    <cellStyle name="Обычный 7 2 2 3 4 2 2" xfId="3385"/>
    <cellStyle name="Обычный 7 2 2 3 4 2 2 2" xfId="6509"/>
    <cellStyle name="Обычный 7 2 2 3 4 2 3" xfId="4947"/>
    <cellStyle name="Обычный 7 2 2 3 4 3" xfId="2604"/>
    <cellStyle name="Обычный 7 2 2 3 4 3 2" xfId="5728"/>
    <cellStyle name="Обычный 7 2 2 3 4 4" xfId="4166"/>
    <cellStyle name="Обычный 7 2 2 3 5" xfId="1432"/>
    <cellStyle name="Обычный 7 2 2 3 5 2" xfId="2994"/>
    <cellStyle name="Обычный 7 2 2 3 5 2 2" xfId="6118"/>
    <cellStyle name="Обычный 7 2 2 3 5 3" xfId="4556"/>
    <cellStyle name="Обычный 7 2 2 3 6" xfId="2213"/>
    <cellStyle name="Обычный 7 2 2 3 6 2" xfId="5337"/>
    <cellStyle name="Обычный 7 2 2 3 7" xfId="3775"/>
    <cellStyle name="Обычный 7 2 2 4" xfId="162"/>
    <cellStyle name="Обычный 7 2 2 4 2" xfId="844"/>
    <cellStyle name="Обычный 7 2 2 4 2 2" xfId="1237"/>
    <cellStyle name="Обычный 7 2 2 4 2 2 2" xfId="2019"/>
    <cellStyle name="Обычный 7 2 2 4 2 2 2 2" xfId="3581"/>
    <cellStyle name="Обычный 7 2 2 4 2 2 2 2 2" xfId="6705"/>
    <cellStyle name="Обычный 7 2 2 4 2 2 2 3" xfId="5143"/>
    <cellStyle name="Обычный 7 2 2 4 2 2 3" xfId="2800"/>
    <cellStyle name="Обычный 7 2 2 4 2 2 3 2" xfId="5924"/>
    <cellStyle name="Обычный 7 2 2 4 2 2 4" xfId="4362"/>
    <cellStyle name="Обычный 7 2 2 4 2 3" xfId="1628"/>
    <cellStyle name="Обычный 7 2 2 4 2 3 2" xfId="3190"/>
    <cellStyle name="Обычный 7 2 2 4 2 3 2 2" xfId="6314"/>
    <cellStyle name="Обычный 7 2 2 4 2 3 3" xfId="4752"/>
    <cellStyle name="Обычный 7 2 2 4 2 4" xfId="2409"/>
    <cellStyle name="Обычный 7 2 2 4 2 4 2" xfId="5533"/>
    <cellStyle name="Обычный 7 2 2 4 2 5" xfId="3971"/>
    <cellStyle name="Обычный 7 2 2 4 3" xfId="1042"/>
    <cellStyle name="Обычный 7 2 2 4 3 2" xfId="1824"/>
    <cellStyle name="Обычный 7 2 2 4 3 2 2" xfId="3386"/>
    <cellStyle name="Обычный 7 2 2 4 3 2 2 2" xfId="6510"/>
    <cellStyle name="Обычный 7 2 2 4 3 2 3" xfId="4948"/>
    <cellStyle name="Обычный 7 2 2 4 3 3" xfId="2605"/>
    <cellStyle name="Обычный 7 2 2 4 3 3 2" xfId="5729"/>
    <cellStyle name="Обычный 7 2 2 4 3 4" xfId="4167"/>
    <cellStyle name="Обычный 7 2 2 4 4" xfId="1433"/>
    <cellStyle name="Обычный 7 2 2 4 4 2" xfId="2995"/>
    <cellStyle name="Обычный 7 2 2 4 4 2 2" xfId="6119"/>
    <cellStyle name="Обычный 7 2 2 4 4 3" xfId="4557"/>
    <cellStyle name="Обычный 7 2 2 4 5" xfId="2214"/>
    <cellStyle name="Обычный 7 2 2 4 5 2" xfId="5338"/>
    <cellStyle name="Обычный 7 2 2 4 6" xfId="3776"/>
    <cellStyle name="Обычный 7 2 2 5" xfId="839"/>
    <cellStyle name="Обычный 7 2 2 5 2" xfId="1232"/>
    <cellStyle name="Обычный 7 2 2 5 2 2" xfId="2014"/>
    <cellStyle name="Обычный 7 2 2 5 2 2 2" xfId="3576"/>
    <cellStyle name="Обычный 7 2 2 5 2 2 2 2" xfId="6700"/>
    <cellStyle name="Обычный 7 2 2 5 2 2 3" xfId="5138"/>
    <cellStyle name="Обычный 7 2 2 5 2 3" xfId="2795"/>
    <cellStyle name="Обычный 7 2 2 5 2 3 2" xfId="5919"/>
    <cellStyle name="Обычный 7 2 2 5 2 4" xfId="4357"/>
    <cellStyle name="Обычный 7 2 2 5 3" xfId="1623"/>
    <cellStyle name="Обычный 7 2 2 5 3 2" xfId="3185"/>
    <cellStyle name="Обычный 7 2 2 5 3 2 2" xfId="6309"/>
    <cellStyle name="Обычный 7 2 2 5 3 3" xfId="4747"/>
    <cellStyle name="Обычный 7 2 2 5 4" xfId="2404"/>
    <cellStyle name="Обычный 7 2 2 5 4 2" xfId="5528"/>
    <cellStyle name="Обычный 7 2 2 5 5" xfId="3966"/>
    <cellStyle name="Обычный 7 2 2 6" xfId="1037"/>
    <cellStyle name="Обычный 7 2 2 6 2" xfId="1819"/>
    <cellStyle name="Обычный 7 2 2 6 2 2" xfId="3381"/>
    <cellStyle name="Обычный 7 2 2 6 2 2 2" xfId="6505"/>
    <cellStyle name="Обычный 7 2 2 6 2 3" xfId="4943"/>
    <cellStyle name="Обычный 7 2 2 6 3" xfId="2600"/>
    <cellStyle name="Обычный 7 2 2 6 3 2" xfId="5724"/>
    <cellStyle name="Обычный 7 2 2 6 4" xfId="4162"/>
    <cellStyle name="Обычный 7 2 2 7" xfId="1428"/>
    <cellStyle name="Обычный 7 2 2 7 2" xfId="2990"/>
    <cellStyle name="Обычный 7 2 2 7 2 2" xfId="6114"/>
    <cellStyle name="Обычный 7 2 2 7 3" xfId="4552"/>
    <cellStyle name="Обычный 7 2 2 8" xfId="2209"/>
    <cellStyle name="Обычный 7 2 2 8 2" xfId="5333"/>
    <cellStyle name="Обычный 7 2 2 9" xfId="3771"/>
    <cellStyle name="Обычный 7 2 3" xfId="163"/>
    <cellStyle name="Обычный 7 2 3 2" xfId="164"/>
    <cellStyle name="Обычный 7 2 3 2 2" xfId="165"/>
    <cellStyle name="Обычный 7 2 3 2 2 2" xfId="847"/>
    <cellStyle name="Обычный 7 2 3 2 2 2 2" xfId="1240"/>
    <cellStyle name="Обычный 7 2 3 2 2 2 2 2" xfId="2022"/>
    <cellStyle name="Обычный 7 2 3 2 2 2 2 2 2" xfId="3584"/>
    <cellStyle name="Обычный 7 2 3 2 2 2 2 2 2 2" xfId="6708"/>
    <cellStyle name="Обычный 7 2 3 2 2 2 2 2 3" xfId="5146"/>
    <cellStyle name="Обычный 7 2 3 2 2 2 2 3" xfId="2803"/>
    <cellStyle name="Обычный 7 2 3 2 2 2 2 3 2" xfId="5927"/>
    <cellStyle name="Обычный 7 2 3 2 2 2 2 4" xfId="4365"/>
    <cellStyle name="Обычный 7 2 3 2 2 2 3" xfId="1631"/>
    <cellStyle name="Обычный 7 2 3 2 2 2 3 2" xfId="3193"/>
    <cellStyle name="Обычный 7 2 3 2 2 2 3 2 2" xfId="6317"/>
    <cellStyle name="Обычный 7 2 3 2 2 2 3 3" xfId="4755"/>
    <cellStyle name="Обычный 7 2 3 2 2 2 4" xfId="2412"/>
    <cellStyle name="Обычный 7 2 3 2 2 2 4 2" xfId="5536"/>
    <cellStyle name="Обычный 7 2 3 2 2 2 5" xfId="3974"/>
    <cellStyle name="Обычный 7 2 3 2 2 3" xfId="1045"/>
    <cellStyle name="Обычный 7 2 3 2 2 3 2" xfId="1827"/>
    <cellStyle name="Обычный 7 2 3 2 2 3 2 2" xfId="3389"/>
    <cellStyle name="Обычный 7 2 3 2 2 3 2 2 2" xfId="6513"/>
    <cellStyle name="Обычный 7 2 3 2 2 3 2 3" xfId="4951"/>
    <cellStyle name="Обычный 7 2 3 2 2 3 3" xfId="2608"/>
    <cellStyle name="Обычный 7 2 3 2 2 3 3 2" xfId="5732"/>
    <cellStyle name="Обычный 7 2 3 2 2 3 4" xfId="4170"/>
    <cellStyle name="Обычный 7 2 3 2 2 4" xfId="1436"/>
    <cellStyle name="Обычный 7 2 3 2 2 4 2" xfId="2998"/>
    <cellStyle name="Обычный 7 2 3 2 2 4 2 2" xfId="6122"/>
    <cellStyle name="Обычный 7 2 3 2 2 4 3" xfId="4560"/>
    <cellStyle name="Обычный 7 2 3 2 2 5" xfId="2217"/>
    <cellStyle name="Обычный 7 2 3 2 2 5 2" xfId="5341"/>
    <cellStyle name="Обычный 7 2 3 2 2 6" xfId="3779"/>
    <cellStyle name="Обычный 7 2 3 2 3" xfId="166"/>
    <cellStyle name="Обычный 7 2 3 2 3 2" xfId="848"/>
    <cellStyle name="Обычный 7 2 3 2 3 2 2" xfId="1241"/>
    <cellStyle name="Обычный 7 2 3 2 3 2 2 2" xfId="2023"/>
    <cellStyle name="Обычный 7 2 3 2 3 2 2 2 2" xfId="3585"/>
    <cellStyle name="Обычный 7 2 3 2 3 2 2 2 2 2" xfId="6709"/>
    <cellStyle name="Обычный 7 2 3 2 3 2 2 2 3" xfId="5147"/>
    <cellStyle name="Обычный 7 2 3 2 3 2 2 3" xfId="2804"/>
    <cellStyle name="Обычный 7 2 3 2 3 2 2 3 2" xfId="5928"/>
    <cellStyle name="Обычный 7 2 3 2 3 2 2 4" xfId="4366"/>
    <cellStyle name="Обычный 7 2 3 2 3 2 3" xfId="1632"/>
    <cellStyle name="Обычный 7 2 3 2 3 2 3 2" xfId="3194"/>
    <cellStyle name="Обычный 7 2 3 2 3 2 3 2 2" xfId="6318"/>
    <cellStyle name="Обычный 7 2 3 2 3 2 3 3" xfId="4756"/>
    <cellStyle name="Обычный 7 2 3 2 3 2 4" xfId="2413"/>
    <cellStyle name="Обычный 7 2 3 2 3 2 4 2" xfId="5537"/>
    <cellStyle name="Обычный 7 2 3 2 3 2 5" xfId="3975"/>
    <cellStyle name="Обычный 7 2 3 2 3 3" xfId="1046"/>
    <cellStyle name="Обычный 7 2 3 2 3 3 2" xfId="1828"/>
    <cellStyle name="Обычный 7 2 3 2 3 3 2 2" xfId="3390"/>
    <cellStyle name="Обычный 7 2 3 2 3 3 2 2 2" xfId="6514"/>
    <cellStyle name="Обычный 7 2 3 2 3 3 2 3" xfId="4952"/>
    <cellStyle name="Обычный 7 2 3 2 3 3 3" xfId="2609"/>
    <cellStyle name="Обычный 7 2 3 2 3 3 3 2" xfId="5733"/>
    <cellStyle name="Обычный 7 2 3 2 3 3 4" xfId="4171"/>
    <cellStyle name="Обычный 7 2 3 2 3 4" xfId="1437"/>
    <cellStyle name="Обычный 7 2 3 2 3 4 2" xfId="2999"/>
    <cellStyle name="Обычный 7 2 3 2 3 4 2 2" xfId="6123"/>
    <cellStyle name="Обычный 7 2 3 2 3 4 3" xfId="4561"/>
    <cellStyle name="Обычный 7 2 3 2 3 5" xfId="2218"/>
    <cellStyle name="Обычный 7 2 3 2 3 5 2" xfId="5342"/>
    <cellStyle name="Обычный 7 2 3 2 3 6" xfId="3780"/>
    <cellStyle name="Обычный 7 2 3 2 4" xfId="846"/>
    <cellStyle name="Обычный 7 2 3 2 4 2" xfId="1239"/>
    <cellStyle name="Обычный 7 2 3 2 4 2 2" xfId="2021"/>
    <cellStyle name="Обычный 7 2 3 2 4 2 2 2" xfId="3583"/>
    <cellStyle name="Обычный 7 2 3 2 4 2 2 2 2" xfId="6707"/>
    <cellStyle name="Обычный 7 2 3 2 4 2 2 3" xfId="5145"/>
    <cellStyle name="Обычный 7 2 3 2 4 2 3" xfId="2802"/>
    <cellStyle name="Обычный 7 2 3 2 4 2 3 2" xfId="5926"/>
    <cellStyle name="Обычный 7 2 3 2 4 2 4" xfId="4364"/>
    <cellStyle name="Обычный 7 2 3 2 4 3" xfId="1630"/>
    <cellStyle name="Обычный 7 2 3 2 4 3 2" xfId="3192"/>
    <cellStyle name="Обычный 7 2 3 2 4 3 2 2" xfId="6316"/>
    <cellStyle name="Обычный 7 2 3 2 4 3 3" xfId="4754"/>
    <cellStyle name="Обычный 7 2 3 2 4 4" xfId="2411"/>
    <cellStyle name="Обычный 7 2 3 2 4 4 2" xfId="5535"/>
    <cellStyle name="Обычный 7 2 3 2 4 5" xfId="3973"/>
    <cellStyle name="Обычный 7 2 3 2 5" xfId="1044"/>
    <cellStyle name="Обычный 7 2 3 2 5 2" xfId="1826"/>
    <cellStyle name="Обычный 7 2 3 2 5 2 2" xfId="3388"/>
    <cellStyle name="Обычный 7 2 3 2 5 2 2 2" xfId="6512"/>
    <cellStyle name="Обычный 7 2 3 2 5 2 3" xfId="4950"/>
    <cellStyle name="Обычный 7 2 3 2 5 3" xfId="2607"/>
    <cellStyle name="Обычный 7 2 3 2 5 3 2" xfId="5731"/>
    <cellStyle name="Обычный 7 2 3 2 5 4" xfId="4169"/>
    <cellStyle name="Обычный 7 2 3 2 6" xfId="1435"/>
    <cellStyle name="Обычный 7 2 3 2 6 2" xfId="2997"/>
    <cellStyle name="Обычный 7 2 3 2 6 2 2" xfId="6121"/>
    <cellStyle name="Обычный 7 2 3 2 6 3" xfId="4559"/>
    <cellStyle name="Обычный 7 2 3 2 7" xfId="2216"/>
    <cellStyle name="Обычный 7 2 3 2 7 2" xfId="5340"/>
    <cellStyle name="Обычный 7 2 3 2 8" xfId="3778"/>
    <cellStyle name="Обычный 7 2 3 3" xfId="167"/>
    <cellStyle name="Обычный 7 2 3 3 2" xfId="849"/>
    <cellStyle name="Обычный 7 2 3 3 2 2" xfId="1242"/>
    <cellStyle name="Обычный 7 2 3 3 2 2 2" xfId="2024"/>
    <cellStyle name="Обычный 7 2 3 3 2 2 2 2" xfId="3586"/>
    <cellStyle name="Обычный 7 2 3 3 2 2 2 2 2" xfId="6710"/>
    <cellStyle name="Обычный 7 2 3 3 2 2 2 3" xfId="5148"/>
    <cellStyle name="Обычный 7 2 3 3 2 2 3" xfId="2805"/>
    <cellStyle name="Обычный 7 2 3 3 2 2 3 2" xfId="5929"/>
    <cellStyle name="Обычный 7 2 3 3 2 2 4" xfId="4367"/>
    <cellStyle name="Обычный 7 2 3 3 2 3" xfId="1633"/>
    <cellStyle name="Обычный 7 2 3 3 2 3 2" xfId="3195"/>
    <cellStyle name="Обычный 7 2 3 3 2 3 2 2" xfId="6319"/>
    <cellStyle name="Обычный 7 2 3 3 2 3 3" xfId="4757"/>
    <cellStyle name="Обычный 7 2 3 3 2 4" xfId="2414"/>
    <cellStyle name="Обычный 7 2 3 3 2 4 2" xfId="5538"/>
    <cellStyle name="Обычный 7 2 3 3 2 5" xfId="3976"/>
    <cellStyle name="Обычный 7 2 3 3 3" xfId="1047"/>
    <cellStyle name="Обычный 7 2 3 3 3 2" xfId="1829"/>
    <cellStyle name="Обычный 7 2 3 3 3 2 2" xfId="3391"/>
    <cellStyle name="Обычный 7 2 3 3 3 2 2 2" xfId="6515"/>
    <cellStyle name="Обычный 7 2 3 3 3 2 3" xfId="4953"/>
    <cellStyle name="Обычный 7 2 3 3 3 3" xfId="2610"/>
    <cellStyle name="Обычный 7 2 3 3 3 3 2" xfId="5734"/>
    <cellStyle name="Обычный 7 2 3 3 3 4" xfId="4172"/>
    <cellStyle name="Обычный 7 2 3 3 4" xfId="1438"/>
    <cellStyle name="Обычный 7 2 3 3 4 2" xfId="3000"/>
    <cellStyle name="Обычный 7 2 3 3 4 2 2" xfId="6124"/>
    <cellStyle name="Обычный 7 2 3 3 4 3" xfId="4562"/>
    <cellStyle name="Обычный 7 2 3 3 5" xfId="2219"/>
    <cellStyle name="Обычный 7 2 3 3 5 2" xfId="5343"/>
    <cellStyle name="Обычный 7 2 3 3 6" xfId="3781"/>
    <cellStyle name="Обычный 7 2 3 4" xfId="168"/>
    <cellStyle name="Обычный 7 2 3 4 2" xfId="850"/>
    <cellStyle name="Обычный 7 2 3 4 2 2" xfId="1243"/>
    <cellStyle name="Обычный 7 2 3 4 2 2 2" xfId="2025"/>
    <cellStyle name="Обычный 7 2 3 4 2 2 2 2" xfId="3587"/>
    <cellStyle name="Обычный 7 2 3 4 2 2 2 2 2" xfId="6711"/>
    <cellStyle name="Обычный 7 2 3 4 2 2 2 3" xfId="5149"/>
    <cellStyle name="Обычный 7 2 3 4 2 2 3" xfId="2806"/>
    <cellStyle name="Обычный 7 2 3 4 2 2 3 2" xfId="5930"/>
    <cellStyle name="Обычный 7 2 3 4 2 2 4" xfId="4368"/>
    <cellStyle name="Обычный 7 2 3 4 2 3" xfId="1634"/>
    <cellStyle name="Обычный 7 2 3 4 2 3 2" xfId="3196"/>
    <cellStyle name="Обычный 7 2 3 4 2 3 2 2" xfId="6320"/>
    <cellStyle name="Обычный 7 2 3 4 2 3 3" xfId="4758"/>
    <cellStyle name="Обычный 7 2 3 4 2 4" xfId="2415"/>
    <cellStyle name="Обычный 7 2 3 4 2 4 2" xfId="5539"/>
    <cellStyle name="Обычный 7 2 3 4 2 5" xfId="3977"/>
    <cellStyle name="Обычный 7 2 3 4 3" xfId="1048"/>
    <cellStyle name="Обычный 7 2 3 4 3 2" xfId="1830"/>
    <cellStyle name="Обычный 7 2 3 4 3 2 2" xfId="3392"/>
    <cellStyle name="Обычный 7 2 3 4 3 2 2 2" xfId="6516"/>
    <cellStyle name="Обычный 7 2 3 4 3 2 3" xfId="4954"/>
    <cellStyle name="Обычный 7 2 3 4 3 3" xfId="2611"/>
    <cellStyle name="Обычный 7 2 3 4 3 3 2" xfId="5735"/>
    <cellStyle name="Обычный 7 2 3 4 3 4" xfId="4173"/>
    <cellStyle name="Обычный 7 2 3 4 4" xfId="1439"/>
    <cellStyle name="Обычный 7 2 3 4 4 2" xfId="3001"/>
    <cellStyle name="Обычный 7 2 3 4 4 2 2" xfId="6125"/>
    <cellStyle name="Обычный 7 2 3 4 4 3" xfId="4563"/>
    <cellStyle name="Обычный 7 2 3 4 5" xfId="2220"/>
    <cellStyle name="Обычный 7 2 3 4 5 2" xfId="5344"/>
    <cellStyle name="Обычный 7 2 3 4 6" xfId="3782"/>
    <cellStyle name="Обычный 7 2 3 5" xfId="845"/>
    <cellStyle name="Обычный 7 2 3 5 2" xfId="1238"/>
    <cellStyle name="Обычный 7 2 3 5 2 2" xfId="2020"/>
    <cellStyle name="Обычный 7 2 3 5 2 2 2" xfId="3582"/>
    <cellStyle name="Обычный 7 2 3 5 2 2 2 2" xfId="6706"/>
    <cellStyle name="Обычный 7 2 3 5 2 2 3" xfId="5144"/>
    <cellStyle name="Обычный 7 2 3 5 2 3" xfId="2801"/>
    <cellStyle name="Обычный 7 2 3 5 2 3 2" xfId="5925"/>
    <cellStyle name="Обычный 7 2 3 5 2 4" xfId="4363"/>
    <cellStyle name="Обычный 7 2 3 5 3" xfId="1629"/>
    <cellStyle name="Обычный 7 2 3 5 3 2" xfId="3191"/>
    <cellStyle name="Обычный 7 2 3 5 3 2 2" xfId="6315"/>
    <cellStyle name="Обычный 7 2 3 5 3 3" xfId="4753"/>
    <cellStyle name="Обычный 7 2 3 5 4" xfId="2410"/>
    <cellStyle name="Обычный 7 2 3 5 4 2" xfId="5534"/>
    <cellStyle name="Обычный 7 2 3 5 5" xfId="3972"/>
    <cellStyle name="Обычный 7 2 3 6" xfId="1043"/>
    <cellStyle name="Обычный 7 2 3 6 2" xfId="1825"/>
    <cellStyle name="Обычный 7 2 3 6 2 2" xfId="3387"/>
    <cellStyle name="Обычный 7 2 3 6 2 2 2" xfId="6511"/>
    <cellStyle name="Обычный 7 2 3 6 2 3" xfId="4949"/>
    <cellStyle name="Обычный 7 2 3 6 3" xfId="2606"/>
    <cellStyle name="Обычный 7 2 3 6 3 2" xfId="5730"/>
    <cellStyle name="Обычный 7 2 3 6 4" xfId="4168"/>
    <cellStyle name="Обычный 7 2 3 7" xfId="1434"/>
    <cellStyle name="Обычный 7 2 3 7 2" xfId="2996"/>
    <cellStyle name="Обычный 7 2 3 7 2 2" xfId="6120"/>
    <cellStyle name="Обычный 7 2 3 7 3" xfId="4558"/>
    <cellStyle name="Обычный 7 2 3 8" xfId="2215"/>
    <cellStyle name="Обычный 7 2 3 8 2" xfId="5339"/>
    <cellStyle name="Обычный 7 2 3 9" xfId="3777"/>
    <cellStyle name="Обычный 7 2 4" xfId="169"/>
    <cellStyle name="Обычный 7 2 4 2" xfId="170"/>
    <cellStyle name="Обычный 7 2 4 2 2" xfId="852"/>
    <cellStyle name="Обычный 7 2 4 2 2 2" xfId="1245"/>
    <cellStyle name="Обычный 7 2 4 2 2 2 2" xfId="2027"/>
    <cellStyle name="Обычный 7 2 4 2 2 2 2 2" xfId="3589"/>
    <cellStyle name="Обычный 7 2 4 2 2 2 2 2 2" xfId="6713"/>
    <cellStyle name="Обычный 7 2 4 2 2 2 2 3" xfId="5151"/>
    <cellStyle name="Обычный 7 2 4 2 2 2 3" xfId="2808"/>
    <cellStyle name="Обычный 7 2 4 2 2 2 3 2" xfId="5932"/>
    <cellStyle name="Обычный 7 2 4 2 2 2 4" xfId="4370"/>
    <cellStyle name="Обычный 7 2 4 2 2 3" xfId="1636"/>
    <cellStyle name="Обычный 7 2 4 2 2 3 2" xfId="3198"/>
    <cellStyle name="Обычный 7 2 4 2 2 3 2 2" xfId="6322"/>
    <cellStyle name="Обычный 7 2 4 2 2 3 3" xfId="4760"/>
    <cellStyle name="Обычный 7 2 4 2 2 4" xfId="2417"/>
    <cellStyle name="Обычный 7 2 4 2 2 4 2" xfId="5541"/>
    <cellStyle name="Обычный 7 2 4 2 2 5" xfId="3979"/>
    <cellStyle name="Обычный 7 2 4 2 3" xfId="1050"/>
    <cellStyle name="Обычный 7 2 4 2 3 2" xfId="1832"/>
    <cellStyle name="Обычный 7 2 4 2 3 2 2" xfId="3394"/>
    <cellStyle name="Обычный 7 2 4 2 3 2 2 2" xfId="6518"/>
    <cellStyle name="Обычный 7 2 4 2 3 2 3" xfId="4956"/>
    <cellStyle name="Обычный 7 2 4 2 3 3" xfId="2613"/>
    <cellStyle name="Обычный 7 2 4 2 3 3 2" xfId="5737"/>
    <cellStyle name="Обычный 7 2 4 2 3 4" xfId="4175"/>
    <cellStyle name="Обычный 7 2 4 2 4" xfId="1441"/>
    <cellStyle name="Обычный 7 2 4 2 4 2" xfId="3003"/>
    <cellStyle name="Обычный 7 2 4 2 4 2 2" xfId="6127"/>
    <cellStyle name="Обычный 7 2 4 2 4 3" xfId="4565"/>
    <cellStyle name="Обычный 7 2 4 2 5" xfId="2222"/>
    <cellStyle name="Обычный 7 2 4 2 5 2" xfId="5346"/>
    <cellStyle name="Обычный 7 2 4 2 6" xfId="3784"/>
    <cellStyle name="Обычный 7 2 4 3" xfId="171"/>
    <cellStyle name="Обычный 7 2 4 3 2" xfId="853"/>
    <cellStyle name="Обычный 7 2 4 3 2 2" xfId="1246"/>
    <cellStyle name="Обычный 7 2 4 3 2 2 2" xfId="2028"/>
    <cellStyle name="Обычный 7 2 4 3 2 2 2 2" xfId="3590"/>
    <cellStyle name="Обычный 7 2 4 3 2 2 2 2 2" xfId="6714"/>
    <cellStyle name="Обычный 7 2 4 3 2 2 2 3" xfId="5152"/>
    <cellStyle name="Обычный 7 2 4 3 2 2 3" xfId="2809"/>
    <cellStyle name="Обычный 7 2 4 3 2 2 3 2" xfId="5933"/>
    <cellStyle name="Обычный 7 2 4 3 2 2 4" xfId="4371"/>
    <cellStyle name="Обычный 7 2 4 3 2 3" xfId="1637"/>
    <cellStyle name="Обычный 7 2 4 3 2 3 2" xfId="3199"/>
    <cellStyle name="Обычный 7 2 4 3 2 3 2 2" xfId="6323"/>
    <cellStyle name="Обычный 7 2 4 3 2 3 3" xfId="4761"/>
    <cellStyle name="Обычный 7 2 4 3 2 4" xfId="2418"/>
    <cellStyle name="Обычный 7 2 4 3 2 4 2" xfId="5542"/>
    <cellStyle name="Обычный 7 2 4 3 2 5" xfId="3980"/>
    <cellStyle name="Обычный 7 2 4 3 3" xfId="1051"/>
    <cellStyle name="Обычный 7 2 4 3 3 2" xfId="1833"/>
    <cellStyle name="Обычный 7 2 4 3 3 2 2" xfId="3395"/>
    <cellStyle name="Обычный 7 2 4 3 3 2 2 2" xfId="6519"/>
    <cellStyle name="Обычный 7 2 4 3 3 2 3" xfId="4957"/>
    <cellStyle name="Обычный 7 2 4 3 3 3" xfId="2614"/>
    <cellStyle name="Обычный 7 2 4 3 3 3 2" xfId="5738"/>
    <cellStyle name="Обычный 7 2 4 3 3 4" xfId="4176"/>
    <cellStyle name="Обычный 7 2 4 3 4" xfId="1442"/>
    <cellStyle name="Обычный 7 2 4 3 4 2" xfId="3004"/>
    <cellStyle name="Обычный 7 2 4 3 4 2 2" xfId="6128"/>
    <cellStyle name="Обычный 7 2 4 3 4 3" xfId="4566"/>
    <cellStyle name="Обычный 7 2 4 3 5" xfId="2223"/>
    <cellStyle name="Обычный 7 2 4 3 5 2" xfId="5347"/>
    <cellStyle name="Обычный 7 2 4 3 6" xfId="3785"/>
    <cellStyle name="Обычный 7 2 4 4" xfId="851"/>
    <cellStyle name="Обычный 7 2 4 4 2" xfId="1244"/>
    <cellStyle name="Обычный 7 2 4 4 2 2" xfId="2026"/>
    <cellStyle name="Обычный 7 2 4 4 2 2 2" xfId="3588"/>
    <cellStyle name="Обычный 7 2 4 4 2 2 2 2" xfId="6712"/>
    <cellStyle name="Обычный 7 2 4 4 2 2 3" xfId="5150"/>
    <cellStyle name="Обычный 7 2 4 4 2 3" xfId="2807"/>
    <cellStyle name="Обычный 7 2 4 4 2 3 2" xfId="5931"/>
    <cellStyle name="Обычный 7 2 4 4 2 4" xfId="4369"/>
    <cellStyle name="Обычный 7 2 4 4 3" xfId="1635"/>
    <cellStyle name="Обычный 7 2 4 4 3 2" xfId="3197"/>
    <cellStyle name="Обычный 7 2 4 4 3 2 2" xfId="6321"/>
    <cellStyle name="Обычный 7 2 4 4 3 3" xfId="4759"/>
    <cellStyle name="Обычный 7 2 4 4 4" xfId="2416"/>
    <cellStyle name="Обычный 7 2 4 4 4 2" xfId="5540"/>
    <cellStyle name="Обычный 7 2 4 4 5" xfId="3978"/>
    <cellStyle name="Обычный 7 2 4 5" xfId="1049"/>
    <cellStyle name="Обычный 7 2 4 5 2" xfId="1831"/>
    <cellStyle name="Обычный 7 2 4 5 2 2" xfId="3393"/>
    <cellStyle name="Обычный 7 2 4 5 2 2 2" xfId="6517"/>
    <cellStyle name="Обычный 7 2 4 5 2 3" xfId="4955"/>
    <cellStyle name="Обычный 7 2 4 5 3" xfId="2612"/>
    <cellStyle name="Обычный 7 2 4 5 3 2" xfId="5736"/>
    <cellStyle name="Обычный 7 2 4 5 4" xfId="4174"/>
    <cellStyle name="Обычный 7 2 4 6" xfId="1440"/>
    <cellStyle name="Обычный 7 2 4 6 2" xfId="3002"/>
    <cellStyle name="Обычный 7 2 4 6 2 2" xfId="6126"/>
    <cellStyle name="Обычный 7 2 4 6 3" xfId="4564"/>
    <cellStyle name="Обычный 7 2 4 7" xfId="2221"/>
    <cellStyle name="Обычный 7 2 4 7 2" xfId="5345"/>
    <cellStyle name="Обычный 7 2 4 8" xfId="3783"/>
    <cellStyle name="Обычный 7 2 5" xfId="172"/>
    <cellStyle name="Обычный 7 2 5 2" xfId="854"/>
    <cellStyle name="Обычный 7 2 5 2 2" xfId="1247"/>
    <cellStyle name="Обычный 7 2 5 2 2 2" xfId="2029"/>
    <cellStyle name="Обычный 7 2 5 2 2 2 2" xfId="3591"/>
    <cellStyle name="Обычный 7 2 5 2 2 2 2 2" xfId="6715"/>
    <cellStyle name="Обычный 7 2 5 2 2 2 3" xfId="5153"/>
    <cellStyle name="Обычный 7 2 5 2 2 3" xfId="2810"/>
    <cellStyle name="Обычный 7 2 5 2 2 3 2" xfId="5934"/>
    <cellStyle name="Обычный 7 2 5 2 2 4" xfId="4372"/>
    <cellStyle name="Обычный 7 2 5 2 3" xfId="1638"/>
    <cellStyle name="Обычный 7 2 5 2 3 2" xfId="3200"/>
    <cellStyle name="Обычный 7 2 5 2 3 2 2" xfId="6324"/>
    <cellStyle name="Обычный 7 2 5 2 3 3" xfId="4762"/>
    <cellStyle name="Обычный 7 2 5 2 4" xfId="2419"/>
    <cellStyle name="Обычный 7 2 5 2 4 2" xfId="5543"/>
    <cellStyle name="Обычный 7 2 5 2 5" xfId="3981"/>
    <cellStyle name="Обычный 7 2 5 3" xfId="1052"/>
    <cellStyle name="Обычный 7 2 5 3 2" xfId="1834"/>
    <cellStyle name="Обычный 7 2 5 3 2 2" xfId="3396"/>
    <cellStyle name="Обычный 7 2 5 3 2 2 2" xfId="6520"/>
    <cellStyle name="Обычный 7 2 5 3 2 3" xfId="4958"/>
    <cellStyle name="Обычный 7 2 5 3 3" xfId="2615"/>
    <cellStyle name="Обычный 7 2 5 3 3 2" xfId="5739"/>
    <cellStyle name="Обычный 7 2 5 3 4" xfId="4177"/>
    <cellStyle name="Обычный 7 2 5 4" xfId="1443"/>
    <cellStyle name="Обычный 7 2 5 4 2" xfId="3005"/>
    <cellStyle name="Обычный 7 2 5 4 2 2" xfId="6129"/>
    <cellStyle name="Обычный 7 2 5 4 3" xfId="4567"/>
    <cellStyle name="Обычный 7 2 5 5" xfId="2224"/>
    <cellStyle name="Обычный 7 2 5 5 2" xfId="5348"/>
    <cellStyle name="Обычный 7 2 5 6" xfId="3786"/>
    <cellStyle name="Обычный 7 2 6" xfId="173"/>
    <cellStyle name="Обычный 7 2 6 2" xfId="855"/>
    <cellStyle name="Обычный 7 2 6 2 2" xfId="1248"/>
    <cellStyle name="Обычный 7 2 6 2 2 2" xfId="2030"/>
    <cellStyle name="Обычный 7 2 6 2 2 2 2" xfId="3592"/>
    <cellStyle name="Обычный 7 2 6 2 2 2 2 2" xfId="6716"/>
    <cellStyle name="Обычный 7 2 6 2 2 2 3" xfId="5154"/>
    <cellStyle name="Обычный 7 2 6 2 2 3" xfId="2811"/>
    <cellStyle name="Обычный 7 2 6 2 2 3 2" xfId="5935"/>
    <cellStyle name="Обычный 7 2 6 2 2 4" xfId="4373"/>
    <cellStyle name="Обычный 7 2 6 2 3" xfId="1639"/>
    <cellStyle name="Обычный 7 2 6 2 3 2" xfId="3201"/>
    <cellStyle name="Обычный 7 2 6 2 3 2 2" xfId="6325"/>
    <cellStyle name="Обычный 7 2 6 2 3 3" xfId="4763"/>
    <cellStyle name="Обычный 7 2 6 2 4" xfId="2420"/>
    <cellStyle name="Обычный 7 2 6 2 4 2" xfId="5544"/>
    <cellStyle name="Обычный 7 2 6 2 5" xfId="3982"/>
    <cellStyle name="Обычный 7 2 6 3" xfId="1053"/>
    <cellStyle name="Обычный 7 2 6 3 2" xfId="1835"/>
    <cellStyle name="Обычный 7 2 6 3 2 2" xfId="3397"/>
    <cellStyle name="Обычный 7 2 6 3 2 2 2" xfId="6521"/>
    <cellStyle name="Обычный 7 2 6 3 2 3" xfId="4959"/>
    <cellStyle name="Обычный 7 2 6 3 3" xfId="2616"/>
    <cellStyle name="Обычный 7 2 6 3 3 2" xfId="5740"/>
    <cellStyle name="Обычный 7 2 6 3 4" xfId="4178"/>
    <cellStyle name="Обычный 7 2 6 4" xfId="1444"/>
    <cellStyle name="Обычный 7 2 6 4 2" xfId="3006"/>
    <cellStyle name="Обычный 7 2 6 4 2 2" xfId="6130"/>
    <cellStyle name="Обычный 7 2 6 4 3" xfId="4568"/>
    <cellStyle name="Обычный 7 2 6 5" xfId="2225"/>
    <cellStyle name="Обычный 7 2 6 5 2" xfId="5349"/>
    <cellStyle name="Обычный 7 2 6 6" xfId="3787"/>
    <cellStyle name="Обычный 7 2 7" xfId="174"/>
    <cellStyle name="Обычный 7 2 7 2" xfId="856"/>
    <cellStyle name="Обычный 7 2 7 2 2" xfId="1249"/>
    <cellStyle name="Обычный 7 2 7 2 2 2" xfId="2031"/>
    <cellStyle name="Обычный 7 2 7 2 2 2 2" xfId="3593"/>
    <cellStyle name="Обычный 7 2 7 2 2 2 2 2" xfId="6717"/>
    <cellStyle name="Обычный 7 2 7 2 2 2 3" xfId="5155"/>
    <cellStyle name="Обычный 7 2 7 2 2 3" xfId="2812"/>
    <cellStyle name="Обычный 7 2 7 2 2 3 2" xfId="5936"/>
    <cellStyle name="Обычный 7 2 7 2 2 4" xfId="4374"/>
    <cellStyle name="Обычный 7 2 7 2 3" xfId="1640"/>
    <cellStyle name="Обычный 7 2 7 2 3 2" xfId="3202"/>
    <cellStyle name="Обычный 7 2 7 2 3 2 2" xfId="6326"/>
    <cellStyle name="Обычный 7 2 7 2 3 3" xfId="4764"/>
    <cellStyle name="Обычный 7 2 7 2 4" xfId="2421"/>
    <cellStyle name="Обычный 7 2 7 2 4 2" xfId="5545"/>
    <cellStyle name="Обычный 7 2 7 2 5" xfId="3983"/>
    <cellStyle name="Обычный 7 2 7 3" xfId="1054"/>
    <cellStyle name="Обычный 7 2 7 3 2" xfId="1836"/>
    <cellStyle name="Обычный 7 2 7 3 2 2" xfId="3398"/>
    <cellStyle name="Обычный 7 2 7 3 2 2 2" xfId="6522"/>
    <cellStyle name="Обычный 7 2 7 3 2 3" xfId="4960"/>
    <cellStyle name="Обычный 7 2 7 3 3" xfId="2617"/>
    <cellStyle name="Обычный 7 2 7 3 3 2" xfId="5741"/>
    <cellStyle name="Обычный 7 2 7 3 4" xfId="4179"/>
    <cellStyle name="Обычный 7 2 7 4" xfId="1445"/>
    <cellStyle name="Обычный 7 2 7 4 2" xfId="3007"/>
    <cellStyle name="Обычный 7 2 7 4 2 2" xfId="6131"/>
    <cellStyle name="Обычный 7 2 7 4 3" xfId="4569"/>
    <cellStyle name="Обычный 7 2 7 5" xfId="2226"/>
    <cellStyle name="Обычный 7 2 7 5 2" xfId="5350"/>
    <cellStyle name="Обычный 7 2 7 6" xfId="3788"/>
    <cellStyle name="Обычный 7 2 8" xfId="838"/>
    <cellStyle name="Обычный 7 2 8 2" xfId="1231"/>
    <cellStyle name="Обычный 7 2 8 2 2" xfId="2013"/>
    <cellStyle name="Обычный 7 2 8 2 2 2" xfId="3575"/>
    <cellStyle name="Обычный 7 2 8 2 2 2 2" xfId="6699"/>
    <cellStyle name="Обычный 7 2 8 2 2 3" xfId="5137"/>
    <cellStyle name="Обычный 7 2 8 2 3" xfId="2794"/>
    <cellStyle name="Обычный 7 2 8 2 3 2" xfId="5918"/>
    <cellStyle name="Обычный 7 2 8 2 4" xfId="4356"/>
    <cellStyle name="Обычный 7 2 8 3" xfId="1622"/>
    <cellStyle name="Обычный 7 2 8 3 2" xfId="3184"/>
    <cellStyle name="Обычный 7 2 8 3 2 2" xfId="6308"/>
    <cellStyle name="Обычный 7 2 8 3 3" xfId="4746"/>
    <cellStyle name="Обычный 7 2 8 4" xfId="2403"/>
    <cellStyle name="Обычный 7 2 8 4 2" xfId="5527"/>
    <cellStyle name="Обычный 7 2 8 5" xfId="3965"/>
    <cellStyle name="Обычный 7 2 9" xfId="1036"/>
    <cellStyle name="Обычный 7 2 9 2" xfId="1818"/>
    <cellStyle name="Обычный 7 2 9 2 2" xfId="3380"/>
    <cellStyle name="Обычный 7 2 9 2 2 2" xfId="6504"/>
    <cellStyle name="Обычный 7 2 9 2 3" xfId="4942"/>
    <cellStyle name="Обычный 7 2 9 3" xfId="2599"/>
    <cellStyle name="Обычный 7 2 9 3 2" xfId="5723"/>
    <cellStyle name="Обычный 7 2 9 4" xfId="4161"/>
    <cellStyle name="Обычный 7 3" xfId="582"/>
    <cellStyle name="Обычный 7 3 2" xfId="583"/>
    <cellStyle name="Обычный 7 3 2 2" xfId="584"/>
    <cellStyle name="Обычный 7 3 2 2 2" xfId="585"/>
    <cellStyle name="Обычный 7 3 2 3" xfId="586"/>
    <cellStyle name="Обычный 7 3 3" xfId="587"/>
    <cellStyle name="Обычный 7 3 3 2" xfId="588"/>
    <cellStyle name="Обычный 7 3 4" xfId="589"/>
    <cellStyle name="Обычный 7 4" xfId="590"/>
    <cellStyle name="Обычный 7 4 2" xfId="591"/>
    <cellStyle name="Обычный 7 4 2 2" xfId="592"/>
    <cellStyle name="Обычный 7 4 3" xfId="593"/>
    <cellStyle name="Обычный 7 5" xfId="594"/>
    <cellStyle name="Обычный 7 5 2" xfId="595"/>
    <cellStyle name="Обычный 7 6" xfId="596"/>
    <cellStyle name="Обычный 8" xfId="175"/>
    <cellStyle name="Обычный 8 2" xfId="597"/>
    <cellStyle name="Обычный 8 2 2" xfId="598"/>
    <cellStyle name="Обычный 8 2 2 2" xfId="599"/>
    <cellStyle name="Обычный 8 2 2 2 2" xfId="600"/>
    <cellStyle name="Обычный 8 2 2 2 2 2" xfId="601"/>
    <cellStyle name="Обычный 8 2 2 2 3" xfId="602"/>
    <cellStyle name="Обычный 8 2 2 3" xfId="603"/>
    <cellStyle name="Обычный 8 2 2 3 2" xfId="604"/>
    <cellStyle name="Обычный 8 2 2 4" xfId="605"/>
    <cellStyle name="Обычный 8 2 3" xfId="606"/>
    <cellStyle name="Обычный 8 2 3 2" xfId="607"/>
    <cellStyle name="Обычный 8 2 3 2 2" xfId="608"/>
    <cellStyle name="Обычный 8 2 3 3" xfId="609"/>
    <cellStyle name="Обычный 8 2 4" xfId="610"/>
    <cellStyle name="Обычный 8 2 4 2" xfId="611"/>
    <cellStyle name="Обычный 8 2 5" xfId="612"/>
    <cellStyle name="Обычный 8 3" xfId="613"/>
    <cellStyle name="Обычный 8 3 2" xfId="614"/>
    <cellStyle name="Обычный 8 3 2 2" xfId="615"/>
    <cellStyle name="Обычный 8 3 2 2 2" xfId="616"/>
    <cellStyle name="Обычный 8 3 2 3" xfId="617"/>
    <cellStyle name="Обычный 8 3 3" xfId="618"/>
    <cellStyle name="Обычный 8 3 3 2" xfId="619"/>
    <cellStyle name="Обычный 8 3 4" xfId="620"/>
    <cellStyle name="Обычный 8 4" xfId="621"/>
    <cellStyle name="Обычный 8 4 2" xfId="622"/>
    <cellStyle name="Обычный 8 4 2 2" xfId="623"/>
    <cellStyle name="Обычный 8 4 3" xfId="624"/>
    <cellStyle name="Обычный 8 5" xfId="625"/>
    <cellStyle name="Обычный 8 5 2" xfId="626"/>
    <cellStyle name="Обычный 8 6" xfId="627"/>
    <cellStyle name="Обычный 9" xfId="176"/>
    <cellStyle name="Обычный 9 10" xfId="3789"/>
    <cellStyle name="Обычный 9 2" xfId="177"/>
    <cellStyle name="Обычный 9 2 2" xfId="178"/>
    <cellStyle name="Обычный 9 2 2 2" xfId="179"/>
    <cellStyle name="Обычный 9 2 2 2 2" xfId="860"/>
    <cellStyle name="Обычный 9 2 2 2 2 2" xfId="1253"/>
    <cellStyle name="Обычный 9 2 2 2 2 2 2" xfId="2035"/>
    <cellStyle name="Обычный 9 2 2 2 2 2 2 2" xfId="3597"/>
    <cellStyle name="Обычный 9 2 2 2 2 2 2 2 2" xfId="6721"/>
    <cellStyle name="Обычный 9 2 2 2 2 2 2 3" xfId="5159"/>
    <cellStyle name="Обычный 9 2 2 2 2 2 3" xfId="2816"/>
    <cellStyle name="Обычный 9 2 2 2 2 2 3 2" xfId="5940"/>
    <cellStyle name="Обычный 9 2 2 2 2 2 4" xfId="4378"/>
    <cellStyle name="Обычный 9 2 2 2 2 3" xfId="1644"/>
    <cellStyle name="Обычный 9 2 2 2 2 3 2" xfId="3206"/>
    <cellStyle name="Обычный 9 2 2 2 2 3 2 2" xfId="6330"/>
    <cellStyle name="Обычный 9 2 2 2 2 3 3" xfId="4768"/>
    <cellStyle name="Обычный 9 2 2 2 2 4" xfId="2425"/>
    <cellStyle name="Обычный 9 2 2 2 2 4 2" xfId="5549"/>
    <cellStyle name="Обычный 9 2 2 2 2 5" xfId="3987"/>
    <cellStyle name="Обычный 9 2 2 2 3" xfId="1058"/>
    <cellStyle name="Обычный 9 2 2 2 3 2" xfId="1840"/>
    <cellStyle name="Обычный 9 2 2 2 3 2 2" xfId="3402"/>
    <cellStyle name="Обычный 9 2 2 2 3 2 2 2" xfId="6526"/>
    <cellStyle name="Обычный 9 2 2 2 3 2 3" xfId="4964"/>
    <cellStyle name="Обычный 9 2 2 2 3 3" xfId="2621"/>
    <cellStyle name="Обычный 9 2 2 2 3 3 2" xfId="5745"/>
    <cellStyle name="Обычный 9 2 2 2 3 4" xfId="4183"/>
    <cellStyle name="Обычный 9 2 2 2 4" xfId="1449"/>
    <cellStyle name="Обычный 9 2 2 2 4 2" xfId="3011"/>
    <cellStyle name="Обычный 9 2 2 2 4 2 2" xfId="6135"/>
    <cellStyle name="Обычный 9 2 2 2 4 3" xfId="4573"/>
    <cellStyle name="Обычный 9 2 2 2 5" xfId="2230"/>
    <cellStyle name="Обычный 9 2 2 2 5 2" xfId="5354"/>
    <cellStyle name="Обычный 9 2 2 2 6" xfId="3792"/>
    <cellStyle name="Обычный 9 2 2 3" xfId="180"/>
    <cellStyle name="Обычный 9 2 2 3 2" xfId="861"/>
    <cellStyle name="Обычный 9 2 2 3 2 2" xfId="1254"/>
    <cellStyle name="Обычный 9 2 2 3 2 2 2" xfId="2036"/>
    <cellStyle name="Обычный 9 2 2 3 2 2 2 2" xfId="3598"/>
    <cellStyle name="Обычный 9 2 2 3 2 2 2 2 2" xfId="6722"/>
    <cellStyle name="Обычный 9 2 2 3 2 2 2 3" xfId="5160"/>
    <cellStyle name="Обычный 9 2 2 3 2 2 3" xfId="2817"/>
    <cellStyle name="Обычный 9 2 2 3 2 2 3 2" xfId="5941"/>
    <cellStyle name="Обычный 9 2 2 3 2 2 4" xfId="4379"/>
    <cellStyle name="Обычный 9 2 2 3 2 3" xfId="1645"/>
    <cellStyle name="Обычный 9 2 2 3 2 3 2" xfId="3207"/>
    <cellStyle name="Обычный 9 2 2 3 2 3 2 2" xfId="6331"/>
    <cellStyle name="Обычный 9 2 2 3 2 3 3" xfId="4769"/>
    <cellStyle name="Обычный 9 2 2 3 2 4" xfId="2426"/>
    <cellStyle name="Обычный 9 2 2 3 2 4 2" xfId="5550"/>
    <cellStyle name="Обычный 9 2 2 3 2 5" xfId="3988"/>
    <cellStyle name="Обычный 9 2 2 3 3" xfId="1059"/>
    <cellStyle name="Обычный 9 2 2 3 3 2" xfId="1841"/>
    <cellStyle name="Обычный 9 2 2 3 3 2 2" xfId="3403"/>
    <cellStyle name="Обычный 9 2 2 3 3 2 2 2" xfId="6527"/>
    <cellStyle name="Обычный 9 2 2 3 3 2 3" xfId="4965"/>
    <cellStyle name="Обычный 9 2 2 3 3 3" xfId="2622"/>
    <cellStyle name="Обычный 9 2 2 3 3 3 2" xfId="5746"/>
    <cellStyle name="Обычный 9 2 2 3 3 4" xfId="4184"/>
    <cellStyle name="Обычный 9 2 2 3 4" xfId="1450"/>
    <cellStyle name="Обычный 9 2 2 3 4 2" xfId="3012"/>
    <cellStyle name="Обычный 9 2 2 3 4 2 2" xfId="6136"/>
    <cellStyle name="Обычный 9 2 2 3 4 3" xfId="4574"/>
    <cellStyle name="Обычный 9 2 2 3 5" xfId="2231"/>
    <cellStyle name="Обычный 9 2 2 3 5 2" xfId="5355"/>
    <cellStyle name="Обычный 9 2 2 3 6" xfId="3793"/>
    <cellStyle name="Обычный 9 2 2 4" xfId="181"/>
    <cellStyle name="Обычный 9 2 2 4 2" xfId="862"/>
    <cellStyle name="Обычный 9 2 2 4 2 2" xfId="1255"/>
    <cellStyle name="Обычный 9 2 2 4 2 2 2" xfId="2037"/>
    <cellStyle name="Обычный 9 2 2 4 2 2 2 2" xfId="3599"/>
    <cellStyle name="Обычный 9 2 2 4 2 2 2 2 2" xfId="6723"/>
    <cellStyle name="Обычный 9 2 2 4 2 2 2 3" xfId="5161"/>
    <cellStyle name="Обычный 9 2 2 4 2 2 3" xfId="2818"/>
    <cellStyle name="Обычный 9 2 2 4 2 2 3 2" xfId="5942"/>
    <cellStyle name="Обычный 9 2 2 4 2 2 4" xfId="4380"/>
    <cellStyle name="Обычный 9 2 2 4 2 3" xfId="1646"/>
    <cellStyle name="Обычный 9 2 2 4 2 3 2" xfId="3208"/>
    <cellStyle name="Обычный 9 2 2 4 2 3 2 2" xfId="6332"/>
    <cellStyle name="Обычный 9 2 2 4 2 3 3" xfId="4770"/>
    <cellStyle name="Обычный 9 2 2 4 2 4" xfId="2427"/>
    <cellStyle name="Обычный 9 2 2 4 2 4 2" xfId="5551"/>
    <cellStyle name="Обычный 9 2 2 4 2 5" xfId="3989"/>
    <cellStyle name="Обычный 9 2 2 4 3" xfId="1060"/>
    <cellStyle name="Обычный 9 2 2 4 3 2" xfId="1842"/>
    <cellStyle name="Обычный 9 2 2 4 3 2 2" xfId="3404"/>
    <cellStyle name="Обычный 9 2 2 4 3 2 2 2" xfId="6528"/>
    <cellStyle name="Обычный 9 2 2 4 3 2 3" xfId="4966"/>
    <cellStyle name="Обычный 9 2 2 4 3 3" xfId="2623"/>
    <cellStyle name="Обычный 9 2 2 4 3 3 2" xfId="5747"/>
    <cellStyle name="Обычный 9 2 2 4 3 4" xfId="4185"/>
    <cellStyle name="Обычный 9 2 2 4 4" xfId="1451"/>
    <cellStyle name="Обычный 9 2 2 4 4 2" xfId="3013"/>
    <cellStyle name="Обычный 9 2 2 4 4 2 2" xfId="6137"/>
    <cellStyle name="Обычный 9 2 2 4 4 3" xfId="4575"/>
    <cellStyle name="Обычный 9 2 2 4 5" xfId="2232"/>
    <cellStyle name="Обычный 9 2 2 4 5 2" xfId="5356"/>
    <cellStyle name="Обычный 9 2 2 4 6" xfId="3794"/>
    <cellStyle name="Обычный 9 2 2 5" xfId="859"/>
    <cellStyle name="Обычный 9 2 2 5 2" xfId="1252"/>
    <cellStyle name="Обычный 9 2 2 5 2 2" xfId="2034"/>
    <cellStyle name="Обычный 9 2 2 5 2 2 2" xfId="3596"/>
    <cellStyle name="Обычный 9 2 2 5 2 2 2 2" xfId="6720"/>
    <cellStyle name="Обычный 9 2 2 5 2 2 3" xfId="5158"/>
    <cellStyle name="Обычный 9 2 2 5 2 3" xfId="2815"/>
    <cellStyle name="Обычный 9 2 2 5 2 3 2" xfId="5939"/>
    <cellStyle name="Обычный 9 2 2 5 2 4" xfId="4377"/>
    <cellStyle name="Обычный 9 2 2 5 3" xfId="1643"/>
    <cellStyle name="Обычный 9 2 2 5 3 2" xfId="3205"/>
    <cellStyle name="Обычный 9 2 2 5 3 2 2" xfId="6329"/>
    <cellStyle name="Обычный 9 2 2 5 3 3" xfId="4767"/>
    <cellStyle name="Обычный 9 2 2 5 4" xfId="2424"/>
    <cellStyle name="Обычный 9 2 2 5 4 2" xfId="5548"/>
    <cellStyle name="Обычный 9 2 2 5 5" xfId="3986"/>
    <cellStyle name="Обычный 9 2 2 6" xfId="1057"/>
    <cellStyle name="Обычный 9 2 2 6 2" xfId="1839"/>
    <cellStyle name="Обычный 9 2 2 6 2 2" xfId="3401"/>
    <cellStyle name="Обычный 9 2 2 6 2 2 2" xfId="6525"/>
    <cellStyle name="Обычный 9 2 2 6 2 3" xfId="4963"/>
    <cellStyle name="Обычный 9 2 2 6 3" xfId="2620"/>
    <cellStyle name="Обычный 9 2 2 6 3 2" xfId="5744"/>
    <cellStyle name="Обычный 9 2 2 6 4" xfId="4182"/>
    <cellStyle name="Обычный 9 2 2 7" xfId="1448"/>
    <cellStyle name="Обычный 9 2 2 7 2" xfId="3010"/>
    <cellStyle name="Обычный 9 2 2 7 2 2" xfId="6134"/>
    <cellStyle name="Обычный 9 2 2 7 3" xfId="4572"/>
    <cellStyle name="Обычный 9 2 2 8" xfId="2229"/>
    <cellStyle name="Обычный 9 2 2 8 2" xfId="5353"/>
    <cellStyle name="Обычный 9 2 2 9" xfId="3791"/>
    <cellStyle name="Обычный 9 2 3" xfId="182"/>
    <cellStyle name="Обычный 9 2 3 2" xfId="863"/>
    <cellStyle name="Обычный 9 2 3 2 2" xfId="1256"/>
    <cellStyle name="Обычный 9 2 3 2 2 2" xfId="2038"/>
    <cellStyle name="Обычный 9 2 3 2 2 2 2" xfId="3600"/>
    <cellStyle name="Обычный 9 2 3 2 2 2 2 2" xfId="6724"/>
    <cellStyle name="Обычный 9 2 3 2 2 2 3" xfId="5162"/>
    <cellStyle name="Обычный 9 2 3 2 2 3" xfId="2819"/>
    <cellStyle name="Обычный 9 2 3 2 2 3 2" xfId="5943"/>
    <cellStyle name="Обычный 9 2 3 2 2 4" xfId="4381"/>
    <cellStyle name="Обычный 9 2 3 2 3" xfId="1647"/>
    <cellStyle name="Обычный 9 2 3 2 3 2" xfId="3209"/>
    <cellStyle name="Обычный 9 2 3 2 3 2 2" xfId="6333"/>
    <cellStyle name="Обычный 9 2 3 2 3 3" xfId="4771"/>
    <cellStyle name="Обычный 9 2 3 2 4" xfId="2428"/>
    <cellStyle name="Обычный 9 2 3 2 4 2" xfId="5552"/>
    <cellStyle name="Обычный 9 2 3 2 5" xfId="3990"/>
    <cellStyle name="Обычный 9 2 3 3" xfId="1061"/>
    <cellStyle name="Обычный 9 2 3 3 2" xfId="1843"/>
    <cellStyle name="Обычный 9 2 3 3 2 2" xfId="3405"/>
    <cellStyle name="Обычный 9 2 3 3 2 2 2" xfId="6529"/>
    <cellStyle name="Обычный 9 2 3 3 2 3" xfId="4967"/>
    <cellStyle name="Обычный 9 2 3 3 3" xfId="2624"/>
    <cellStyle name="Обычный 9 2 3 3 3 2" xfId="5748"/>
    <cellStyle name="Обычный 9 2 3 3 4" xfId="4186"/>
    <cellStyle name="Обычный 9 2 3 4" xfId="1452"/>
    <cellStyle name="Обычный 9 2 3 4 2" xfId="3014"/>
    <cellStyle name="Обычный 9 2 3 4 2 2" xfId="6138"/>
    <cellStyle name="Обычный 9 2 3 4 3" xfId="4576"/>
    <cellStyle name="Обычный 9 2 3 5" xfId="2233"/>
    <cellStyle name="Обычный 9 2 3 5 2" xfId="5357"/>
    <cellStyle name="Обычный 9 2 3 6" xfId="3795"/>
    <cellStyle name="Обычный 9 2 4" xfId="183"/>
    <cellStyle name="Обычный 9 2 4 2" xfId="864"/>
    <cellStyle name="Обычный 9 2 4 2 2" xfId="1257"/>
    <cellStyle name="Обычный 9 2 4 2 2 2" xfId="2039"/>
    <cellStyle name="Обычный 9 2 4 2 2 2 2" xfId="3601"/>
    <cellStyle name="Обычный 9 2 4 2 2 2 2 2" xfId="6725"/>
    <cellStyle name="Обычный 9 2 4 2 2 2 3" xfId="5163"/>
    <cellStyle name="Обычный 9 2 4 2 2 3" xfId="2820"/>
    <cellStyle name="Обычный 9 2 4 2 2 3 2" xfId="5944"/>
    <cellStyle name="Обычный 9 2 4 2 2 4" xfId="4382"/>
    <cellStyle name="Обычный 9 2 4 2 3" xfId="1648"/>
    <cellStyle name="Обычный 9 2 4 2 3 2" xfId="3210"/>
    <cellStyle name="Обычный 9 2 4 2 3 2 2" xfId="6334"/>
    <cellStyle name="Обычный 9 2 4 2 3 3" xfId="4772"/>
    <cellStyle name="Обычный 9 2 4 2 4" xfId="2429"/>
    <cellStyle name="Обычный 9 2 4 2 4 2" xfId="5553"/>
    <cellStyle name="Обычный 9 2 4 2 5" xfId="3991"/>
    <cellStyle name="Обычный 9 2 4 3" xfId="1062"/>
    <cellStyle name="Обычный 9 2 4 3 2" xfId="1844"/>
    <cellStyle name="Обычный 9 2 4 3 2 2" xfId="3406"/>
    <cellStyle name="Обычный 9 2 4 3 2 2 2" xfId="6530"/>
    <cellStyle name="Обычный 9 2 4 3 2 3" xfId="4968"/>
    <cellStyle name="Обычный 9 2 4 3 3" xfId="2625"/>
    <cellStyle name="Обычный 9 2 4 3 3 2" xfId="5749"/>
    <cellStyle name="Обычный 9 2 4 3 4" xfId="4187"/>
    <cellStyle name="Обычный 9 2 4 4" xfId="1453"/>
    <cellStyle name="Обычный 9 2 4 4 2" xfId="3015"/>
    <cellStyle name="Обычный 9 2 4 4 2 2" xfId="6139"/>
    <cellStyle name="Обычный 9 2 4 4 3" xfId="4577"/>
    <cellStyle name="Обычный 9 2 4 5" xfId="2234"/>
    <cellStyle name="Обычный 9 2 4 5 2" xfId="5358"/>
    <cellStyle name="Обычный 9 2 4 6" xfId="3796"/>
    <cellStyle name="Обычный 9 2 5" xfId="858"/>
    <cellStyle name="Обычный 9 2 5 2" xfId="1251"/>
    <cellStyle name="Обычный 9 2 5 2 2" xfId="2033"/>
    <cellStyle name="Обычный 9 2 5 2 2 2" xfId="3595"/>
    <cellStyle name="Обычный 9 2 5 2 2 2 2" xfId="6719"/>
    <cellStyle name="Обычный 9 2 5 2 2 3" xfId="5157"/>
    <cellStyle name="Обычный 9 2 5 2 3" xfId="2814"/>
    <cellStyle name="Обычный 9 2 5 2 3 2" xfId="5938"/>
    <cellStyle name="Обычный 9 2 5 2 4" xfId="4376"/>
    <cellStyle name="Обычный 9 2 5 3" xfId="1642"/>
    <cellStyle name="Обычный 9 2 5 3 2" xfId="3204"/>
    <cellStyle name="Обычный 9 2 5 3 2 2" xfId="6328"/>
    <cellStyle name="Обычный 9 2 5 3 3" xfId="4766"/>
    <cellStyle name="Обычный 9 2 5 4" xfId="2423"/>
    <cellStyle name="Обычный 9 2 5 4 2" xfId="5547"/>
    <cellStyle name="Обычный 9 2 5 5" xfId="3985"/>
    <cellStyle name="Обычный 9 2 6" xfId="1056"/>
    <cellStyle name="Обычный 9 2 6 2" xfId="1838"/>
    <cellStyle name="Обычный 9 2 6 2 2" xfId="3400"/>
    <cellStyle name="Обычный 9 2 6 2 2 2" xfId="6524"/>
    <cellStyle name="Обычный 9 2 6 2 3" xfId="4962"/>
    <cellStyle name="Обычный 9 2 6 3" xfId="2619"/>
    <cellStyle name="Обычный 9 2 6 3 2" xfId="5743"/>
    <cellStyle name="Обычный 9 2 6 4" xfId="4181"/>
    <cellStyle name="Обычный 9 2 7" xfId="1447"/>
    <cellStyle name="Обычный 9 2 7 2" xfId="3009"/>
    <cellStyle name="Обычный 9 2 7 2 2" xfId="6133"/>
    <cellStyle name="Обычный 9 2 7 3" xfId="4571"/>
    <cellStyle name="Обычный 9 2 8" xfId="2228"/>
    <cellStyle name="Обычный 9 2 8 2" xfId="5352"/>
    <cellStyle name="Обычный 9 2 9" xfId="3790"/>
    <cellStyle name="Обычный 9 3" xfId="184"/>
    <cellStyle name="Обычный 9 3 2" xfId="185"/>
    <cellStyle name="Обычный 9 3 2 2" xfId="866"/>
    <cellStyle name="Обычный 9 3 2 2 2" xfId="1259"/>
    <cellStyle name="Обычный 9 3 2 2 2 2" xfId="2041"/>
    <cellStyle name="Обычный 9 3 2 2 2 2 2" xfId="3603"/>
    <cellStyle name="Обычный 9 3 2 2 2 2 2 2" xfId="6727"/>
    <cellStyle name="Обычный 9 3 2 2 2 2 3" xfId="5165"/>
    <cellStyle name="Обычный 9 3 2 2 2 3" xfId="2822"/>
    <cellStyle name="Обычный 9 3 2 2 2 3 2" xfId="5946"/>
    <cellStyle name="Обычный 9 3 2 2 2 4" xfId="4384"/>
    <cellStyle name="Обычный 9 3 2 2 3" xfId="1650"/>
    <cellStyle name="Обычный 9 3 2 2 3 2" xfId="3212"/>
    <cellStyle name="Обычный 9 3 2 2 3 2 2" xfId="6336"/>
    <cellStyle name="Обычный 9 3 2 2 3 3" xfId="4774"/>
    <cellStyle name="Обычный 9 3 2 2 4" xfId="2431"/>
    <cellStyle name="Обычный 9 3 2 2 4 2" xfId="5555"/>
    <cellStyle name="Обычный 9 3 2 2 5" xfId="3993"/>
    <cellStyle name="Обычный 9 3 2 3" xfId="1064"/>
    <cellStyle name="Обычный 9 3 2 3 2" xfId="1846"/>
    <cellStyle name="Обычный 9 3 2 3 2 2" xfId="3408"/>
    <cellStyle name="Обычный 9 3 2 3 2 2 2" xfId="6532"/>
    <cellStyle name="Обычный 9 3 2 3 2 3" xfId="4970"/>
    <cellStyle name="Обычный 9 3 2 3 3" xfId="2627"/>
    <cellStyle name="Обычный 9 3 2 3 3 2" xfId="5751"/>
    <cellStyle name="Обычный 9 3 2 3 4" xfId="4189"/>
    <cellStyle name="Обычный 9 3 2 4" xfId="1455"/>
    <cellStyle name="Обычный 9 3 2 4 2" xfId="3017"/>
    <cellStyle name="Обычный 9 3 2 4 2 2" xfId="6141"/>
    <cellStyle name="Обычный 9 3 2 4 3" xfId="4579"/>
    <cellStyle name="Обычный 9 3 2 5" xfId="2236"/>
    <cellStyle name="Обычный 9 3 2 5 2" xfId="5360"/>
    <cellStyle name="Обычный 9 3 2 6" xfId="3798"/>
    <cellStyle name="Обычный 9 3 3" xfId="186"/>
    <cellStyle name="Обычный 9 3 3 2" xfId="867"/>
    <cellStyle name="Обычный 9 3 3 2 2" xfId="1260"/>
    <cellStyle name="Обычный 9 3 3 2 2 2" xfId="2042"/>
    <cellStyle name="Обычный 9 3 3 2 2 2 2" xfId="3604"/>
    <cellStyle name="Обычный 9 3 3 2 2 2 2 2" xfId="6728"/>
    <cellStyle name="Обычный 9 3 3 2 2 2 3" xfId="5166"/>
    <cellStyle name="Обычный 9 3 3 2 2 3" xfId="2823"/>
    <cellStyle name="Обычный 9 3 3 2 2 3 2" xfId="5947"/>
    <cellStyle name="Обычный 9 3 3 2 2 4" xfId="4385"/>
    <cellStyle name="Обычный 9 3 3 2 3" xfId="1651"/>
    <cellStyle name="Обычный 9 3 3 2 3 2" xfId="3213"/>
    <cellStyle name="Обычный 9 3 3 2 3 2 2" xfId="6337"/>
    <cellStyle name="Обычный 9 3 3 2 3 3" xfId="4775"/>
    <cellStyle name="Обычный 9 3 3 2 4" xfId="2432"/>
    <cellStyle name="Обычный 9 3 3 2 4 2" xfId="5556"/>
    <cellStyle name="Обычный 9 3 3 2 5" xfId="3994"/>
    <cellStyle name="Обычный 9 3 3 3" xfId="1065"/>
    <cellStyle name="Обычный 9 3 3 3 2" xfId="1847"/>
    <cellStyle name="Обычный 9 3 3 3 2 2" xfId="3409"/>
    <cellStyle name="Обычный 9 3 3 3 2 2 2" xfId="6533"/>
    <cellStyle name="Обычный 9 3 3 3 2 3" xfId="4971"/>
    <cellStyle name="Обычный 9 3 3 3 3" xfId="2628"/>
    <cellStyle name="Обычный 9 3 3 3 3 2" xfId="5752"/>
    <cellStyle name="Обычный 9 3 3 3 4" xfId="4190"/>
    <cellStyle name="Обычный 9 3 3 4" xfId="1456"/>
    <cellStyle name="Обычный 9 3 3 4 2" xfId="3018"/>
    <cellStyle name="Обычный 9 3 3 4 2 2" xfId="6142"/>
    <cellStyle name="Обычный 9 3 3 4 3" xfId="4580"/>
    <cellStyle name="Обычный 9 3 3 5" xfId="2237"/>
    <cellStyle name="Обычный 9 3 3 5 2" xfId="5361"/>
    <cellStyle name="Обычный 9 3 3 6" xfId="3799"/>
    <cellStyle name="Обычный 9 3 4" xfId="187"/>
    <cellStyle name="Обычный 9 3 4 2" xfId="868"/>
    <cellStyle name="Обычный 9 3 4 2 2" xfId="1261"/>
    <cellStyle name="Обычный 9 3 4 2 2 2" xfId="2043"/>
    <cellStyle name="Обычный 9 3 4 2 2 2 2" xfId="3605"/>
    <cellStyle name="Обычный 9 3 4 2 2 2 2 2" xfId="6729"/>
    <cellStyle name="Обычный 9 3 4 2 2 2 3" xfId="5167"/>
    <cellStyle name="Обычный 9 3 4 2 2 3" xfId="2824"/>
    <cellStyle name="Обычный 9 3 4 2 2 3 2" xfId="5948"/>
    <cellStyle name="Обычный 9 3 4 2 2 4" xfId="4386"/>
    <cellStyle name="Обычный 9 3 4 2 3" xfId="1652"/>
    <cellStyle name="Обычный 9 3 4 2 3 2" xfId="3214"/>
    <cellStyle name="Обычный 9 3 4 2 3 2 2" xfId="6338"/>
    <cellStyle name="Обычный 9 3 4 2 3 3" xfId="4776"/>
    <cellStyle name="Обычный 9 3 4 2 4" xfId="2433"/>
    <cellStyle name="Обычный 9 3 4 2 4 2" xfId="5557"/>
    <cellStyle name="Обычный 9 3 4 2 5" xfId="3995"/>
    <cellStyle name="Обычный 9 3 4 3" xfId="1066"/>
    <cellStyle name="Обычный 9 3 4 3 2" xfId="1848"/>
    <cellStyle name="Обычный 9 3 4 3 2 2" xfId="3410"/>
    <cellStyle name="Обычный 9 3 4 3 2 2 2" xfId="6534"/>
    <cellStyle name="Обычный 9 3 4 3 2 3" xfId="4972"/>
    <cellStyle name="Обычный 9 3 4 3 3" xfId="2629"/>
    <cellStyle name="Обычный 9 3 4 3 3 2" xfId="5753"/>
    <cellStyle name="Обычный 9 3 4 3 4" xfId="4191"/>
    <cellStyle name="Обычный 9 3 4 4" xfId="1457"/>
    <cellStyle name="Обычный 9 3 4 4 2" xfId="3019"/>
    <cellStyle name="Обычный 9 3 4 4 2 2" xfId="6143"/>
    <cellStyle name="Обычный 9 3 4 4 3" xfId="4581"/>
    <cellStyle name="Обычный 9 3 4 5" xfId="2238"/>
    <cellStyle name="Обычный 9 3 4 5 2" xfId="5362"/>
    <cellStyle name="Обычный 9 3 4 6" xfId="3800"/>
    <cellStyle name="Обычный 9 3 5" xfId="865"/>
    <cellStyle name="Обычный 9 3 5 2" xfId="1258"/>
    <cellStyle name="Обычный 9 3 5 2 2" xfId="2040"/>
    <cellStyle name="Обычный 9 3 5 2 2 2" xfId="3602"/>
    <cellStyle name="Обычный 9 3 5 2 2 2 2" xfId="6726"/>
    <cellStyle name="Обычный 9 3 5 2 2 3" xfId="5164"/>
    <cellStyle name="Обычный 9 3 5 2 3" xfId="2821"/>
    <cellStyle name="Обычный 9 3 5 2 3 2" xfId="5945"/>
    <cellStyle name="Обычный 9 3 5 2 4" xfId="4383"/>
    <cellStyle name="Обычный 9 3 5 3" xfId="1649"/>
    <cellStyle name="Обычный 9 3 5 3 2" xfId="3211"/>
    <cellStyle name="Обычный 9 3 5 3 2 2" xfId="6335"/>
    <cellStyle name="Обычный 9 3 5 3 3" xfId="4773"/>
    <cellStyle name="Обычный 9 3 5 4" xfId="2430"/>
    <cellStyle name="Обычный 9 3 5 4 2" xfId="5554"/>
    <cellStyle name="Обычный 9 3 5 5" xfId="3992"/>
    <cellStyle name="Обычный 9 3 6" xfId="1063"/>
    <cellStyle name="Обычный 9 3 6 2" xfId="1845"/>
    <cellStyle name="Обычный 9 3 6 2 2" xfId="3407"/>
    <cellStyle name="Обычный 9 3 6 2 2 2" xfId="6531"/>
    <cellStyle name="Обычный 9 3 6 2 3" xfId="4969"/>
    <cellStyle name="Обычный 9 3 6 3" xfId="2626"/>
    <cellStyle name="Обычный 9 3 6 3 2" xfId="5750"/>
    <cellStyle name="Обычный 9 3 6 4" xfId="4188"/>
    <cellStyle name="Обычный 9 3 7" xfId="1454"/>
    <cellStyle name="Обычный 9 3 7 2" xfId="3016"/>
    <cellStyle name="Обычный 9 3 7 2 2" xfId="6140"/>
    <cellStyle name="Обычный 9 3 7 3" xfId="4578"/>
    <cellStyle name="Обычный 9 3 8" xfId="2235"/>
    <cellStyle name="Обычный 9 3 8 2" xfId="5359"/>
    <cellStyle name="Обычный 9 3 9" xfId="3797"/>
    <cellStyle name="Обычный 9 4" xfId="188"/>
    <cellStyle name="Обычный 9 4 2" xfId="869"/>
    <cellStyle name="Обычный 9 4 2 2" xfId="1262"/>
    <cellStyle name="Обычный 9 4 2 2 2" xfId="2044"/>
    <cellStyle name="Обычный 9 4 2 2 2 2" xfId="3606"/>
    <cellStyle name="Обычный 9 4 2 2 2 2 2" xfId="6730"/>
    <cellStyle name="Обычный 9 4 2 2 2 3" xfId="5168"/>
    <cellStyle name="Обычный 9 4 2 2 3" xfId="2825"/>
    <cellStyle name="Обычный 9 4 2 2 3 2" xfId="5949"/>
    <cellStyle name="Обычный 9 4 2 2 4" xfId="4387"/>
    <cellStyle name="Обычный 9 4 2 3" xfId="1653"/>
    <cellStyle name="Обычный 9 4 2 3 2" xfId="3215"/>
    <cellStyle name="Обычный 9 4 2 3 2 2" xfId="6339"/>
    <cellStyle name="Обычный 9 4 2 3 3" xfId="4777"/>
    <cellStyle name="Обычный 9 4 2 4" xfId="2434"/>
    <cellStyle name="Обычный 9 4 2 4 2" xfId="5558"/>
    <cellStyle name="Обычный 9 4 2 5" xfId="3996"/>
    <cellStyle name="Обычный 9 4 3" xfId="1067"/>
    <cellStyle name="Обычный 9 4 3 2" xfId="1849"/>
    <cellStyle name="Обычный 9 4 3 2 2" xfId="3411"/>
    <cellStyle name="Обычный 9 4 3 2 2 2" xfId="6535"/>
    <cellStyle name="Обычный 9 4 3 2 3" xfId="4973"/>
    <cellStyle name="Обычный 9 4 3 3" xfId="2630"/>
    <cellStyle name="Обычный 9 4 3 3 2" xfId="5754"/>
    <cellStyle name="Обычный 9 4 3 4" xfId="4192"/>
    <cellStyle name="Обычный 9 4 4" xfId="1458"/>
    <cellStyle name="Обычный 9 4 4 2" xfId="3020"/>
    <cellStyle name="Обычный 9 4 4 2 2" xfId="6144"/>
    <cellStyle name="Обычный 9 4 4 3" xfId="4582"/>
    <cellStyle name="Обычный 9 4 5" xfId="2239"/>
    <cellStyle name="Обычный 9 4 5 2" xfId="5363"/>
    <cellStyle name="Обычный 9 4 6" xfId="3801"/>
    <cellStyle name="Обычный 9 5" xfId="189"/>
    <cellStyle name="Обычный 9 5 2" xfId="870"/>
    <cellStyle name="Обычный 9 5 2 2" xfId="1263"/>
    <cellStyle name="Обычный 9 5 2 2 2" xfId="2045"/>
    <cellStyle name="Обычный 9 5 2 2 2 2" xfId="3607"/>
    <cellStyle name="Обычный 9 5 2 2 2 2 2" xfId="6731"/>
    <cellStyle name="Обычный 9 5 2 2 2 3" xfId="5169"/>
    <cellStyle name="Обычный 9 5 2 2 3" xfId="2826"/>
    <cellStyle name="Обычный 9 5 2 2 3 2" xfId="5950"/>
    <cellStyle name="Обычный 9 5 2 2 4" xfId="4388"/>
    <cellStyle name="Обычный 9 5 2 3" xfId="1654"/>
    <cellStyle name="Обычный 9 5 2 3 2" xfId="3216"/>
    <cellStyle name="Обычный 9 5 2 3 2 2" xfId="6340"/>
    <cellStyle name="Обычный 9 5 2 3 3" xfId="4778"/>
    <cellStyle name="Обычный 9 5 2 4" xfId="2435"/>
    <cellStyle name="Обычный 9 5 2 4 2" xfId="5559"/>
    <cellStyle name="Обычный 9 5 2 5" xfId="3997"/>
    <cellStyle name="Обычный 9 5 3" xfId="1068"/>
    <cellStyle name="Обычный 9 5 3 2" xfId="1850"/>
    <cellStyle name="Обычный 9 5 3 2 2" xfId="3412"/>
    <cellStyle name="Обычный 9 5 3 2 2 2" xfId="6536"/>
    <cellStyle name="Обычный 9 5 3 2 3" xfId="4974"/>
    <cellStyle name="Обычный 9 5 3 3" xfId="2631"/>
    <cellStyle name="Обычный 9 5 3 3 2" xfId="5755"/>
    <cellStyle name="Обычный 9 5 3 4" xfId="4193"/>
    <cellStyle name="Обычный 9 5 4" xfId="1459"/>
    <cellStyle name="Обычный 9 5 4 2" xfId="3021"/>
    <cellStyle name="Обычный 9 5 4 2 2" xfId="6145"/>
    <cellStyle name="Обычный 9 5 4 3" xfId="4583"/>
    <cellStyle name="Обычный 9 5 5" xfId="2240"/>
    <cellStyle name="Обычный 9 5 5 2" xfId="5364"/>
    <cellStyle name="Обычный 9 5 6" xfId="3802"/>
    <cellStyle name="Обычный 9 6" xfId="857"/>
    <cellStyle name="Обычный 9 6 2" xfId="1250"/>
    <cellStyle name="Обычный 9 6 2 2" xfId="2032"/>
    <cellStyle name="Обычный 9 6 2 2 2" xfId="3594"/>
    <cellStyle name="Обычный 9 6 2 2 2 2" xfId="6718"/>
    <cellStyle name="Обычный 9 6 2 2 3" xfId="5156"/>
    <cellStyle name="Обычный 9 6 2 3" xfId="2813"/>
    <cellStyle name="Обычный 9 6 2 3 2" xfId="5937"/>
    <cellStyle name="Обычный 9 6 2 4" xfId="4375"/>
    <cellStyle name="Обычный 9 6 3" xfId="1641"/>
    <cellStyle name="Обычный 9 6 3 2" xfId="3203"/>
    <cellStyle name="Обычный 9 6 3 2 2" xfId="6327"/>
    <cellStyle name="Обычный 9 6 3 3" xfId="4765"/>
    <cellStyle name="Обычный 9 6 4" xfId="2422"/>
    <cellStyle name="Обычный 9 6 4 2" xfId="5546"/>
    <cellStyle name="Обычный 9 6 5" xfId="3984"/>
    <cellStyle name="Обычный 9 7" xfId="1055"/>
    <cellStyle name="Обычный 9 7 2" xfId="1837"/>
    <cellStyle name="Обычный 9 7 2 2" xfId="3399"/>
    <cellStyle name="Обычный 9 7 2 2 2" xfId="6523"/>
    <cellStyle name="Обычный 9 7 2 3" xfId="4961"/>
    <cellStyle name="Обычный 9 7 3" xfId="2618"/>
    <cellStyle name="Обычный 9 7 3 2" xfId="5742"/>
    <cellStyle name="Обычный 9 7 4" xfId="4180"/>
    <cellStyle name="Обычный 9 8" xfId="1446"/>
    <cellStyle name="Обычный 9 8 2" xfId="3008"/>
    <cellStyle name="Обычный 9 8 2 2" xfId="6132"/>
    <cellStyle name="Обычный 9 8 3" xfId="4570"/>
    <cellStyle name="Обычный 9 9" xfId="2227"/>
    <cellStyle name="Обычный 9 9 2" xfId="5351"/>
    <cellStyle name="Обычный_189200000002" xfId="1325"/>
    <cellStyle name="Плохой 2" xfId="190"/>
    <cellStyle name="Пояснение 2" xfId="191"/>
    <cellStyle name="Примечание 2" xfId="192"/>
    <cellStyle name="Процентный 10" xfId="707"/>
    <cellStyle name="Процентный 12" xfId="708"/>
    <cellStyle name="Процентный 12 2" xfId="709"/>
    <cellStyle name="Процентный 13" xfId="710"/>
    <cellStyle name="Процентный 13 2" xfId="711"/>
    <cellStyle name="Процентный 2" xfId="5"/>
    <cellStyle name="Процентный 2 2" xfId="6"/>
    <cellStyle name="Процентный 2 3" xfId="712"/>
    <cellStyle name="Процентный 3" xfId="193"/>
    <cellStyle name="Процентный 4" xfId="713"/>
    <cellStyle name="Процентный 5" xfId="714"/>
    <cellStyle name="Процентный 6" xfId="715"/>
    <cellStyle name="Процентный 7" xfId="716"/>
    <cellStyle name="Процентный 8" xfId="717"/>
    <cellStyle name="Процентный 9" xfId="718"/>
    <cellStyle name="Связанная ячейка 2" xfId="194"/>
    <cellStyle name="Стиль 1" xfId="195"/>
    <cellStyle name="Текст предупреждения 2" xfId="196"/>
    <cellStyle name="Тысячи [0]_Лист1 (2)" xfId="719"/>
    <cellStyle name="Тысячи_Лист1 (2)" xfId="720"/>
    <cellStyle name="Финансовый" xfId="7" builtinId="3"/>
    <cellStyle name="Финансовый 10" xfId="721"/>
    <cellStyle name="Финансовый 11" xfId="722"/>
    <cellStyle name="Финансовый 12" xfId="723"/>
    <cellStyle name="Финансовый 13" xfId="724"/>
    <cellStyle name="Финансовый 14" xfId="725"/>
    <cellStyle name="Финансовый 15" xfId="935"/>
    <cellStyle name="Финансовый 2" xfId="8"/>
    <cellStyle name="Финансовый 2 2" xfId="9"/>
    <cellStyle name="Финансовый 2 2 2" xfId="197"/>
    <cellStyle name="Финансовый 2 2 2 2" xfId="198"/>
    <cellStyle name="Финансовый 2 2 2 2 2" xfId="199"/>
    <cellStyle name="Финансовый 2 2 2 2 3" xfId="872"/>
    <cellStyle name="Финансовый 2 2 2 2 3 2" xfId="1265"/>
    <cellStyle name="Финансовый 2 2 2 2 3 2 2" xfId="2047"/>
    <cellStyle name="Финансовый 2 2 2 2 3 2 2 2" xfId="3609"/>
    <cellStyle name="Финансовый 2 2 2 2 3 2 2 2 2" xfId="6733"/>
    <cellStyle name="Финансовый 2 2 2 2 3 2 2 3" xfId="5171"/>
    <cellStyle name="Финансовый 2 2 2 2 3 2 3" xfId="2828"/>
    <cellStyle name="Финансовый 2 2 2 2 3 2 3 2" xfId="5952"/>
    <cellStyle name="Финансовый 2 2 2 2 3 2 4" xfId="4390"/>
    <cellStyle name="Финансовый 2 2 2 2 3 3" xfId="1656"/>
    <cellStyle name="Финансовый 2 2 2 2 3 3 2" xfId="3218"/>
    <cellStyle name="Финансовый 2 2 2 2 3 3 2 2" xfId="6342"/>
    <cellStyle name="Финансовый 2 2 2 2 3 3 3" xfId="4780"/>
    <cellStyle name="Финансовый 2 2 2 2 3 4" xfId="2437"/>
    <cellStyle name="Финансовый 2 2 2 2 3 4 2" xfId="5561"/>
    <cellStyle name="Финансовый 2 2 2 2 3 5" xfId="3999"/>
    <cellStyle name="Финансовый 2 2 2 2 4" xfId="1070"/>
    <cellStyle name="Финансовый 2 2 2 2 4 2" xfId="1852"/>
    <cellStyle name="Финансовый 2 2 2 2 4 2 2" xfId="3414"/>
    <cellStyle name="Финансовый 2 2 2 2 4 2 2 2" xfId="6538"/>
    <cellStyle name="Финансовый 2 2 2 2 4 2 3" xfId="4976"/>
    <cellStyle name="Финансовый 2 2 2 2 4 3" xfId="2633"/>
    <cellStyle name="Финансовый 2 2 2 2 4 3 2" xfId="5757"/>
    <cellStyle name="Финансовый 2 2 2 2 4 4" xfId="4195"/>
    <cellStyle name="Финансовый 2 2 2 2 5" xfId="1461"/>
    <cellStyle name="Финансовый 2 2 2 2 5 2" xfId="3023"/>
    <cellStyle name="Финансовый 2 2 2 2 5 2 2" xfId="6147"/>
    <cellStyle name="Финансовый 2 2 2 2 5 3" xfId="4585"/>
    <cellStyle name="Финансовый 2 2 2 2 6" xfId="2242"/>
    <cellStyle name="Финансовый 2 2 2 2 6 2" xfId="5366"/>
    <cellStyle name="Финансовый 2 2 2 2 7" xfId="3804"/>
    <cellStyle name="Финансовый 2 2 2 3" xfId="200"/>
    <cellStyle name="Финансовый 2 2 2 3 2" xfId="873"/>
    <cellStyle name="Финансовый 2 2 2 3 2 2" xfId="1266"/>
    <cellStyle name="Финансовый 2 2 2 3 2 2 2" xfId="2048"/>
    <cellStyle name="Финансовый 2 2 2 3 2 2 2 2" xfId="3610"/>
    <cellStyle name="Финансовый 2 2 2 3 2 2 2 2 2" xfId="6734"/>
    <cellStyle name="Финансовый 2 2 2 3 2 2 2 3" xfId="5172"/>
    <cellStyle name="Финансовый 2 2 2 3 2 2 3" xfId="2829"/>
    <cellStyle name="Финансовый 2 2 2 3 2 2 3 2" xfId="5953"/>
    <cellStyle name="Финансовый 2 2 2 3 2 2 4" xfId="4391"/>
    <cellStyle name="Финансовый 2 2 2 3 2 3" xfId="1657"/>
    <cellStyle name="Финансовый 2 2 2 3 2 3 2" xfId="3219"/>
    <cellStyle name="Финансовый 2 2 2 3 2 3 2 2" xfId="6343"/>
    <cellStyle name="Финансовый 2 2 2 3 2 3 3" xfId="4781"/>
    <cellStyle name="Финансовый 2 2 2 3 2 4" xfId="2438"/>
    <cellStyle name="Финансовый 2 2 2 3 2 4 2" xfId="5562"/>
    <cellStyle name="Финансовый 2 2 2 3 2 5" xfId="4000"/>
    <cellStyle name="Финансовый 2 2 2 3 3" xfId="1071"/>
    <cellStyle name="Финансовый 2 2 2 3 3 2" xfId="1853"/>
    <cellStyle name="Финансовый 2 2 2 3 3 2 2" xfId="3415"/>
    <cellStyle name="Финансовый 2 2 2 3 3 2 2 2" xfId="6539"/>
    <cellStyle name="Финансовый 2 2 2 3 3 2 3" xfId="4977"/>
    <cellStyle name="Финансовый 2 2 2 3 3 3" xfId="2634"/>
    <cellStyle name="Финансовый 2 2 2 3 3 3 2" xfId="5758"/>
    <cellStyle name="Финансовый 2 2 2 3 3 4" xfId="4196"/>
    <cellStyle name="Финансовый 2 2 2 3 4" xfId="1462"/>
    <cellStyle name="Финансовый 2 2 2 3 4 2" xfId="3024"/>
    <cellStyle name="Финансовый 2 2 2 3 4 2 2" xfId="6148"/>
    <cellStyle name="Финансовый 2 2 2 3 4 3" xfId="4586"/>
    <cellStyle name="Финансовый 2 2 2 3 5" xfId="2243"/>
    <cellStyle name="Финансовый 2 2 2 3 5 2" xfId="5367"/>
    <cellStyle name="Финансовый 2 2 2 3 6" xfId="3805"/>
    <cellStyle name="Финансовый 2 2 2 4" xfId="871"/>
    <cellStyle name="Финансовый 2 2 2 4 2" xfId="1264"/>
    <cellStyle name="Финансовый 2 2 2 4 2 2" xfId="2046"/>
    <cellStyle name="Финансовый 2 2 2 4 2 2 2" xfId="3608"/>
    <cellStyle name="Финансовый 2 2 2 4 2 2 2 2" xfId="6732"/>
    <cellStyle name="Финансовый 2 2 2 4 2 2 3" xfId="5170"/>
    <cellStyle name="Финансовый 2 2 2 4 2 3" xfId="2827"/>
    <cellStyle name="Финансовый 2 2 2 4 2 3 2" xfId="5951"/>
    <cellStyle name="Финансовый 2 2 2 4 2 4" xfId="4389"/>
    <cellStyle name="Финансовый 2 2 2 4 3" xfId="1655"/>
    <cellStyle name="Финансовый 2 2 2 4 3 2" xfId="3217"/>
    <cellStyle name="Финансовый 2 2 2 4 3 2 2" xfId="6341"/>
    <cellStyle name="Финансовый 2 2 2 4 3 3" xfId="4779"/>
    <cellStyle name="Финансовый 2 2 2 4 4" xfId="2436"/>
    <cellStyle name="Финансовый 2 2 2 4 4 2" xfId="5560"/>
    <cellStyle name="Финансовый 2 2 2 4 5" xfId="3998"/>
    <cellStyle name="Финансовый 2 2 2 5" xfId="1069"/>
    <cellStyle name="Финансовый 2 2 2 5 2" xfId="1851"/>
    <cellStyle name="Финансовый 2 2 2 5 2 2" xfId="3413"/>
    <cellStyle name="Финансовый 2 2 2 5 2 2 2" xfId="6537"/>
    <cellStyle name="Финансовый 2 2 2 5 2 3" xfId="4975"/>
    <cellStyle name="Финансовый 2 2 2 5 3" xfId="2632"/>
    <cellStyle name="Финансовый 2 2 2 5 3 2" xfId="5756"/>
    <cellStyle name="Финансовый 2 2 2 5 4" xfId="4194"/>
    <cellStyle name="Финансовый 2 2 2 6" xfId="1460"/>
    <cellStyle name="Финансовый 2 2 2 6 2" xfId="3022"/>
    <cellStyle name="Финансовый 2 2 2 6 2 2" xfId="6146"/>
    <cellStyle name="Финансовый 2 2 2 6 3" xfId="4584"/>
    <cellStyle name="Финансовый 2 2 2 7" xfId="2241"/>
    <cellStyle name="Финансовый 2 2 2 7 2" xfId="5365"/>
    <cellStyle name="Финансовый 2 2 2 8" xfId="3803"/>
    <cellStyle name="Финансовый 2 2 3" xfId="201"/>
    <cellStyle name="Финансовый 2 2 3 2" xfId="874"/>
    <cellStyle name="Финансовый 2 2 3 2 2" xfId="1267"/>
    <cellStyle name="Финансовый 2 2 3 2 2 2" xfId="2049"/>
    <cellStyle name="Финансовый 2 2 3 2 2 2 2" xfId="3611"/>
    <cellStyle name="Финансовый 2 2 3 2 2 2 2 2" xfId="6735"/>
    <cellStyle name="Финансовый 2 2 3 2 2 2 3" xfId="5173"/>
    <cellStyle name="Финансовый 2 2 3 2 2 3" xfId="2830"/>
    <cellStyle name="Финансовый 2 2 3 2 2 3 2" xfId="5954"/>
    <cellStyle name="Финансовый 2 2 3 2 2 4" xfId="4392"/>
    <cellStyle name="Финансовый 2 2 3 2 3" xfId="1658"/>
    <cellStyle name="Финансовый 2 2 3 2 3 2" xfId="3220"/>
    <cellStyle name="Финансовый 2 2 3 2 3 2 2" xfId="6344"/>
    <cellStyle name="Финансовый 2 2 3 2 3 3" xfId="4782"/>
    <cellStyle name="Финансовый 2 2 3 2 4" xfId="2439"/>
    <cellStyle name="Финансовый 2 2 3 2 4 2" xfId="5563"/>
    <cellStyle name="Финансовый 2 2 3 2 5" xfId="4001"/>
    <cellStyle name="Финансовый 2 2 3 3" xfId="1072"/>
    <cellStyle name="Финансовый 2 2 3 3 2" xfId="1854"/>
    <cellStyle name="Финансовый 2 2 3 3 2 2" xfId="3416"/>
    <cellStyle name="Финансовый 2 2 3 3 2 2 2" xfId="6540"/>
    <cellStyle name="Финансовый 2 2 3 3 2 3" xfId="4978"/>
    <cellStyle name="Финансовый 2 2 3 3 3" xfId="2635"/>
    <cellStyle name="Финансовый 2 2 3 3 3 2" xfId="5759"/>
    <cellStyle name="Финансовый 2 2 3 3 4" xfId="4197"/>
    <cellStyle name="Финансовый 2 2 3 4" xfId="1463"/>
    <cellStyle name="Финансовый 2 2 3 4 2" xfId="3025"/>
    <cellStyle name="Финансовый 2 2 3 4 2 2" xfId="6149"/>
    <cellStyle name="Финансовый 2 2 3 4 3" xfId="4587"/>
    <cellStyle name="Финансовый 2 2 3 5" xfId="2244"/>
    <cellStyle name="Финансовый 2 2 3 5 2" xfId="5368"/>
    <cellStyle name="Финансовый 2 2 3 6" xfId="3806"/>
    <cellStyle name="Финансовый 2 2 4" xfId="202"/>
    <cellStyle name="Финансовый 2 2 4 2" xfId="875"/>
    <cellStyle name="Финансовый 2 2 4 2 2" xfId="1268"/>
    <cellStyle name="Финансовый 2 2 4 2 2 2" xfId="2050"/>
    <cellStyle name="Финансовый 2 2 4 2 2 2 2" xfId="3612"/>
    <cellStyle name="Финансовый 2 2 4 2 2 2 2 2" xfId="6736"/>
    <cellStyle name="Финансовый 2 2 4 2 2 2 3" xfId="5174"/>
    <cellStyle name="Финансовый 2 2 4 2 2 3" xfId="2831"/>
    <cellStyle name="Финансовый 2 2 4 2 2 3 2" xfId="5955"/>
    <cellStyle name="Финансовый 2 2 4 2 2 4" xfId="4393"/>
    <cellStyle name="Финансовый 2 2 4 2 3" xfId="1659"/>
    <cellStyle name="Финансовый 2 2 4 2 3 2" xfId="3221"/>
    <cellStyle name="Финансовый 2 2 4 2 3 2 2" xfId="6345"/>
    <cellStyle name="Финансовый 2 2 4 2 3 3" xfId="4783"/>
    <cellStyle name="Финансовый 2 2 4 2 4" xfId="2440"/>
    <cellStyle name="Финансовый 2 2 4 2 4 2" xfId="5564"/>
    <cellStyle name="Финансовый 2 2 4 2 5" xfId="4002"/>
    <cellStyle name="Финансовый 2 2 4 3" xfId="1073"/>
    <cellStyle name="Финансовый 2 2 4 3 2" xfId="1855"/>
    <cellStyle name="Финансовый 2 2 4 3 2 2" xfId="3417"/>
    <cellStyle name="Финансовый 2 2 4 3 2 2 2" xfId="6541"/>
    <cellStyle name="Финансовый 2 2 4 3 2 3" xfId="4979"/>
    <cellStyle name="Финансовый 2 2 4 3 3" xfId="2636"/>
    <cellStyle name="Финансовый 2 2 4 3 3 2" xfId="5760"/>
    <cellStyle name="Финансовый 2 2 4 3 4" xfId="4198"/>
    <cellStyle name="Финансовый 2 2 4 4" xfId="1464"/>
    <cellStyle name="Финансовый 2 2 4 4 2" xfId="3026"/>
    <cellStyle name="Финансовый 2 2 4 4 2 2" xfId="6150"/>
    <cellStyle name="Финансовый 2 2 4 4 3" xfId="4588"/>
    <cellStyle name="Финансовый 2 2 4 5" xfId="2245"/>
    <cellStyle name="Финансовый 2 2 4 5 2" xfId="5369"/>
    <cellStyle name="Финансовый 2 2 4 6" xfId="3807"/>
    <cellStyle name="Финансовый 2 3" xfId="203"/>
    <cellStyle name="Финансовый 2 3 2" xfId="204"/>
    <cellStyle name="Финансовый 2 3 2 2" xfId="205"/>
    <cellStyle name="Финансовый 2 3 2 2 2" xfId="878"/>
    <cellStyle name="Финансовый 2 3 2 2 2 2" xfId="1271"/>
    <cellStyle name="Финансовый 2 3 2 2 2 2 2" xfId="2053"/>
    <cellStyle name="Финансовый 2 3 2 2 2 2 2 2" xfId="3615"/>
    <cellStyle name="Финансовый 2 3 2 2 2 2 2 2 2" xfId="6739"/>
    <cellStyle name="Финансовый 2 3 2 2 2 2 2 3" xfId="5177"/>
    <cellStyle name="Финансовый 2 3 2 2 2 2 3" xfId="2834"/>
    <cellStyle name="Финансовый 2 3 2 2 2 2 3 2" xfId="5958"/>
    <cellStyle name="Финансовый 2 3 2 2 2 2 4" xfId="4396"/>
    <cellStyle name="Финансовый 2 3 2 2 2 3" xfId="1662"/>
    <cellStyle name="Финансовый 2 3 2 2 2 3 2" xfId="3224"/>
    <cellStyle name="Финансовый 2 3 2 2 2 3 2 2" xfId="6348"/>
    <cellStyle name="Финансовый 2 3 2 2 2 3 3" xfId="4786"/>
    <cellStyle name="Финансовый 2 3 2 2 2 4" xfId="2443"/>
    <cellStyle name="Финансовый 2 3 2 2 2 4 2" xfId="5567"/>
    <cellStyle name="Финансовый 2 3 2 2 2 5" xfId="4005"/>
    <cellStyle name="Финансовый 2 3 2 2 3" xfId="1076"/>
    <cellStyle name="Финансовый 2 3 2 2 3 2" xfId="1858"/>
    <cellStyle name="Финансовый 2 3 2 2 3 2 2" xfId="3420"/>
    <cellStyle name="Финансовый 2 3 2 2 3 2 2 2" xfId="6544"/>
    <cellStyle name="Финансовый 2 3 2 2 3 2 3" xfId="4982"/>
    <cellStyle name="Финансовый 2 3 2 2 3 3" xfId="2639"/>
    <cellStyle name="Финансовый 2 3 2 2 3 3 2" xfId="5763"/>
    <cellStyle name="Финансовый 2 3 2 2 3 4" xfId="4201"/>
    <cellStyle name="Финансовый 2 3 2 2 4" xfId="1467"/>
    <cellStyle name="Финансовый 2 3 2 2 4 2" xfId="3029"/>
    <cellStyle name="Финансовый 2 3 2 2 4 2 2" xfId="6153"/>
    <cellStyle name="Финансовый 2 3 2 2 4 3" xfId="4591"/>
    <cellStyle name="Финансовый 2 3 2 2 5" xfId="2248"/>
    <cellStyle name="Финансовый 2 3 2 2 5 2" xfId="5372"/>
    <cellStyle name="Финансовый 2 3 2 2 6" xfId="3810"/>
    <cellStyle name="Финансовый 2 3 2 3" xfId="206"/>
    <cellStyle name="Финансовый 2 3 2 3 2" xfId="879"/>
    <cellStyle name="Финансовый 2 3 2 3 2 2" xfId="1272"/>
    <cellStyle name="Финансовый 2 3 2 3 2 2 2" xfId="2054"/>
    <cellStyle name="Финансовый 2 3 2 3 2 2 2 2" xfId="3616"/>
    <cellStyle name="Финансовый 2 3 2 3 2 2 2 2 2" xfId="6740"/>
    <cellStyle name="Финансовый 2 3 2 3 2 2 2 3" xfId="5178"/>
    <cellStyle name="Финансовый 2 3 2 3 2 2 3" xfId="2835"/>
    <cellStyle name="Финансовый 2 3 2 3 2 2 3 2" xfId="5959"/>
    <cellStyle name="Финансовый 2 3 2 3 2 2 4" xfId="4397"/>
    <cellStyle name="Финансовый 2 3 2 3 2 3" xfId="1663"/>
    <cellStyle name="Финансовый 2 3 2 3 2 3 2" xfId="3225"/>
    <cellStyle name="Финансовый 2 3 2 3 2 3 2 2" xfId="6349"/>
    <cellStyle name="Финансовый 2 3 2 3 2 3 3" xfId="4787"/>
    <cellStyle name="Финансовый 2 3 2 3 2 4" xfId="2444"/>
    <cellStyle name="Финансовый 2 3 2 3 2 4 2" xfId="5568"/>
    <cellStyle name="Финансовый 2 3 2 3 2 5" xfId="4006"/>
    <cellStyle name="Финансовый 2 3 2 3 3" xfId="1077"/>
    <cellStyle name="Финансовый 2 3 2 3 3 2" xfId="1859"/>
    <cellStyle name="Финансовый 2 3 2 3 3 2 2" xfId="3421"/>
    <cellStyle name="Финансовый 2 3 2 3 3 2 2 2" xfId="6545"/>
    <cellStyle name="Финансовый 2 3 2 3 3 2 3" xfId="4983"/>
    <cellStyle name="Финансовый 2 3 2 3 3 3" xfId="2640"/>
    <cellStyle name="Финансовый 2 3 2 3 3 3 2" xfId="5764"/>
    <cellStyle name="Финансовый 2 3 2 3 3 4" xfId="4202"/>
    <cellStyle name="Финансовый 2 3 2 3 4" xfId="1468"/>
    <cellStyle name="Финансовый 2 3 2 3 4 2" xfId="3030"/>
    <cellStyle name="Финансовый 2 3 2 3 4 2 2" xfId="6154"/>
    <cellStyle name="Финансовый 2 3 2 3 4 3" xfId="4592"/>
    <cellStyle name="Финансовый 2 3 2 3 5" xfId="2249"/>
    <cellStyle name="Финансовый 2 3 2 3 5 2" xfId="5373"/>
    <cellStyle name="Финансовый 2 3 2 3 6" xfId="3811"/>
    <cellStyle name="Финансовый 2 3 2 4" xfId="877"/>
    <cellStyle name="Финансовый 2 3 2 4 2" xfId="1270"/>
    <cellStyle name="Финансовый 2 3 2 4 2 2" xfId="2052"/>
    <cellStyle name="Финансовый 2 3 2 4 2 2 2" xfId="3614"/>
    <cellStyle name="Финансовый 2 3 2 4 2 2 2 2" xfId="6738"/>
    <cellStyle name="Финансовый 2 3 2 4 2 2 3" xfId="5176"/>
    <cellStyle name="Финансовый 2 3 2 4 2 3" xfId="2833"/>
    <cellStyle name="Финансовый 2 3 2 4 2 3 2" xfId="5957"/>
    <cellStyle name="Финансовый 2 3 2 4 2 4" xfId="4395"/>
    <cellStyle name="Финансовый 2 3 2 4 3" xfId="1661"/>
    <cellStyle name="Финансовый 2 3 2 4 3 2" xfId="3223"/>
    <cellStyle name="Финансовый 2 3 2 4 3 2 2" xfId="6347"/>
    <cellStyle name="Финансовый 2 3 2 4 3 3" xfId="4785"/>
    <cellStyle name="Финансовый 2 3 2 4 4" xfId="2442"/>
    <cellStyle name="Финансовый 2 3 2 4 4 2" xfId="5566"/>
    <cellStyle name="Финансовый 2 3 2 4 5" xfId="4004"/>
    <cellStyle name="Финансовый 2 3 2 5" xfId="1075"/>
    <cellStyle name="Финансовый 2 3 2 5 2" xfId="1857"/>
    <cellStyle name="Финансовый 2 3 2 5 2 2" xfId="3419"/>
    <cellStyle name="Финансовый 2 3 2 5 2 2 2" xfId="6543"/>
    <cellStyle name="Финансовый 2 3 2 5 2 3" xfId="4981"/>
    <cellStyle name="Финансовый 2 3 2 5 3" xfId="2638"/>
    <cellStyle name="Финансовый 2 3 2 5 3 2" xfId="5762"/>
    <cellStyle name="Финансовый 2 3 2 5 4" xfId="4200"/>
    <cellStyle name="Финансовый 2 3 2 6" xfId="1466"/>
    <cellStyle name="Финансовый 2 3 2 6 2" xfId="3028"/>
    <cellStyle name="Финансовый 2 3 2 6 2 2" xfId="6152"/>
    <cellStyle name="Финансовый 2 3 2 6 3" xfId="4590"/>
    <cellStyle name="Финансовый 2 3 2 7" xfId="2247"/>
    <cellStyle name="Финансовый 2 3 2 7 2" xfId="5371"/>
    <cellStyle name="Финансовый 2 3 2 8" xfId="3809"/>
    <cellStyle name="Финансовый 2 3 3" xfId="207"/>
    <cellStyle name="Финансовый 2 3 3 2" xfId="880"/>
    <cellStyle name="Финансовый 2 3 3 2 2" xfId="1273"/>
    <cellStyle name="Финансовый 2 3 3 2 2 2" xfId="2055"/>
    <cellStyle name="Финансовый 2 3 3 2 2 2 2" xfId="3617"/>
    <cellStyle name="Финансовый 2 3 3 2 2 2 2 2" xfId="6741"/>
    <cellStyle name="Финансовый 2 3 3 2 2 2 3" xfId="5179"/>
    <cellStyle name="Финансовый 2 3 3 2 2 3" xfId="2836"/>
    <cellStyle name="Финансовый 2 3 3 2 2 3 2" xfId="5960"/>
    <cellStyle name="Финансовый 2 3 3 2 2 4" xfId="4398"/>
    <cellStyle name="Финансовый 2 3 3 2 3" xfId="1664"/>
    <cellStyle name="Финансовый 2 3 3 2 3 2" xfId="3226"/>
    <cellStyle name="Финансовый 2 3 3 2 3 2 2" xfId="6350"/>
    <cellStyle name="Финансовый 2 3 3 2 3 3" xfId="4788"/>
    <cellStyle name="Финансовый 2 3 3 2 4" xfId="2445"/>
    <cellStyle name="Финансовый 2 3 3 2 4 2" xfId="5569"/>
    <cellStyle name="Финансовый 2 3 3 2 5" xfId="4007"/>
    <cellStyle name="Финансовый 2 3 3 3" xfId="1078"/>
    <cellStyle name="Финансовый 2 3 3 3 2" xfId="1860"/>
    <cellStyle name="Финансовый 2 3 3 3 2 2" xfId="3422"/>
    <cellStyle name="Финансовый 2 3 3 3 2 2 2" xfId="6546"/>
    <cellStyle name="Финансовый 2 3 3 3 2 3" xfId="4984"/>
    <cellStyle name="Финансовый 2 3 3 3 3" xfId="2641"/>
    <cellStyle name="Финансовый 2 3 3 3 3 2" xfId="5765"/>
    <cellStyle name="Финансовый 2 3 3 3 4" xfId="4203"/>
    <cellStyle name="Финансовый 2 3 3 4" xfId="1469"/>
    <cellStyle name="Финансовый 2 3 3 4 2" xfId="3031"/>
    <cellStyle name="Финансовый 2 3 3 4 2 2" xfId="6155"/>
    <cellStyle name="Финансовый 2 3 3 4 3" xfId="4593"/>
    <cellStyle name="Финансовый 2 3 3 5" xfId="2250"/>
    <cellStyle name="Финансовый 2 3 3 5 2" xfId="5374"/>
    <cellStyle name="Финансовый 2 3 3 6" xfId="3812"/>
    <cellStyle name="Финансовый 2 3 4" xfId="208"/>
    <cellStyle name="Финансовый 2 3 4 2" xfId="881"/>
    <cellStyle name="Финансовый 2 3 4 2 2" xfId="1274"/>
    <cellStyle name="Финансовый 2 3 4 2 2 2" xfId="2056"/>
    <cellStyle name="Финансовый 2 3 4 2 2 2 2" xfId="3618"/>
    <cellStyle name="Финансовый 2 3 4 2 2 2 2 2" xfId="6742"/>
    <cellStyle name="Финансовый 2 3 4 2 2 2 3" xfId="5180"/>
    <cellStyle name="Финансовый 2 3 4 2 2 3" xfId="2837"/>
    <cellStyle name="Финансовый 2 3 4 2 2 3 2" xfId="5961"/>
    <cellStyle name="Финансовый 2 3 4 2 2 4" xfId="4399"/>
    <cellStyle name="Финансовый 2 3 4 2 3" xfId="1665"/>
    <cellStyle name="Финансовый 2 3 4 2 3 2" xfId="3227"/>
    <cellStyle name="Финансовый 2 3 4 2 3 2 2" xfId="6351"/>
    <cellStyle name="Финансовый 2 3 4 2 3 3" xfId="4789"/>
    <cellStyle name="Финансовый 2 3 4 2 4" xfId="2446"/>
    <cellStyle name="Финансовый 2 3 4 2 4 2" xfId="5570"/>
    <cellStyle name="Финансовый 2 3 4 2 5" xfId="4008"/>
    <cellStyle name="Финансовый 2 3 4 3" xfId="1079"/>
    <cellStyle name="Финансовый 2 3 4 3 2" xfId="1861"/>
    <cellStyle name="Финансовый 2 3 4 3 2 2" xfId="3423"/>
    <cellStyle name="Финансовый 2 3 4 3 2 2 2" xfId="6547"/>
    <cellStyle name="Финансовый 2 3 4 3 2 3" xfId="4985"/>
    <cellStyle name="Финансовый 2 3 4 3 3" xfId="2642"/>
    <cellStyle name="Финансовый 2 3 4 3 3 2" xfId="5766"/>
    <cellStyle name="Финансовый 2 3 4 3 4" xfId="4204"/>
    <cellStyle name="Финансовый 2 3 4 4" xfId="1470"/>
    <cellStyle name="Финансовый 2 3 4 4 2" xfId="3032"/>
    <cellStyle name="Финансовый 2 3 4 4 2 2" xfId="6156"/>
    <cellStyle name="Финансовый 2 3 4 4 3" xfId="4594"/>
    <cellStyle name="Финансовый 2 3 4 5" xfId="2251"/>
    <cellStyle name="Финансовый 2 3 4 5 2" xfId="5375"/>
    <cellStyle name="Финансовый 2 3 4 6" xfId="3813"/>
    <cellStyle name="Финансовый 2 3 5" xfId="876"/>
    <cellStyle name="Финансовый 2 3 5 2" xfId="1269"/>
    <cellStyle name="Финансовый 2 3 5 2 2" xfId="2051"/>
    <cellStyle name="Финансовый 2 3 5 2 2 2" xfId="3613"/>
    <cellStyle name="Финансовый 2 3 5 2 2 2 2" xfId="6737"/>
    <cellStyle name="Финансовый 2 3 5 2 2 3" xfId="5175"/>
    <cellStyle name="Финансовый 2 3 5 2 3" xfId="2832"/>
    <cellStyle name="Финансовый 2 3 5 2 3 2" xfId="5956"/>
    <cellStyle name="Финансовый 2 3 5 2 4" xfId="4394"/>
    <cellStyle name="Финансовый 2 3 5 3" xfId="1660"/>
    <cellStyle name="Финансовый 2 3 5 3 2" xfId="3222"/>
    <cellStyle name="Финансовый 2 3 5 3 2 2" xfId="6346"/>
    <cellStyle name="Финансовый 2 3 5 3 3" xfId="4784"/>
    <cellStyle name="Финансовый 2 3 5 4" xfId="2441"/>
    <cellStyle name="Финансовый 2 3 5 4 2" xfId="5565"/>
    <cellStyle name="Финансовый 2 3 5 5" xfId="4003"/>
    <cellStyle name="Финансовый 2 3 6" xfId="1074"/>
    <cellStyle name="Финансовый 2 3 6 2" xfId="1856"/>
    <cellStyle name="Финансовый 2 3 6 2 2" xfId="3418"/>
    <cellStyle name="Финансовый 2 3 6 2 2 2" xfId="6542"/>
    <cellStyle name="Финансовый 2 3 6 2 3" xfId="4980"/>
    <cellStyle name="Финансовый 2 3 6 3" xfId="2637"/>
    <cellStyle name="Финансовый 2 3 6 3 2" xfId="5761"/>
    <cellStyle name="Финансовый 2 3 6 4" xfId="4199"/>
    <cellStyle name="Финансовый 2 3 7" xfId="1465"/>
    <cellStyle name="Финансовый 2 3 7 2" xfId="3027"/>
    <cellStyle name="Финансовый 2 3 7 2 2" xfId="6151"/>
    <cellStyle name="Финансовый 2 3 7 3" xfId="4589"/>
    <cellStyle name="Финансовый 2 3 8" xfId="2246"/>
    <cellStyle name="Финансовый 2 3 8 2" xfId="5370"/>
    <cellStyle name="Финансовый 2 3 9" xfId="3808"/>
    <cellStyle name="Финансовый 2 4" xfId="209"/>
    <cellStyle name="Финансовый 2 4 2" xfId="210"/>
    <cellStyle name="Финансовый 2 4 2 2" xfId="883"/>
    <cellStyle name="Финансовый 2 4 2 2 2" xfId="1276"/>
    <cellStyle name="Финансовый 2 4 2 2 2 2" xfId="2058"/>
    <cellStyle name="Финансовый 2 4 2 2 2 2 2" xfId="3620"/>
    <cellStyle name="Финансовый 2 4 2 2 2 2 2 2" xfId="6744"/>
    <cellStyle name="Финансовый 2 4 2 2 2 2 3" xfId="5182"/>
    <cellStyle name="Финансовый 2 4 2 2 2 3" xfId="2839"/>
    <cellStyle name="Финансовый 2 4 2 2 2 3 2" xfId="5963"/>
    <cellStyle name="Финансовый 2 4 2 2 2 4" xfId="4401"/>
    <cellStyle name="Финансовый 2 4 2 2 3" xfId="1667"/>
    <cellStyle name="Финансовый 2 4 2 2 3 2" xfId="3229"/>
    <cellStyle name="Финансовый 2 4 2 2 3 2 2" xfId="6353"/>
    <cellStyle name="Финансовый 2 4 2 2 3 3" xfId="4791"/>
    <cellStyle name="Финансовый 2 4 2 2 4" xfId="2448"/>
    <cellStyle name="Финансовый 2 4 2 2 4 2" xfId="5572"/>
    <cellStyle name="Финансовый 2 4 2 2 5" xfId="4010"/>
    <cellStyle name="Финансовый 2 4 2 3" xfId="1081"/>
    <cellStyle name="Финансовый 2 4 2 3 2" xfId="1863"/>
    <cellStyle name="Финансовый 2 4 2 3 2 2" xfId="3425"/>
    <cellStyle name="Финансовый 2 4 2 3 2 2 2" xfId="6549"/>
    <cellStyle name="Финансовый 2 4 2 3 2 3" xfId="4987"/>
    <cellStyle name="Финансовый 2 4 2 3 3" xfId="2644"/>
    <cellStyle name="Финансовый 2 4 2 3 3 2" xfId="5768"/>
    <cellStyle name="Финансовый 2 4 2 3 4" xfId="4206"/>
    <cellStyle name="Финансовый 2 4 2 4" xfId="1472"/>
    <cellStyle name="Финансовый 2 4 2 4 2" xfId="3034"/>
    <cellStyle name="Финансовый 2 4 2 4 2 2" xfId="6158"/>
    <cellStyle name="Финансовый 2 4 2 4 3" xfId="4596"/>
    <cellStyle name="Финансовый 2 4 2 5" xfId="2253"/>
    <cellStyle name="Финансовый 2 4 2 5 2" xfId="5377"/>
    <cellStyle name="Финансовый 2 4 2 6" xfId="3815"/>
    <cellStyle name="Финансовый 2 4 3" xfId="211"/>
    <cellStyle name="Финансовый 2 4 3 2" xfId="884"/>
    <cellStyle name="Финансовый 2 4 3 2 2" xfId="1277"/>
    <cellStyle name="Финансовый 2 4 3 2 2 2" xfId="2059"/>
    <cellStyle name="Финансовый 2 4 3 2 2 2 2" xfId="3621"/>
    <cellStyle name="Финансовый 2 4 3 2 2 2 2 2" xfId="6745"/>
    <cellStyle name="Финансовый 2 4 3 2 2 2 3" xfId="5183"/>
    <cellStyle name="Финансовый 2 4 3 2 2 3" xfId="2840"/>
    <cellStyle name="Финансовый 2 4 3 2 2 3 2" xfId="5964"/>
    <cellStyle name="Финансовый 2 4 3 2 2 4" xfId="4402"/>
    <cellStyle name="Финансовый 2 4 3 2 3" xfId="1668"/>
    <cellStyle name="Финансовый 2 4 3 2 3 2" xfId="3230"/>
    <cellStyle name="Финансовый 2 4 3 2 3 2 2" xfId="6354"/>
    <cellStyle name="Финансовый 2 4 3 2 3 3" xfId="4792"/>
    <cellStyle name="Финансовый 2 4 3 2 4" xfId="2449"/>
    <cellStyle name="Финансовый 2 4 3 2 4 2" xfId="5573"/>
    <cellStyle name="Финансовый 2 4 3 2 5" xfId="4011"/>
    <cellStyle name="Финансовый 2 4 3 3" xfId="1082"/>
    <cellStyle name="Финансовый 2 4 3 3 2" xfId="1864"/>
    <cellStyle name="Финансовый 2 4 3 3 2 2" xfId="3426"/>
    <cellStyle name="Финансовый 2 4 3 3 2 2 2" xfId="6550"/>
    <cellStyle name="Финансовый 2 4 3 3 2 3" xfId="4988"/>
    <cellStyle name="Финансовый 2 4 3 3 3" xfId="2645"/>
    <cellStyle name="Финансовый 2 4 3 3 3 2" xfId="5769"/>
    <cellStyle name="Финансовый 2 4 3 3 4" xfId="4207"/>
    <cellStyle name="Финансовый 2 4 3 4" xfId="1473"/>
    <cellStyle name="Финансовый 2 4 3 4 2" xfId="3035"/>
    <cellStyle name="Финансовый 2 4 3 4 2 2" xfId="6159"/>
    <cellStyle name="Финансовый 2 4 3 4 3" xfId="4597"/>
    <cellStyle name="Финансовый 2 4 3 5" xfId="2254"/>
    <cellStyle name="Финансовый 2 4 3 5 2" xfId="5378"/>
    <cellStyle name="Финансовый 2 4 3 6" xfId="3816"/>
    <cellStyle name="Финансовый 2 4 4" xfId="882"/>
    <cellStyle name="Финансовый 2 4 4 2" xfId="1275"/>
    <cellStyle name="Финансовый 2 4 4 2 2" xfId="2057"/>
    <cellStyle name="Финансовый 2 4 4 2 2 2" xfId="3619"/>
    <cellStyle name="Финансовый 2 4 4 2 2 2 2" xfId="6743"/>
    <cellStyle name="Финансовый 2 4 4 2 2 3" xfId="5181"/>
    <cellStyle name="Финансовый 2 4 4 2 3" xfId="2838"/>
    <cellStyle name="Финансовый 2 4 4 2 3 2" xfId="5962"/>
    <cellStyle name="Финансовый 2 4 4 2 4" xfId="4400"/>
    <cellStyle name="Финансовый 2 4 4 3" xfId="1666"/>
    <cellStyle name="Финансовый 2 4 4 3 2" xfId="3228"/>
    <cellStyle name="Финансовый 2 4 4 3 2 2" xfId="6352"/>
    <cellStyle name="Финансовый 2 4 4 3 3" xfId="4790"/>
    <cellStyle name="Финансовый 2 4 4 4" xfId="2447"/>
    <cellStyle name="Финансовый 2 4 4 4 2" xfId="5571"/>
    <cellStyle name="Финансовый 2 4 4 5" xfId="4009"/>
    <cellStyle name="Финансовый 2 4 5" xfId="1080"/>
    <cellStyle name="Финансовый 2 4 5 2" xfId="1862"/>
    <cellStyle name="Финансовый 2 4 5 2 2" xfId="3424"/>
    <cellStyle name="Финансовый 2 4 5 2 2 2" xfId="6548"/>
    <cellStyle name="Финансовый 2 4 5 2 3" xfId="4986"/>
    <cellStyle name="Финансовый 2 4 5 3" xfId="2643"/>
    <cellStyle name="Финансовый 2 4 5 3 2" xfId="5767"/>
    <cellStyle name="Финансовый 2 4 5 4" xfId="4205"/>
    <cellStyle name="Финансовый 2 4 6" xfId="1471"/>
    <cellStyle name="Финансовый 2 4 6 2" xfId="3033"/>
    <cellStyle name="Финансовый 2 4 6 2 2" xfId="6157"/>
    <cellStyle name="Финансовый 2 4 6 3" xfId="4595"/>
    <cellStyle name="Финансовый 2 4 7" xfId="2252"/>
    <cellStyle name="Финансовый 2 4 7 2" xfId="5376"/>
    <cellStyle name="Финансовый 2 4 8" xfId="3814"/>
    <cellStyle name="Финансовый 2 5" xfId="212"/>
    <cellStyle name="Финансовый 2 5 2" xfId="885"/>
    <cellStyle name="Финансовый 2 5 2 2" xfId="1278"/>
    <cellStyle name="Финансовый 2 5 2 2 2" xfId="2060"/>
    <cellStyle name="Финансовый 2 5 2 2 2 2" xfId="3622"/>
    <cellStyle name="Финансовый 2 5 2 2 2 2 2" xfId="6746"/>
    <cellStyle name="Финансовый 2 5 2 2 2 3" xfId="5184"/>
    <cellStyle name="Финансовый 2 5 2 2 3" xfId="2841"/>
    <cellStyle name="Финансовый 2 5 2 2 3 2" xfId="5965"/>
    <cellStyle name="Финансовый 2 5 2 2 4" xfId="4403"/>
    <cellStyle name="Финансовый 2 5 2 3" xfId="1669"/>
    <cellStyle name="Финансовый 2 5 2 3 2" xfId="3231"/>
    <cellStyle name="Финансовый 2 5 2 3 2 2" xfId="6355"/>
    <cellStyle name="Финансовый 2 5 2 3 3" xfId="4793"/>
    <cellStyle name="Финансовый 2 5 2 4" xfId="2450"/>
    <cellStyle name="Финансовый 2 5 2 4 2" xfId="5574"/>
    <cellStyle name="Финансовый 2 5 2 5" xfId="4012"/>
    <cellStyle name="Финансовый 2 5 3" xfId="1083"/>
    <cellStyle name="Финансовый 2 5 3 2" xfId="1865"/>
    <cellStyle name="Финансовый 2 5 3 2 2" xfId="3427"/>
    <cellStyle name="Финансовый 2 5 3 2 2 2" xfId="6551"/>
    <cellStyle name="Финансовый 2 5 3 2 3" xfId="4989"/>
    <cellStyle name="Финансовый 2 5 3 3" xfId="2646"/>
    <cellStyle name="Финансовый 2 5 3 3 2" xfId="5770"/>
    <cellStyle name="Финансовый 2 5 3 4" xfId="4208"/>
    <cellStyle name="Финансовый 2 5 4" xfId="1474"/>
    <cellStyle name="Финансовый 2 5 4 2" xfId="3036"/>
    <cellStyle name="Финансовый 2 5 4 2 2" xfId="6160"/>
    <cellStyle name="Финансовый 2 5 4 3" xfId="4598"/>
    <cellStyle name="Финансовый 2 5 5" xfId="2255"/>
    <cellStyle name="Финансовый 2 5 5 2" xfId="5379"/>
    <cellStyle name="Финансовый 2 5 6" xfId="3817"/>
    <cellStyle name="Финансовый 2 6" xfId="213"/>
    <cellStyle name="Финансовый 2 6 2" xfId="886"/>
    <cellStyle name="Финансовый 2 6 2 2" xfId="1279"/>
    <cellStyle name="Финансовый 2 6 2 2 2" xfId="2061"/>
    <cellStyle name="Финансовый 2 6 2 2 2 2" xfId="3623"/>
    <cellStyle name="Финансовый 2 6 2 2 2 2 2" xfId="6747"/>
    <cellStyle name="Финансовый 2 6 2 2 2 3" xfId="5185"/>
    <cellStyle name="Финансовый 2 6 2 2 3" xfId="2842"/>
    <cellStyle name="Финансовый 2 6 2 2 3 2" xfId="5966"/>
    <cellStyle name="Финансовый 2 6 2 2 4" xfId="4404"/>
    <cellStyle name="Финансовый 2 6 2 3" xfId="1670"/>
    <cellStyle name="Финансовый 2 6 2 3 2" xfId="3232"/>
    <cellStyle name="Финансовый 2 6 2 3 2 2" xfId="6356"/>
    <cellStyle name="Финансовый 2 6 2 3 3" xfId="4794"/>
    <cellStyle name="Финансовый 2 6 2 4" xfId="2451"/>
    <cellStyle name="Финансовый 2 6 2 4 2" xfId="5575"/>
    <cellStyle name="Финансовый 2 6 2 5" xfId="4013"/>
    <cellStyle name="Финансовый 2 6 3" xfId="1084"/>
    <cellStyle name="Финансовый 2 6 3 2" xfId="1866"/>
    <cellStyle name="Финансовый 2 6 3 2 2" xfId="3428"/>
    <cellStyle name="Финансовый 2 6 3 2 2 2" xfId="6552"/>
    <cellStyle name="Финансовый 2 6 3 2 3" xfId="4990"/>
    <cellStyle name="Финансовый 2 6 3 3" xfId="2647"/>
    <cellStyle name="Финансовый 2 6 3 3 2" xfId="5771"/>
    <cellStyle name="Финансовый 2 6 3 4" xfId="4209"/>
    <cellStyle name="Финансовый 2 6 4" xfId="1475"/>
    <cellStyle name="Финансовый 2 6 4 2" xfId="3037"/>
    <cellStyle name="Финансовый 2 6 4 2 2" xfId="6161"/>
    <cellStyle name="Финансовый 2 6 4 3" xfId="4599"/>
    <cellStyle name="Финансовый 2 6 5" xfId="2256"/>
    <cellStyle name="Финансовый 2 6 5 2" xfId="5380"/>
    <cellStyle name="Финансовый 2 6 6" xfId="3818"/>
    <cellStyle name="Финансовый 2 7" xfId="214"/>
    <cellStyle name="Финансовый 2 7 2" xfId="887"/>
    <cellStyle name="Финансовый 2 7 2 2" xfId="1280"/>
    <cellStyle name="Финансовый 2 7 2 2 2" xfId="2062"/>
    <cellStyle name="Финансовый 2 7 2 2 2 2" xfId="3624"/>
    <cellStyle name="Финансовый 2 7 2 2 2 2 2" xfId="6748"/>
    <cellStyle name="Финансовый 2 7 2 2 2 3" xfId="5186"/>
    <cellStyle name="Финансовый 2 7 2 2 3" xfId="2843"/>
    <cellStyle name="Финансовый 2 7 2 2 3 2" xfId="5967"/>
    <cellStyle name="Финансовый 2 7 2 2 4" xfId="4405"/>
    <cellStyle name="Финансовый 2 7 2 3" xfId="1671"/>
    <cellStyle name="Финансовый 2 7 2 3 2" xfId="3233"/>
    <cellStyle name="Финансовый 2 7 2 3 2 2" xfId="6357"/>
    <cellStyle name="Финансовый 2 7 2 3 3" xfId="4795"/>
    <cellStyle name="Финансовый 2 7 2 4" xfId="2452"/>
    <cellStyle name="Финансовый 2 7 2 4 2" xfId="5576"/>
    <cellStyle name="Финансовый 2 7 2 5" xfId="4014"/>
    <cellStyle name="Финансовый 2 7 3" xfId="1085"/>
    <cellStyle name="Финансовый 2 7 3 2" xfId="1867"/>
    <cellStyle name="Финансовый 2 7 3 2 2" xfId="3429"/>
    <cellStyle name="Финансовый 2 7 3 2 2 2" xfId="6553"/>
    <cellStyle name="Финансовый 2 7 3 2 3" xfId="4991"/>
    <cellStyle name="Финансовый 2 7 3 3" xfId="2648"/>
    <cellStyle name="Финансовый 2 7 3 3 2" xfId="5772"/>
    <cellStyle name="Финансовый 2 7 3 4" xfId="4210"/>
    <cellStyle name="Финансовый 2 7 4" xfId="1476"/>
    <cellStyle name="Финансовый 2 7 4 2" xfId="3038"/>
    <cellStyle name="Финансовый 2 7 4 2 2" xfId="6162"/>
    <cellStyle name="Финансовый 2 7 4 3" xfId="4600"/>
    <cellStyle name="Финансовый 2 7 5" xfId="2257"/>
    <cellStyle name="Финансовый 2 7 5 2" xfId="5381"/>
    <cellStyle name="Финансовый 2 7 6" xfId="3819"/>
    <cellStyle name="Финансовый 2_Приб панель 9 мес 2011" xfId="726"/>
    <cellStyle name="Финансовый 3" xfId="215"/>
    <cellStyle name="Финансовый 3 10" xfId="1477"/>
    <cellStyle name="Финансовый 3 10 2" xfId="3039"/>
    <cellStyle name="Финансовый 3 10 2 2" xfId="6163"/>
    <cellStyle name="Финансовый 3 10 3" xfId="4601"/>
    <cellStyle name="Финансовый 3 11" xfId="2258"/>
    <cellStyle name="Финансовый 3 11 2" xfId="5382"/>
    <cellStyle name="Финансовый 3 12" xfId="3820"/>
    <cellStyle name="Финансовый 3 2" xfId="216"/>
    <cellStyle name="Финансовый 3 2 2" xfId="217"/>
    <cellStyle name="Финансовый 3 2 2 2" xfId="218"/>
    <cellStyle name="Финансовый 3 2 2 2 2" xfId="891"/>
    <cellStyle name="Финансовый 3 2 2 2 2 2" xfId="1284"/>
    <cellStyle name="Финансовый 3 2 2 2 2 2 2" xfId="2066"/>
    <cellStyle name="Финансовый 3 2 2 2 2 2 2 2" xfId="3628"/>
    <cellStyle name="Финансовый 3 2 2 2 2 2 2 2 2" xfId="6752"/>
    <cellStyle name="Финансовый 3 2 2 2 2 2 2 3" xfId="5190"/>
    <cellStyle name="Финансовый 3 2 2 2 2 2 3" xfId="2847"/>
    <cellStyle name="Финансовый 3 2 2 2 2 2 3 2" xfId="5971"/>
    <cellStyle name="Финансовый 3 2 2 2 2 2 4" xfId="4409"/>
    <cellStyle name="Финансовый 3 2 2 2 2 3" xfId="1675"/>
    <cellStyle name="Финансовый 3 2 2 2 2 3 2" xfId="3237"/>
    <cellStyle name="Финансовый 3 2 2 2 2 3 2 2" xfId="6361"/>
    <cellStyle name="Финансовый 3 2 2 2 2 3 3" xfId="4799"/>
    <cellStyle name="Финансовый 3 2 2 2 2 4" xfId="2456"/>
    <cellStyle name="Финансовый 3 2 2 2 2 4 2" xfId="5580"/>
    <cellStyle name="Финансовый 3 2 2 2 2 5" xfId="4018"/>
    <cellStyle name="Финансовый 3 2 2 2 3" xfId="1089"/>
    <cellStyle name="Финансовый 3 2 2 2 3 2" xfId="1871"/>
    <cellStyle name="Финансовый 3 2 2 2 3 2 2" xfId="3433"/>
    <cellStyle name="Финансовый 3 2 2 2 3 2 2 2" xfId="6557"/>
    <cellStyle name="Финансовый 3 2 2 2 3 2 3" xfId="4995"/>
    <cellStyle name="Финансовый 3 2 2 2 3 3" xfId="2652"/>
    <cellStyle name="Финансовый 3 2 2 2 3 3 2" xfId="5776"/>
    <cellStyle name="Финансовый 3 2 2 2 3 4" xfId="4214"/>
    <cellStyle name="Финансовый 3 2 2 2 4" xfId="1480"/>
    <cellStyle name="Финансовый 3 2 2 2 4 2" xfId="3042"/>
    <cellStyle name="Финансовый 3 2 2 2 4 2 2" xfId="6166"/>
    <cellStyle name="Финансовый 3 2 2 2 4 3" xfId="4604"/>
    <cellStyle name="Финансовый 3 2 2 2 5" xfId="2261"/>
    <cellStyle name="Финансовый 3 2 2 2 5 2" xfId="5385"/>
    <cellStyle name="Финансовый 3 2 2 2 6" xfId="3823"/>
    <cellStyle name="Финансовый 3 2 2 3" xfId="219"/>
    <cellStyle name="Финансовый 3 2 2 3 2" xfId="892"/>
    <cellStyle name="Финансовый 3 2 2 3 2 2" xfId="1285"/>
    <cellStyle name="Финансовый 3 2 2 3 2 2 2" xfId="2067"/>
    <cellStyle name="Финансовый 3 2 2 3 2 2 2 2" xfId="3629"/>
    <cellStyle name="Финансовый 3 2 2 3 2 2 2 2 2" xfId="6753"/>
    <cellStyle name="Финансовый 3 2 2 3 2 2 2 3" xfId="5191"/>
    <cellStyle name="Финансовый 3 2 2 3 2 2 3" xfId="2848"/>
    <cellStyle name="Финансовый 3 2 2 3 2 2 3 2" xfId="5972"/>
    <cellStyle name="Финансовый 3 2 2 3 2 2 4" xfId="4410"/>
    <cellStyle name="Финансовый 3 2 2 3 2 3" xfId="1676"/>
    <cellStyle name="Финансовый 3 2 2 3 2 3 2" xfId="3238"/>
    <cellStyle name="Финансовый 3 2 2 3 2 3 2 2" xfId="6362"/>
    <cellStyle name="Финансовый 3 2 2 3 2 3 3" xfId="4800"/>
    <cellStyle name="Финансовый 3 2 2 3 2 4" xfId="2457"/>
    <cellStyle name="Финансовый 3 2 2 3 2 4 2" xfId="5581"/>
    <cellStyle name="Финансовый 3 2 2 3 2 5" xfId="4019"/>
    <cellStyle name="Финансовый 3 2 2 3 3" xfId="1090"/>
    <cellStyle name="Финансовый 3 2 2 3 3 2" xfId="1872"/>
    <cellStyle name="Финансовый 3 2 2 3 3 2 2" xfId="3434"/>
    <cellStyle name="Финансовый 3 2 2 3 3 2 2 2" xfId="6558"/>
    <cellStyle name="Финансовый 3 2 2 3 3 2 3" xfId="4996"/>
    <cellStyle name="Финансовый 3 2 2 3 3 3" xfId="2653"/>
    <cellStyle name="Финансовый 3 2 2 3 3 3 2" xfId="5777"/>
    <cellStyle name="Финансовый 3 2 2 3 3 4" xfId="4215"/>
    <cellStyle name="Финансовый 3 2 2 3 4" xfId="1481"/>
    <cellStyle name="Финансовый 3 2 2 3 4 2" xfId="3043"/>
    <cellStyle name="Финансовый 3 2 2 3 4 2 2" xfId="6167"/>
    <cellStyle name="Финансовый 3 2 2 3 4 3" xfId="4605"/>
    <cellStyle name="Финансовый 3 2 2 3 5" xfId="2262"/>
    <cellStyle name="Финансовый 3 2 2 3 5 2" xfId="5386"/>
    <cellStyle name="Финансовый 3 2 2 3 6" xfId="3824"/>
    <cellStyle name="Финансовый 3 2 2 4" xfId="890"/>
    <cellStyle name="Финансовый 3 2 2 4 2" xfId="1283"/>
    <cellStyle name="Финансовый 3 2 2 4 2 2" xfId="2065"/>
    <cellStyle name="Финансовый 3 2 2 4 2 2 2" xfId="3627"/>
    <cellStyle name="Финансовый 3 2 2 4 2 2 2 2" xfId="6751"/>
    <cellStyle name="Финансовый 3 2 2 4 2 2 3" xfId="5189"/>
    <cellStyle name="Финансовый 3 2 2 4 2 3" xfId="2846"/>
    <cellStyle name="Финансовый 3 2 2 4 2 3 2" xfId="5970"/>
    <cellStyle name="Финансовый 3 2 2 4 2 4" xfId="4408"/>
    <cellStyle name="Финансовый 3 2 2 4 3" xfId="1674"/>
    <cellStyle name="Финансовый 3 2 2 4 3 2" xfId="3236"/>
    <cellStyle name="Финансовый 3 2 2 4 3 2 2" xfId="6360"/>
    <cellStyle name="Финансовый 3 2 2 4 3 3" xfId="4798"/>
    <cellStyle name="Финансовый 3 2 2 4 4" xfId="2455"/>
    <cellStyle name="Финансовый 3 2 2 4 4 2" xfId="5579"/>
    <cellStyle name="Финансовый 3 2 2 4 5" xfId="4017"/>
    <cellStyle name="Финансовый 3 2 2 5" xfId="1088"/>
    <cellStyle name="Финансовый 3 2 2 5 2" xfId="1870"/>
    <cellStyle name="Финансовый 3 2 2 5 2 2" xfId="3432"/>
    <cellStyle name="Финансовый 3 2 2 5 2 2 2" xfId="6556"/>
    <cellStyle name="Финансовый 3 2 2 5 2 3" xfId="4994"/>
    <cellStyle name="Финансовый 3 2 2 5 3" xfId="2651"/>
    <cellStyle name="Финансовый 3 2 2 5 3 2" xfId="5775"/>
    <cellStyle name="Финансовый 3 2 2 5 4" xfId="4213"/>
    <cellStyle name="Финансовый 3 2 2 6" xfId="1479"/>
    <cellStyle name="Финансовый 3 2 2 6 2" xfId="3041"/>
    <cellStyle name="Финансовый 3 2 2 6 2 2" xfId="6165"/>
    <cellStyle name="Финансовый 3 2 2 6 3" xfId="4603"/>
    <cellStyle name="Финансовый 3 2 2 7" xfId="2260"/>
    <cellStyle name="Финансовый 3 2 2 7 2" xfId="5384"/>
    <cellStyle name="Финансовый 3 2 2 8" xfId="3822"/>
    <cellStyle name="Финансовый 3 2 3" xfId="220"/>
    <cellStyle name="Финансовый 3 2 3 2" xfId="893"/>
    <cellStyle name="Финансовый 3 2 3 2 2" xfId="1286"/>
    <cellStyle name="Финансовый 3 2 3 2 2 2" xfId="2068"/>
    <cellStyle name="Финансовый 3 2 3 2 2 2 2" xfId="3630"/>
    <cellStyle name="Финансовый 3 2 3 2 2 2 2 2" xfId="6754"/>
    <cellStyle name="Финансовый 3 2 3 2 2 2 3" xfId="5192"/>
    <cellStyle name="Финансовый 3 2 3 2 2 3" xfId="2849"/>
    <cellStyle name="Финансовый 3 2 3 2 2 3 2" xfId="5973"/>
    <cellStyle name="Финансовый 3 2 3 2 2 4" xfId="4411"/>
    <cellStyle name="Финансовый 3 2 3 2 3" xfId="1677"/>
    <cellStyle name="Финансовый 3 2 3 2 3 2" xfId="3239"/>
    <cellStyle name="Финансовый 3 2 3 2 3 2 2" xfId="6363"/>
    <cellStyle name="Финансовый 3 2 3 2 3 3" xfId="4801"/>
    <cellStyle name="Финансовый 3 2 3 2 4" xfId="2458"/>
    <cellStyle name="Финансовый 3 2 3 2 4 2" xfId="5582"/>
    <cellStyle name="Финансовый 3 2 3 2 5" xfId="4020"/>
    <cellStyle name="Финансовый 3 2 3 3" xfId="1091"/>
    <cellStyle name="Финансовый 3 2 3 3 2" xfId="1873"/>
    <cellStyle name="Финансовый 3 2 3 3 2 2" xfId="3435"/>
    <cellStyle name="Финансовый 3 2 3 3 2 2 2" xfId="6559"/>
    <cellStyle name="Финансовый 3 2 3 3 2 3" xfId="4997"/>
    <cellStyle name="Финансовый 3 2 3 3 3" xfId="2654"/>
    <cellStyle name="Финансовый 3 2 3 3 3 2" xfId="5778"/>
    <cellStyle name="Финансовый 3 2 3 3 4" xfId="4216"/>
    <cellStyle name="Финансовый 3 2 3 4" xfId="1482"/>
    <cellStyle name="Финансовый 3 2 3 4 2" xfId="3044"/>
    <cellStyle name="Финансовый 3 2 3 4 2 2" xfId="6168"/>
    <cellStyle name="Финансовый 3 2 3 4 3" xfId="4606"/>
    <cellStyle name="Финансовый 3 2 3 5" xfId="2263"/>
    <cellStyle name="Финансовый 3 2 3 5 2" xfId="5387"/>
    <cellStyle name="Финансовый 3 2 3 6" xfId="3825"/>
    <cellStyle name="Финансовый 3 2 4" xfId="221"/>
    <cellStyle name="Финансовый 3 2 4 2" xfId="894"/>
    <cellStyle name="Финансовый 3 2 4 2 2" xfId="1287"/>
    <cellStyle name="Финансовый 3 2 4 2 2 2" xfId="2069"/>
    <cellStyle name="Финансовый 3 2 4 2 2 2 2" xfId="3631"/>
    <cellStyle name="Финансовый 3 2 4 2 2 2 2 2" xfId="6755"/>
    <cellStyle name="Финансовый 3 2 4 2 2 2 3" xfId="5193"/>
    <cellStyle name="Финансовый 3 2 4 2 2 3" xfId="2850"/>
    <cellStyle name="Финансовый 3 2 4 2 2 3 2" xfId="5974"/>
    <cellStyle name="Финансовый 3 2 4 2 2 4" xfId="4412"/>
    <cellStyle name="Финансовый 3 2 4 2 3" xfId="1678"/>
    <cellStyle name="Финансовый 3 2 4 2 3 2" xfId="3240"/>
    <cellStyle name="Финансовый 3 2 4 2 3 2 2" xfId="6364"/>
    <cellStyle name="Финансовый 3 2 4 2 3 3" xfId="4802"/>
    <cellStyle name="Финансовый 3 2 4 2 4" xfId="2459"/>
    <cellStyle name="Финансовый 3 2 4 2 4 2" xfId="5583"/>
    <cellStyle name="Финансовый 3 2 4 2 5" xfId="4021"/>
    <cellStyle name="Финансовый 3 2 4 3" xfId="1092"/>
    <cellStyle name="Финансовый 3 2 4 3 2" xfId="1874"/>
    <cellStyle name="Финансовый 3 2 4 3 2 2" xfId="3436"/>
    <cellStyle name="Финансовый 3 2 4 3 2 2 2" xfId="6560"/>
    <cellStyle name="Финансовый 3 2 4 3 2 3" xfId="4998"/>
    <cellStyle name="Финансовый 3 2 4 3 3" xfId="2655"/>
    <cellStyle name="Финансовый 3 2 4 3 3 2" xfId="5779"/>
    <cellStyle name="Финансовый 3 2 4 3 4" xfId="4217"/>
    <cellStyle name="Финансовый 3 2 4 4" xfId="1483"/>
    <cellStyle name="Финансовый 3 2 4 4 2" xfId="3045"/>
    <cellStyle name="Финансовый 3 2 4 4 2 2" xfId="6169"/>
    <cellStyle name="Финансовый 3 2 4 4 3" xfId="4607"/>
    <cellStyle name="Финансовый 3 2 4 5" xfId="2264"/>
    <cellStyle name="Финансовый 3 2 4 5 2" xfId="5388"/>
    <cellStyle name="Финансовый 3 2 4 6" xfId="3826"/>
    <cellStyle name="Финансовый 3 2 5" xfId="889"/>
    <cellStyle name="Финансовый 3 2 5 2" xfId="1282"/>
    <cellStyle name="Финансовый 3 2 5 2 2" xfId="2064"/>
    <cellStyle name="Финансовый 3 2 5 2 2 2" xfId="3626"/>
    <cellStyle name="Финансовый 3 2 5 2 2 2 2" xfId="6750"/>
    <cellStyle name="Финансовый 3 2 5 2 2 3" xfId="5188"/>
    <cellStyle name="Финансовый 3 2 5 2 3" xfId="2845"/>
    <cellStyle name="Финансовый 3 2 5 2 3 2" xfId="5969"/>
    <cellStyle name="Финансовый 3 2 5 2 4" xfId="4407"/>
    <cellStyle name="Финансовый 3 2 5 3" xfId="1673"/>
    <cellStyle name="Финансовый 3 2 5 3 2" xfId="3235"/>
    <cellStyle name="Финансовый 3 2 5 3 2 2" xfId="6359"/>
    <cellStyle name="Финансовый 3 2 5 3 3" xfId="4797"/>
    <cellStyle name="Финансовый 3 2 5 4" xfId="2454"/>
    <cellStyle name="Финансовый 3 2 5 4 2" xfId="5578"/>
    <cellStyle name="Финансовый 3 2 5 5" xfId="4016"/>
    <cellStyle name="Финансовый 3 2 6" xfId="1087"/>
    <cellStyle name="Финансовый 3 2 6 2" xfId="1869"/>
    <cellStyle name="Финансовый 3 2 6 2 2" xfId="3431"/>
    <cellStyle name="Финансовый 3 2 6 2 2 2" xfId="6555"/>
    <cellStyle name="Финансовый 3 2 6 2 3" xfId="4993"/>
    <cellStyle name="Финансовый 3 2 6 3" xfId="2650"/>
    <cellStyle name="Финансовый 3 2 6 3 2" xfId="5774"/>
    <cellStyle name="Финансовый 3 2 6 4" xfId="4212"/>
    <cellStyle name="Финансовый 3 2 7" xfId="1478"/>
    <cellStyle name="Финансовый 3 2 7 2" xfId="3040"/>
    <cellStyle name="Финансовый 3 2 7 2 2" xfId="6164"/>
    <cellStyle name="Финансовый 3 2 7 3" xfId="4602"/>
    <cellStyle name="Финансовый 3 2 8" xfId="2259"/>
    <cellStyle name="Финансовый 3 2 8 2" xfId="5383"/>
    <cellStyle name="Финансовый 3 2 9" xfId="3821"/>
    <cellStyle name="Финансовый 3 3" xfId="222"/>
    <cellStyle name="Финансовый 3 3 2" xfId="223"/>
    <cellStyle name="Финансовый 3 3 2 2" xfId="224"/>
    <cellStyle name="Финансовый 3 3 2 2 2" xfId="897"/>
    <cellStyle name="Финансовый 3 3 2 2 2 2" xfId="1290"/>
    <cellStyle name="Финансовый 3 3 2 2 2 2 2" xfId="2072"/>
    <cellStyle name="Финансовый 3 3 2 2 2 2 2 2" xfId="3634"/>
    <cellStyle name="Финансовый 3 3 2 2 2 2 2 2 2" xfId="6758"/>
    <cellStyle name="Финансовый 3 3 2 2 2 2 2 3" xfId="5196"/>
    <cellStyle name="Финансовый 3 3 2 2 2 2 3" xfId="2853"/>
    <cellStyle name="Финансовый 3 3 2 2 2 2 3 2" xfId="5977"/>
    <cellStyle name="Финансовый 3 3 2 2 2 2 4" xfId="4415"/>
    <cellStyle name="Финансовый 3 3 2 2 2 3" xfId="1681"/>
    <cellStyle name="Финансовый 3 3 2 2 2 3 2" xfId="3243"/>
    <cellStyle name="Финансовый 3 3 2 2 2 3 2 2" xfId="6367"/>
    <cellStyle name="Финансовый 3 3 2 2 2 3 3" xfId="4805"/>
    <cellStyle name="Финансовый 3 3 2 2 2 4" xfId="2462"/>
    <cellStyle name="Финансовый 3 3 2 2 2 4 2" xfId="5586"/>
    <cellStyle name="Финансовый 3 3 2 2 2 5" xfId="4024"/>
    <cellStyle name="Финансовый 3 3 2 2 3" xfId="1095"/>
    <cellStyle name="Финансовый 3 3 2 2 3 2" xfId="1877"/>
    <cellStyle name="Финансовый 3 3 2 2 3 2 2" xfId="3439"/>
    <cellStyle name="Финансовый 3 3 2 2 3 2 2 2" xfId="6563"/>
    <cellStyle name="Финансовый 3 3 2 2 3 2 3" xfId="5001"/>
    <cellStyle name="Финансовый 3 3 2 2 3 3" xfId="2658"/>
    <cellStyle name="Финансовый 3 3 2 2 3 3 2" xfId="5782"/>
    <cellStyle name="Финансовый 3 3 2 2 3 4" xfId="4220"/>
    <cellStyle name="Финансовый 3 3 2 2 4" xfId="1486"/>
    <cellStyle name="Финансовый 3 3 2 2 4 2" xfId="3048"/>
    <cellStyle name="Финансовый 3 3 2 2 4 2 2" xfId="6172"/>
    <cellStyle name="Финансовый 3 3 2 2 4 3" xfId="4610"/>
    <cellStyle name="Финансовый 3 3 2 2 5" xfId="2267"/>
    <cellStyle name="Финансовый 3 3 2 2 5 2" xfId="5391"/>
    <cellStyle name="Финансовый 3 3 2 2 6" xfId="3829"/>
    <cellStyle name="Финансовый 3 3 2 3" xfId="225"/>
    <cellStyle name="Финансовый 3 3 2 3 2" xfId="898"/>
    <cellStyle name="Финансовый 3 3 2 3 2 2" xfId="1291"/>
    <cellStyle name="Финансовый 3 3 2 3 2 2 2" xfId="2073"/>
    <cellStyle name="Финансовый 3 3 2 3 2 2 2 2" xfId="3635"/>
    <cellStyle name="Финансовый 3 3 2 3 2 2 2 2 2" xfId="6759"/>
    <cellStyle name="Финансовый 3 3 2 3 2 2 2 3" xfId="5197"/>
    <cellStyle name="Финансовый 3 3 2 3 2 2 3" xfId="2854"/>
    <cellStyle name="Финансовый 3 3 2 3 2 2 3 2" xfId="5978"/>
    <cellStyle name="Финансовый 3 3 2 3 2 2 4" xfId="4416"/>
    <cellStyle name="Финансовый 3 3 2 3 2 3" xfId="1682"/>
    <cellStyle name="Финансовый 3 3 2 3 2 3 2" xfId="3244"/>
    <cellStyle name="Финансовый 3 3 2 3 2 3 2 2" xfId="6368"/>
    <cellStyle name="Финансовый 3 3 2 3 2 3 3" xfId="4806"/>
    <cellStyle name="Финансовый 3 3 2 3 2 4" xfId="2463"/>
    <cellStyle name="Финансовый 3 3 2 3 2 4 2" xfId="5587"/>
    <cellStyle name="Финансовый 3 3 2 3 2 5" xfId="4025"/>
    <cellStyle name="Финансовый 3 3 2 3 3" xfId="1096"/>
    <cellStyle name="Финансовый 3 3 2 3 3 2" xfId="1878"/>
    <cellStyle name="Финансовый 3 3 2 3 3 2 2" xfId="3440"/>
    <cellStyle name="Финансовый 3 3 2 3 3 2 2 2" xfId="6564"/>
    <cellStyle name="Финансовый 3 3 2 3 3 2 3" xfId="5002"/>
    <cellStyle name="Финансовый 3 3 2 3 3 3" xfId="2659"/>
    <cellStyle name="Финансовый 3 3 2 3 3 3 2" xfId="5783"/>
    <cellStyle name="Финансовый 3 3 2 3 3 4" xfId="4221"/>
    <cellStyle name="Финансовый 3 3 2 3 4" xfId="1487"/>
    <cellStyle name="Финансовый 3 3 2 3 4 2" xfId="3049"/>
    <cellStyle name="Финансовый 3 3 2 3 4 2 2" xfId="6173"/>
    <cellStyle name="Финансовый 3 3 2 3 4 3" xfId="4611"/>
    <cellStyle name="Финансовый 3 3 2 3 5" xfId="2268"/>
    <cellStyle name="Финансовый 3 3 2 3 5 2" xfId="5392"/>
    <cellStyle name="Финансовый 3 3 2 3 6" xfId="3830"/>
    <cellStyle name="Финансовый 3 3 2 4" xfId="896"/>
    <cellStyle name="Финансовый 3 3 2 4 2" xfId="1289"/>
    <cellStyle name="Финансовый 3 3 2 4 2 2" xfId="2071"/>
    <cellStyle name="Финансовый 3 3 2 4 2 2 2" xfId="3633"/>
    <cellStyle name="Финансовый 3 3 2 4 2 2 2 2" xfId="6757"/>
    <cellStyle name="Финансовый 3 3 2 4 2 2 3" xfId="5195"/>
    <cellStyle name="Финансовый 3 3 2 4 2 3" xfId="2852"/>
    <cellStyle name="Финансовый 3 3 2 4 2 3 2" xfId="5976"/>
    <cellStyle name="Финансовый 3 3 2 4 2 4" xfId="4414"/>
    <cellStyle name="Финансовый 3 3 2 4 3" xfId="1680"/>
    <cellStyle name="Финансовый 3 3 2 4 3 2" xfId="3242"/>
    <cellStyle name="Финансовый 3 3 2 4 3 2 2" xfId="6366"/>
    <cellStyle name="Финансовый 3 3 2 4 3 3" xfId="4804"/>
    <cellStyle name="Финансовый 3 3 2 4 4" xfId="2461"/>
    <cellStyle name="Финансовый 3 3 2 4 4 2" xfId="5585"/>
    <cellStyle name="Финансовый 3 3 2 4 5" xfId="4023"/>
    <cellStyle name="Финансовый 3 3 2 5" xfId="1094"/>
    <cellStyle name="Финансовый 3 3 2 5 2" xfId="1876"/>
    <cellStyle name="Финансовый 3 3 2 5 2 2" xfId="3438"/>
    <cellStyle name="Финансовый 3 3 2 5 2 2 2" xfId="6562"/>
    <cellStyle name="Финансовый 3 3 2 5 2 3" xfId="5000"/>
    <cellStyle name="Финансовый 3 3 2 5 3" xfId="2657"/>
    <cellStyle name="Финансовый 3 3 2 5 3 2" xfId="5781"/>
    <cellStyle name="Финансовый 3 3 2 5 4" xfId="4219"/>
    <cellStyle name="Финансовый 3 3 2 6" xfId="1485"/>
    <cellStyle name="Финансовый 3 3 2 6 2" xfId="3047"/>
    <cellStyle name="Финансовый 3 3 2 6 2 2" xfId="6171"/>
    <cellStyle name="Финансовый 3 3 2 6 3" xfId="4609"/>
    <cellStyle name="Финансовый 3 3 2 7" xfId="2266"/>
    <cellStyle name="Финансовый 3 3 2 7 2" xfId="5390"/>
    <cellStyle name="Финансовый 3 3 2 8" xfId="3828"/>
    <cellStyle name="Финансовый 3 3 3" xfId="226"/>
    <cellStyle name="Финансовый 3 3 3 2" xfId="899"/>
    <cellStyle name="Финансовый 3 3 3 2 2" xfId="1292"/>
    <cellStyle name="Финансовый 3 3 3 2 2 2" xfId="2074"/>
    <cellStyle name="Финансовый 3 3 3 2 2 2 2" xfId="3636"/>
    <cellStyle name="Финансовый 3 3 3 2 2 2 2 2" xfId="6760"/>
    <cellStyle name="Финансовый 3 3 3 2 2 2 3" xfId="5198"/>
    <cellStyle name="Финансовый 3 3 3 2 2 3" xfId="2855"/>
    <cellStyle name="Финансовый 3 3 3 2 2 3 2" xfId="5979"/>
    <cellStyle name="Финансовый 3 3 3 2 2 4" xfId="4417"/>
    <cellStyle name="Финансовый 3 3 3 2 3" xfId="1683"/>
    <cellStyle name="Финансовый 3 3 3 2 3 2" xfId="3245"/>
    <cellStyle name="Финансовый 3 3 3 2 3 2 2" xfId="6369"/>
    <cellStyle name="Финансовый 3 3 3 2 3 3" xfId="4807"/>
    <cellStyle name="Финансовый 3 3 3 2 4" xfId="2464"/>
    <cellStyle name="Финансовый 3 3 3 2 4 2" xfId="5588"/>
    <cellStyle name="Финансовый 3 3 3 2 5" xfId="4026"/>
    <cellStyle name="Финансовый 3 3 3 3" xfId="1097"/>
    <cellStyle name="Финансовый 3 3 3 3 2" xfId="1879"/>
    <cellStyle name="Финансовый 3 3 3 3 2 2" xfId="3441"/>
    <cellStyle name="Финансовый 3 3 3 3 2 2 2" xfId="6565"/>
    <cellStyle name="Финансовый 3 3 3 3 2 3" xfId="5003"/>
    <cellStyle name="Финансовый 3 3 3 3 3" xfId="2660"/>
    <cellStyle name="Финансовый 3 3 3 3 3 2" xfId="5784"/>
    <cellStyle name="Финансовый 3 3 3 3 4" xfId="4222"/>
    <cellStyle name="Финансовый 3 3 3 4" xfId="1488"/>
    <cellStyle name="Финансовый 3 3 3 4 2" xfId="3050"/>
    <cellStyle name="Финансовый 3 3 3 4 2 2" xfId="6174"/>
    <cellStyle name="Финансовый 3 3 3 4 3" xfId="4612"/>
    <cellStyle name="Финансовый 3 3 3 5" xfId="2269"/>
    <cellStyle name="Финансовый 3 3 3 5 2" xfId="5393"/>
    <cellStyle name="Финансовый 3 3 3 6" xfId="3831"/>
    <cellStyle name="Финансовый 3 3 4" xfId="227"/>
    <cellStyle name="Финансовый 3 3 4 2" xfId="900"/>
    <cellStyle name="Финансовый 3 3 4 2 2" xfId="1293"/>
    <cellStyle name="Финансовый 3 3 4 2 2 2" xfId="2075"/>
    <cellStyle name="Финансовый 3 3 4 2 2 2 2" xfId="3637"/>
    <cellStyle name="Финансовый 3 3 4 2 2 2 2 2" xfId="6761"/>
    <cellStyle name="Финансовый 3 3 4 2 2 2 3" xfId="5199"/>
    <cellStyle name="Финансовый 3 3 4 2 2 3" xfId="2856"/>
    <cellStyle name="Финансовый 3 3 4 2 2 3 2" xfId="5980"/>
    <cellStyle name="Финансовый 3 3 4 2 2 4" xfId="4418"/>
    <cellStyle name="Финансовый 3 3 4 2 3" xfId="1684"/>
    <cellStyle name="Финансовый 3 3 4 2 3 2" xfId="3246"/>
    <cellStyle name="Финансовый 3 3 4 2 3 2 2" xfId="6370"/>
    <cellStyle name="Финансовый 3 3 4 2 3 3" xfId="4808"/>
    <cellStyle name="Финансовый 3 3 4 2 4" xfId="2465"/>
    <cellStyle name="Финансовый 3 3 4 2 4 2" xfId="5589"/>
    <cellStyle name="Финансовый 3 3 4 2 5" xfId="4027"/>
    <cellStyle name="Финансовый 3 3 4 3" xfId="1098"/>
    <cellStyle name="Финансовый 3 3 4 3 2" xfId="1880"/>
    <cellStyle name="Финансовый 3 3 4 3 2 2" xfId="3442"/>
    <cellStyle name="Финансовый 3 3 4 3 2 2 2" xfId="6566"/>
    <cellStyle name="Финансовый 3 3 4 3 2 3" xfId="5004"/>
    <cellStyle name="Финансовый 3 3 4 3 3" xfId="2661"/>
    <cellStyle name="Финансовый 3 3 4 3 3 2" xfId="5785"/>
    <cellStyle name="Финансовый 3 3 4 3 4" xfId="4223"/>
    <cellStyle name="Финансовый 3 3 4 4" xfId="1489"/>
    <cellStyle name="Финансовый 3 3 4 4 2" xfId="3051"/>
    <cellStyle name="Финансовый 3 3 4 4 2 2" xfId="6175"/>
    <cellStyle name="Финансовый 3 3 4 4 3" xfId="4613"/>
    <cellStyle name="Финансовый 3 3 4 5" xfId="2270"/>
    <cellStyle name="Финансовый 3 3 4 5 2" xfId="5394"/>
    <cellStyle name="Финансовый 3 3 4 6" xfId="3832"/>
    <cellStyle name="Финансовый 3 3 5" xfId="895"/>
    <cellStyle name="Финансовый 3 3 5 2" xfId="1288"/>
    <cellStyle name="Финансовый 3 3 5 2 2" xfId="2070"/>
    <cellStyle name="Финансовый 3 3 5 2 2 2" xfId="3632"/>
    <cellStyle name="Финансовый 3 3 5 2 2 2 2" xfId="6756"/>
    <cellStyle name="Финансовый 3 3 5 2 2 3" xfId="5194"/>
    <cellStyle name="Финансовый 3 3 5 2 3" xfId="2851"/>
    <cellStyle name="Финансовый 3 3 5 2 3 2" xfId="5975"/>
    <cellStyle name="Финансовый 3 3 5 2 4" xfId="4413"/>
    <cellStyle name="Финансовый 3 3 5 3" xfId="1679"/>
    <cellStyle name="Финансовый 3 3 5 3 2" xfId="3241"/>
    <cellStyle name="Финансовый 3 3 5 3 2 2" xfId="6365"/>
    <cellStyle name="Финансовый 3 3 5 3 3" xfId="4803"/>
    <cellStyle name="Финансовый 3 3 5 4" xfId="2460"/>
    <cellStyle name="Финансовый 3 3 5 4 2" xfId="5584"/>
    <cellStyle name="Финансовый 3 3 5 5" xfId="4022"/>
    <cellStyle name="Финансовый 3 3 6" xfId="1093"/>
    <cellStyle name="Финансовый 3 3 6 2" xfId="1875"/>
    <cellStyle name="Финансовый 3 3 6 2 2" xfId="3437"/>
    <cellStyle name="Финансовый 3 3 6 2 2 2" xfId="6561"/>
    <cellStyle name="Финансовый 3 3 6 2 3" xfId="4999"/>
    <cellStyle name="Финансовый 3 3 6 3" xfId="2656"/>
    <cellStyle name="Финансовый 3 3 6 3 2" xfId="5780"/>
    <cellStyle name="Финансовый 3 3 6 4" xfId="4218"/>
    <cellStyle name="Финансовый 3 3 7" xfId="1484"/>
    <cellStyle name="Финансовый 3 3 7 2" xfId="3046"/>
    <cellStyle name="Финансовый 3 3 7 2 2" xfId="6170"/>
    <cellStyle name="Финансовый 3 3 7 3" xfId="4608"/>
    <cellStyle name="Финансовый 3 3 8" xfId="2265"/>
    <cellStyle name="Финансовый 3 3 8 2" xfId="5389"/>
    <cellStyle name="Финансовый 3 3 9" xfId="3827"/>
    <cellStyle name="Финансовый 3 4" xfId="228"/>
    <cellStyle name="Финансовый 3 4 2" xfId="229"/>
    <cellStyle name="Финансовый 3 4 2 2" xfId="902"/>
    <cellStyle name="Финансовый 3 4 2 2 2" xfId="1295"/>
    <cellStyle name="Финансовый 3 4 2 2 2 2" xfId="2077"/>
    <cellStyle name="Финансовый 3 4 2 2 2 2 2" xfId="3639"/>
    <cellStyle name="Финансовый 3 4 2 2 2 2 2 2" xfId="6763"/>
    <cellStyle name="Финансовый 3 4 2 2 2 2 3" xfId="5201"/>
    <cellStyle name="Финансовый 3 4 2 2 2 3" xfId="2858"/>
    <cellStyle name="Финансовый 3 4 2 2 2 3 2" xfId="5982"/>
    <cellStyle name="Финансовый 3 4 2 2 2 4" xfId="4420"/>
    <cellStyle name="Финансовый 3 4 2 2 3" xfId="1686"/>
    <cellStyle name="Финансовый 3 4 2 2 3 2" xfId="3248"/>
    <cellStyle name="Финансовый 3 4 2 2 3 2 2" xfId="6372"/>
    <cellStyle name="Финансовый 3 4 2 2 3 3" xfId="4810"/>
    <cellStyle name="Финансовый 3 4 2 2 4" xfId="2467"/>
    <cellStyle name="Финансовый 3 4 2 2 4 2" xfId="5591"/>
    <cellStyle name="Финансовый 3 4 2 2 5" xfId="4029"/>
    <cellStyle name="Финансовый 3 4 2 3" xfId="1100"/>
    <cellStyle name="Финансовый 3 4 2 3 2" xfId="1882"/>
    <cellStyle name="Финансовый 3 4 2 3 2 2" xfId="3444"/>
    <cellStyle name="Финансовый 3 4 2 3 2 2 2" xfId="6568"/>
    <cellStyle name="Финансовый 3 4 2 3 2 3" xfId="5006"/>
    <cellStyle name="Финансовый 3 4 2 3 3" xfId="2663"/>
    <cellStyle name="Финансовый 3 4 2 3 3 2" xfId="5787"/>
    <cellStyle name="Финансовый 3 4 2 3 4" xfId="4225"/>
    <cellStyle name="Финансовый 3 4 2 4" xfId="1491"/>
    <cellStyle name="Финансовый 3 4 2 4 2" xfId="3053"/>
    <cellStyle name="Финансовый 3 4 2 4 2 2" xfId="6177"/>
    <cellStyle name="Финансовый 3 4 2 4 3" xfId="4615"/>
    <cellStyle name="Финансовый 3 4 2 5" xfId="2272"/>
    <cellStyle name="Финансовый 3 4 2 5 2" xfId="5396"/>
    <cellStyle name="Финансовый 3 4 2 6" xfId="3834"/>
    <cellStyle name="Финансовый 3 4 3" xfId="230"/>
    <cellStyle name="Финансовый 3 4 3 2" xfId="903"/>
    <cellStyle name="Финансовый 3 4 3 2 2" xfId="1296"/>
    <cellStyle name="Финансовый 3 4 3 2 2 2" xfId="2078"/>
    <cellStyle name="Финансовый 3 4 3 2 2 2 2" xfId="3640"/>
    <cellStyle name="Финансовый 3 4 3 2 2 2 2 2" xfId="6764"/>
    <cellStyle name="Финансовый 3 4 3 2 2 2 3" xfId="5202"/>
    <cellStyle name="Финансовый 3 4 3 2 2 3" xfId="2859"/>
    <cellStyle name="Финансовый 3 4 3 2 2 3 2" xfId="5983"/>
    <cellStyle name="Финансовый 3 4 3 2 2 4" xfId="4421"/>
    <cellStyle name="Финансовый 3 4 3 2 3" xfId="1687"/>
    <cellStyle name="Финансовый 3 4 3 2 3 2" xfId="3249"/>
    <cellStyle name="Финансовый 3 4 3 2 3 2 2" xfId="6373"/>
    <cellStyle name="Финансовый 3 4 3 2 3 3" xfId="4811"/>
    <cellStyle name="Финансовый 3 4 3 2 4" xfId="2468"/>
    <cellStyle name="Финансовый 3 4 3 2 4 2" xfId="5592"/>
    <cellStyle name="Финансовый 3 4 3 2 5" xfId="4030"/>
    <cellStyle name="Финансовый 3 4 3 3" xfId="1101"/>
    <cellStyle name="Финансовый 3 4 3 3 2" xfId="1883"/>
    <cellStyle name="Финансовый 3 4 3 3 2 2" xfId="3445"/>
    <cellStyle name="Финансовый 3 4 3 3 2 2 2" xfId="6569"/>
    <cellStyle name="Финансовый 3 4 3 3 2 3" xfId="5007"/>
    <cellStyle name="Финансовый 3 4 3 3 3" xfId="2664"/>
    <cellStyle name="Финансовый 3 4 3 3 3 2" xfId="5788"/>
    <cellStyle name="Финансовый 3 4 3 3 4" xfId="4226"/>
    <cellStyle name="Финансовый 3 4 3 4" xfId="1492"/>
    <cellStyle name="Финансовый 3 4 3 4 2" xfId="3054"/>
    <cellStyle name="Финансовый 3 4 3 4 2 2" xfId="6178"/>
    <cellStyle name="Финансовый 3 4 3 4 3" xfId="4616"/>
    <cellStyle name="Финансовый 3 4 3 5" xfId="2273"/>
    <cellStyle name="Финансовый 3 4 3 5 2" xfId="5397"/>
    <cellStyle name="Финансовый 3 4 3 6" xfId="3835"/>
    <cellStyle name="Финансовый 3 4 4" xfId="901"/>
    <cellStyle name="Финансовый 3 4 4 2" xfId="1294"/>
    <cellStyle name="Финансовый 3 4 4 2 2" xfId="2076"/>
    <cellStyle name="Финансовый 3 4 4 2 2 2" xfId="3638"/>
    <cellStyle name="Финансовый 3 4 4 2 2 2 2" xfId="6762"/>
    <cellStyle name="Финансовый 3 4 4 2 2 3" xfId="5200"/>
    <cellStyle name="Финансовый 3 4 4 2 3" xfId="2857"/>
    <cellStyle name="Финансовый 3 4 4 2 3 2" xfId="5981"/>
    <cellStyle name="Финансовый 3 4 4 2 4" xfId="4419"/>
    <cellStyle name="Финансовый 3 4 4 3" xfId="1685"/>
    <cellStyle name="Финансовый 3 4 4 3 2" xfId="3247"/>
    <cellStyle name="Финансовый 3 4 4 3 2 2" xfId="6371"/>
    <cellStyle name="Финансовый 3 4 4 3 3" xfId="4809"/>
    <cellStyle name="Финансовый 3 4 4 4" xfId="2466"/>
    <cellStyle name="Финансовый 3 4 4 4 2" xfId="5590"/>
    <cellStyle name="Финансовый 3 4 4 5" xfId="4028"/>
    <cellStyle name="Финансовый 3 4 5" xfId="1099"/>
    <cellStyle name="Финансовый 3 4 5 2" xfId="1881"/>
    <cellStyle name="Финансовый 3 4 5 2 2" xfId="3443"/>
    <cellStyle name="Финансовый 3 4 5 2 2 2" xfId="6567"/>
    <cellStyle name="Финансовый 3 4 5 2 3" xfId="5005"/>
    <cellStyle name="Финансовый 3 4 5 3" xfId="2662"/>
    <cellStyle name="Финансовый 3 4 5 3 2" xfId="5786"/>
    <cellStyle name="Финансовый 3 4 5 4" xfId="4224"/>
    <cellStyle name="Финансовый 3 4 6" xfId="1490"/>
    <cellStyle name="Финансовый 3 4 6 2" xfId="3052"/>
    <cellStyle name="Финансовый 3 4 6 2 2" xfId="6176"/>
    <cellStyle name="Финансовый 3 4 6 3" xfId="4614"/>
    <cellStyle name="Финансовый 3 4 7" xfId="2271"/>
    <cellStyle name="Финансовый 3 4 7 2" xfId="5395"/>
    <cellStyle name="Финансовый 3 4 8" xfId="3833"/>
    <cellStyle name="Финансовый 3 5" xfId="231"/>
    <cellStyle name="Финансовый 3 5 2" xfId="904"/>
    <cellStyle name="Финансовый 3 5 2 2" xfId="1297"/>
    <cellStyle name="Финансовый 3 5 2 2 2" xfId="2079"/>
    <cellStyle name="Финансовый 3 5 2 2 2 2" xfId="3641"/>
    <cellStyle name="Финансовый 3 5 2 2 2 2 2" xfId="6765"/>
    <cellStyle name="Финансовый 3 5 2 2 2 3" xfId="5203"/>
    <cellStyle name="Финансовый 3 5 2 2 3" xfId="2860"/>
    <cellStyle name="Финансовый 3 5 2 2 3 2" xfId="5984"/>
    <cellStyle name="Финансовый 3 5 2 2 4" xfId="4422"/>
    <cellStyle name="Финансовый 3 5 2 3" xfId="1688"/>
    <cellStyle name="Финансовый 3 5 2 3 2" xfId="3250"/>
    <cellStyle name="Финансовый 3 5 2 3 2 2" xfId="6374"/>
    <cellStyle name="Финансовый 3 5 2 3 3" xfId="4812"/>
    <cellStyle name="Финансовый 3 5 2 4" xfId="2469"/>
    <cellStyle name="Финансовый 3 5 2 4 2" xfId="5593"/>
    <cellStyle name="Финансовый 3 5 2 5" xfId="4031"/>
    <cellStyle name="Финансовый 3 5 3" xfId="1102"/>
    <cellStyle name="Финансовый 3 5 3 2" xfId="1884"/>
    <cellStyle name="Финансовый 3 5 3 2 2" xfId="3446"/>
    <cellStyle name="Финансовый 3 5 3 2 2 2" xfId="6570"/>
    <cellStyle name="Финансовый 3 5 3 2 3" xfId="5008"/>
    <cellStyle name="Финансовый 3 5 3 3" xfId="2665"/>
    <cellStyle name="Финансовый 3 5 3 3 2" xfId="5789"/>
    <cellStyle name="Финансовый 3 5 3 4" xfId="4227"/>
    <cellStyle name="Финансовый 3 5 4" xfId="1493"/>
    <cellStyle name="Финансовый 3 5 4 2" xfId="3055"/>
    <cellStyle name="Финансовый 3 5 4 2 2" xfId="6179"/>
    <cellStyle name="Финансовый 3 5 4 3" xfId="4617"/>
    <cellStyle name="Финансовый 3 5 5" xfId="2274"/>
    <cellStyle name="Финансовый 3 5 5 2" xfId="5398"/>
    <cellStyle name="Финансовый 3 5 6" xfId="3836"/>
    <cellStyle name="Финансовый 3 6" xfId="232"/>
    <cellStyle name="Финансовый 3 6 2" xfId="905"/>
    <cellStyle name="Финансовый 3 6 2 2" xfId="1298"/>
    <cellStyle name="Финансовый 3 6 2 2 2" xfId="2080"/>
    <cellStyle name="Финансовый 3 6 2 2 2 2" xfId="3642"/>
    <cellStyle name="Финансовый 3 6 2 2 2 2 2" xfId="6766"/>
    <cellStyle name="Финансовый 3 6 2 2 2 3" xfId="5204"/>
    <cellStyle name="Финансовый 3 6 2 2 3" xfId="2861"/>
    <cellStyle name="Финансовый 3 6 2 2 3 2" xfId="5985"/>
    <cellStyle name="Финансовый 3 6 2 2 4" xfId="4423"/>
    <cellStyle name="Финансовый 3 6 2 3" xfId="1689"/>
    <cellStyle name="Финансовый 3 6 2 3 2" xfId="3251"/>
    <cellStyle name="Финансовый 3 6 2 3 2 2" xfId="6375"/>
    <cellStyle name="Финансовый 3 6 2 3 3" xfId="4813"/>
    <cellStyle name="Финансовый 3 6 2 4" xfId="2470"/>
    <cellStyle name="Финансовый 3 6 2 4 2" xfId="5594"/>
    <cellStyle name="Финансовый 3 6 2 5" xfId="4032"/>
    <cellStyle name="Финансовый 3 6 3" xfId="1103"/>
    <cellStyle name="Финансовый 3 6 3 2" xfId="1885"/>
    <cellStyle name="Финансовый 3 6 3 2 2" xfId="3447"/>
    <cellStyle name="Финансовый 3 6 3 2 2 2" xfId="6571"/>
    <cellStyle name="Финансовый 3 6 3 2 3" xfId="5009"/>
    <cellStyle name="Финансовый 3 6 3 3" xfId="2666"/>
    <cellStyle name="Финансовый 3 6 3 3 2" xfId="5790"/>
    <cellStyle name="Финансовый 3 6 3 4" xfId="4228"/>
    <cellStyle name="Финансовый 3 6 4" xfId="1494"/>
    <cellStyle name="Финансовый 3 6 4 2" xfId="3056"/>
    <cellStyle name="Финансовый 3 6 4 2 2" xfId="6180"/>
    <cellStyle name="Финансовый 3 6 4 3" xfId="4618"/>
    <cellStyle name="Финансовый 3 6 5" xfId="2275"/>
    <cellStyle name="Финансовый 3 6 5 2" xfId="5399"/>
    <cellStyle name="Финансовый 3 6 6" xfId="3837"/>
    <cellStyle name="Финансовый 3 7" xfId="233"/>
    <cellStyle name="Финансовый 3 7 2" xfId="906"/>
    <cellStyle name="Финансовый 3 7 2 2" xfId="1299"/>
    <cellStyle name="Финансовый 3 7 2 2 2" xfId="2081"/>
    <cellStyle name="Финансовый 3 7 2 2 2 2" xfId="3643"/>
    <cellStyle name="Финансовый 3 7 2 2 2 2 2" xfId="6767"/>
    <cellStyle name="Финансовый 3 7 2 2 2 3" xfId="5205"/>
    <cellStyle name="Финансовый 3 7 2 2 3" xfId="2862"/>
    <cellStyle name="Финансовый 3 7 2 2 3 2" xfId="5986"/>
    <cellStyle name="Финансовый 3 7 2 2 4" xfId="4424"/>
    <cellStyle name="Финансовый 3 7 2 3" xfId="1690"/>
    <cellStyle name="Финансовый 3 7 2 3 2" xfId="3252"/>
    <cellStyle name="Финансовый 3 7 2 3 2 2" xfId="6376"/>
    <cellStyle name="Финансовый 3 7 2 3 3" xfId="4814"/>
    <cellStyle name="Финансовый 3 7 2 4" xfId="2471"/>
    <cellStyle name="Финансовый 3 7 2 4 2" xfId="5595"/>
    <cellStyle name="Финансовый 3 7 2 5" xfId="4033"/>
    <cellStyle name="Финансовый 3 7 3" xfId="1104"/>
    <cellStyle name="Финансовый 3 7 3 2" xfId="1886"/>
    <cellStyle name="Финансовый 3 7 3 2 2" xfId="3448"/>
    <cellStyle name="Финансовый 3 7 3 2 2 2" xfId="6572"/>
    <cellStyle name="Финансовый 3 7 3 2 3" xfId="5010"/>
    <cellStyle name="Финансовый 3 7 3 3" xfId="2667"/>
    <cellStyle name="Финансовый 3 7 3 3 2" xfId="5791"/>
    <cellStyle name="Финансовый 3 7 3 4" xfId="4229"/>
    <cellStyle name="Финансовый 3 7 4" xfId="1495"/>
    <cellStyle name="Финансовый 3 7 4 2" xfId="3057"/>
    <cellStyle name="Финансовый 3 7 4 2 2" xfId="6181"/>
    <cellStyle name="Финансовый 3 7 4 3" xfId="4619"/>
    <cellStyle name="Финансовый 3 7 5" xfId="2276"/>
    <cellStyle name="Финансовый 3 7 5 2" xfId="5400"/>
    <cellStyle name="Финансовый 3 7 6" xfId="3838"/>
    <cellStyle name="Финансовый 3 8" xfId="888"/>
    <cellStyle name="Финансовый 3 8 2" xfId="1281"/>
    <cellStyle name="Финансовый 3 8 2 2" xfId="2063"/>
    <cellStyle name="Финансовый 3 8 2 2 2" xfId="3625"/>
    <cellStyle name="Финансовый 3 8 2 2 2 2" xfId="6749"/>
    <cellStyle name="Финансовый 3 8 2 2 3" xfId="5187"/>
    <cellStyle name="Финансовый 3 8 2 3" xfId="2844"/>
    <cellStyle name="Финансовый 3 8 2 3 2" xfId="5968"/>
    <cellStyle name="Финансовый 3 8 2 4" xfId="4406"/>
    <cellStyle name="Финансовый 3 8 3" xfId="1672"/>
    <cellStyle name="Финансовый 3 8 3 2" xfId="3234"/>
    <cellStyle name="Финансовый 3 8 3 2 2" xfId="6358"/>
    <cellStyle name="Финансовый 3 8 3 3" xfId="4796"/>
    <cellStyle name="Финансовый 3 8 4" xfId="2453"/>
    <cellStyle name="Финансовый 3 8 4 2" xfId="5577"/>
    <cellStyle name="Финансовый 3 8 5" xfId="4015"/>
    <cellStyle name="Финансовый 3 9" xfId="1086"/>
    <cellStyle name="Финансовый 3 9 2" xfId="1868"/>
    <cellStyle name="Финансовый 3 9 2 2" xfId="3430"/>
    <cellStyle name="Финансовый 3 9 2 2 2" xfId="6554"/>
    <cellStyle name="Финансовый 3 9 2 3" xfId="4992"/>
    <cellStyle name="Финансовый 3 9 3" xfId="2649"/>
    <cellStyle name="Финансовый 3 9 3 2" xfId="5773"/>
    <cellStyle name="Финансовый 3 9 4" xfId="4211"/>
    <cellStyle name="Финансовый 4" xfId="727"/>
    <cellStyle name="Финансовый 4 2" xfId="728"/>
    <cellStyle name="Финансовый 5" xfId="729"/>
    <cellStyle name="Финансовый 5 2" xfId="730"/>
    <cellStyle name="Финансовый 5 2 2" xfId="731"/>
    <cellStyle name="Финансовый 6" xfId="732"/>
    <cellStyle name="Финансовый 6 2" xfId="733"/>
    <cellStyle name="Финансовый 7" xfId="734"/>
    <cellStyle name="Финансовый 8" xfId="735"/>
    <cellStyle name="Финансовый 9" xfId="736"/>
    <cellStyle name="Хороший 2" xfId="234"/>
  </cellStyles>
  <dxfs count="0"/>
  <tableStyles count="0" defaultTableStyle="TableStyleMedium2" defaultPivotStyle="PivotStyleLight16"/>
  <colors>
    <mruColors>
      <color rgb="FFFF0066"/>
      <color rgb="FFFF99FF"/>
      <color rgb="FF99CCFF"/>
      <color rgb="FF27F92C"/>
      <color rgb="FF66CCFF"/>
      <color rgb="FFFF99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ek-backup\Documents%20and%20Settings\Arnautova_OV\Application%20Data\Microsoft\Excel\5&#1054;&#1090;&#1095;&#1077;&#1090;%20&#1048;&#1055;%202%20&#1082;&#1074;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ysoeva_sy/Local%20Settings/Temporary%20Internet%20Files/Content.Outlook/3RIY3L6Q/&#1050;&#1086;&#1087;&#1080;&#1103;%20&#1048;&#1055;%202017-19%20&#1050;&#1086;&#1088;&#1088;&#1077;&#1082;&#1090;&#1080;&#1088;&#1086;&#1074;&#1082;&#1072;%20&#1103;&#1085;&#1074;&#1072;&#1088;%20&#1100;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7.1"/>
      <sheetName val="форма 7.2"/>
      <sheetName val="форма 8"/>
      <sheetName val="форма 9"/>
    </sheetNames>
    <sheetDataSet>
      <sheetData sheetId="0">
        <row r="163">
          <cell r="D163" t="str">
            <v>Электроснабжение жилых домов по ул. Бородинская-Карбышева (по схеме), запитанных от вновь смонтированной КТП; 69 кВт, 380 В, 3 категория; Строительство КТП; Строительство ВЛ-6 кВ от опоры ВЛ-6 кВ "РП-27 яч. № 11 - ТП-480" до вновь смонтированной КТП; Стро</v>
          </cell>
          <cell r="G163">
            <v>5.0000000000000001E-4</v>
          </cell>
          <cell r="I163">
            <v>2.9999999999999997E-4</v>
          </cell>
          <cell r="K163">
            <v>2.0000000000000004E-4</v>
          </cell>
          <cell r="M163">
            <v>0</v>
          </cell>
          <cell r="O163">
            <v>0</v>
          </cell>
        </row>
        <row r="164">
          <cell r="D164" t="str">
            <v>реконструкция</v>
          </cell>
          <cell r="G164">
            <v>0</v>
          </cell>
          <cell r="I164">
            <v>0</v>
          </cell>
        </row>
        <row r="165">
          <cell r="D165" t="str">
            <v>строительство</v>
          </cell>
          <cell r="G165">
            <v>5.0000000000000001E-4</v>
          </cell>
          <cell r="I165">
            <v>2.9999999999999997E-4</v>
          </cell>
          <cell r="K165">
            <v>2.0000000000000004E-4</v>
          </cell>
        </row>
        <row r="166">
          <cell r="D166" t="str">
            <v>Электроснабжение торговых павильонов по Лебедянскому шоссе, запитанных от РП-24; 40 кВт, 220 В, 3 категория; Монтаж вводной панели № 2 в РУ-0,4 кВ РП-24; Строительство КЛ-0,4 кВ от РП-24 до РШ-0,4 кВ ; Монтаж РШ-0,4 кВ</v>
          </cell>
          <cell r="G166">
            <v>1.9899999999999998E-2</v>
          </cell>
          <cell r="I166">
            <v>1.4E-3</v>
          </cell>
          <cell r="K166">
            <v>1.8499999999999999E-2</v>
          </cell>
          <cell r="M166">
            <v>0</v>
          </cell>
          <cell r="O166">
            <v>0</v>
          </cell>
        </row>
        <row r="167">
          <cell r="D167" t="str">
            <v>реконструкция</v>
          </cell>
          <cell r="G167">
            <v>0</v>
          </cell>
          <cell r="I167">
            <v>0</v>
          </cell>
        </row>
        <row r="168">
          <cell r="D168" t="str">
            <v>строительство</v>
          </cell>
          <cell r="G168">
            <v>1.9899999999999998E-2</v>
          </cell>
          <cell r="I168">
            <v>1.4E-3</v>
          </cell>
          <cell r="K168">
            <v>1.8499999999999999E-2</v>
          </cell>
        </row>
        <row r="169">
          <cell r="D169" t="str">
            <v>Электроснабжение садовых домиков в СНТ "Дачный-3", запитанных от РУ-10 кВ ТП-591; 40 кВт, 220 В, 3 категория; Строительство КЛ-10 кВ от ТП-591 до вновь смонтированной КТП; Строительство КТП; Строительство ВЛ-0,4 кВ от вновь смонтированной КТП до потребите</v>
          </cell>
          <cell r="G169">
            <v>1.2999999999999999E-3</v>
          </cell>
          <cell r="I169">
            <v>5.9999999999999995E-4</v>
          </cell>
          <cell r="K169">
            <v>6.9999999999999999E-4</v>
          </cell>
          <cell r="M169">
            <v>0</v>
          </cell>
          <cell r="O169">
            <v>0</v>
          </cell>
        </row>
        <row r="170">
          <cell r="D170" t="str">
            <v>реконструкция</v>
          </cell>
          <cell r="G170">
            <v>0</v>
          </cell>
          <cell r="I170">
            <v>0</v>
          </cell>
        </row>
        <row r="171">
          <cell r="D171" t="str">
            <v>строительство</v>
          </cell>
          <cell r="G171">
            <v>1.2999999999999999E-3</v>
          </cell>
          <cell r="I171">
            <v>5.9999999999999995E-4</v>
          </cell>
          <cell r="K171">
            <v>6.9999999999999999E-4</v>
          </cell>
        </row>
        <row r="172">
          <cell r="D172" t="str">
            <v>Электроснабжение двухэтажного здания шиномонтажного участка (лит. Ж) по ул. 9 Мая, 67, запитанного от ТП-530, 380 В, 3 категория; Строительство КЛ-0,4 кВ от ТП-530 до двухэтажного здания шиномонтажного участка (лит.Ж) по ул. 9 Мая, 67; Монтаж панелей РУ-0</v>
          </cell>
          <cell r="G172">
            <v>0</v>
          </cell>
          <cell r="I172">
            <v>0</v>
          </cell>
          <cell r="K172">
            <v>0</v>
          </cell>
          <cell r="M172">
            <v>0</v>
          </cell>
          <cell r="O172">
            <v>0</v>
          </cell>
        </row>
        <row r="173">
          <cell r="D173" t="str">
            <v>реконструкция</v>
          </cell>
          <cell r="G173">
            <v>0</v>
          </cell>
        </row>
        <row r="174">
          <cell r="D174" t="str">
            <v>строительство</v>
          </cell>
          <cell r="G174">
            <v>0</v>
          </cell>
        </row>
        <row r="175">
          <cell r="D175" t="str">
            <v>Электроснабжение дачных домиков в СНТ "Дачный-3"; Строительство КЛ-10кВ от ТП-591 до вновь смонтированного КТП; Строительство КТП; Строительство ВЛ-0,4кВ от вновь смонтированного КТП до потребителей в СНТ "Дачный-3"; Монтаж ячейки в РУ-10кВ ТП-591</v>
          </cell>
          <cell r="G175">
            <v>7.4000000000000003E-3</v>
          </cell>
          <cell r="I175">
            <v>0</v>
          </cell>
          <cell r="K175">
            <v>7.4000000000000003E-3</v>
          </cell>
          <cell r="M175">
            <v>0</v>
          </cell>
          <cell r="O175">
            <v>0</v>
          </cell>
        </row>
        <row r="176">
          <cell r="D176" t="str">
            <v>реконструкция</v>
          </cell>
          <cell r="G176">
            <v>0</v>
          </cell>
        </row>
        <row r="177">
          <cell r="D177" t="str">
            <v>строительство</v>
          </cell>
          <cell r="G177">
            <v>7.4000000000000003E-3</v>
          </cell>
          <cell r="K177">
            <v>7.4000000000000003E-3</v>
          </cell>
        </row>
        <row r="178">
          <cell r="D178" t="str">
            <v>Электроснабжение индивидуального жилого дома по ул. Буденного, д. 229, запитанного от ВЛ-6 кВ отпайки на КТП-303; 15 кВт, 380 В, 3 категория; Строительство МТП; Строительство ВЛ-6 кВ от концевой опоры ВЛ-6 кВ отпайки на КТП-303 до МТП; Реконструкция ВЛ-0,</v>
          </cell>
          <cell r="G178">
            <v>0</v>
          </cell>
          <cell r="I178">
            <v>0</v>
          </cell>
          <cell r="K178">
            <v>0</v>
          </cell>
          <cell r="M178">
            <v>0</v>
          </cell>
          <cell r="O178">
            <v>0</v>
          </cell>
        </row>
        <row r="179">
          <cell r="D179" t="str">
            <v>реконструкция</v>
          </cell>
          <cell r="G179">
            <v>0</v>
          </cell>
        </row>
        <row r="180">
          <cell r="D180" t="str">
            <v>строительство</v>
          </cell>
          <cell r="G180">
            <v>0</v>
          </cell>
        </row>
        <row r="181">
          <cell r="D181" t="str">
            <v xml:space="preserve">Электроснабжение садовых домиков в СНТ "Цементник", запитанных от ВЛ-10 кВ ПС "Бутырки", яч. № 9 - КТП-477; 56 кВт, 380 В, 3 категория; Строительство КТП-400/10/0,4 в СНТ "Цементник"; Строительство ВЛ-10 кВ от опоры ВЛ-10 кВ ПС "Бутырки"-КТП-477 до вновь </v>
          </cell>
          <cell r="G181">
            <v>1.43E-2</v>
          </cell>
          <cell r="I181">
            <v>2.9999999999999997E-4</v>
          </cell>
          <cell r="K181">
            <v>1.4E-2</v>
          </cell>
          <cell r="M181">
            <v>0</v>
          </cell>
          <cell r="O181">
            <v>0</v>
          </cell>
        </row>
        <row r="182">
          <cell r="D182" t="str">
            <v>реконструкция</v>
          </cell>
          <cell r="G182">
            <v>0</v>
          </cell>
          <cell r="I182">
            <v>0</v>
          </cell>
        </row>
        <row r="183">
          <cell r="D183" t="str">
            <v>строительство</v>
          </cell>
          <cell r="G183">
            <v>1.43E-2</v>
          </cell>
          <cell r="I183">
            <v>2.9999999999999997E-4</v>
          </cell>
          <cell r="K183">
            <v>1.4E-2</v>
          </cell>
        </row>
        <row r="184">
          <cell r="D184" t="str">
            <v>Электроснабжение индивидуального жилого дома усадебного типа и хозяйственных построек по ул. Салтыкова-Щедрина, № 2 (по схеме), запитанного от КТП-37; 15 кВт, 380 В, 3 категория; Строительство КЛ-0,4 кВ от опоры № 3 ВЛ-0,4 кВ от КТП-37 до земельного участ</v>
          </cell>
          <cell r="G184">
            <v>1.24E-2</v>
          </cell>
          <cell r="I184">
            <v>6.1999999999999998E-3</v>
          </cell>
          <cell r="K184">
            <v>6.1999999999999998E-3</v>
          </cell>
          <cell r="M184">
            <v>0</v>
          </cell>
          <cell r="O184">
            <v>0</v>
          </cell>
        </row>
        <row r="185">
          <cell r="D185" t="str">
            <v>реконструкция</v>
          </cell>
          <cell r="G185">
            <v>0</v>
          </cell>
          <cell r="I185">
            <v>0</v>
          </cell>
        </row>
        <row r="186">
          <cell r="D186" t="str">
            <v>строительство</v>
          </cell>
          <cell r="G186">
            <v>1.24E-2</v>
          </cell>
          <cell r="I186">
            <v>6.1999999999999998E-3</v>
          </cell>
          <cell r="K186">
            <v>6.1999999999999998E-3</v>
          </cell>
        </row>
        <row r="187">
          <cell r="D187" t="str">
            <v>Электроснабжение жилого дома по ул. Архангельская, д. 20а, запитанного от КТП-569; 5 кВт, 220 В, 3 категория; Реконструкция оборудования РУ-0,4 кВ КТП-569 (100920); Строительство КЛ-0,4 кВ от ТП-569 до дома № 20а по ул. Архангельская</v>
          </cell>
          <cell r="G187">
            <v>0</v>
          </cell>
          <cell r="I187">
            <v>0</v>
          </cell>
          <cell r="K187">
            <v>0</v>
          </cell>
          <cell r="M187">
            <v>0</v>
          </cell>
          <cell r="O187">
            <v>0</v>
          </cell>
        </row>
        <row r="188">
          <cell r="D188" t="str">
            <v>реконструкция</v>
          </cell>
          <cell r="G188">
            <v>0</v>
          </cell>
        </row>
        <row r="189">
          <cell r="D189" t="str">
            <v>строительство</v>
          </cell>
          <cell r="G189">
            <v>0</v>
          </cell>
        </row>
        <row r="190">
          <cell r="D190" t="str">
            <v>Электроснабжение магазина продовольственных товаров по ул. 40 лет Октября, запитанного от ТП-460; 15 кВт, 380 В, 3 категория; Строительство кабельной сети от ТП-460 до магазина по ул. 40 лет Октября</v>
          </cell>
          <cell r="G190">
            <v>5.1999999999999998E-3</v>
          </cell>
          <cell r="I190">
            <v>2.5999999999999999E-3</v>
          </cell>
          <cell r="K190">
            <v>2.5999999999999999E-3</v>
          </cell>
          <cell r="M190">
            <v>0</v>
          </cell>
          <cell r="O190">
            <v>0</v>
          </cell>
        </row>
        <row r="191">
          <cell r="D191" t="str">
            <v>реконструкция</v>
          </cell>
          <cell r="G191">
            <v>0</v>
          </cell>
          <cell r="I191">
            <v>0</v>
          </cell>
        </row>
        <row r="192">
          <cell r="D192" t="str">
            <v>строительство</v>
          </cell>
          <cell r="G192">
            <v>5.1999999999999998E-3</v>
          </cell>
          <cell r="I192">
            <v>2.5999999999999999E-3</v>
          </cell>
          <cell r="K192">
            <v>2.5999999999999999E-3</v>
          </cell>
        </row>
        <row r="193">
          <cell r="D193" t="str">
            <v>Электроснабжение садового домика в садоводческом объединении коллективного партнерства "Сокол-2", уч. № 750; Строительство ВЛ-6 кВ от опоры № 17 ВЛ-6 кВ РП-27-ТП-489 до вновь смонтированной КТП; Строительство КТП-250/6/0,4; Строительство ВЛ-0,4 кВ от внов</v>
          </cell>
          <cell r="G193">
            <v>2.3E-3</v>
          </cell>
          <cell r="I193">
            <v>0</v>
          </cell>
          <cell r="K193">
            <v>2.3E-3</v>
          </cell>
          <cell r="M193">
            <v>0</v>
          </cell>
          <cell r="O193">
            <v>0</v>
          </cell>
        </row>
        <row r="194">
          <cell r="D194" t="str">
            <v>реконструкция</v>
          </cell>
          <cell r="G194">
            <v>2.3E-3</v>
          </cell>
          <cell r="K194">
            <v>2.3E-3</v>
          </cell>
        </row>
        <row r="195">
          <cell r="D195" t="str">
            <v>строительство</v>
          </cell>
          <cell r="G195">
            <v>0</v>
          </cell>
        </row>
        <row r="196">
          <cell r="D196" t="str">
            <v>Электроснабжение садового домика в с/т "Кооператор", линия № 7, уч. № 285, запитанного от ТП-263; 15 кВт, 380 В, 3 категория; Строительство ВЛ-0,4 кВ от ТП-263 до уч. № 285 в СНТ "Кооператор"; Монтаж приборов учета в РУ-0,4 кВ ТП-263</v>
          </cell>
          <cell r="G196">
            <v>0</v>
          </cell>
          <cell r="I196">
            <v>0</v>
          </cell>
          <cell r="K196">
            <v>0</v>
          </cell>
          <cell r="M196">
            <v>0</v>
          </cell>
          <cell r="O196">
            <v>0</v>
          </cell>
        </row>
        <row r="197">
          <cell r="D197" t="str">
            <v>реконструкция</v>
          </cell>
          <cell r="G197">
            <v>0</v>
          </cell>
        </row>
        <row r="198">
          <cell r="D198" t="str">
            <v>строительство</v>
          </cell>
          <cell r="G198">
            <v>0</v>
          </cell>
        </row>
        <row r="199">
          <cell r="D199" t="str">
            <v>Электроснабжение садовых домиков в СНТ "Цементник" (КТП № 3); Строительство КТП № 3 - 400/10/04 в СНТ "Цементник"; Строительство ВЛ-10 кВ от опоры ВЛ-10 кВ ПС "Бутырки" - КТП-477 до вновь смонтированной КТП № 3; Строительство ВЛ-0,4 кВ от КТП № 3 до потре</v>
          </cell>
          <cell r="G199">
            <v>2.3E-2</v>
          </cell>
          <cell r="I199">
            <v>1.06E-2</v>
          </cell>
          <cell r="K199">
            <v>1.24E-2</v>
          </cell>
          <cell r="M199">
            <v>0</v>
          </cell>
          <cell r="O199">
            <v>0</v>
          </cell>
        </row>
        <row r="200">
          <cell r="D200" t="str">
            <v>реконструкция</v>
          </cell>
          <cell r="G200">
            <v>0</v>
          </cell>
          <cell r="I200">
            <v>0</v>
          </cell>
        </row>
        <row r="201">
          <cell r="D201" t="str">
            <v>строительство</v>
          </cell>
          <cell r="G201">
            <v>2.3E-2</v>
          </cell>
          <cell r="I201">
            <v>1.06E-2</v>
          </cell>
          <cell r="K201">
            <v>1.24E-2</v>
          </cell>
        </row>
        <row r="202">
          <cell r="D202" t="str">
            <v>Электроснабжение садовых домиков в СНТ "Цементник" от КТП № 2; Строительство КТП № 2 -400/10/0,4 в СНТ "Цементник"; Строительство ВЛ-10 кВ от КТП-859 до вновь смонтированной КТП № 2; Строительство ВЛ-0,4 кВ от КТП № 2 до потребителей в СНТ "Цементник"</v>
          </cell>
          <cell r="G202">
            <v>2.9999999999999997E-4</v>
          </cell>
          <cell r="I202">
            <v>2.9999999999999997E-4</v>
          </cell>
          <cell r="K202">
            <v>0</v>
          </cell>
          <cell r="M202">
            <v>0</v>
          </cell>
          <cell r="O202">
            <v>0</v>
          </cell>
        </row>
        <row r="203">
          <cell r="D203" t="str">
            <v>реконструкция</v>
          </cell>
          <cell r="G203">
            <v>0</v>
          </cell>
          <cell r="I203">
            <v>0</v>
          </cell>
        </row>
        <row r="204">
          <cell r="D204" t="str">
            <v>строительство</v>
          </cell>
          <cell r="G204">
            <v>2.9999999999999997E-4</v>
          </cell>
          <cell r="I204">
            <v>2.9999999999999997E-4</v>
          </cell>
        </row>
        <row r="205">
          <cell r="D205" t="str">
            <v>Электроснабжение садового домика с/т "Строитель" зем. уч. № 1949; Строительство ВЛ-6 кВ от опоры ВЛ-6 кВ ТП-406 - ТП-425 до вновь смонтированной МТП; Строительство МТП; Строительство ВЛ-0,4 кВ от вновь смонтированной МТП до зем. уч. № 1949</v>
          </cell>
          <cell r="G205">
            <v>0</v>
          </cell>
          <cell r="I205">
            <v>0</v>
          </cell>
          <cell r="K205">
            <v>0</v>
          </cell>
          <cell r="M205">
            <v>0</v>
          </cell>
          <cell r="O205">
            <v>0</v>
          </cell>
        </row>
        <row r="206">
          <cell r="D206" t="str">
            <v>реконструкция</v>
          </cell>
          <cell r="G206">
            <v>0</v>
          </cell>
        </row>
        <row r="207">
          <cell r="D207" t="str">
            <v>строительство</v>
          </cell>
          <cell r="G207">
            <v>0</v>
          </cell>
        </row>
        <row r="208">
          <cell r="D208" t="str">
            <v>Электроснабжение помещения № 2 по ул. Невского, д. 27; Строительство КЛ-0,4 кВ от ТП-563 до помещения № 2 по ул. Невского, д. 27</v>
          </cell>
          <cell r="G208">
            <v>1.8E-3</v>
          </cell>
          <cell r="I208">
            <v>1.8E-3</v>
          </cell>
          <cell r="K208">
            <v>0</v>
          </cell>
          <cell r="M208">
            <v>0</v>
          </cell>
          <cell r="O208">
            <v>0</v>
          </cell>
        </row>
        <row r="209">
          <cell r="D209" t="str">
            <v>реконструкция</v>
          </cell>
          <cell r="G209">
            <v>0</v>
          </cell>
          <cell r="I209">
            <v>0</v>
          </cell>
        </row>
        <row r="210">
          <cell r="D210" t="str">
            <v>строительство</v>
          </cell>
          <cell r="G210">
            <v>1.8E-3</v>
          </cell>
          <cell r="I210">
            <v>1.8E-3</v>
          </cell>
        </row>
        <row r="211">
          <cell r="D211" t="str">
            <v>Электроснабжение садового домика в п/о пенсионеров и инвалидов "Сокол-1", уч. № 672а; Строительство МТП; Строительство КВЛ-6 кВ от КТП-413 до вновь смонтированной МТП; Строительство ВЛ-0,4 кВ от вновь смонтированной МТП до потребителей в п/о пенсионеров и</v>
          </cell>
          <cell r="G211">
            <v>0</v>
          </cell>
          <cell r="I211">
            <v>0</v>
          </cell>
          <cell r="K211">
            <v>0</v>
          </cell>
          <cell r="M211">
            <v>0</v>
          </cell>
          <cell r="O211">
            <v>0</v>
          </cell>
        </row>
        <row r="212">
          <cell r="D212" t="str">
            <v>реконструкция</v>
          </cell>
          <cell r="G212">
            <v>0</v>
          </cell>
        </row>
        <row r="213">
          <cell r="D213" t="str">
            <v>строительство</v>
          </cell>
          <cell r="G213">
            <v>0</v>
          </cell>
        </row>
        <row r="214">
          <cell r="D214" t="str">
            <v>Строительство новой КТП-259 взамен существующей (инв. № 100907) для объекта технологического присоединения: "Электроснабжение гаража № 1 в ГПК автолюбителей "Металлист-23", ряд 1"</v>
          </cell>
          <cell r="G214">
            <v>2.0000000000000001E-4</v>
          </cell>
          <cell r="I214">
            <v>2.0000000000000001E-4</v>
          </cell>
          <cell r="K214">
            <v>0</v>
          </cell>
          <cell r="M214">
            <v>0</v>
          </cell>
          <cell r="O214">
            <v>0</v>
          </cell>
        </row>
        <row r="215">
          <cell r="D215" t="str">
            <v>реконструкция</v>
          </cell>
          <cell r="G215">
            <v>0</v>
          </cell>
          <cell r="I215">
            <v>0</v>
          </cell>
        </row>
        <row r="216">
          <cell r="D216" t="str">
            <v>строительство</v>
          </cell>
          <cell r="G216">
            <v>2.0000000000000001E-4</v>
          </cell>
          <cell r="I216">
            <v>2.0000000000000001E-4</v>
          </cell>
        </row>
        <row r="217">
          <cell r="D217" t="str">
            <v>Электроснабжение садовых домиков в с/т "Ударник"</v>
          </cell>
          <cell r="G217">
            <v>2.4799999999999999E-2</v>
          </cell>
          <cell r="I217">
            <v>0</v>
          </cell>
          <cell r="K217">
            <v>2.4799999999999999E-2</v>
          </cell>
          <cell r="M217">
            <v>0</v>
          </cell>
          <cell r="O217">
            <v>0</v>
          </cell>
        </row>
        <row r="218">
          <cell r="D218" t="str">
            <v>реконструкция</v>
          </cell>
          <cell r="G218">
            <v>0</v>
          </cell>
        </row>
        <row r="219">
          <cell r="D219" t="str">
            <v>строительство</v>
          </cell>
          <cell r="G219">
            <v>2.4799999999999999E-2</v>
          </cell>
          <cell r="K219">
            <v>2.4799999999999999E-2</v>
          </cell>
        </row>
        <row r="220">
          <cell r="D220" t="str">
            <v>Электроснабжение жилых домов в районе домовладения № 17 по ул. Сокольская; Строительство ВЛ-0,4 кВ от КТП-478 до границ земельного участка № 3 (по схеме) в районе домовладения № 17 по ул. Сокольская</v>
          </cell>
          <cell r="G220">
            <v>2.0000000000000001E-4</v>
          </cell>
          <cell r="I220">
            <v>2.0000000000000001E-4</v>
          </cell>
          <cell r="K220">
            <v>0</v>
          </cell>
          <cell r="M220">
            <v>0</v>
          </cell>
          <cell r="O220">
            <v>0</v>
          </cell>
        </row>
        <row r="221">
          <cell r="D221" t="str">
            <v>реконструкция</v>
          </cell>
          <cell r="G221">
            <v>0</v>
          </cell>
          <cell r="I221">
            <v>0</v>
          </cell>
        </row>
        <row r="222">
          <cell r="D222" t="str">
            <v>строительство</v>
          </cell>
          <cell r="G222">
            <v>2.0000000000000001E-4</v>
          </cell>
          <cell r="I222">
            <v>2.0000000000000001E-4</v>
          </cell>
        </row>
        <row r="223">
          <cell r="D223" t="str">
            <v>Электроснабжение гаражей по адресу: г. Липецк, пр. Победы, строение 29б/16 (район фабрики "Бумиз"); Строительство КЛ-0,4 кВ от ТП-241 до РШ-0,4 кВ ; Монтаж РШ-0,4 кВ; Строительство ЛЭП-0,4 кВ от РШ-0,4 кВ до гаражей в районе фабрики "Бумиз"</v>
          </cell>
          <cell r="G223">
            <v>0</v>
          </cell>
          <cell r="I223">
            <v>0</v>
          </cell>
          <cell r="K223">
            <v>0</v>
          </cell>
          <cell r="M223">
            <v>0</v>
          </cell>
          <cell r="O223">
            <v>0</v>
          </cell>
        </row>
        <row r="224">
          <cell r="D224" t="str">
            <v>реконструкция</v>
          </cell>
          <cell r="G224">
            <v>0</v>
          </cell>
        </row>
        <row r="225">
          <cell r="D225" t="str">
            <v>строительство</v>
          </cell>
          <cell r="G225">
            <v>0</v>
          </cell>
        </row>
        <row r="226">
          <cell r="D226" t="str">
            <v>Строительство ВЛ-0,4 кВ от опоры проектируемой ВЛ-0,4 кВ от ТП-642 (код 4.1.26/09 программы перспективного развития ОАО "ЛГЭК" на 2011 год) до зем. уч. № 68 в СНТ "Горняк"</v>
          </cell>
          <cell r="G226">
            <v>0</v>
          </cell>
          <cell r="I226">
            <v>0</v>
          </cell>
          <cell r="K226">
            <v>0</v>
          </cell>
          <cell r="M226">
            <v>0</v>
          </cell>
          <cell r="O226">
            <v>0</v>
          </cell>
        </row>
        <row r="227">
          <cell r="D227" t="str">
            <v>реконструкция</v>
          </cell>
          <cell r="G227">
            <v>0</v>
          </cell>
        </row>
        <row r="228">
          <cell r="D228" t="str">
            <v>строительство</v>
          </cell>
          <cell r="G228">
            <v>0</v>
          </cell>
        </row>
        <row r="229">
          <cell r="D229" t="str">
            <v>Электроснабжение садового домика по адресу: г. Липецк, СНТ "Монтажник", зем. уч. № 1033; Строительство ВЛ-0,4 кВ от опоры ВЛ-0,4 кВ по ул. Красивая от КТП-646 до земельного участка № 1033 в СНТ "Монтажник" ; Монтаж прибора учета на опоре ВЛ-0,4 кВ от КТП-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O229">
            <v>0</v>
          </cell>
        </row>
        <row r="230">
          <cell r="D230" t="str">
            <v>реконструкция</v>
          </cell>
          <cell r="G230">
            <v>0</v>
          </cell>
        </row>
        <row r="231">
          <cell r="D231" t="str">
            <v>строительство</v>
          </cell>
          <cell r="G231">
            <v>0</v>
          </cell>
        </row>
        <row r="232">
          <cell r="D232" t="str">
            <v xml:space="preserve">Электроснабжение гаража по адресу: г. Липецк, ул. Депутатская, владение 58, гараж 24 </v>
          </cell>
          <cell r="G232">
            <v>0</v>
          </cell>
          <cell r="I232">
            <v>0</v>
          </cell>
          <cell r="K232">
            <v>0</v>
          </cell>
          <cell r="M232">
            <v>0</v>
          </cell>
          <cell r="O232">
            <v>0</v>
          </cell>
        </row>
        <row r="233">
          <cell r="D233" t="str">
            <v>реконструкция</v>
          </cell>
          <cell r="G233">
            <v>0</v>
          </cell>
        </row>
        <row r="234">
          <cell r="D234" t="str">
            <v>строительство</v>
          </cell>
          <cell r="G234">
            <v>0</v>
          </cell>
        </row>
        <row r="235">
          <cell r="D235" t="str">
            <v>Электроснабжение кирпичного гаража с погребом по адресу: г. Липецк, ГСК "Монтажник-2", ряд № 19, гараж № 13</v>
          </cell>
          <cell r="G235">
            <v>0</v>
          </cell>
          <cell r="I235">
            <v>0</v>
          </cell>
          <cell r="K235">
            <v>0</v>
          </cell>
          <cell r="M235">
            <v>0</v>
          </cell>
          <cell r="O235">
            <v>0</v>
          </cell>
        </row>
        <row r="236">
          <cell r="D236" t="str">
            <v>реконструкция</v>
          </cell>
          <cell r="G236">
            <v>0</v>
          </cell>
        </row>
        <row r="237">
          <cell r="D237" t="str">
            <v>строительство</v>
          </cell>
          <cell r="G237">
            <v>0</v>
          </cell>
        </row>
        <row r="238">
          <cell r="D238" t="str">
            <v>Строительство КЛ-0,4 кВ от ТП-877 до автоматической мини-АЗС по адресу: г. Липецк, ул. Меркулова</v>
          </cell>
          <cell r="G238">
            <v>0</v>
          </cell>
          <cell r="I238">
            <v>0</v>
          </cell>
          <cell r="K238">
            <v>0</v>
          </cell>
          <cell r="M238">
            <v>0</v>
          </cell>
          <cell r="O238">
            <v>0</v>
          </cell>
        </row>
        <row r="239">
          <cell r="D239" t="str">
            <v>реконструкция</v>
          </cell>
          <cell r="G239">
            <v>0</v>
          </cell>
        </row>
        <row r="240">
          <cell r="D240" t="str">
            <v>строительство</v>
          </cell>
          <cell r="G240">
            <v>0</v>
          </cell>
        </row>
        <row r="241">
          <cell r="D241" t="str">
            <v>Строительство КЛ-0,4 кВ от ТП-809 до автоматической мини-АЗС по адресу: г. Липецк, ул. Неделина</v>
          </cell>
          <cell r="G241">
            <v>0</v>
          </cell>
          <cell r="I241">
            <v>0</v>
          </cell>
          <cell r="K241">
            <v>0</v>
          </cell>
          <cell r="M241">
            <v>0</v>
          </cell>
          <cell r="O241">
            <v>0</v>
          </cell>
        </row>
        <row r="242">
          <cell r="D242" t="str">
            <v>реконструкция</v>
          </cell>
          <cell r="G242">
            <v>0</v>
          </cell>
        </row>
        <row r="243">
          <cell r="D243" t="str">
            <v>строительство</v>
          </cell>
          <cell r="G243">
            <v>0</v>
          </cell>
        </row>
        <row r="244">
          <cell r="D244" t="str">
            <v>Электроснабжение жилого дома по адресу: г. Липецк, пр. Комсомольский, д. 7</v>
          </cell>
          <cell r="G244">
            <v>0</v>
          </cell>
          <cell r="I244">
            <v>0</v>
          </cell>
          <cell r="K244">
            <v>0</v>
          </cell>
          <cell r="M244">
            <v>0</v>
          </cell>
          <cell r="O244">
            <v>0</v>
          </cell>
        </row>
        <row r="245">
          <cell r="D245" t="str">
            <v>реконструкция</v>
          </cell>
          <cell r="G245">
            <v>0</v>
          </cell>
        </row>
        <row r="246">
          <cell r="D246" t="str">
            <v>строительство</v>
          </cell>
          <cell r="G246">
            <v>0</v>
          </cell>
        </row>
        <row r="247">
          <cell r="D247" t="str">
            <v>Электроснабжение индивидуального жилого дома по адресу: г. Липецк, ул. Днепровская, д. 9</v>
          </cell>
          <cell r="G247">
            <v>0</v>
          </cell>
          <cell r="I247">
            <v>0</v>
          </cell>
          <cell r="K247">
            <v>0</v>
          </cell>
          <cell r="M247">
            <v>0</v>
          </cell>
          <cell r="O247">
            <v>0</v>
          </cell>
        </row>
        <row r="248">
          <cell r="D248" t="str">
            <v>реконструкция</v>
          </cell>
          <cell r="G248">
            <v>0</v>
          </cell>
        </row>
        <row r="249">
          <cell r="D249" t="str">
            <v>строительство</v>
          </cell>
          <cell r="G249">
            <v>0</v>
          </cell>
        </row>
        <row r="250">
          <cell r="D250" t="str">
            <v>Электроснабжение части II жилого дома по адресу: г. Липецк, ул. Большие ключи, д. 14,часть II</v>
          </cell>
          <cell r="G250">
            <v>0</v>
          </cell>
          <cell r="I250">
            <v>0</v>
          </cell>
          <cell r="K250">
            <v>0</v>
          </cell>
          <cell r="M250">
            <v>0</v>
          </cell>
          <cell r="O250">
            <v>0</v>
          </cell>
        </row>
        <row r="251">
          <cell r="D251" t="str">
            <v>реконструкция</v>
          </cell>
          <cell r="G251">
            <v>0</v>
          </cell>
        </row>
        <row r="252">
          <cell r="D252" t="str">
            <v>строительство</v>
          </cell>
          <cell r="G252">
            <v>0</v>
          </cell>
        </row>
        <row r="253">
          <cell r="D253" t="str">
            <v>Строительство ВЛ-0,4 кВ от опоры ВЛ-0,4 кВ смонтированной по п. 4.1.66/09 ППР, до земельного участка по адресу: г. Липецк, потребительское общество пенсионеров и инвалидов "Сокол-1", зем. уч. № 637</v>
          </cell>
          <cell r="G253">
            <v>0</v>
          </cell>
          <cell r="I253">
            <v>0</v>
          </cell>
          <cell r="K253">
            <v>0</v>
          </cell>
          <cell r="M253">
            <v>0</v>
          </cell>
          <cell r="O253">
            <v>0</v>
          </cell>
        </row>
        <row r="254">
          <cell r="D254" t="str">
            <v>реконструкция</v>
          </cell>
          <cell r="G254">
            <v>0</v>
          </cell>
        </row>
        <row r="255">
          <cell r="D255" t="str">
            <v>строительство</v>
          </cell>
          <cell r="G255">
            <v>0</v>
          </cell>
        </row>
        <row r="256">
          <cell r="D256" t="str">
            <v>Электроснабжение садовых домиков в садоводческом обществе "Сокол-3"</v>
          </cell>
          <cell r="G256">
            <v>1.6999999999999999E-3</v>
          </cell>
          <cell r="I256">
            <v>0</v>
          </cell>
          <cell r="K256">
            <v>1.6999999999999999E-3</v>
          </cell>
          <cell r="M256">
            <v>0</v>
          </cell>
          <cell r="O256">
            <v>0</v>
          </cell>
        </row>
        <row r="257">
          <cell r="D257" t="str">
            <v>реконструкция</v>
          </cell>
          <cell r="G257">
            <v>1.6999999999999999E-3</v>
          </cell>
          <cell r="K257">
            <v>1.6999999999999999E-3</v>
          </cell>
        </row>
        <row r="258">
          <cell r="D258" t="str">
            <v>строительство</v>
          </cell>
          <cell r="G258">
            <v>0</v>
          </cell>
        </row>
        <row r="259">
          <cell r="D259" t="str">
            <v>Электроснабжение жилого дома по адресу: г. Липецк, ул. Локомотивная, д. 3</v>
          </cell>
          <cell r="G259">
            <v>0</v>
          </cell>
          <cell r="I259">
            <v>0</v>
          </cell>
          <cell r="K259">
            <v>0</v>
          </cell>
          <cell r="M259">
            <v>0</v>
          </cell>
          <cell r="O259">
            <v>0</v>
          </cell>
        </row>
        <row r="260">
          <cell r="D260" t="str">
            <v>реконструкция</v>
          </cell>
          <cell r="G260">
            <v>0</v>
          </cell>
        </row>
        <row r="261">
          <cell r="D261" t="str">
            <v>строительство</v>
          </cell>
          <cell r="G261">
            <v>0</v>
          </cell>
        </row>
        <row r="262">
          <cell r="D262" t="str">
            <v>Электроснабжение производственной базы (участок В) по адресу: г. Липецк, проезд Поперечный, строение 13б</v>
          </cell>
          <cell r="G262">
            <v>1.6299999999999999E-2</v>
          </cell>
          <cell r="I262">
            <v>0</v>
          </cell>
          <cell r="K262">
            <v>1.6299999999999999E-2</v>
          </cell>
          <cell r="M262">
            <v>0</v>
          </cell>
          <cell r="O262">
            <v>0</v>
          </cell>
        </row>
        <row r="263">
          <cell r="D263" t="str">
            <v>реконструкция</v>
          </cell>
          <cell r="G263">
            <v>0</v>
          </cell>
        </row>
        <row r="264">
          <cell r="D264" t="str">
            <v>строительство</v>
          </cell>
          <cell r="G264">
            <v>1.6299999999999999E-2</v>
          </cell>
          <cell r="K264">
            <v>1.6299999999999999E-2</v>
          </cell>
        </row>
        <row r="265">
          <cell r="D265" t="str">
            <v>Строительство ВЛ-0,4 кВ от ВЛ-0,4 кВ, смонтированной по п. 4.1.60/09 ППР, до границ земельного участка № 30 в СНТ "Металлург-1", III квартал</v>
          </cell>
          <cell r="G265">
            <v>0</v>
          </cell>
          <cell r="I265">
            <v>0</v>
          </cell>
          <cell r="K265">
            <v>0</v>
          </cell>
          <cell r="M265">
            <v>0</v>
          </cell>
          <cell r="O265">
            <v>0</v>
          </cell>
        </row>
        <row r="266">
          <cell r="D266" t="str">
            <v>реконструкция</v>
          </cell>
          <cell r="G266">
            <v>0</v>
          </cell>
        </row>
        <row r="267">
          <cell r="D267" t="str">
            <v>строительство</v>
          </cell>
          <cell r="G267">
            <v>0</v>
          </cell>
        </row>
        <row r="268">
          <cell r="D268" t="str">
            <v>Электроснабжение кирпичного гаража по адресу: ул. Терешковой, д. 10/2</v>
          </cell>
          <cell r="G268">
            <v>5.4000000000000003E-3</v>
          </cell>
          <cell r="I268">
            <v>3.5000000000000001E-3</v>
          </cell>
          <cell r="K268">
            <v>1.9000000000000002E-3</v>
          </cell>
          <cell r="M268">
            <v>0</v>
          </cell>
          <cell r="O268">
            <v>0</v>
          </cell>
        </row>
        <row r="269">
          <cell r="D269" t="str">
            <v>реконструкция</v>
          </cell>
          <cell r="G269">
            <v>0</v>
          </cell>
          <cell r="I269">
            <v>0</v>
          </cell>
        </row>
        <row r="270">
          <cell r="D270" t="str">
            <v>строительство</v>
          </cell>
          <cell r="G270">
            <v>5.4000000000000003E-3</v>
          </cell>
          <cell r="I270">
            <v>3.5000000000000001E-3</v>
          </cell>
          <cell r="K270">
            <v>1.9000000000000002E-3</v>
          </cell>
        </row>
        <row r="271">
          <cell r="D271" t="str">
            <v>Электроснабжение киосков № К-4616, 1/2 части № К-4617 по адресу: г. Липецк, ул. Космонавтов, район д. 30</v>
          </cell>
          <cell r="G271">
            <v>2.64E-2</v>
          </cell>
          <cell r="I271">
            <v>2.6199999999999998E-2</v>
          </cell>
          <cell r="K271">
            <v>2.0000000000000226E-4</v>
          </cell>
          <cell r="M271">
            <v>0</v>
          </cell>
          <cell r="O271">
            <v>0</v>
          </cell>
        </row>
        <row r="272">
          <cell r="D272" t="str">
            <v>реконструкция</v>
          </cell>
          <cell r="G272">
            <v>0</v>
          </cell>
          <cell r="I272">
            <v>0</v>
          </cell>
        </row>
        <row r="273">
          <cell r="D273" t="str">
            <v>строительство</v>
          </cell>
          <cell r="G273">
            <v>2.64E-2</v>
          </cell>
          <cell r="I273">
            <v>2.6199999999999998E-2</v>
          </cell>
          <cell r="K273">
            <v>2.0000000000000226E-4</v>
          </cell>
        </row>
        <row r="274">
          <cell r="D274" t="str">
            <v>Электроснабжение административного здания с СТО легковых автомобилей и автомойкой на 2 поста по адресу: г. Липецк, ул. Баумана, строение № 297б</v>
          </cell>
          <cell r="G274">
            <v>2.3E-3</v>
          </cell>
          <cell r="I274">
            <v>0</v>
          </cell>
          <cell r="K274">
            <v>2.3E-3</v>
          </cell>
          <cell r="M274">
            <v>0</v>
          </cell>
          <cell r="O274">
            <v>0</v>
          </cell>
        </row>
        <row r="275">
          <cell r="D275" t="str">
            <v>реконструкция</v>
          </cell>
          <cell r="G275">
            <v>0</v>
          </cell>
        </row>
        <row r="276">
          <cell r="D276" t="str">
            <v>строительство</v>
          </cell>
          <cell r="G276">
            <v>2.3E-3</v>
          </cell>
          <cell r="K276">
            <v>2.3E-3</v>
          </cell>
        </row>
        <row r="277">
          <cell r="D277" t="str">
            <v>Электроснабжение индивидуального жилого дома усадебного типа по адресу: г. Липецк, ул. Грушевая, район д. № 51</v>
          </cell>
          <cell r="G277">
            <v>0</v>
          </cell>
          <cell r="I277">
            <v>0</v>
          </cell>
          <cell r="K277">
            <v>0</v>
          </cell>
          <cell r="M277">
            <v>0</v>
          </cell>
          <cell r="O277">
            <v>0</v>
          </cell>
        </row>
        <row r="278">
          <cell r="D278" t="str">
            <v>реконструкция</v>
          </cell>
          <cell r="G278">
            <v>0</v>
          </cell>
        </row>
        <row r="279">
          <cell r="D279" t="str">
            <v>строительство</v>
          </cell>
          <cell r="G279">
            <v>0</v>
          </cell>
        </row>
        <row r="280">
          <cell r="D280" t="str">
            <v>Электроснабжение садового домика по адресу: г. Липецк, потребительское садовое общество пенсионеров и инвалидов "Речное", ул. Сокольский лог, зем. уч. № 583</v>
          </cell>
          <cell r="G280">
            <v>0</v>
          </cell>
          <cell r="I280">
            <v>0</v>
          </cell>
          <cell r="K280">
            <v>0</v>
          </cell>
          <cell r="M280">
            <v>0</v>
          </cell>
          <cell r="O280">
            <v>0</v>
          </cell>
        </row>
        <row r="281">
          <cell r="D281" t="str">
            <v>реконструкция</v>
          </cell>
          <cell r="G281">
            <v>0</v>
          </cell>
        </row>
        <row r="282">
          <cell r="D282" t="str">
            <v>строительство</v>
          </cell>
          <cell r="G282">
            <v>0</v>
          </cell>
        </row>
        <row r="283">
          <cell r="D283" t="str">
            <v>Электроснабжение станции технического обслуживания автомобилей по адресу: г. Липецк, ул. Гагарина</v>
          </cell>
          <cell r="G283">
            <v>2.0000000000000001E-4</v>
          </cell>
          <cell r="I283">
            <v>0</v>
          </cell>
          <cell r="K283">
            <v>2.0000000000000001E-4</v>
          </cell>
          <cell r="M283">
            <v>0</v>
          </cell>
          <cell r="O283">
            <v>0</v>
          </cell>
        </row>
        <row r="284">
          <cell r="D284" t="str">
            <v>реконструкция</v>
          </cell>
          <cell r="G284">
            <v>0</v>
          </cell>
        </row>
        <row r="285">
          <cell r="D285" t="str">
            <v>строительство</v>
          </cell>
          <cell r="G285">
            <v>2.0000000000000001E-4</v>
          </cell>
          <cell r="K285">
            <v>2.0000000000000001E-4</v>
          </cell>
        </row>
        <row r="286">
          <cell r="D286" t="str">
            <v>Электроснабжение здания склада и офисного здания по адресу: ул. Прудная, строение 1д, 1г</v>
          </cell>
          <cell r="G286">
            <v>4.0599999999999997E-2</v>
          </cell>
          <cell r="I286">
            <v>0</v>
          </cell>
          <cell r="K286">
            <v>4.0599999999999997E-2</v>
          </cell>
          <cell r="M286">
            <v>0</v>
          </cell>
          <cell r="O286">
            <v>0</v>
          </cell>
        </row>
        <row r="287">
          <cell r="D287" t="str">
            <v>реконструкция</v>
          </cell>
          <cell r="G287">
            <v>0</v>
          </cell>
        </row>
        <row r="288">
          <cell r="D288" t="str">
            <v>строительство</v>
          </cell>
          <cell r="G288">
            <v>4.0599999999999997E-2</v>
          </cell>
          <cell r="K288">
            <v>4.0599999999999997E-2</v>
          </cell>
        </row>
        <row r="289">
          <cell r="D289" t="str">
            <v>Электроснабжение здания магазина по адресу: г. Липецк, ул. З. Космодемьянской, д. 222б</v>
          </cell>
          <cell r="G289">
            <v>0</v>
          </cell>
          <cell r="I289">
            <v>0</v>
          </cell>
          <cell r="K289">
            <v>0</v>
          </cell>
          <cell r="M289">
            <v>0</v>
          </cell>
          <cell r="O289">
            <v>0</v>
          </cell>
        </row>
        <row r="290">
          <cell r="D290" t="str">
            <v>реконструкция</v>
          </cell>
          <cell r="G290">
            <v>0</v>
          </cell>
        </row>
        <row r="291">
          <cell r="D291" t="str">
            <v>строительство</v>
          </cell>
          <cell r="G291">
            <v>0</v>
          </cell>
        </row>
        <row r="292">
          <cell r="D292" t="str">
            <v>Электроснабжение индивидуального жилого дома усадебного типа с хозяйственными постройками по адресу: г. Липецк, ул. Салтыкова-Щедрина, д. 70</v>
          </cell>
          <cell r="G292">
            <v>2.63E-2</v>
          </cell>
          <cell r="I292">
            <v>0</v>
          </cell>
          <cell r="K292">
            <v>2.63E-2</v>
          </cell>
          <cell r="M292">
            <v>0</v>
          </cell>
          <cell r="O292">
            <v>0</v>
          </cell>
        </row>
        <row r="293">
          <cell r="D293" t="str">
            <v>реконструкция</v>
          </cell>
          <cell r="G293">
            <v>0</v>
          </cell>
        </row>
        <row r="294">
          <cell r="D294" t="str">
            <v>строительство</v>
          </cell>
          <cell r="G294">
            <v>2.63E-2</v>
          </cell>
          <cell r="K294">
            <v>2.63E-2</v>
          </cell>
        </row>
        <row r="295">
          <cell r="D295" t="str">
            <v>Монтаж ВЛ-0,4 кВ от КТП, смонтированной по п. 4.1.60/09 программы перспективного развития, для электроснабжения жилого дома по адресу: г. Липецк, СНТ "Металлург-1", квартал III, зем. уч. № 2</v>
          </cell>
          <cell r="G295">
            <v>0</v>
          </cell>
          <cell r="I295">
            <v>0</v>
          </cell>
          <cell r="K295">
            <v>0</v>
          </cell>
          <cell r="M295">
            <v>0</v>
          </cell>
          <cell r="O295">
            <v>0</v>
          </cell>
        </row>
        <row r="296">
          <cell r="D296" t="str">
            <v>реконструкция</v>
          </cell>
          <cell r="G296">
            <v>0</v>
          </cell>
        </row>
        <row r="297">
          <cell r="D297" t="str">
            <v>строительство</v>
          </cell>
          <cell r="G297">
            <v>0</v>
          </cell>
        </row>
        <row r="298">
          <cell r="D298" t="str">
            <v>Реконструкция ВЛ-0,4 кВ по ул. З. Космодемьянской от ТП-507 для электроснабжения киоска по адресу: г. Липецк, пр. Осенний, между домами № 2 и № 4 (инв. № 346092)</v>
          </cell>
          <cell r="G298">
            <v>0</v>
          </cell>
          <cell r="I298">
            <v>0</v>
          </cell>
          <cell r="K298">
            <v>0</v>
          </cell>
          <cell r="M298">
            <v>0</v>
          </cell>
          <cell r="O298">
            <v>0</v>
          </cell>
        </row>
        <row r="299">
          <cell r="D299" t="str">
            <v>реконструкция</v>
          </cell>
          <cell r="G299">
            <v>0</v>
          </cell>
        </row>
        <row r="300">
          <cell r="D300" t="str">
            <v>строительство</v>
          </cell>
          <cell r="G300">
            <v>0</v>
          </cell>
        </row>
        <row r="301">
          <cell r="D301" t="str">
            <v>Электроснабжение индивидуальных жилых домов по адресу: г. Липецк, ул. Маяковского, д. 5 и г. Липецк, ул. ХХ Партсъезда, д. 22.</v>
          </cell>
          <cell r="G301">
            <v>0</v>
          </cell>
          <cell r="I301">
            <v>0</v>
          </cell>
          <cell r="K301">
            <v>0</v>
          </cell>
          <cell r="M301">
            <v>0</v>
          </cell>
          <cell r="O301">
            <v>0</v>
          </cell>
        </row>
        <row r="302">
          <cell r="D302" t="str">
            <v>реконструкция</v>
          </cell>
          <cell r="G302">
            <v>0</v>
          </cell>
        </row>
        <row r="303">
          <cell r="D303" t="str">
            <v>строительство</v>
          </cell>
          <cell r="G303">
            <v>0</v>
          </cell>
        </row>
        <row r="304">
          <cell r="D304" t="str">
            <v>Электроснабжение кирпичного гаража № 36 по адресу: г. Липецк, ул. Циолковского, во дворе дома № 30/4</v>
          </cell>
          <cell r="G304">
            <v>0</v>
          </cell>
          <cell r="I304">
            <v>0</v>
          </cell>
          <cell r="K304">
            <v>0</v>
          </cell>
          <cell r="M304">
            <v>0</v>
          </cell>
          <cell r="O304">
            <v>0</v>
          </cell>
        </row>
        <row r="305">
          <cell r="D305" t="str">
            <v>реконструкция</v>
          </cell>
          <cell r="G305">
            <v>0</v>
          </cell>
        </row>
        <row r="306">
          <cell r="D306" t="str">
            <v>строительство</v>
          </cell>
          <cell r="G306">
            <v>0</v>
          </cell>
        </row>
        <row r="307">
          <cell r="D307" t="str">
            <v>Электроснабжение гаража по адресу: г. Липецк, во дворе дома № 3 по ул. Горького</v>
          </cell>
          <cell r="G307">
            <v>0</v>
          </cell>
          <cell r="I307">
            <v>0</v>
          </cell>
          <cell r="K307">
            <v>0</v>
          </cell>
          <cell r="M307">
            <v>0</v>
          </cell>
          <cell r="O307">
            <v>0</v>
          </cell>
        </row>
        <row r="308">
          <cell r="D308" t="str">
            <v>реконструкция</v>
          </cell>
          <cell r="G308">
            <v>0</v>
          </cell>
        </row>
        <row r="309">
          <cell r="D309" t="str">
            <v>строительство</v>
          </cell>
          <cell r="G309">
            <v>0</v>
          </cell>
        </row>
        <row r="310">
          <cell r="D310" t="str">
            <v>Электроснабжение садового домика по адресу: г. Липецк, садоводческое общество "Сокол-3", массив 1, участок № 212</v>
          </cell>
          <cell r="G310">
            <v>0</v>
          </cell>
          <cell r="I310">
            <v>0</v>
          </cell>
          <cell r="K310">
            <v>0</v>
          </cell>
          <cell r="M310">
            <v>0</v>
          </cell>
          <cell r="O310">
            <v>0</v>
          </cell>
        </row>
        <row r="311">
          <cell r="D311" t="str">
            <v>реконструкция</v>
          </cell>
          <cell r="G311">
            <v>0</v>
          </cell>
        </row>
        <row r="312">
          <cell r="D312" t="str">
            <v>строительство</v>
          </cell>
          <cell r="G312">
            <v>0</v>
          </cell>
        </row>
        <row r="313">
          <cell r="D313" t="str">
            <v>Электроснабжение автомойки по адресу: Липецкая область, Грязинский район, район п. Новая Жизнь (кадастровый № 48:02:094 01:74:44)</v>
          </cell>
          <cell r="G313">
            <v>0</v>
          </cell>
          <cell r="I313">
            <v>0</v>
          </cell>
          <cell r="K313">
            <v>0</v>
          </cell>
          <cell r="M313">
            <v>0</v>
          </cell>
          <cell r="O313">
            <v>0</v>
          </cell>
        </row>
        <row r="314">
          <cell r="D314" t="str">
            <v>реконструкция</v>
          </cell>
          <cell r="G314">
            <v>0</v>
          </cell>
        </row>
        <row r="315">
          <cell r="D315" t="str">
            <v>строительство</v>
          </cell>
          <cell r="G315">
            <v>0</v>
          </cell>
        </row>
        <row r="316">
          <cell r="D316" t="str">
            <v>Реконструкция ВЛ-0,4 кВ, смонтированной по п. 1.1.6.2.22/11 программы перспективного развития, от новой КТП до жилого дома по адресу: г. Липецк, с. Сселки, ул. Провинциальная, д. № 57</v>
          </cell>
          <cell r="G316">
            <v>0</v>
          </cell>
          <cell r="I316">
            <v>0</v>
          </cell>
          <cell r="K316">
            <v>0</v>
          </cell>
          <cell r="M316">
            <v>0</v>
          </cell>
          <cell r="O316">
            <v>0</v>
          </cell>
        </row>
        <row r="317">
          <cell r="D317" t="str">
            <v>реконструкция</v>
          </cell>
          <cell r="G317">
            <v>0</v>
          </cell>
        </row>
        <row r="318">
          <cell r="D318" t="str">
            <v>строительство</v>
          </cell>
          <cell r="G318">
            <v>0</v>
          </cell>
        </row>
        <row r="319">
          <cell r="D319" t="str">
            <v>Реконструкция ВЛ-0,4 кВ, смонтированной по п. 1.1.6.3.13/10 программы перспективного развития, от КТП-412 для электроснабжения садового домика по адресу: г. Липецк, СТ "Строитель", земельный участок № 1933</v>
          </cell>
          <cell r="G319">
            <v>0</v>
          </cell>
          <cell r="I319">
            <v>0</v>
          </cell>
          <cell r="K319">
            <v>0</v>
          </cell>
          <cell r="M319">
            <v>0</v>
          </cell>
          <cell r="O319">
            <v>0</v>
          </cell>
        </row>
        <row r="320">
          <cell r="D320" t="str">
            <v>реконструкция</v>
          </cell>
          <cell r="G320">
            <v>0</v>
          </cell>
        </row>
        <row r="321">
          <cell r="D321" t="str">
            <v>строительство</v>
          </cell>
          <cell r="G321">
            <v>0</v>
          </cell>
        </row>
        <row r="322">
          <cell r="D322" t="str">
            <v>Электроснабжение 43/100 долей жилого дома по адресу: г. Липецк, ул. Краснодонская, д. 15.</v>
          </cell>
          <cell r="G322">
            <v>0</v>
          </cell>
          <cell r="I322">
            <v>0</v>
          </cell>
          <cell r="K322">
            <v>0</v>
          </cell>
          <cell r="M322">
            <v>0</v>
          </cell>
          <cell r="O322">
            <v>0</v>
          </cell>
        </row>
        <row r="323">
          <cell r="D323" t="str">
            <v>реконструкция</v>
          </cell>
          <cell r="G323">
            <v>0</v>
          </cell>
        </row>
        <row r="324">
          <cell r="D324" t="str">
            <v>строительство</v>
          </cell>
          <cell r="G324">
            <v>0</v>
          </cell>
        </row>
        <row r="325">
          <cell r="D325" t="str">
            <v>Строительство ВЛ-0,4 кВ от новой МТП до садового домика по адресу: г. Липецк, СТ "Сокол-1", линия № 4, земельный участок № 564</v>
          </cell>
          <cell r="G325">
            <v>0</v>
          </cell>
          <cell r="I325">
            <v>0</v>
          </cell>
          <cell r="K325">
            <v>0</v>
          </cell>
          <cell r="M325">
            <v>0</v>
          </cell>
          <cell r="O325">
            <v>0</v>
          </cell>
        </row>
        <row r="326">
          <cell r="D326" t="str">
            <v>реконструкция</v>
          </cell>
          <cell r="G326">
            <v>0</v>
          </cell>
        </row>
        <row r="327">
          <cell r="D327" t="str">
            <v>строительство</v>
          </cell>
          <cell r="G327">
            <v>0</v>
          </cell>
        </row>
        <row r="328">
          <cell r="D328" t="str">
            <v>Электроснабжение садового домика по адресу: г. Липецк, СНТ "Мечта", уч. № 1030</v>
          </cell>
          <cell r="G328">
            <v>3.0699999999999998E-2</v>
          </cell>
          <cell r="I328">
            <v>0</v>
          </cell>
          <cell r="K328">
            <v>3.0699999999999998E-2</v>
          </cell>
          <cell r="M328">
            <v>0</v>
          </cell>
          <cell r="O328">
            <v>0</v>
          </cell>
        </row>
        <row r="329">
          <cell r="D329" t="str">
            <v>реконструкция</v>
          </cell>
          <cell r="G329">
            <v>0</v>
          </cell>
        </row>
        <row r="330">
          <cell r="D330" t="str">
            <v>строительство</v>
          </cell>
          <cell r="G330">
            <v>3.0699999999999998E-2</v>
          </cell>
          <cell r="K330">
            <v>3.0699999999999998E-2</v>
          </cell>
        </row>
        <row r="331">
          <cell r="D331" t="str">
            <v>Монтаж узла учета в РУ-0,4 кВ ТП-194 для электроснабжения автостоянки закрытого типа на 27 машиномест (индивидуальных гаражей) по адресу: г. Липецк, ул. Балмочных С.Ф., владение 15 б</v>
          </cell>
          <cell r="G331">
            <v>0</v>
          </cell>
          <cell r="I331">
            <v>0</v>
          </cell>
          <cell r="K331">
            <v>0</v>
          </cell>
          <cell r="M331">
            <v>0</v>
          </cell>
          <cell r="O331">
            <v>0</v>
          </cell>
        </row>
        <row r="332">
          <cell r="D332" t="str">
            <v>реконструкция</v>
          </cell>
          <cell r="G332">
            <v>0</v>
          </cell>
        </row>
        <row r="333">
          <cell r="D333" t="str">
            <v>строительство</v>
          </cell>
          <cell r="G333">
            <v>0</v>
          </cell>
        </row>
        <row r="334">
          <cell r="D334" t="str">
            <v>Реконструкция ВЛ-0,4 кВ по ул. Дальняя, смонтированной по п. 4.1.78/09 программы перспективного развития, от КТП-646 для электроснабжения садового домика по адресу: г. Липецк, СНТ "Металлург-3", улица № 37-1, участок № 25</v>
          </cell>
          <cell r="G334">
            <v>5.0999999999999995E-3</v>
          </cell>
          <cell r="I334">
            <v>0</v>
          </cell>
          <cell r="K334">
            <v>5.0999999999999995E-3</v>
          </cell>
          <cell r="M334">
            <v>0</v>
          </cell>
          <cell r="O334">
            <v>0</v>
          </cell>
        </row>
        <row r="335">
          <cell r="D335" t="str">
            <v>реконструкция</v>
          </cell>
          <cell r="G335">
            <v>5.0999999999999995E-3</v>
          </cell>
          <cell r="K335">
            <v>5.0999999999999995E-3</v>
          </cell>
        </row>
        <row r="336">
          <cell r="D336" t="str">
            <v>строительство</v>
          </cell>
          <cell r="G336">
            <v>0</v>
          </cell>
        </row>
        <row r="337">
          <cell r="D337" t="str">
            <v>Электроснабжение гаража № 58 по адресу: г. Липецк, ГК "Лада", ряд лит. 3</v>
          </cell>
          <cell r="G337">
            <v>0</v>
          </cell>
          <cell r="I337">
            <v>0</v>
          </cell>
          <cell r="K337">
            <v>0</v>
          </cell>
          <cell r="M337">
            <v>0</v>
          </cell>
          <cell r="O337">
            <v>0</v>
          </cell>
        </row>
        <row r="338">
          <cell r="D338" t="str">
            <v>реконструкция</v>
          </cell>
          <cell r="G338">
            <v>0</v>
          </cell>
        </row>
        <row r="339">
          <cell r="D339" t="str">
            <v>строительство</v>
          </cell>
          <cell r="G339">
            <v>0</v>
          </cell>
        </row>
        <row r="340">
          <cell r="D340" t="str">
            <v>Электроснабжение гаражей в ГК "Вираж"</v>
          </cell>
          <cell r="G340">
            <v>1.12E-2</v>
          </cell>
          <cell r="I340">
            <v>0</v>
          </cell>
          <cell r="K340">
            <v>1.12E-2</v>
          </cell>
          <cell r="M340">
            <v>0</v>
          </cell>
          <cell r="O340">
            <v>0</v>
          </cell>
        </row>
        <row r="341">
          <cell r="D341" t="str">
            <v>реконструкция</v>
          </cell>
          <cell r="G341">
            <v>0</v>
          </cell>
        </row>
        <row r="342">
          <cell r="D342" t="str">
            <v>строительство</v>
          </cell>
          <cell r="G342">
            <v>1.12E-2</v>
          </cell>
          <cell r="K342">
            <v>1.12E-2</v>
          </cell>
        </row>
        <row r="343">
          <cell r="D343" t="str">
            <v>Монтаж узла учета на опоре ВЛ-0,4 кВ по ул. Индустриальная от КТП-301 для электроснабжения части II жилого дома по адресу: г. Липецк, ул. Индустриальная, д. 112, часть II жилого дома</v>
          </cell>
          <cell r="G343">
            <v>0</v>
          </cell>
          <cell r="I343">
            <v>0</v>
          </cell>
          <cell r="K343">
            <v>0</v>
          </cell>
          <cell r="M343">
            <v>0</v>
          </cell>
          <cell r="O343">
            <v>0</v>
          </cell>
        </row>
        <row r="344">
          <cell r="D344" t="str">
            <v>реконструкция</v>
          </cell>
          <cell r="G344">
            <v>0</v>
          </cell>
        </row>
        <row r="345">
          <cell r="D345" t="str">
            <v>строительство</v>
          </cell>
          <cell r="G345">
            <v>0</v>
          </cell>
        </row>
        <row r="346">
          <cell r="D346" t="str">
            <v>Электроснабжение базовой станции сотовой связи № 35135 "Автопарк" по адресу: г. Липецк, ул. Механизаторов, д. 9</v>
          </cell>
          <cell r="G346">
            <v>0</v>
          </cell>
          <cell r="I346">
            <v>0</v>
          </cell>
          <cell r="K346">
            <v>0</v>
          </cell>
          <cell r="M346">
            <v>0</v>
          </cell>
          <cell r="O346">
            <v>0</v>
          </cell>
        </row>
        <row r="347">
          <cell r="D347" t="str">
            <v>реконструкция</v>
          </cell>
          <cell r="G347">
            <v>0</v>
          </cell>
        </row>
        <row r="348">
          <cell r="D348" t="str">
            <v>строительство</v>
          </cell>
          <cell r="G348">
            <v>0</v>
          </cell>
        </row>
        <row r="349">
          <cell r="D349" t="str">
            <v>Реконструкция ВЛ-0,4 кВ по ул. Северная от ТП-418 (инв. № 346287) для электроснабжения гаража с погребом по адресу: г. Липецк, ул. 40 лет Октября, строение 23 А/1.</v>
          </cell>
          <cell r="G349">
            <v>0</v>
          </cell>
          <cell r="I349">
            <v>0</v>
          </cell>
          <cell r="K349">
            <v>0</v>
          </cell>
          <cell r="M349">
            <v>0</v>
          </cell>
          <cell r="O349">
            <v>0</v>
          </cell>
        </row>
        <row r="350">
          <cell r="D350" t="str">
            <v>реконструкция</v>
          </cell>
          <cell r="G350">
            <v>0</v>
          </cell>
        </row>
        <row r="351">
          <cell r="D351" t="str">
            <v>строительство</v>
          </cell>
          <cell r="G351">
            <v>0</v>
          </cell>
        </row>
        <row r="352">
          <cell r="D352" t="str">
            <v>Электроснабжение садовых домиков в СНТ "Дачный-1"</v>
          </cell>
          <cell r="G352">
            <v>0</v>
          </cell>
          <cell r="I352">
            <v>0</v>
          </cell>
          <cell r="K352">
            <v>0</v>
          </cell>
          <cell r="M352">
            <v>0</v>
          </cell>
          <cell r="O352">
            <v>0</v>
          </cell>
        </row>
        <row r="353">
          <cell r="D353" t="str">
            <v>реконструкция</v>
          </cell>
          <cell r="G353">
            <v>0</v>
          </cell>
        </row>
        <row r="354">
          <cell r="D354" t="str">
            <v>строительство</v>
          </cell>
          <cell r="G354">
            <v>0</v>
          </cell>
        </row>
        <row r="355">
          <cell r="D355" t="str">
            <v>Монтаж узла учета на опоре ВЛ-0,4 кВ по ул. Апраксина от ТП-857 для электроснабжения жилого дома по адресу: г. Липецк, с. Сселки, д. 429 (по схеме)</v>
          </cell>
          <cell r="G355">
            <v>0</v>
          </cell>
          <cell r="I355">
            <v>0</v>
          </cell>
          <cell r="K355">
            <v>0</v>
          </cell>
          <cell r="M355">
            <v>0</v>
          </cell>
          <cell r="O355">
            <v>0</v>
          </cell>
        </row>
        <row r="356">
          <cell r="D356" t="str">
            <v>реконструкция</v>
          </cell>
          <cell r="G356">
            <v>0</v>
          </cell>
        </row>
        <row r="357">
          <cell r="D357" t="str">
            <v>строительство</v>
          </cell>
          <cell r="G357">
            <v>0</v>
          </cell>
        </row>
        <row r="358">
          <cell r="D358" t="str">
            <v>Монтаж узла учета на опоре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819</v>
          </cell>
          <cell r="G358">
            <v>0</v>
          </cell>
          <cell r="I358">
            <v>0</v>
          </cell>
          <cell r="K358">
            <v>0</v>
          </cell>
          <cell r="M358">
            <v>0</v>
          </cell>
          <cell r="O358">
            <v>0</v>
          </cell>
        </row>
        <row r="359">
          <cell r="D359" t="str">
            <v>реконструкция</v>
          </cell>
          <cell r="G359">
            <v>0</v>
          </cell>
        </row>
        <row r="360">
          <cell r="D360" t="str">
            <v>строительство</v>
          </cell>
          <cell r="G360">
            <v>0</v>
          </cell>
        </row>
        <row r="361">
          <cell r="D361" t="str">
            <v>Электроснабжение пункта проката плавательных средств на набережной реки Воронеж по адресу: г. Липецк, ул. 50 лет НЛМК</v>
          </cell>
          <cell r="G361">
            <v>3.9700000000000006E-2</v>
          </cell>
          <cell r="I361">
            <v>3.3600000000000005E-2</v>
          </cell>
          <cell r="K361">
            <v>6.1000000000000013E-3</v>
          </cell>
          <cell r="M361">
            <v>0</v>
          </cell>
          <cell r="O361">
            <v>0</v>
          </cell>
        </row>
        <row r="362">
          <cell r="D362" t="str">
            <v>реконструкция</v>
          </cell>
          <cell r="G362">
            <v>3.9700000000000006E-2</v>
          </cell>
          <cell r="I362">
            <v>3.3600000000000005E-2</v>
          </cell>
          <cell r="K362">
            <v>6.1000000000000013E-3</v>
          </cell>
        </row>
        <row r="363">
          <cell r="D363" t="str">
            <v>строительство</v>
          </cell>
          <cell r="G363">
            <v>0</v>
          </cell>
          <cell r="I363">
            <v>0</v>
          </cell>
        </row>
        <row r="364">
          <cell r="D364" t="str">
            <v>Электроснабжение садового домика по адресу: г. Липецк, СНТ "Монтажник", участок № 949</v>
          </cell>
          <cell r="G364">
            <v>4.0000000000000001E-3</v>
          </cell>
          <cell r="I364">
            <v>0</v>
          </cell>
          <cell r="K364">
            <v>4.0000000000000001E-3</v>
          </cell>
          <cell r="M364">
            <v>0</v>
          </cell>
          <cell r="O364">
            <v>0</v>
          </cell>
        </row>
        <row r="365">
          <cell r="D365" t="str">
            <v>реконструкция</v>
          </cell>
          <cell r="G365">
            <v>0</v>
          </cell>
        </row>
        <row r="366">
          <cell r="D366" t="str">
            <v>строительство</v>
          </cell>
          <cell r="G366">
            <v>4.0000000000000001E-3</v>
          </cell>
          <cell r="K366">
            <v>4.0000000000000001E-3</v>
          </cell>
        </row>
        <row r="367">
          <cell r="D367" t="str">
            <v>Монтаж узла учета на опоре ВЛ-0,4 кВ по ул. Жемчужная, смонтированной по п. 1.1.6.2.33/12 программы перспективного развития, от КТП-854 для электроснабжения жилого дома по адресу: г. Липецк, ул. Жемчужная, д. 6</v>
          </cell>
          <cell r="G367">
            <v>0</v>
          </cell>
          <cell r="I367">
            <v>0</v>
          </cell>
          <cell r="K367">
            <v>0</v>
          </cell>
          <cell r="M367">
            <v>0</v>
          </cell>
          <cell r="O367">
            <v>0</v>
          </cell>
        </row>
        <row r="368">
          <cell r="D368" t="str">
            <v>реконструкция</v>
          </cell>
          <cell r="G368">
            <v>0</v>
          </cell>
        </row>
        <row r="369">
          <cell r="D369" t="str">
            <v>строительство</v>
          </cell>
          <cell r="G369">
            <v>0</v>
          </cell>
        </row>
        <row r="370">
          <cell r="D370" t="str">
            <v>Строительство КЛ-0,4 кВ от ТП-642 до здания аптеки по адресу: г. Липецк, ул. Ударников, д. 7 а</v>
          </cell>
          <cell r="G370">
            <v>1.09E-2</v>
          </cell>
          <cell r="I370">
            <v>1.09E-2</v>
          </cell>
          <cell r="K370">
            <v>0</v>
          </cell>
          <cell r="M370">
            <v>0</v>
          </cell>
          <cell r="O370">
            <v>0</v>
          </cell>
        </row>
        <row r="371">
          <cell r="D371" t="str">
            <v>реконструкция</v>
          </cell>
          <cell r="G371">
            <v>0</v>
          </cell>
          <cell r="I371">
            <v>0</v>
          </cell>
        </row>
        <row r="372">
          <cell r="D372" t="str">
            <v>строительство</v>
          </cell>
          <cell r="G372">
            <v>1.09E-2</v>
          </cell>
          <cell r="I372">
            <v>1.09E-2</v>
          </cell>
        </row>
        <row r="373">
          <cell r="D373" t="str">
            <v>Электроснабжение нежилых помещений по адресу: г. Липецк, пр. 60 лет СССР, д. 23, корп. а</v>
          </cell>
          <cell r="G373">
            <v>0.18869999999999998</v>
          </cell>
          <cell r="I373">
            <v>0</v>
          </cell>
          <cell r="K373">
            <v>0.18869999999999998</v>
          </cell>
          <cell r="M373">
            <v>0</v>
          </cell>
          <cell r="O373">
            <v>0</v>
          </cell>
        </row>
        <row r="374">
          <cell r="D374" t="str">
            <v>реконструкция</v>
          </cell>
          <cell r="G374">
            <v>2.6699999999999974E-2</v>
          </cell>
          <cell r="K374">
            <v>2.6699999999999974E-2</v>
          </cell>
        </row>
        <row r="375">
          <cell r="D375" t="str">
            <v>строительство</v>
          </cell>
          <cell r="G375">
            <v>0.16200000000000001</v>
          </cell>
          <cell r="K375">
            <v>0.16200000000000001</v>
          </cell>
        </row>
        <row r="376">
          <cell r="D376" t="str">
            <v xml:space="preserve">Электроснабжение индивидуального жилого дома и летней кухни по адресу: г. Липецк, ул. Зеленая, д. 19 "а" и ул. Зеленая, д. 27 </v>
          </cell>
          <cell r="G376">
            <v>0</v>
          </cell>
          <cell r="I376">
            <v>0</v>
          </cell>
          <cell r="K376">
            <v>0</v>
          </cell>
          <cell r="M376">
            <v>0</v>
          </cell>
          <cell r="O376">
            <v>0</v>
          </cell>
        </row>
        <row r="377">
          <cell r="D377" t="str">
            <v>реконструкция</v>
          </cell>
          <cell r="G377">
            <v>0</v>
          </cell>
        </row>
        <row r="378">
          <cell r="D378" t="str">
            <v>строительство</v>
          </cell>
          <cell r="G378">
            <v>0</v>
          </cell>
        </row>
        <row r="379">
          <cell r="D379" t="str">
            <v>Электроснабжение полигона войсковых стрельбищ по адресу: Липецкая область, Липецкий район, сельское поселение Введенский сельсовет, у с. Ильино</v>
          </cell>
          <cell r="G379">
            <v>0</v>
          </cell>
          <cell r="I379">
            <v>0</v>
          </cell>
          <cell r="K379">
            <v>0</v>
          </cell>
          <cell r="M379">
            <v>0</v>
          </cell>
          <cell r="O379">
            <v>0</v>
          </cell>
        </row>
        <row r="380">
          <cell r="D380" t="str">
            <v>реконструкция</v>
          </cell>
          <cell r="G380">
            <v>0</v>
          </cell>
        </row>
        <row r="381">
          <cell r="D381" t="str">
            <v>строительство</v>
          </cell>
          <cell r="G381">
            <v>0</v>
          </cell>
        </row>
        <row r="382">
          <cell r="D382" t="str">
            <v>Электроснабжение 1/2 доли жилого дома с пристройками и хозяйственной постройкой по адресу: г. Липецк, ул. Урицкого, д. 118</v>
          </cell>
          <cell r="G382">
            <v>0.2893</v>
          </cell>
          <cell r="I382">
            <v>0</v>
          </cell>
          <cell r="K382">
            <v>0.2893</v>
          </cell>
          <cell r="M382">
            <v>0</v>
          </cell>
          <cell r="O382">
            <v>0</v>
          </cell>
        </row>
        <row r="383">
          <cell r="D383" t="str">
            <v>реконструкция</v>
          </cell>
          <cell r="G383">
            <v>0</v>
          </cell>
        </row>
        <row r="384">
          <cell r="D384" t="str">
            <v>строительство</v>
          </cell>
          <cell r="G384">
            <v>0.2893</v>
          </cell>
          <cell r="K384">
            <v>0.2893</v>
          </cell>
        </row>
        <row r="385">
          <cell r="D385" t="str">
            <v>Монтаж узла учета на опоре ВЛ-0,4 кВ по ул. Маршала Рыбалко от ТП-379 для электроснабжения магазина непродовольственных товаров по адресу: г. Липецк, ул. Маршала Рыбалко, район стр. 4</v>
          </cell>
          <cell r="G385">
            <v>0</v>
          </cell>
          <cell r="I385">
            <v>0</v>
          </cell>
          <cell r="K385">
            <v>0</v>
          </cell>
          <cell r="M385">
            <v>0</v>
          </cell>
          <cell r="O385">
            <v>0</v>
          </cell>
        </row>
        <row r="386">
          <cell r="D386" t="str">
            <v>реконструкция</v>
          </cell>
          <cell r="G386">
            <v>0</v>
          </cell>
        </row>
        <row r="387">
          <cell r="D387" t="str">
            <v>строительство</v>
          </cell>
          <cell r="G387">
            <v>0</v>
          </cell>
        </row>
        <row r="388">
          <cell r="D388" t="str">
            <v>Электроснабжение жилого дома по адресу: г. Липецк, ул. Поселковая, д. 30 в</v>
          </cell>
          <cell r="G388">
            <v>1.14E-2</v>
          </cell>
          <cell r="I388">
            <v>1.14E-2</v>
          </cell>
          <cell r="K388">
            <v>0</v>
          </cell>
          <cell r="M388">
            <v>0</v>
          </cell>
          <cell r="O388">
            <v>0</v>
          </cell>
        </row>
        <row r="389">
          <cell r="D389" t="str">
            <v>реконструкция</v>
          </cell>
          <cell r="G389">
            <v>1.14E-2</v>
          </cell>
          <cell r="I389">
            <v>1.14E-2</v>
          </cell>
        </row>
        <row r="390">
          <cell r="D390" t="str">
            <v>строительство</v>
          </cell>
          <cell r="G390">
            <v>0</v>
          </cell>
          <cell r="I390">
            <v>0</v>
          </cell>
        </row>
        <row r="391">
          <cell r="D391" t="str">
            <v>Электроснабжение 1/2 доли пристройки к зданию гаражей (лит. В5) по адресу: г. Липецк, ул. Пугачева, строение 1 б</v>
          </cell>
          <cell r="G391">
            <v>0</v>
          </cell>
          <cell r="I391">
            <v>0</v>
          </cell>
          <cell r="K391">
            <v>0</v>
          </cell>
          <cell r="M391">
            <v>0</v>
          </cell>
          <cell r="O391">
            <v>0</v>
          </cell>
        </row>
        <row r="392">
          <cell r="D392" t="str">
            <v>реконструкция</v>
          </cell>
          <cell r="G392">
            <v>0</v>
          </cell>
        </row>
        <row r="393">
          <cell r="D393" t="str">
            <v>строительство</v>
          </cell>
          <cell r="G393">
            <v>0</v>
          </cell>
        </row>
        <row r="394">
          <cell r="D394" t="str">
            <v>Монтаж узла учета на опоре № 5 ВЛ-0,4 кВ по ул. Муравьева от ТП-379 для электроснабжения 1/2 доли жилого дома с пристройками по адресу: г. Липецк, ул. Муравьева, д. 5</v>
          </cell>
          <cell r="G394">
            <v>0</v>
          </cell>
          <cell r="I394">
            <v>0</v>
          </cell>
          <cell r="K394">
            <v>0</v>
          </cell>
          <cell r="M394">
            <v>0</v>
          </cell>
          <cell r="O394">
            <v>0</v>
          </cell>
        </row>
        <row r="395">
          <cell r="D395" t="str">
            <v>реконструкция</v>
          </cell>
          <cell r="G395">
            <v>0</v>
          </cell>
        </row>
        <row r="396">
          <cell r="D396" t="str">
            <v>строительство</v>
          </cell>
          <cell r="G396">
            <v>0</v>
          </cell>
        </row>
        <row r="397">
          <cell r="D397" t="str">
            <v>Строительство ВЛ-0,4 кВ от МТП, смонтированной по п. 1.1.6.2.41/12 программы перспективного развития, до склада металлоконструкций по адресу: г. Липецк, ул. Ковалева (кадастровый № 48:20:0027501:35)</v>
          </cell>
          <cell r="G397">
            <v>0</v>
          </cell>
          <cell r="I397">
            <v>0</v>
          </cell>
          <cell r="K397">
            <v>0</v>
          </cell>
          <cell r="M397">
            <v>0</v>
          </cell>
          <cell r="O397">
            <v>0</v>
          </cell>
        </row>
        <row r="398">
          <cell r="D398" t="str">
            <v>реконструкция</v>
          </cell>
          <cell r="G398">
            <v>0</v>
          </cell>
        </row>
        <row r="399">
          <cell r="D399" t="str">
            <v>строительство</v>
          </cell>
          <cell r="G399">
            <v>0</v>
          </cell>
        </row>
        <row r="400">
          <cell r="D400" t="str">
            <v>Электроснабжение 1/2 доли жилого дома по адресу: г. Липецк, ул. Пригородная, д. № 2</v>
          </cell>
          <cell r="G400">
            <v>0</v>
          </cell>
          <cell r="I400">
            <v>0</v>
          </cell>
          <cell r="K400">
            <v>0</v>
          </cell>
          <cell r="M400">
            <v>0</v>
          </cell>
          <cell r="O400">
            <v>0</v>
          </cell>
        </row>
        <row r="401">
          <cell r="D401" t="str">
            <v>реконструкция</v>
          </cell>
          <cell r="G401">
            <v>0</v>
          </cell>
        </row>
        <row r="402">
          <cell r="D402" t="str">
            <v>строительство</v>
          </cell>
          <cell r="G402">
            <v>0</v>
          </cell>
        </row>
        <row r="403">
          <cell r="D403" t="str">
            <v>Электроснабжение гаража № 8 по адресу: г. Липецк, ул. А.Г. Стаханова, строение 45 а</v>
          </cell>
          <cell r="G403">
            <v>1E-3</v>
          </cell>
          <cell r="I403">
            <v>5.9999999999999995E-4</v>
          </cell>
          <cell r="K403">
            <v>4.0000000000000007E-4</v>
          </cell>
          <cell r="M403">
            <v>0</v>
          </cell>
          <cell r="O403">
            <v>0</v>
          </cell>
        </row>
        <row r="404">
          <cell r="D404" t="str">
            <v>реконструкция</v>
          </cell>
          <cell r="G404">
            <v>0</v>
          </cell>
          <cell r="I404">
            <v>0</v>
          </cell>
        </row>
        <row r="405">
          <cell r="D405" t="str">
            <v>строительство</v>
          </cell>
          <cell r="G405">
            <v>1E-3</v>
          </cell>
          <cell r="I405">
            <v>5.9999999999999995E-4</v>
          </cell>
          <cell r="K405">
            <v>4.0000000000000007E-4</v>
          </cell>
        </row>
        <row r="406">
          <cell r="D406" t="str">
            <v>Электроснабжение индивидуального жилого дома по адресу: г. Липецк, ул. М. Горького, д. № 81</v>
          </cell>
          <cell r="G406">
            <v>0</v>
          </cell>
          <cell r="I406">
            <v>0</v>
          </cell>
          <cell r="K406">
            <v>0</v>
          </cell>
          <cell r="M406">
            <v>0</v>
          </cell>
          <cell r="O406">
            <v>0</v>
          </cell>
        </row>
        <row r="407">
          <cell r="D407" t="str">
            <v>реконструкция</v>
          </cell>
          <cell r="G407">
            <v>0</v>
          </cell>
        </row>
        <row r="408">
          <cell r="D408" t="str">
            <v>строительство</v>
          </cell>
          <cell r="G408">
            <v>0</v>
          </cell>
        </row>
        <row r="409">
          <cell r="D409" t="str">
            <v>Реконструкция ВЛ-0,4 кВ в СТ "Строитель", смонтированной по п. 4.1.73/09 программы перспективного развития, от КТП-413 для электроснабжения садовых домиков в СТ "Строитель"</v>
          </cell>
          <cell r="G409">
            <v>0</v>
          </cell>
          <cell r="I409">
            <v>0</v>
          </cell>
          <cell r="K409">
            <v>0</v>
          </cell>
          <cell r="M409">
            <v>0</v>
          </cell>
          <cell r="O409">
            <v>0</v>
          </cell>
        </row>
        <row r="410">
          <cell r="D410" t="str">
            <v>реконструкция</v>
          </cell>
          <cell r="G410">
            <v>0</v>
          </cell>
        </row>
        <row r="411">
          <cell r="D411" t="str">
            <v>строительство</v>
          </cell>
          <cell r="G411">
            <v>0</v>
          </cell>
        </row>
        <row r="412">
          <cell r="D412" t="str">
            <v>Электроснабжение административно-бытового здания по адресу: г. Липецк, ул. Баумана, 299 Е</v>
          </cell>
          <cell r="G412">
            <v>5.0999999999999995E-3</v>
          </cell>
          <cell r="I412">
            <v>0</v>
          </cell>
          <cell r="K412">
            <v>5.0999999999999995E-3</v>
          </cell>
          <cell r="M412">
            <v>0</v>
          </cell>
          <cell r="O412">
            <v>0</v>
          </cell>
        </row>
        <row r="413">
          <cell r="D413" t="str">
            <v>реконструкция</v>
          </cell>
          <cell r="G413">
            <v>0</v>
          </cell>
        </row>
        <row r="414">
          <cell r="D414" t="str">
            <v>строительство</v>
          </cell>
          <cell r="G414">
            <v>5.0999999999999995E-3</v>
          </cell>
          <cell r="K414">
            <v>5.0999999999999995E-3</v>
          </cell>
        </row>
        <row r="415">
          <cell r="D415" t="str">
            <v>Электроснабжение садового домика по адресу: г. Липецк, СНТ "Горняк", уч. № 550</v>
          </cell>
          <cell r="G415">
            <v>0</v>
          </cell>
          <cell r="I415">
            <v>0</v>
          </cell>
          <cell r="K415">
            <v>0</v>
          </cell>
          <cell r="M415">
            <v>0</v>
          </cell>
          <cell r="O415">
            <v>0</v>
          </cell>
        </row>
        <row r="416">
          <cell r="D416" t="str">
            <v>реконструкция</v>
          </cell>
          <cell r="G416">
            <v>0</v>
          </cell>
        </row>
        <row r="417">
          <cell r="D417" t="str">
            <v>строительство</v>
          </cell>
          <cell r="G417">
            <v>0</v>
          </cell>
        </row>
        <row r="418">
          <cell r="D418" t="str">
            <v>Строительство ВЛ-0,4 кВ от СТП, смонтированной по п. 1.1.6.2.107/12 программы перспективного развития, до садового домика по адресу: г. Липецк, НТС "Металлург-3", участок № 2</v>
          </cell>
          <cell r="G418">
            <v>0</v>
          </cell>
          <cell r="I418">
            <v>0</v>
          </cell>
          <cell r="K418">
            <v>0</v>
          </cell>
          <cell r="M418">
            <v>0</v>
          </cell>
          <cell r="O418">
            <v>0</v>
          </cell>
        </row>
        <row r="419">
          <cell r="D419" t="str">
            <v>реконструкция</v>
          </cell>
          <cell r="G419">
            <v>0</v>
          </cell>
        </row>
        <row r="420">
          <cell r="D420" t="str">
            <v>строительство</v>
          </cell>
          <cell r="G420">
            <v>0</v>
          </cell>
        </row>
        <row r="421">
          <cell r="D421" t="str">
            <v>Монтаж узла учета на опоре ВЛ-0,4 кВ в СНТ "Горняк", смонтированной по п. 4.1.82/09 программы перспективного развития, от ТП-642 для электроснабжения садового домика по адресу: г. Липецк, СНТ "Горняк", уч. № 46</v>
          </cell>
          <cell r="G421">
            <v>0</v>
          </cell>
          <cell r="I421">
            <v>0</v>
          </cell>
          <cell r="K421">
            <v>0</v>
          </cell>
          <cell r="M421">
            <v>0</v>
          </cell>
          <cell r="O421">
            <v>0</v>
          </cell>
        </row>
        <row r="422">
          <cell r="D422" t="str">
            <v>реконструкция</v>
          </cell>
          <cell r="G422">
            <v>0</v>
          </cell>
        </row>
        <row r="423">
          <cell r="D423" t="str">
            <v>строительство</v>
          </cell>
          <cell r="G423">
            <v>0</v>
          </cell>
        </row>
        <row r="424">
          <cell r="D424" t="str">
            <v>Монтаж узла учета на опоре № 12 ВЛ-0,4 кВ по ул. Ярославская от ТП-549 для электроснабжения 1/2 доли жилого дома по адресу: г. Липецк, ул. Ярославская, д. 24</v>
          </cell>
          <cell r="G424">
            <v>0</v>
          </cell>
          <cell r="I424">
            <v>0</v>
          </cell>
          <cell r="K424">
            <v>0</v>
          </cell>
          <cell r="M424">
            <v>0</v>
          </cell>
          <cell r="O424">
            <v>0</v>
          </cell>
        </row>
        <row r="425">
          <cell r="D425" t="str">
            <v>реконструкция</v>
          </cell>
          <cell r="G425">
            <v>0</v>
          </cell>
        </row>
        <row r="426">
          <cell r="D426" t="str">
            <v>строительство</v>
          </cell>
          <cell r="G426">
            <v>0</v>
          </cell>
        </row>
        <row r="427">
          <cell r="D427" t="str">
            <v>Реконструкция ВЛ-0,4 кВ по ул. Техническая от КТП-611 (инв. № 346328) для электроснабжения жилого дома по адресу: г. Липецк, ул. Техническая, д. № 6 а</v>
          </cell>
          <cell r="G427">
            <v>0</v>
          </cell>
          <cell r="I427">
            <v>0</v>
          </cell>
          <cell r="K427">
            <v>0</v>
          </cell>
          <cell r="M427">
            <v>0</v>
          </cell>
          <cell r="O427">
            <v>0</v>
          </cell>
        </row>
        <row r="428">
          <cell r="D428" t="str">
            <v>реконструкция</v>
          </cell>
          <cell r="G428">
            <v>0</v>
          </cell>
        </row>
        <row r="429">
          <cell r="D429" t="str">
            <v>строительство</v>
          </cell>
          <cell r="G429">
            <v>0</v>
          </cell>
        </row>
        <row r="430">
          <cell r="D430" t="str">
            <v>Электроснабжение садового домика по адресу: г. Липецк, СНТ "Горняк", земельный участок № 532 А</v>
          </cell>
          <cell r="G430">
            <v>0.12670000000000001</v>
          </cell>
          <cell r="I430">
            <v>5.9999999999999995E-4</v>
          </cell>
          <cell r="K430">
            <v>0.12610000000000002</v>
          </cell>
          <cell r="M430">
            <v>-1.0516761073109393E-17</v>
          </cell>
          <cell r="O430">
            <v>-1.0516761073109393E-17</v>
          </cell>
        </row>
        <row r="431">
          <cell r="D431" t="str">
            <v>реконструкция</v>
          </cell>
          <cell r="G431">
            <v>0.12670000000000001</v>
          </cell>
          <cell r="I431">
            <v>5.9999999999999995E-4</v>
          </cell>
          <cell r="K431">
            <v>0.12610000000000002</v>
          </cell>
        </row>
        <row r="432">
          <cell r="D432" t="str">
            <v>строительство</v>
          </cell>
          <cell r="G432">
            <v>0</v>
          </cell>
          <cell r="I432">
            <v>0</v>
          </cell>
        </row>
        <row r="433">
          <cell r="D433" t="str">
            <v>Электроснабжение жилого дома по адресу: г. Липецк, ул. Чаплыгина, д. 1</v>
          </cell>
          <cell r="G433">
            <v>0</v>
          </cell>
          <cell r="I433">
            <v>0</v>
          </cell>
          <cell r="K433">
            <v>0</v>
          </cell>
          <cell r="M433">
            <v>0</v>
          </cell>
          <cell r="O433">
            <v>0</v>
          </cell>
        </row>
        <row r="434">
          <cell r="D434" t="str">
            <v>реконструкция</v>
          </cell>
          <cell r="G434">
            <v>0</v>
          </cell>
        </row>
        <row r="435">
          <cell r="D435" t="str">
            <v>строительство</v>
          </cell>
          <cell r="G435">
            <v>0</v>
          </cell>
        </row>
        <row r="436">
          <cell r="D436" t="str">
            <v>Строительство КЛ-0,4 кВ от ТП-220 до гаража по адресу: г. Липецк, ул. Германа Титова, строение 8а/2</v>
          </cell>
          <cell r="G436">
            <v>1.7500000000000002E-2</v>
          </cell>
          <cell r="I436">
            <v>0</v>
          </cell>
          <cell r="K436">
            <v>1.7500000000000002E-2</v>
          </cell>
          <cell r="M436">
            <v>0</v>
          </cell>
          <cell r="O436">
            <v>0</v>
          </cell>
        </row>
        <row r="437">
          <cell r="D437" t="str">
            <v>реконструкция</v>
          </cell>
          <cell r="G437">
            <v>0</v>
          </cell>
        </row>
        <row r="438">
          <cell r="D438" t="str">
            <v>строительство</v>
          </cell>
          <cell r="G438">
            <v>1.7500000000000002E-2</v>
          </cell>
          <cell r="K438">
            <v>1.7500000000000002E-2</v>
          </cell>
        </row>
        <row r="439">
          <cell r="D439" t="str">
            <v>Электроснабжение садовых домиков в СНТ "Кооператор"</v>
          </cell>
          <cell r="G439">
            <v>2.0000000000000001E-4</v>
          </cell>
          <cell r="I439">
            <v>0</v>
          </cell>
          <cell r="K439">
            <v>2.0000000000000001E-4</v>
          </cell>
          <cell r="M439">
            <v>0</v>
          </cell>
          <cell r="O439">
            <v>0</v>
          </cell>
        </row>
        <row r="440">
          <cell r="D440" t="str">
            <v>реконструкция</v>
          </cell>
          <cell r="G440">
            <v>0</v>
          </cell>
          <cell r="K440">
            <v>0</v>
          </cell>
        </row>
        <row r="441">
          <cell r="D441" t="str">
            <v>строительство</v>
          </cell>
          <cell r="G441">
            <v>2.0000000000000001E-4</v>
          </cell>
          <cell r="K441">
            <v>2.0000000000000001E-4</v>
          </cell>
        </row>
        <row r="442">
          <cell r="D442" t="str">
            <v>Электроснабжение садовых домиков в СНТ "Сокол-2"</v>
          </cell>
          <cell r="G442">
            <v>1.8E-3</v>
          </cell>
          <cell r="I442">
            <v>2.0000000000000001E-4</v>
          </cell>
          <cell r="K442">
            <v>1.5999999999999999E-3</v>
          </cell>
          <cell r="M442">
            <v>0</v>
          </cell>
          <cell r="O442">
            <v>0</v>
          </cell>
        </row>
        <row r="443">
          <cell r="D443" t="str">
            <v>реконструкция</v>
          </cell>
          <cell r="G443">
            <v>0</v>
          </cell>
          <cell r="I443">
            <v>0</v>
          </cell>
        </row>
        <row r="444">
          <cell r="D444" t="str">
            <v>строительство</v>
          </cell>
          <cell r="G444">
            <v>1.8E-3</v>
          </cell>
          <cell r="I444">
            <v>2.0000000000000001E-4</v>
          </cell>
          <cell r="K444">
            <v>1.5999999999999999E-3</v>
          </cell>
        </row>
        <row r="445">
          <cell r="D445" t="str">
            <v>Строительство КЛ-0,4 кВ от ТП, смонтированной по п. 1.1.6.1.49/12 ППР, до мини-автозаправочной станции по адресу: г. Липецк, ул. Полиграфическая, в районе пересечения с ул. Л. Кривенкова</v>
          </cell>
          <cell r="G445">
            <v>0</v>
          </cell>
          <cell r="I445">
            <v>0</v>
          </cell>
          <cell r="K445">
            <v>0</v>
          </cell>
          <cell r="M445">
            <v>0</v>
          </cell>
          <cell r="O445">
            <v>0</v>
          </cell>
        </row>
        <row r="446">
          <cell r="D446" t="str">
            <v>реконструкция</v>
          </cell>
          <cell r="G446">
            <v>0</v>
          </cell>
        </row>
        <row r="447">
          <cell r="D447" t="str">
            <v>строительство</v>
          </cell>
          <cell r="G447">
            <v>0</v>
          </cell>
        </row>
        <row r="448">
          <cell r="D448" t="str">
            <v>Монтаж узла учета на опоре № 41 ВЛ-0,4 кВ по ул. Бурлакова от ТП-549 для электроснабжения индивидуального жилого дома по адресу: г. Липецк, ул. И.С. Бурлакова, д. 30 в</v>
          </cell>
          <cell r="G448">
            <v>0</v>
          </cell>
          <cell r="I448">
            <v>0</v>
          </cell>
          <cell r="K448">
            <v>0</v>
          </cell>
          <cell r="M448">
            <v>0</v>
          </cell>
          <cell r="O448">
            <v>0</v>
          </cell>
        </row>
        <row r="449">
          <cell r="D449" t="str">
            <v>реконструкция</v>
          </cell>
          <cell r="G449">
            <v>0</v>
          </cell>
        </row>
        <row r="450">
          <cell r="D450" t="str">
            <v>строительство</v>
          </cell>
          <cell r="G450">
            <v>0</v>
          </cell>
        </row>
        <row r="451">
          <cell r="D451" t="str">
            <v>Реконструкция ВЛ-0,4 кВ в СНТ "Металлург-1", смонтированной по п. 1.1.6.2.31/12 ППР, от МТП-953 для электроснабжения садовых домиков в СНТ "Металлург-1"</v>
          </cell>
          <cell r="G451">
            <v>0</v>
          </cell>
          <cell r="I451">
            <v>0</v>
          </cell>
          <cell r="K451">
            <v>0</v>
          </cell>
          <cell r="M451">
            <v>0</v>
          </cell>
          <cell r="O451">
            <v>0</v>
          </cell>
        </row>
        <row r="452">
          <cell r="D452" t="str">
            <v>реконструкция</v>
          </cell>
          <cell r="G452">
            <v>0</v>
          </cell>
        </row>
        <row r="453">
          <cell r="D453" t="str">
            <v>строительство</v>
          </cell>
          <cell r="G453">
            <v>0</v>
          </cell>
        </row>
        <row r="454">
          <cell r="D454" t="str">
            <v>Электроснабжение гаража по адресу: г. Липецк, пер. Попова, во дворе д. № 5</v>
          </cell>
          <cell r="G454">
            <v>0</v>
          </cell>
          <cell r="I454">
            <v>0</v>
          </cell>
          <cell r="K454">
            <v>0</v>
          </cell>
          <cell r="M454">
            <v>0</v>
          </cell>
          <cell r="O454">
            <v>0</v>
          </cell>
        </row>
        <row r="455">
          <cell r="D455" t="str">
            <v>реконструкция</v>
          </cell>
          <cell r="G455">
            <v>0</v>
          </cell>
        </row>
        <row r="456">
          <cell r="D456" t="str">
            <v>строительство</v>
          </cell>
          <cell r="G456">
            <v>0</v>
          </cell>
        </row>
        <row r="457">
          <cell r="D457" t="str">
            <v>Монтаж узла учета на опоре ВЛ-0,4 кВ, смонтированной по п. 1.1.6.2.14/12 ППР, от МТП-952 для электроснабжения жилого дома по адресу: г. Липецк, потребительское общество пенсионеров и инвалидов "Сокол-1", зем. уч. № 77</v>
          </cell>
          <cell r="G457">
            <v>0</v>
          </cell>
          <cell r="I457">
            <v>0</v>
          </cell>
          <cell r="K457">
            <v>0</v>
          </cell>
          <cell r="M457">
            <v>0</v>
          </cell>
          <cell r="O457">
            <v>0</v>
          </cell>
        </row>
        <row r="458">
          <cell r="D458" t="str">
            <v>реконструкция</v>
          </cell>
          <cell r="G458">
            <v>0</v>
          </cell>
        </row>
        <row r="459">
          <cell r="D459" t="str">
            <v>строительство</v>
          </cell>
          <cell r="G459">
            <v>0</v>
          </cell>
        </row>
        <row r="460">
          <cell r="D460" t="str">
            <v>Электроснабжение гаража по адресу: г. Липецк, ул. Московская, строение 22/1</v>
          </cell>
          <cell r="G460">
            <v>0</v>
          </cell>
          <cell r="I460">
            <v>0</v>
          </cell>
          <cell r="K460">
            <v>0</v>
          </cell>
          <cell r="M460">
            <v>0</v>
          </cell>
          <cell r="O460">
            <v>0</v>
          </cell>
        </row>
        <row r="461">
          <cell r="D461" t="str">
            <v>реконструкция</v>
          </cell>
          <cell r="G461">
            <v>0</v>
          </cell>
        </row>
        <row r="462">
          <cell r="D462" t="str">
            <v>строительство</v>
          </cell>
          <cell r="G462">
            <v>0</v>
          </cell>
        </row>
        <row r="463">
          <cell r="D463" t="str">
            <v>Реконструкция ВЛ-0,4 кВ по ул. Российская, смонтированной по п. 1.1.6.2.6/12 ППР, от КТП-594 для электроснабжения помещения № 4 по адресу: Липецкая область, Грязинский район, в районе водозабора в п. Матырский</v>
          </cell>
          <cell r="G463">
            <v>0</v>
          </cell>
          <cell r="I463">
            <v>0</v>
          </cell>
          <cell r="K463">
            <v>0</v>
          </cell>
          <cell r="M463">
            <v>0</v>
          </cell>
          <cell r="O463">
            <v>0</v>
          </cell>
        </row>
        <row r="464">
          <cell r="D464" t="str">
            <v>реконструкция</v>
          </cell>
          <cell r="G464">
            <v>0</v>
          </cell>
        </row>
        <row r="465">
          <cell r="D465" t="str">
            <v>строительство</v>
          </cell>
          <cell r="G465">
            <v>0</v>
          </cell>
        </row>
        <row r="466">
          <cell r="D466" t="str">
    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679</v>
          </cell>
          <cell r="G466">
            <v>0</v>
          </cell>
          <cell r="I466">
            <v>0</v>
          </cell>
          <cell r="K466">
            <v>0</v>
          </cell>
          <cell r="M466">
            <v>0</v>
          </cell>
          <cell r="O466">
            <v>0</v>
          </cell>
        </row>
        <row r="467">
          <cell r="D467" t="str">
            <v>реконструкция</v>
          </cell>
          <cell r="G467">
            <v>0</v>
          </cell>
        </row>
        <row r="468">
          <cell r="D468" t="str">
            <v>строительство</v>
          </cell>
          <cell r="G468">
            <v>0</v>
          </cell>
        </row>
        <row r="469">
          <cell r="D469" t="str">
            <v>Реконструкция ВЛ-0,4 кВ в СНТ "Машиностроитель", смонтированной по п. 1.1.6.2.115/11 ППР, от КТП-620 для электроснабжения садового домика по адресу: г. Липецк, СНТ "Машиностроитель", уч. № 927</v>
          </cell>
          <cell r="G469">
            <v>0</v>
          </cell>
          <cell r="I469">
            <v>0</v>
          </cell>
          <cell r="K469">
            <v>0</v>
          </cell>
          <cell r="M469">
            <v>0</v>
          </cell>
          <cell r="O469">
            <v>0</v>
          </cell>
        </row>
        <row r="470">
          <cell r="D470" t="str">
            <v>реконструкция</v>
          </cell>
          <cell r="G470">
            <v>0</v>
          </cell>
        </row>
        <row r="471">
          <cell r="D471" t="str">
            <v>строительство</v>
          </cell>
          <cell r="G471">
            <v>0</v>
          </cell>
        </row>
        <row r="472">
          <cell r="D472" t="str">
            <v>Электроснабжение жилых домов по адресу: г. Липецк, ул. Покровская</v>
          </cell>
          <cell r="G472">
            <v>0</v>
          </cell>
          <cell r="I472">
            <v>0</v>
          </cell>
          <cell r="K472">
            <v>0</v>
          </cell>
          <cell r="M472">
            <v>0</v>
          </cell>
          <cell r="O472">
            <v>0</v>
          </cell>
        </row>
        <row r="473">
          <cell r="D473" t="str">
            <v>реконструкция</v>
          </cell>
          <cell r="G473">
            <v>0</v>
          </cell>
        </row>
        <row r="474">
          <cell r="D474" t="str">
            <v>строительство</v>
          </cell>
          <cell r="G474">
            <v>0</v>
          </cell>
        </row>
        <row r="475">
          <cell r="D475" t="str">
            <v>Реконструкция ВЛ-0,4 кВ в СНТ "Сокол-2", смонтированной по п. 4.1.64/09 ППР, от КТП-429 для электроснабжения стройплощадки садового домика по адресу: г. Липецк, СНТ "Сокол-2", участок № 1196-А</v>
          </cell>
          <cell r="G475">
            <v>1.1000000000000001E-3</v>
          </cell>
          <cell r="I475">
            <v>0</v>
          </cell>
          <cell r="K475">
            <v>1.1000000000000001E-3</v>
          </cell>
          <cell r="M475">
            <v>0</v>
          </cell>
          <cell r="O475">
            <v>0</v>
          </cell>
        </row>
        <row r="476">
          <cell r="D476" t="str">
            <v>реконструкция</v>
          </cell>
          <cell r="G476">
            <v>1.1000000000000001E-3</v>
          </cell>
          <cell r="K476">
            <v>1.1000000000000001E-3</v>
          </cell>
        </row>
        <row r="477">
          <cell r="D477" t="str">
            <v>строительство</v>
          </cell>
          <cell r="G477">
            <v>0</v>
          </cell>
        </row>
        <row r="478">
          <cell r="D478" t="str">
            <v>Реконструкция ВЛ-0,4 кВ в СНТ "Сокол-2", смонтированной по п. 1.1.6.3.46/10 ППР, от ТП-437 для электроснабжения садовых домиков в СНТ "Сокол-2"</v>
          </cell>
          <cell r="G478">
            <v>0</v>
          </cell>
          <cell r="I478">
            <v>0</v>
          </cell>
          <cell r="K478">
            <v>0</v>
          </cell>
          <cell r="M478">
            <v>0</v>
          </cell>
          <cell r="O478">
            <v>0</v>
          </cell>
        </row>
        <row r="479">
          <cell r="D479" t="str">
            <v>реконструкция</v>
          </cell>
          <cell r="G479">
            <v>0</v>
          </cell>
        </row>
        <row r="480">
          <cell r="D480" t="str">
            <v>строительство</v>
          </cell>
          <cell r="G480">
            <v>0</v>
          </cell>
        </row>
        <row r="481">
          <cell r="D481" t="str">
            <v>Строительство ВЛ-0,4 кВ от СТП, смонтированной по п. 1.1.6.3.52/10 ППР, для электроснабжения садовых домиков в СНТ "Сокол-2"</v>
          </cell>
          <cell r="G481">
            <v>2.7000000000000001E-3</v>
          </cell>
          <cell r="I481">
            <v>0</v>
          </cell>
          <cell r="K481">
            <v>2.7000000000000001E-3</v>
          </cell>
          <cell r="M481">
            <v>0</v>
          </cell>
          <cell r="O481">
            <v>0</v>
          </cell>
        </row>
        <row r="482">
          <cell r="D482" t="str">
            <v>реконструкция</v>
          </cell>
          <cell r="G482">
            <v>0</v>
          </cell>
        </row>
        <row r="483">
          <cell r="D483" t="str">
            <v>строительство</v>
          </cell>
          <cell r="G483">
            <v>2.7000000000000001E-3</v>
          </cell>
          <cell r="K483">
            <v>2.7000000000000001E-3</v>
          </cell>
        </row>
        <row r="484">
          <cell r="D484" t="str">
            <v>Реконструкция ВЛ-0,4 кВ в СНТ "Тракторостроитель-2", смонтированной по п. 1.1.6.2.3/11 ППР, от КТП-266 для электроснабжения садового домика по адресу: г. Липецк, СНТ "Тракторостроитель-2", линия 6, участок № 11</v>
          </cell>
          <cell r="G484">
            <v>0.21149999999999999</v>
          </cell>
          <cell r="I484">
            <v>0.19619999999999999</v>
          </cell>
          <cell r="K484">
            <v>1.5300000000000008E-2</v>
          </cell>
          <cell r="M484">
            <v>0</v>
          </cell>
          <cell r="O484">
            <v>0</v>
          </cell>
        </row>
        <row r="485">
          <cell r="D485" t="str">
            <v>реконструкция</v>
          </cell>
          <cell r="G485">
            <v>0.21149999999999999</v>
          </cell>
          <cell r="I485">
            <v>0.19619999999999999</v>
          </cell>
          <cell r="K485">
            <v>1.5300000000000008E-2</v>
          </cell>
        </row>
        <row r="486">
          <cell r="D486" t="str">
            <v>строительство</v>
          </cell>
          <cell r="G486">
            <v>0</v>
          </cell>
          <cell r="I486">
            <v>0</v>
          </cell>
        </row>
        <row r="487">
          <cell r="D487" t="str">
            <v>Реконструкция ВЛ-0,4 кВ по ул. Грушевая, смонтированной по п. 4.1.59/09 ППР, от КТП-641 для электроснабжения индивидуального жилого дома по адресу: г. Липецк, ул. Грушевая, район дома № 51</v>
          </cell>
          <cell r="G487">
            <v>0</v>
          </cell>
          <cell r="I487">
            <v>0</v>
          </cell>
          <cell r="K487">
            <v>0</v>
          </cell>
          <cell r="M487">
            <v>0</v>
          </cell>
          <cell r="O487">
            <v>0</v>
          </cell>
        </row>
        <row r="488">
          <cell r="D488" t="str">
            <v>реконструкция</v>
          </cell>
          <cell r="G488">
            <v>0</v>
          </cell>
        </row>
        <row r="489">
          <cell r="D489" t="str">
            <v>строительство</v>
          </cell>
          <cell r="G489">
            <v>0</v>
          </cell>
        </row>
        <row r="490">
          <cell r="D490" t="str">
            <v>Монтаж узла учета на опоре № 22 ВЛ-0,4 кВ по ул. Тургенева от ТП-703 для электроснабжения 1/3 доли жилого дома по адресу: г. Липецк, ул. Тургенева, д. 6</v>
          </cell>
          <cell r="G490">
            <v>0</v>
          </cell>
          <cell r="I490">
            <v>0</v>
          </cell>
          <cell r="K490">
            <v>0</v>
          </cell>
          <cell r="M490">
            <v>0</v>
          </cell>
          <cell r="O490">
            <v>0</v>
          </cell>
        </row>
        <row r="491">
          <cell r="D491" t="str">
            <v>реконструкция</v>
          </cell>
          <cell r="G491">
            <v>0</v>
          </cell>
        </row>
        <row r="492">
          <cell r="D492" t="str">
            <v>строительство</v>
          </cell>
          <cell r="G492">
            <v>0</v>
          </cell>
        </row>
        <row r="493">
          <cell r="D493" t="str">
            <v>Монтаж узла учета на опоре № 49 ВЛ-0,4 кВ по ул. Депутатская от ТП-120 для электроснабжения части IV жилого дома по адресу: г. Липецк, ул. Депутатская, д. № 11</v>
          </cell>
          <cell r="G493">
            <v>0</v>
          </cell>
          <cell r="I493">
            <v>0</v>
          </cell>
          <cell r="K493">
            <v>0</v>
          </cell>
          <cell r="M493">
            <v>0</v>
          </cell>
          <cell r="O493">
            <v>0</v>
          </cell>
        </row>
        <row r="494">
          <cell r="D494" t="str">
            <v>реконструкция</v>
          </cell>
          <cell r="G494">
            <v>0</v>
          </cell>
        </row>
        <row r="495">
          <cell r="D495" t="str">
            <v>строительство</v>
          </cell>
          <cell r="G495">
            <v>0</v>
          </cell>
        </row>
        <row r="496">
          <cell r="D496" t="str">
            <v>Монтаж узла учета на опоре ВЛ-0,4 кВ в СНТ "Кооператор", смонтированной по п. 1.1.6.3.53/10 ППР, от ТП-263 для электроснабжения садового домика и гаража по адресу: г. Липецк, СНТ "Кооператор", линия № 7, уч. № 284 а</v>
          </cell>
          <cell r="G496">
            <v>0</v>
          </cell>
          <cell r="I496">
            <v>0</v>
          </cell>
          <cell r="K496">
            <v>0</v>
          </cell>
          <cell r="M496">
            <v>0</v>
          </cell>
          <cell r="O496">
            <v>0</v>
          </cell>
        </row>
        <row r="497">
          <cell r="D497" t="str">
            <v>реконструкция</v>
          </cell>
          <cell r="G497">
            <v>0</v>
          </cell>
        </row>
        <row r="498">
          <cell r="D498" t="str">
            <v>строительство</v>
          </cell>
          <cell r="G498">
            <v>0</v>
          </cell>
        </row>
        <row r="499">
          <cell r="D499" t="str">
            <v>Электроснабжение трансформаторной подстанции - 396 по адресу: г. Липецк, ул. Агрономическая у д/сада № 25</v>
          </cell>
          <cell r="G499">
            <v>1.8699999999999998E-2</v>
          </cell>
          <cell r="I499">
            <v>1.8699999999999998E-2</v>
          </cell>
          <cell r="K499">
            <v>0</v>
          </cell>
          <cell r="M499">
            <v>0</v>
          </cell>
          <cell r="O499">
            <v>0</v>
          </cell>
        </row>
        <row r="500">
          <cell r="D500" t="str">
            <v>реконструкция</v>
          </cell>
          <cell r="G500">
            <v>0</v>
          </cell>
          <cell r="I500">
            <v>0</v>
          </cell>
        </row>
        <row r="501">
          <cell r="D501" t="str">
            <v>строительство</v>
          </cell>
          <cell r="G501">
            <v>1.8699999999999998E-2</v>
          </cell>
          <cell r="I501">
            <v>1.8699999999999998E-2</v>
          </cell>
        </row>
        <row r="502">
          <cell r="D502" t="str">
            <v>Электроснабжение стройплощадки комплексной коттеджной застройки по адресу: г. Липецк, с. Сселки, расположенный по ул. Ленина (кадастровый № 48:20:0000000:262)</v>
          </cell>
          <cell r="G502">
            <v>0</v>
          </cell>
          <cell r="I502">
            <v>0</v>
          </cell>
          <cell r="K502">
            <v>0</v>
          </cell>
          <cell r="M502">
            <v>0</v>
          </cell>
          <cell r="O502">
            <v>0</v>
          </cell>
        </row>
        <row r="503">
          <cell r="D503" t="str">
            <v>реконструкция</v>
          </cell>
          <cell r="G503">
            <v>0</v>
          </cell>
        </row>
        <row r="504">
          <cell r="D504" t="str">
            <v>строительство</v>
          </cell>
          <cell r="G504">
            <v>0</v>
          </cell>
        </row>
        <row r="505">
          <cell r="D505" t="str">
            <v>Электроснабжение садовых домиков в с/о "Сокол-2" и жилых домов по пер. Космический, запитанных от КТП-429, 114 кВт, 220 В, 3 категория</v>
          </cell>
          <cell r="G505">
            <v>0</v>
          </cell>
          <cell r="I505">
            <v>0</v>
          </cell>
          <cell r="K505">
            <v>0</v>
          </cell>
          <cell r="M505">
            <v>0</v>
          </cell>
          <cell r="O505">
            <v>0</v>
          </cell>
        </row>
        <row r="506">
          <cell r="D506" t="str">
            <v>реконструкция</v>
          </cell>
          <cell r="G506">
            <v>0</v>
          </cell>
        </row>
        <row r="507">
          <cell r="D507" t="str">
            <v>строительство</v>
          </cell>
          <cell r="G507">
            <v>0</v>
          </cell>
        </row>
        <row r="508">
          <cell r="D508" t="str">
            <v>Электроснабжение гаража № 29 по адресу: г. Липецк, 15 микрорайон, строение 34</v>
          </cell>
          <cell r="G508">
            <v>1.8600000000000002E-2</v>
          </cell>
          <cell r="I508">
            <v>1.8600000000000002E-2</v>
          </cell>
          <cell r="K508">
            <v>0</v>
          </cell>
          <cell r="M508">
            <v>0</v>
          </cell>
          <cell r="O508">
            <v>0</v>
          </cell>
        </row>
        <row r="509">
          <cell r="D509" t="str">
            <v>реконструкция</v>
          </cell>
          <cell r="G509">
            <v>0</v>
          </cell>
          <cell r="I509">
            <v>0</v>
          </cell>
        </row>
        <row r="510">
          <cell r="D510" t="str">
            <v>строительство</v>
          </cell>
          <cell r="G510">
            <v>1.8600000000000002E-2</v>
          </cell>
          <cell r="I510">
            <v>1.8600000000000002E-2</v>
          </cell>
        </row>
        <row r="511">
          <cell r="D511" t="str">
            <v>Реконструкция ВЛ-0,4 кВ от ТП-379 по ул. Винницкая (инв. № 346034) для электроснабжения кирпичного садового домика по адресу: г. Липецк, СНТ "Металлург-2" ОАО НЛМК, уч. № 1487</v>
          </cell>
          <cell r="G511">
            <v>1.0199999999999999E-2</v>
          </cell>
          <cell r="I511">
            <v>1.0199999999999999E-2</v>
          </cell>
          <cell r="K511">
            <v>0</v>
          </cell>
          <cell r="M511">
            <v>0</v>
          </cell>
          <cell r="O511">
            <v>0</v>
          </cell>
        </row>
        <row r="512">
          <cell r="D512" t="str">
            <v>реконструкция</v>
          </cell>
          <cell r="G512">
            <v>1.0199999999999999E-2</v>
          </cell>
          <cell r="I512">
            <v>1.0199999999999999E-2</v>
          </cell>
        </row>
        <row r="513">
          <cell r="D513" t="str">
            <v>строительство</v>
          </cell>
          <cell r="G513">
            <v>0</v>
          </cell>
          <cell r="I513">
            <v>0</v>
          </cell>
        </row>
        <row r="514">
          <cell r="D514" t="str">
            <v>Реконструкция ВЛ-0,4 кВ в СНТ "Сокол-2", смонтированной по п. 1.1.6.3.57/10 ППР, от ТП-480 для электроснабжения садового домика по адресу: г. Липецк, СНТ "Сокол-2", зем. уч. № 892 а</v>
          </cell>
          <cell r="G514">
            <v>0</v>
          </cell>
          <cell r="I514">
            <v>0</v>
          </cell>
          <cell r="K514">
            <v>0</v>
          </cell>
          <cell r="M514">
            <v>0</v>
          </cell>
          <cell r="O514">
            <v>0</v>
          </cell>
        </row>
        <row r="515">
          <cell r="D515" t="str">
            <v>реконструкция</v>
          </cell>
          <cell r="G515">
            <v>0</v>
          </cell>
        </row>
        <row r="516">
          <cell r="D516" t="str">
            <v>строительство</v>
          </cell>
          <cell r="G516">
            <v>0</v>
          </cell>
        </row>
        <row r="517">
          <cell r="D517" t="str">
            <v>Электроснабжение садового дома по адресу: г. Липецк, СПО "Металлург-1", I квартал, зем. уч. № 176</v>
          </cell>
          <cell r="G517">
            <v>0</v>
          </cell>
          <cell r="I517">
            <v>0</v>
          </cell>
          <cell r="K517">
            <v>0</v>
          </cell>
          <cell r="M517">
            <v>0</v>
          </cell>
          <cell r="O517">
            <v>0</v>
          </cell>
        </row>
        <row r="518">
          <cell r="D518" t="str">
            <v>реконструкция</v>
          </cell>
          <cell r="G518">
            <v>0</v>
          </cell>
        </row>
        <row r="519">
          <cell r="D519" t="str">
            <v>строительство</v>
          </cell>
          <cell r="G519">
            <v>0</v>
          </cell>
        </row>
        <row r="520">
          <cell r="D520" t="str">
            <v>Электроснабжение кирпичного садового домика по адресу: г. Липецк, потребительское садовое общество пенсионеров и инвалидов "Речное", зем. уч. № 573 по ул. Садовый тупик</v>
          </cell>
          <cell r="G520">
            <v>0</v>
          </cell>
          <cell r="I520">
            <v>0</v>
          </cell>
          <cell r="K520">
            <v>0</v>
          </cell>
          <cell r="M520">
            <v>0</v>
          </cell>
          <cell r="O520">
            <v>0</v>
          </cell>
        </row>
        <row r="521">
          <cell r="D521" t="str">
            <v>реконструкция</v>
          </cell>
          <cell r="G521">
            <v>0</v>
          </cell>
        </row>
        <row r="522">
          <cell r="D522" t="str">
            <v>строительство</v>
          </cell>
          <cell r="G522">
            <v>0</v>
          </cell>
        </row>
        <row r="523">
          <cell r="D523" t="str">
            <v>Электроснабжение садовых домиков по адресу: г. Липецк, с/о "Сокол-2", зем. уч. № 1143, 1138</v>
          </cell>
          <cell r="G523">
            <v>1.1000000000000001E-3</v>
          </cell>
          <cell r="I523">
            <v>0</v>
          </cell>
          <cell r="K523">
            <v>1.1000000000000001E-3</v>
          </cell>
          <cell r="M523">
            <v>0</v>
          </cell>
          <cell r="O523">
            <v>0</v>
          </cell>
        </row>
        <row r="524">
          <cell r="D524" t="str">
            <v>реконструкция</v>
          </cell>
          <cell r="G524">
            <v>1.1000000000000001E-3</v>
          </cell>
          <cell r="K524">
            <v>1.1000000000000001E-3</v>
          </cell>
        </row>
        <row r="525">
          <cell r="D525" t="str">
            <v>строительство</v>
          </cell>
          <cell r="G525">
            <v>0</v>
          </cell>
        </row>
        <row r="526">
          <cell r="D526" t="str">
            <v>Электроснабжение садового домика по адресу: г. Липецк, СНТ "Машиностроитель-1", зем. уч. № 777</v>
          </cell>
          <cell r="G526">
            <v>0</v>
          </cell>
          <cell r="I526">
            <v>0</v>
          </cell>
          <cell r="K526">
            <v>0</v>
          </cell>
          <cell r="M526">
            <v>0</v>
          </cell>
          <cell r="O526">
            <v>0</v>
          </cell>
        </row>
        <row r="527">
          <cell r="D527" t="str">
            <v>реконструкция</v>
          </cell>
          <cell r="G527">
            <v>0</v>
          </cell>
        </row>
        <row r="528">
          <cell r="D528" t="str">
            <v>строительство</v>
          </cell>
          <cell r="G528">
            <v>0</v>
          </cell>
        </row>
        <row r="529">
          <cell r="D529" t="str">
            <v xml:space="preserve">Строительство КЛ-0,4 кВ от вновь смонтированной ТП до здания трансформаторной подстанции № 528 по адресу: г. Липецк, пр. Осенний, у дома № 6 </v>
          </cell>
          <cell r="G529">
            <v>2.0000000000000001E-4</v>
          </cell>
          <cell r="I529">
            <v>0</v>
          </cell>
          <cell r="K529">
            <v>2.0000000000000001E-4</v>
          </cell>
          <cell r="M529">
            <v>0</v>
          </cell>
          <cell r="O529">
            <v>0</v>
          </cell>
        </row>
        <row r="530">
          <cell r="D530" t="str">
            <v>реконструкция</v>
          </cell>
          <cell r="G530">
            <v>0</v>
          </cell>
        </row>
        <row r="531">
          <cell r="D531" t="str">
            <v>строительство</v>
          </cell>
          <cell r="G531">
            <v>2.0000000000000001E-4</v>
          </cell>
          <cell r="K531">
            <v>2.0000000000000001E-4</v>
          </cell>
        </row>
        <row r="532">
          <cell r="D532" t="str">
            <v>Реконструкция ВЛ-0,4 кВ, смонтированной по п. 1.1.6.2.24/11 программы перспективного развития, от КТП-478 для электроснабжения индивидуального жилого дома по адресу: г. Липецк, с. Сселки, ул. Сокольская, участок № 1 "б" (по схеме).</v>
          </cell>
          <cell r="G532">
            <v>0</v>
          </cell>
          <cell r="I532">
            <v>0</v>
          </cell>
          <cell r="K532">
            <v>0</v>
          </cell>
          <cell r="M532">
            <v>0</v>
          </cell>
          <cell r="O532">
            <v>0</v>
          </cell>
        </row>
        <row r="533">
          <cell r="D533" t="str">
            <v>реконструкция</v>
          </cell>
          <cell r="G533">
            <v>0</v>
          </cell>
        </row>
        <row r="534">
          <cell r="D534" t="str">
            <v>строительство</v>
          </cell>
          <cell r="G534">
            <v>0</v>
          </cell>
        </row>
        <row r="535">
          <cell r="D535" t="str">
            <v>Электроснабжение садового домика в СНТ "Машиностроитель", уч. № 808, запитанного от КТП-620; 5 кВт, 220 В, 3 категория</v>
          </cell>
          <cell r="G535">
            <v>7.6E-3</v>
          </cell>
          <cell r="I535">
            <v>7.6E-3</v>
          </cell>
          <cell r="K535">
            <v>0</v>
          </cell>
          <cell r="M535">
            <v>0</v>
          </cell>
          <cell r="O535">
            <v>0</v>
          </cell>
        </row>
        <row r="536">
          <cell r="D536" t="str">
            <v>реконструкция</v>
          </cell>
          <cell r="G536">
            <v>0</v>
          </cell>
          <cell r="I536">
            <v>0</v>
          </cell>
        </row>
        <row r="537">
          <cell r="D537" t="str">
            <v>строительство</v>
          </cell>
          <cell r="G537">
            <v>7.6E-3</v>
          </cell>
          <cell r="I537">
            <v>7.6E-3</v>
          </cell>
        </row>
        <row r="538">
          <cell r="D538" t="str">
            <v>Электроснабжение жилых домов по ул. Ушинского, запитанных от ТП-400; 25 кВт, 380 В, 3 категория</v>
          </cell>
          <cell r="G538">
            <v>2.6600000000000002E-2</v>
          </cell>
          <cell r="I538">
            <v>1.3300000000000001E-2</v>
          </cell>
          <cell r="K538">
            <v>1.3300000000000001E-2</v>
          </cell>
          <cell r="M538">
            <v>0</v>
          </cell>
          <cell r="O538">
            <v>0</v>
          </cell>
        </row>
        <row r="539">
          <cell r="D539" t="str">
            <v>реконструкция</v>
          </cell>
          <cell r="G539">
            <v>0</v>
          </cell>
          <cell r="I539">
            <v>0</v>
          </cell>
        </row>
        <row r="540">
          <cell r="D540" t="str">
            <v>строительство</v>
          </cell>
          <cell r="G540">
            <v>2.6600000000000002E-2</v>
          </cell>
          <cell r="I540">
            <v>1.3300000000000001E-2</v>
          </cell>
          <cell r="K540">
            <v>1.3300000000000001E-2</v>
          </cell>
        </row>
        <row r="541">
          <cell r="D541" t="str">
            <v>Электроснабжение парикмахерской по ул. Гагарина, д. 65, кв. 20, запитанной от ТП-212; 15 кВт, 380 В, 3 категория</v>
          </cell>
          <cell r="G541">
            <v>3.5999999999999999E-3</v>
          </cell>
          <cell r="I541">
            <v>1.8E-3</v>
          </cell>
          <cell r="K541">
            <v>1.8E-3</v>
          </cell>
          <cell r="M541">
            <v>0</v>
          </cell>
          <cell r="O541">
            <v>0</v>
          </cell>
        </row>
        <row r="542">
          <cell r="D542" t="str">
            <v>реконструкция</v>
          </cell>
          <cell r="G542">
            <v>0</v>
          </cell>
          <cell r="I542">
            <v>0</v>
          </cell>
        </row>
        <row r="543">
          <cell r="D543" t="str">
            <v>строительство</v>
          </cell>
          <cell r="G543">
            <v>3.5999999999999999E-3</v>
          </cell>
          <cell r="I543">
            <v>1.8E-3</v>
          </cell>
          <cell r="K543">
            <v>1.8E-3</v>
          </cell>
        </row>
        <row r="544">
          <cell r="D544" t="str">
            <v>Электроснабжение садового домика в СНТ "Монтажник" уч. № 1051, запитанного от вновь смонтированной КТП по инвестиционной программе ОАО "ЛГЭК"; 15 кВт, 380 В, 3 категория</v>
          </cell>
          <cell r="G544">
            <v>0</v>
          </cell>
          <cell r="I544">
            <v>0</v>
          </cell>
          <cell r="K544">
            <v>0</v>
          </cell>
          <cell r="M544">
            <v>0</v>
          </cell>
          <cell r="O544">
            <v>0</v>
          </cell>
        </row>
        <row r="545">
          <cell r="D545" t="str">
            <v>реконструкция</v>
          </cell>
          <cell r="G545">
            <v>0</v>
          </cell>
        </row>
        <row r="546">
          <cell r="D546" t="str">
            <v>строительство</v>
          </cell>
          <cell r="G546">
            <v>0</v>
          </cell>
        </row>
        <row r="547">
          <cell r="D547" t="str">
            <v>Электроснабжение индивидуального жилого дома усадебного типа с хозяйственными постройками по ул. Свердлова, № 3 (по схеме), запитанного от КТП-465; 5 кВт, 220 В, 3 категория</v>
          </cell>
          <cell r="G547">
            <v>7.4999999999999997E-3</v>
          </cell>
          <cell r="I547">
            <v>7.4999999999999997E-3</v>
          </cell>
          <cell r="K547">
            <v>0</v>
          </cell>
          <cell r="M547">
            <v>0</v>
          </cell>
          <cell r="O547">
            <v>0</v>
          </cell>
        </row>
        <row r="548">
          <cell r="D548" t="str">
            <v>реконструкция</v>
          </cell>
          <cell r="G548">
            <v>0</v>
          </cell>
          <cell r="I548">
            <v>0</v>
          </cell>
        </row>
        <row r="549">
          <cell r="D549" t="str">
            <v>строительство</v>
          </cell>
          <cell r="G549">
            <v>7.4999999999999997E-3</v>
          </cell>
          <cell r="I549">
            <v>7.4999999999999997E-3</v>
          </cell>
        </row>
        <row r="550">
          <cell r="D550" t="str">
            <v xml:space="preserve">Строительство КЛ-0,4 кВ от ТП-41 до нежилого помещения № 2 дома № 65 по ул. Плеханова </v>
          </cell>
          <cell r="G550">
            <v>0</v>
          </cell>
          <cell r="I550">
            <v>0</v>
          </cell>
          <cell r="K550">
            <v>0</v>
          </cell>
          <cell r="M550">
            <v>0</v>
          </cell>
          <cell r="O550">
            <v>0</v>
          </cell>
        </row>
        <row r="551">
          <cell r="D551" t="str">
            <v>реконструкция</v>
          </cell>
          <cell r="G551">
            <v>0</v>
          </cell>
        </row>
        <row r="552">
          <cell r="D552" t="str">
            <v>строительство</v>
          </cell>
          <cell r="G552">
            <v>0</v>
          </cell>
        </row>
        <row r="553">
          <cell r="D553" t="str">
            <v>Реконструкция ВЛ-0,4 кВ, смонтированной по п. 1.1.6.3.13/10 ППР, от КТП-412 для электроснабжения жилого дома по адресу: г. Липецк, ул. Римского-Корсакова, д. 22</v>
          </cell>
          <cell r="G553">
            <v>0</v>
          </cell>
          <cell r="I553">
            <v>0</v>
          </cell>
          <cell r="K553">
            <v>0</v>
          </cell>
          <cell r="M553">
            <v>0</v>
          </cell>
          <cell r="O553">
            <v>0</v>
          </cell>
        </row>
        <row r="554">
          <cell r="D554" t="str">
            <v>реконструкция</v>
          </cell>
          <cell r="G554">
            <v>0</v>
          </cell>
        </row>
        <row r="555">
          <cell r="D555" t="str">
            <v>строительство</v>
          </cell>
          <cell r="G555">
            <v>0</v>
          </cell>
        </row>
        <row r="556">
          <cell r="D556" t="str">
            <v>Электроснабжение садовых домиков в СНТ "Машиностроитель"</v>
          </cell>
          <cell r="G556">
            <v>0</v>
          </cell>
          <cell r="I556">
            <v>0</v>
          </cell>
          <cell r="K556">
            <v>0</v>
          </cell>
          <cell r="M556">
            <v>0</v>
          </cell>
          <cell r="O556">
            <v>0</v>
          </cell>
        </row>
        <row r="557">
          <cell r="D557" t="str">
            <v>реконструкция</v>
          </cell>
          <cell r="G557">
            <v>0</v>
          </cell>
        </row>
        <row r="558">
          <cell r="D558" t="str">
            <v>строительство</v>
          </cell>
          <cell r="G558">
            <v>0</v>
          </cell>
        </row>
        <row r="559">
          <cell r="D559" t="str">
            <v>Электроснабжение жилого дома по адресу: г. Липецк, ул. Передельческая, д. 20</v>
          </cell>
          <cell r="G559">
            <v>0</v>
          </cell>
          <cell r="I559">
            <v>0</v>
          </cell>
          <cell r="K559">
            <v>0</v>
          </cell>
          <cell r="M559">
            <v>0</v>
          </cell>
          <cell r="O559">
            <v>0</v>
          </cell>
        </row>
        <row r="560">
          <cell r="D560" t="str">
            <v>реконструкция</v>
          </cell>
          <cell r="G560">
            <v>0</v>
          </cell>
        </row>
        <row r="561">
          <cell r="D561" t="str">
            <v>строительство</v>
          </cell>
          <cell r="G561">
            <v>0</v>
          </cell>
        </row>
        <row r="562">
          <cell r="D562" t="str">
    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699 а</v>
          </cell>
          <cell r="G562">
            <v>0</v>
          </cell>
          <cell r="I562">
            <v>0</v>
          </cell>
          <cell r="K562">
            <v>0</v>
          </cell>
          <cell r="M562">
            <v>0</v>
          </cell>
          <cell r="O562">
            <v>0</v>
          </cell>
        </row>
        <row r="563">
          <cell r="D563" t="str">
            <v>реконструкция</v>
          </cell>
          <cell r="G563">
            <v>0</v>
          </cell>
        </row>
        <row r="564">
          <cell r="D564" t="str">
            <v>строительство</v>
          </cell>
          <cell r="G564">
            <v>0</v>
          </cell>
        </row>
        <row r="565">
          <cell r="D565" t="str">
            <v>Монтаж узла учета на опоре ВЛ-0,4 кВ в СНТ "Горняк", смонтированной по п. 1.1.6.3.45/10 ППР, от ТП-642 для электроснабжения садового домика по адресу: г. Липецк, СНТ "Горняк", зем. уч. № 12 а (кадастровый номер 48:20:011102:1683)</v>
          </cell>
          <cell r="G565">
            <v>0</v>
          </cell>
          <cell r="I565">
            <v>0</v>
          </cell>
          <cell r="K565">
            <v>0</v>
          </cell>
          <cell r="M565">
            <v>0</v>
          </cell>
          <cell r="O565">
            <v>0</v>
          </cell>
        </row>
        <row r="566">
          <cell r="D566" t="str">
            <v>реконструкция</v>
          </cell>
          <cell r="G566">
            <v>0</v>
          </cell>
        </row>
        <row r="567">
          <cell r="D567" t="str">
            <v>строительство</v>
          </cell>
          <cell r="G567">
            <v>0</v>
          </cell>
        </row>
        <row r="568">
          <cell r="D568" t="str">
            <v>Электроснабжение жилого дома по адресу: г. Липецк, ул. Череповецкая, д. 4</v>
          </cell>
          <cell r="G568">
            <v>0</v>
          </cell>
          <cell r="I568">
            <v>0</v>
          </cell>
          <cell r="K568">
            <v>0</v>
          </cell>
          <cell r="M568">
            <v>0</v>
          </cell>
          <cell r="O568">
            <v>0</v>
          </cell>
        </row>
        <row r="569">
          <cell r="D569" t="str">
            <v>реконструкция</v>
          </cell>
          <cell r="G569">
            <v>0</v>
          </cell>
        </row>
        <row r="570">
          <cell r="D570" t="str">
            <v>строительство</v>
          </cell>
          <cell r="G570">
            <v>0</v>
          </cell>
        </row>
        <row r="571">
          <cell r="D571" t="str">
            <v>Монтаж узла учета на опоре № 91 ВЛ-0,4 кВ по ул. З. Космодемьянской от КТП-544 для электроснабжения индивидуального жилого дома по адресу: г. Липецк, ул. Боровая (на месте снесенного жилого дома № 15 по ул. Боровой)</v>
          </cell>
          <cell r="G571">
            <v>0</v>
          </cell>
          <cell r="I571">
            <v>0</v>
          </cell>
          <cell r="K571">
            <v>0</v>
          </cell>
          <cell r="M571">
            <v>0</v>
          </cell>
          <cell r="O571">
            <v>0</v>
          </cell>
        </row>
        <row r="572">
          <cell r="D572" t="str">
            <v>реконструкция</v>
          </cell>
          <cell r="G572">
            <v>0</v>
          </cell>
        </row>
        <row r="573">
          <cell r="D573" t="str">
            <v>строительство</v>
          </cell>
          <cell r="G573">
            <v>0</v>
          </cell>
        </row>
        <row r="574">
          <cell r="D574" t="str">
            <v>Реконструкция оборудования в РУ-0,4 кВ КТП-347 (инв. № 400613) для электроснабжения павильона № П-5197 по адресу: г. Липецк, район Косыревского кладбища, кадастровый № 48:20:0210509:24</v>
          </cell>
          <cell r="G574">
            <v>0</v>
          </cell>
          <cell r="I574">
            <v>0</v>
          </cell>
          <cell r="K574">
            <v>0</v>
          </cell>
          <cell r="M574">
            <v>0</v>
          </cell>
          <cell r="O574">
            <v>0</v>
          </cell>
        </row>
        <row r="575">
          <cell r="D575" t="str">
            <v>реконструкция</v>
          </cell>
          <cell r="G575">
            <v>0</v>
          </cell>
        </row>
        <row r="576">
          <cell r="D576" t="str">
            <v>строительство</v>
          </cell>
          <cell r="G576">
            <v>0</v>
          </cell>
        </row>
        <row r="577">
          <cell r="D577" t="str">
            <v>Монтаж узла учета на ближайшей опоре ВЛ-0,4 кВ по ул. Баумана от ТП-480 для электроснабжения блочного гаража по адресу: г. Липецк, район ул. Баумана, у д. № 333/14</v>
          </cell>
          <cell r="G577">
            <v>0</v>
          </cell>
          <cell r="I577">
            <v>0</v>
          </cell>
          <cell r="K577">
            <v>0</v>
          </cell>
          <cell r="M577">
            <v>0</v>
          </cell>
          <cell r="O577">
            <v>0</v>
          </cell>
        </row>
        <row r="578">
          <cell r="D578" t="str">
            <v>реконструкция</v>
          </cell>
          <cell r="G578">
            <v>0</v>
          </cell>
        </row>
        <row r="579">
          <cell r="D579" t="str">
            <v>строительство</v>
          </cell>
          <cell r="G579">
            <v>0</v>
          </cell>
        </row>
        <row r="580">
          <cell r="D580" t="str">
            <v>Электроснабжение нежилого помещения № 1 по адресу: г. Липецк, пр. Шишкина, д. № 1 А</v>
          </cell>
          <cell r="G580">
            <v>0</v>
          </cell>
          <cell r="I580">
            <v>0</v>
          </cell>
          <cell r="K580">
            <v>0</v>
          </cell>
          <cell r="M580">
            <v>0</v>
          </cell>
          <cell r="O580">
            <v>0</v>
          </cell>
        </row>
        <row r="581">
          <cell r="D581" t="str">
            <v>реконструкция</v>
          </cell>
          <cell r="G581">
            <v>0</v>
          </cell>
        </row>
        <row r="582">
          <cell r="D582" t="str">
            <v>строительство</v>
          </cell>
          <cell r="G582">
            <v>0</v>
          </cell>
        </row>
        <row r="583">
          <cell r="D583" t="str">
            <v>Монтаж узла учета на опоре № 18 ВЛ-0,4 кВ по ул. Неделина, смонтированной по п. 1.1.6.2.4/12 ППР, от ТП-339 для электроснабжения помещения № 2 (гараж № 3) по адресу: г. Липецк, ул. Неделина, д. 1 "б"</v>
          </cell>
          <cell r="G583">
            <v>0</v>
          </cell>
          <cell r="I583">
            <v>0</v>
          </cell>
          <cell r="K583">
            <v>0</v>
          </cell>
          <cell r="M583">
            <v>0</v>
          </cell>
          <cell r="O583">
            <v>0</v>
          </cell>
        </row>
        <row r="584">
          <cell r="D584" t="str">
            <v>реконструкция</v>
          </cell>
          <cell r="G584">
            <v>0</v>
          </cell>
        </row>
        <row r="585">
          <cell r="D585" t="str">
            <v>строительство</v>
          </cell>
          <cell r="G585">
            <v>0</v>
          </cell>
        </row>
        <row r="586">
          <cell r="D586" t="str">
            <v>Реконструкция ВЛ-0,4 кВ по ул. Асфальтная от КТП-547 (инв. № 345989) для электроснабжения киоска по адресу: г. Липецк, ул. Асфальтная в районе остановки "Станция Казинка", кадастровый № 48:20:0038502:125</v>
          </cell>
          <cell r="G586">
            <v>1.5800000000000002E-2</v>
          </cell>
          <cell r="I586">
            <v>1.55E-2</v>
          </cell>
          <cell r="K586">
            <v>3.0000000000000165E-4</v>
          </cell>
          <cell r="M586">
            <v>0</v>
          </cell>
          <cell r="O586">
            <v>0</v>
          </cell>
        </row>
        <row r="587">
          <cell r="D587" t="str">
            <v>реконструкция</v>
          </cell>
          <cell r="G587">
            <v>1.5800000000000002E-2</v>
          </cell>
          <cell r="I587">
            <v>1.55E-2</v>
          </cell>
          <cell r="K587">
            <v>3.0000000000000165E-4</v>
          </cell>
        </row>
        <row r="588">
          <cell r="D588" t="str">
            <v>строительство</v>
          </cell>
          <cell r="G588">
            <v>0</v>
          </cell>
          <cell r="I588">
            <v>0</v>
          </cell>
        </row>
        <row r="589">
          <cell r="D589" t="str">
            <v>Электроснабжение помещений по адресу: г. Липецк, ул. Коммунальная, д. № 9</v>
          </cell>
          <cell r="G589">
            <v>2.0000000000000001E-4</v>
          </cell>
          <cell r="I589">
            <v>2.0000000000000001E-4</v>
          </cell>
          <cell r="K589">
            <v>0</v>
          </cell>
          <cell r="M589">
            <v>0</v>
          </cell>
          <cell r="O589">
            <v>0</v>
          </cell>
        </row>
        <row r="590">
          <cell r="D590" t="str">
            <v>реконструкция</v>
          </cell>
          <cell r="G590">
            <v>0</v>
          </cell>
          <cell r="I590">
            <v>0</v>
          </cell>
        </row>
        <row r="591">
          <cell r="D591" t="str">
            <v>строительство</v>
          </cell>
          <cell r="G591">
            <v>2.0000000000000001E-4</v>
          </cell>
          <cell r="I591">
            <v>2.0000000000000001E-4</v>
          </cell>
        </row>
        <row r="592">
          <cell r="D592" t="str">
            <v>Монтаж узла учета на ближайшей опоре ВЛ-0,4 кВ по пер. Космический от КТП-429 для электроснабжения садового домика по адресу: г. Липецк, СНТ "Сокол-2", участок № 1136 а</v>
          </cell>
          <cell r="G592">
            <v>0</v>
          </cell>
          <cell r="I592">
            <v>0</v>
          </cell>
          <cell r="K592">
            <v>0</v>
          </cell>
          <cell r="M592">
            <v>0</v>
          </cell>
          <cell r="O592">
            <v>0</v>
          </cell>
        </row>
        <row r="593">
          <cell r="D593" t="str">
            <v>реконструкция</v>
          </cell>
          <cell r="G593">
            <v>0</v>
          </cell>
        </row>
        <row r="594">
          <cell r="D594" t="str">
            <v>строительство</v>
          </cell>
          <cell r="G594">
            <v>0</v>
          </cell>
        </row>
        <row r="595">
          <cell r="D595" t="str">
            <v>Монтаж узла учета на опоре № 29 ВЛ-0,4 кВ по ул. Бригадная от КТП-560 для электроснабжения жилого дома с пристройками по адресу: г. Липецк, ул. Бригадная, д. 19</v>
          </cell>
          <cell r="G595">
            <v>0</v>
          </cell>
          <cell r="I595">
            <v>0</v>
          </cell>
          <cell r="K595">
            <v>0</v>
          </cell>
          <cell r="M595">
            <v>0</v>
          </cell>
          <cell r="O595">
            <v>0</v>
          </cell>
        </row>
        <row r="596">
          <cell r="D596" t="str">
            <v>реконструкция</v>
          </cell>
          <cell r="G596">
            <v>0</v>
          </cell>
        </row>
        <row r="597">
          <cell r="D597" t="str">
            <v>строительство</v>
          </cell>
          <cell r="G597">
            <v>0</v>
          </cell>
        </row>
        <row r="598">
          <cell r="D598" t="str">
            <v>Электроснабжение садовых домиков в СНТ "Металлург-2" (МТП № 2)</v>
          </cell>
          <cell r="G598">
            <v>0</v>
          </cell>
          <cell r="I598">
            <v>0</v>
          </cell>
          <cell r="K598">
            <v>0</v>
          </cell>
          <cell r="M598">
            <v>0</v>
          </cell>
          <cell r="O598">
            <v>0</v>
          </cell>
        </row>
        <row r="599">
          <cell r="D599" t="str">
            <v>реконструкция</v>
          </cell>
          <cell r="G599">
            <v>0</v>
          </cell>
        </row>
        <row r="600">
          <cell r="D600" t="str">
            <v>строительство</v>
          </cell>
          <cell r="G600">
            <v>0</v>
          </cell>
        </row>
        <row r="601">
          <cell r="D601" t="str">
            <v>Электроснабжение административного здания по адресу: г. Липецк, пр-т Мира, 35 А</v>
          </cell>
          <cell r="G601">
            <v>2.81E-2</v>
          </cell>
          <cell r="I601">
            <v>0</v>
          </cell>
          <cell r="K601">
            <v>2.81E-2</v>
          </cell>
          <cell r="M601">
            <v>0</v>
          </cell>
          <cell r="O601">
            <v>0</v>
          </cell>
        </row>
        <row r="602">
          <cell r="D602" t="str">
            <v>реконструкция</v>
          </cell>
          <cell r="G602">
            <v>2.81E-2</v>
          </cell>
          <cell r="K602">
            <v>2.81E-2</v>
          </cell>
        </row>
        <row r="603">
          <cell r="D603" t="str">
            <v>строительство</v>
          </cell>
          <cell r="G603">
            <v>0</v>
          </cell>
        </row>
        <row r="604">
          <cell r="D604" t="str">
            <v>Электроснабжение блочного гаража № 1 по адресу: г. Липецк, ул. Ворошилова, около дома № 11 в блоке гаражей (лит. Г)</v>
          </cell>
          <cell r="G604">
            <v>1.11E-2</v>
          </cell>
          <cell r="I604">
            <v>1.11E-2</v>
          </cell>
          <cell r="K604">
            <v>0</v>
          </cell>
          <cell r="M604">
            <v>0</v>
          </cell>
          <cell r="O604">
            <v>0</v>
          </cell>
        </row>
        <row r="605">
          <cell r="D605" t="str">
            <v>реконструкция</v>
          </cell>
          <cell r="G605">
            <v>0</v>
          </cell>
          <cell r="I605">
            <v>0</v>
          </cell>
        </row>
        <row r="606">
          <cell r="D606" t="str">
            <v>строительство</v>
          </cell>
          <cell r="G606">
            <v>1.11E-2</v>
          </cell>
          <cell r="I606">
            <v>1.11E-2</v>
          </cell>
        </row>
        <row r="607">
          <cell r="D607" t="str">
            <v>Электроснабжение жилого дома по адресу: г. Липецк, ул. Уральская, д. 7</v>
          </cell>
          <cell r="G607">
            <v>0</v>
          </cell>
          <cell r="I607">
            <v>0</v>
          </cell>
          <cell r="K607">
            <v>0</v>
          </cell>
          <cell r="M607">
            <v>0</v>
          </cell>
          <cell r="O607">
            <v>0</v>
          </cell>
        </row>
        <row r="608">
          <cell r="D608" t="str">
            <v>реконструкция</v>
          </cell>
          <cell r="G608">
            <v>0</v>
          </cell>
        </row>
        <row r="609">
          <cell r="D609" t="str">
            <v>строительство</v>
          </cell>
          <cell r="G609">
            <v>0</v>
          </cell>
        </row>
        <row r="610">
          <cell r="D610" t="str">
            <v>Реконструкция ВЛ-0,4 кВ "ТП-312 - ДК Рудника" (инв. № 346331) от опоры № 2 ВЛ-0,4 кВ, смонтированной по п. 1.1.6.2.108/11 ППР, от ТП-312 для электроснабжения индивидуального жилого дома усадебного типа с хозяйственными постройками по адресу: г. Липецк, ул</v>
          </cell>
          <cell r="G610">
            <v>0</v>
          </cell>
          <cell r="I610">
            <v>0</v>
          </cell>
          <cell r="K610">
            <v>0</v>
          </cell>
          <cell r="M610">
            <v>0</v>
          </cell>
          <cell r="O610">
            <v>0</v>
          </cell>
        </row>
        <row r="611">
          <cell r="D611" t="str">
            <v>реконструкция</v>
          </cell>
          <cell r="G611">
            <v>0</v>
          </cell>
        </row>
        <row r="612">
          <cell r="D612" t="str">
            <v>строительство</v>
          </cell>
          <cell r="G612">
            <v>0</v>
          </cell>
        </row>
        <row r="613">
          <cell r="D613" t="str">
            <v>Монтаж узла учета на ближайшей опоре № 3 ВЛ-0,4 кВ в ЛСПО "Металлург-1" от МТП-953 для электроснабжения садового домика по адресу: г. Липецк, ЛСПО "Металлург-1", квартал Iа, зем. уч. № 42</v>
          </cell>
          <cell r="G613">
            <v>0</v>
          </cell>
          <cell r="I613">
            <v>0</v>
          </cell>
          <cell r="K613">
            <v>0</v>
          </cell>
          <cell r="M613">
            <v>0</v>
          </cell>
          <cell r="O613">
            <v>0</v>
          </cell>
        </row>
        <row r="614">
          <cell r="D614" t="str">
            <v>реконструкция</v>
          </cell>
          <cell r="G614">
            <v>0</v>
          </cell>
        </row>
        <row r="615">
          <cell r="D615" t="str">
            <v>строительство</v>
          </cell>
          <cell r="G615">
            <v>0</v>
          </cell>
        </row>
        <row r="616">
          <cell r="D616" t="str">
            <v>Реконструкция ВЛ-0,4 кВ от КТП, смонтированных по п. 1.1.6.2.2/11 ППР, для электроснабжения садового домика по адресу: г. Липецк, СНП "Спутник", массив I, участок № 326</v>
          </cell>
          <cell r="G616">
            <v>0.16689999999999999</v>
          </cell>
          <cell r="I616">
            <v>0.15619999999999998</v>
          </cell>
          <cell r="K616">
            <v>1.0700000000000015E-2</v>
          </cell>
          <cell r="M616">
            <v>0</v>
          </cell>
          <cell r="O616">
            <v>0</v>
          </cell>
        </row>
        <row r="617">
          <cell r="D617" t="str">
            <v>реконструкция</v>
          </cell>
          <cell r="G617">
            <v>0.16689999999999999</v>
          </cell>
          <cell r="I617">
            <v>0.15619999999999998</v>
          </cell>
          <cell r="K617">
            <v>1.0700000000000015E-2</v>
          </cell>
        </row>
        <row r="618">
          <cell r="D618" t="str">
            <v>строительство</v>
          </cell>
          <cell r="G618">
            <v>0</v>
          </cell>
          <cell r="I618">
            <v>0</v>
          </cell>
        </row>
        <row r="619">
          <cell r="D619" t="str">
            <v>Электроснабжение гаража с подвалом по адресу: г. Липецк, ГК "Защитник", гараж № 22</v>
          </cell>
          <cell r="G619">
            <v>0</v>
          </cell>
          <cell r="I619">
            <v>0</v>
          </cell>
          <cell r="K619">
            <v>0</v>
          </cell>
          <cell r="M619">
            <v>0</v>
          </cell>
          <cell r="O619">
            <v>0</v>
          </cell>
        </row>
        <row r="620">
          <cell r="D620" t="str">
            <v>реконструкция</v>
          </cell>
          <cell r="G620">
            <v>0</v>
          </cell>
        </row>
        <row r="621">
          <cell r="D621" t="str">
            <v>строительство</v>
          </cell>
          <cell r="G621">
            <v>0</v>
          </cell>
        </row>
        <row r="622">
          <cell r="D622" t="str">
            <v>Электроснабжение индивидуального жилого дома и хозяйственных построек по адресу: г. Липецк, ул. Астраханская, д. 23</v>
          </cell>
          <cell r="G622">
            <v>0</v>
          </cell>
          <cell r="I622">
            <v>0</v>
          </cell>
          <cell r="K622">
            <v>0</v>
          </cell>
          <cell r="M622">
            <v>0</v>
          </cell>
          <cell r="O622">
            <v>0</v>
          </cell>
        </row>
        <row r="623">
          <cell r="D623" t="str">
            <v>реконструкция</v>
          </cell>
          <cell r="G623">
            <v>0</v>
          </cell>
        </row>
        <row r="624">
          <cell r="D624" t="str">
            <v>строительство</v>
          </cell>
          <cell r="G624">
            <v>0</v>
          </cell>
        </row>
        <row r="625">
          <cell r="D625" t="str">
            <v>Электроснабжение гаражей по адресу: г. Липецк, ул. Семашко</v>
          </cell>
          <cell r="G625">
            <v>0</v>
          </cell>
          <cell r="I625">
            <v>0</v>
          </cell>
          <cell r="K625">
            <v>0</v>
          </cell>
          <cell r="M625">
            <v>0</v>
          </cell>
          <cell r="O625">
            <v>0</v>
          </cell>
        </row>
        <row r="626">
          <cell r="D626" t="str">
            <v>реконструкция</v>
          </cell>
          <cell r="G626">
            <v>0</v>
          </cell>
        </row>
        <row r="627">
          <cell r="D627" t="str">
            <v>строительство</v>
          </cell>
          <cell r="G627">
            <v>0</v>
          </cell>
        </row>
        <row r="628">
          <cell r="D628" t="str">
            <v>Строительство ВЛ-0,4 кВ по ул. Салтыкова-Щедрина от опоры ВЛ-0,4 кВ, смонтированной по п. 1.1.6.3.33/10 ППР, от КТП-37 для электроснабжения индивидуального жилого дома усадебного типа и хозяйственных построек по адресу: г. Липецк, ул. Салтыкова-Щедрина, №</v>
          </cell>
          <cell r="G628">
            <v>0</v>
          </cell>
          <cell r="I628">
            <v>0</v>
          </cell>
          <cell r="K628">
            <v>0</v>
          </cell>
          <cell r="M628">
            <v>0</v>
          </cell>
          <cell r="O628">
            <v>0</v>
          </cell>
        </row>
        <row r="629">
          <cell r="D629" t="str">
            <v>реконструкция</v>
          </cell>
          <cell r="G629">
            <v>0</v>
          </cell>
        </row>
        <row r="630">
          <cell r="D630" t="str">
            <v>строительство</v>
          </cell>
          <cell r="G630">
            <v>0</v>
          </cell>
        </row>
        <row r="631">
          <cell r="D631" t="str">
            <v>Электроснабжение временных укрытий для автотранспорта (индивидуальные металлические гаражи) по адресу: г. Липецк, район ул. Дружбы</v>
          </cell>
          <cell r="G631">
            <v>3.0499999999999999E-2</v>
          </cell>
          <cell r="I631">
            <v>0</v>
          </cell>
          <cell r="K631">
            <v>3.0499999999999999E-2</v>
          </cell>
          <cell r="M631">
            <v>0</v>
          </cell>
          <cell r="O631">
            <v>0</v>
          </cell>
        </row>
        <row r="632">
          <cell r="D632" t="str">
            <v>реконструкция</v>
          </cell>
          <cell r="G632">
            <v>0</v>
          </cell>
        </row>
        <row r="633">
          <cell r="D633" t="str">
            <v>строительство</v>
          </cell>
          <cell r="G633">
            <v>3.0499999999999999E-2</v>
          </cell>
          <cell r="K633">
            <v>3.0499999999999999E-2</v>
          </cell>
        </row>
        <row r="634">
          <cell r="D634" t="str">
            <v>Электроснабжение садового домика по адресу: г. Липецк, СНП "Спутник", массив II, участок № 6</v>
          </cell>
          <cell r="G634">
            <v>0</v>
          </cell>
          <cell r="I634">
            <v>0</v>
          </cell>
          <cell r="K634">
            <v>0</v>
          </cell>
          <cell r="M634">
            <v>0</v>
          </cell>
          <cell r="O634">
            <v>0</v>
          </cell>
        </row>
        <row r="635">
          <cell r="D635" t="str">
            <v>реконструкция</v>
          </cell>
          <cell r="G635">
            <v>0</v>
          </cell>
        </row>
        <row r="636">
          <cell r="D636" t="str">
            <v>строительство</v>
          </cell>
          <cell r="G636">
            <v>0</v>
          </cell>
        </row>
        <row r="637">
          <cell r="D637" t="str">
            <v>Электроснабжение садовых домиков в потребительском обществе пенсионеров и инвалидов "Сокол-1"</v>
          </cell>
          <cell r="G637">
            <v>0.28349999999999997</v>
          </cell>
          <cell r="I637">
            <v>1.7000000000000001E-2</v>
          </cell>
          <cell r="K637">
            <v>0.26649999999999996</v>
          </cell>
          <cell r="M637">
            <v>0</v>
          </cell>
          <cell r="O637">
            <v>0</v>
          </cell>
        </row>
        <row r="638">
          <cell r="D638" t="str">
            <v>реконструкция</v>
          </cell>
          <cell r="G638">
            <v>0.26649999999999996</v>
          </cell>
          <cell r="I638">
            <v>0</v>
          </cell>
          <cell r="K638">
            <v>0.26649999999999996</v>
          </cell>
        </row>
        <row r="639">
          <cell r="D639" t="str">
            <v>строительство</v>
          </cell>
          <cell r="G639">
            <v>1.7000000000000001E-2</v>
          </cell>
          <cell r="I639">
            <v>1.7000000000000001E-2</v>
          </cell>
        </row>
        <row r="640">
          <cell r="D640" t="str">
            <v>Строительство ВЛ-0,4 кВ в СНТ "Монтажник" от опоры № 33 ВЛ-0,4 кВ по ул. Ивовая от КТП-672 для электроснабжения садовых домиков в СНТ "Монтажник"</v>
          </cell>
          <cell r="G640">
            <v>0</v>
          </cell>
          <cell r="I640">
            <v>0</v>
          </cell>
          <cell r="K640">
            <v>0</v>
          </cell>
          <cell r="M640">
            <v>0</v>
          </cell>
          <cell r="O640">
            <v>0</v>
          </cell>
        </row>
        <row r="641">
          <cell r="D641" t="str">
            <v>реконструкция</v>
          </cell>
          <cell r="G641">
            <v>0</v>
          </cell>
        </row>
        <row r="642">
          <cell r="D642" t="str">
            <v>строительство</v>
          </cell>
          <cell r="G642">
            <v>0</v>
          </cell>
        </row>
        <row r="643">
          <cell r="D643" t="str">
            <v>Строительство ВЛ-0,4 кВ от СТП, смонтированной по п. 1.1.6.1.59/12 ППР, до границ земельного участка по адресу: г. Липецк, ул. Брюллова в районе строения 7 б</v>
          </cell>
          <cell r="G643">
            <v>0.1905</v>
          </cell>
          <cell r="I643">
            <v>0.1905</v>
          </cell>
          <cell r="K643">
            <v>0</v>
          </cell>
          <cell r="M643">
            <v>0</v>
          </cell>
          <cell r="O643">
            <v>0</v>
          </cell>
        </row>
        <row r="644">
          <cell r="D644" t="str">
            <v>реконструкция</v>
          </cell>
          <cell r="G644">
            <v>0</v>
          </cell>
          <cell r="I644">
            <v>0</v>
          </cell>
        </row>
        <row r="645">
          <cell r="D645" t="str">
            <v>строительство</v>
          </cell>
          <cell r="G645">
            <v>0.1905</v>
          </cell>
          <cell r="I645">
            <v>0.1905</v>
          </cell>
        </row>
        <row r="646">
          <cell r="D646" t="str">
            <v>Электроснабжение жилых домов по адресу: г. Липецк, ул. Рябиновая</v>
          </cell>
          <cell r="G646">
            <v>0</v>
          </cell>
          <cell r="I646">
            <v>0</v>
          </cell>
          <cell r="K646">
            <v>0</v>
          </cell>
          <cell r="M646">
            <v>0</v>
          </cell>
          <cell r="O646">
            <v>0</v>
          </cell>
        </row>
        <row r="647">
          <cell r="D647" t="str">
            <v>реконструкция</v>
          </cell>
          <cell r="G647">
            <v>0</v>
          </cell>
        </row>
        <row r="648">
          <cell r="D648" t="str">
            <v>строительство</v>
          </cell>
          <cell r="G648">
            <v>0</v>
          </cell>
        </row>
        <row r="649">
          <cell r="D649" t="str">
            <v>Электроснабжение гаража по адресу: г. Липецк, пр. Базовый, владение 3, гараж № 48, 49</v>
          </cell>
          <cell r="G649">
            <v>3.5312999999999999</v>
          </cell>
          <cell r="I649">
            <v>1.7000000000000001E-2</v>
          </cell>
          <cell r="K649">
            <v>3.5143</v>
          </cell>
          <cell r="M649">
            <v>-9.7144514654701197E-17</v>
          </cell>
          <cell r="O649">
            <v>-9.7144514654701197E-17</v>
          </cell>
        </row>
        <row r="650">
          <cell r="D650" t="str">
            <v>реконструкция</v>
          </cell>
          <cell r="G650">
            <v>6.0999999999999995E-3</v>
          </cell>
          <cell r="I650">
            <v>0</v>
          </cell>
          <cell r="K650">
            <v>6.0999999999999995E-3</v>
          </cell>
        </row>
        <row r="651">
          <cell r="D651" t="str">
            <v>строительство</v>
          </cell>
          <cell r="G651">
            <v>3.5251999999999999</v>
          </cell>
          <cell r="I651">
            <v>1.7000000000000001E-2</v>
          </cell>
          <cell r="K651">
            <v>3.5082</v>
          </cell>
        </row>
        <row r="652">
          <cell r="D652" t="str">
            <v>Электроснабжение трехкомнатной квартиры по адресу: г. Липецк, ул. З. Космодемьянской, д. 198, кв. 2</v>
          </cell>
          <cell r="G652">
            <v>0</v>
          </cell>
          <cell r="I652">
            <v>0</v>
          </cell>
          <cell r="K652">
            <v>0</v>
          </cell>
          <cell r="M652">
            <v>0</v>
          </cell>
          <cell r="O652">
            <v>0</v>
          </cell>
        </row>
        <row r="653">
          <cell r="D653" t="str">
            <v>реконструкция</v>
          </cell>
          <cell r="G653">
            <v>0</v>
          </cell>
        </row>
        <row r="654">
          <cell r="D654" t="str">
            <v>строительство</v>
          </cell>
          <cell r="G654">
            <v>0</v>
          </cell>
        </row>
        <row r="655">
          <cell r="D655" t="str">
            <v>Электроснабжение здания станции технического обслуживания автомобилей с автомойкой по адресу: г. Липецк, ул. Юношеская, напротив дома № 23 а, кадастровый № 48:20:0010501:437</v>
          </cell>
          <cell r="G655">
            <v>0.57510000000000006</v>
          </cell>
          <cell r="I655">
            <v>3.3600000000000005E-2</v>
          </cell>
          <cell r="K655">
            <v>0.54150000000000009</v>
          </cell>
          <cell r="M655">
            <v>0</v>
          </cell>
          <cell r="O655">
            <v>0</v>
          </cell>
        </row>
        <row r="656">
          <cell r="D656" t="str">
            <v>реконструкция</v>
          </cell>
          <cell r="G656">
            <v>0.2387</v>
          </cell>
          <cell r="I656">
            <v>0</v>
          </cell>
          <cell r="K656">
            <v>0.2387</v>
          </cell>
        </row>
        <row r="657">
          <cell r="D657" t="str">
            <v>строительство</v>
          </cell>
          <cell r="G657">
            <v>0.33640000000000003</v>
          </cell>
          <cell r="I657">
            <v>3.3600000000000005E-2</v>
          </cell>
          <cell r="K657">
            <v>0.30280000000000001</v>
          </cell>
        </row>
        <row r="658">
          <cell r="D658" t="str">
            <v>Электроснабжение гаража по адресу: г. Липецк, ул. Юных Натуралистов, владение 20, гараж № 108</v>
          </cell>
          <cell r="G658">
            <v>0</v>
          </cell>
          <cell r="I658">
            <v>0</v>
          </cell>
          <cell r="K658">
            <v>0</v>
          </cell>
          <cell r="M658">
            <v>0</v>
          </cell>
          <cell r="O658">
            <v>0</v>
          </cell>
        </row>
        <row r="659">
          <cell r="D659" t="str">
            <v>реконструкция</v>
          </cell>
          <cell r="G659">
            <v>0</v>
          </cell>
        </row>
        <row r="660">
          <cell r="D660" t="str">
            <v>строительство</v>
          </cell>
          <cell r="G660">
            <v>0</v>
          </cell>
        </row>
        <row r="661">
          <cell r="D661" t="str">
            <v>Реконструкция ВЛ-0,4 кВ, смонтированной по п. 1.1.6.3.52/10 ППР, от ТП-480 для электроснабжения садового домика по адресу: г. Липецк, садоводческое объединение коллективного партнерства "Сокол-2", уч. № 750</v>
          </cell>
          <cell r="G661">
            <v>0</v>
          </cell>
          <cell r="I661">
            <v>0</v>
          </cell>
          <cell r="K661">
            <v>0</v>
          </cell>
          <cell r="M661">
            <v>0</v>
          </cell>
          <cell r="O661">
            <v>0</v>
          </cell>
        </row>
        <row r="662">
          <cell r="D662" t="str">
            <v>реконструкция</v>
          </cell>
          <cell r="G662">
            <v>0</v>
          </cell>
        </row>
        <row r="663">
          <cell r="D663" t="str">
            <v>строительство</v>
          </cell>
          <cell r="G663">
            <v>0</v>
          </cell>
        </row>
        <row r="664">
          <cell r="D664" t="str">
            <v>Монтаж узла учета на ближайшей опоре ВЛ-0,4 кВ в СНТ "Дачный-3" от КТП-499 для электроснабжения садового домика по адресу: г. Липецк, СНТ "Дачный-3", уч. № 377</v>
          </cell>
          <cell r="G664">
            <v>0</v>
          </cell>
          <cell r="I664">
            <v>0</v>
          </cell>
          <cell r="K664">
            <v>0</v>
          </cell>
          <cell r="M664">
            <v>0</v>
          </cell>
          <cell r="O664">
            <v>0</v>
          </cell>
        </row>
        <row r="665">
          <cell r="D665" t="str">
            <v>реконструкция</v>
          </cell>
          <cell r="G665">
            <v>0</v>
          </cell>
        </row>
        <row r="666">
          <cell r="D666" t="str">
            <v>строительство</v>
          </cell>
          <cell r="G666">
            <v>0</v>
          </cell>
        </row>
        <row r="667">
          <cell r="D667" t="str">
            <v>Монтаж узла учета на опоре № 22 ВЛ-0,4 кВ по ул. Зоологическая от КТП-308 для электроснабжения индивидуального жилого дома по адресу: г. Липецк, ул. Зоологическая, д. 27</v>
          </cell>
          <cell r="G667">
            <v>0</v>
          </cell>
          <cell r="I667">
            <v>0</v>
          </cell>
          <cell r="K667">
            <v>0</v>
          </cell>
          <cell r="M667">
            <v>0</v>
          </cell>
          <cell r="O667">
            <v>0</v>
          </cell>
        </row>
        <row r="668">
          <cell r="D668" t="str">
            <v>реконструкция</v>
          </cell>
          <cell r="G668">
            <v>0</v>
          </cell>
        </row>
        <row r="669">
          <cell r="D669" t="str">
            <v>строительство</v>
          </cell>
          <cell r="G669">
            <v>0</v>
          </cell>
        </row>
        <row r="670">
          <cell r="D670" t="str">
            <v>Электроснабжение садового домика по адресу: г. Липецк, СО "Сокол-3", I массив, уч. № 674</v>
          </cell>
          <cell r="G670">
            <v>6.9400000000000003E-2</v>
          </cell>
          <cell r="I670">
            <v>6.9400000000000003E-2</v>
          </cell>
          <cell r="K670">
            <v>0</v>
          </cell>
          <cell r="M670">
            <v>0</v>
          </cell>
          <cell r="O670">
            <v>0</v>
          </cell>
        </row>
        <row r="671">
          <cell r="D671" t="str">
            <v>реконструкция</v>
          </cell>
          <cell r="G671">
            <v>0</v>
          </cell>
          <cell r="I671">
            <v>0</v>
          </cell>
        </row>
        <row r="672">
          <cell r="D672" t="str">
            <v>строительство</v>
          </cell>
          <cell r="G672">
            <v>6.9400000000000003E-2</v>
          </cell>
          <cell r="I672">
            <v>6.9400000000000003E-2</v>
          </cell>
        </row>
        <row r="673">
          <cell r="D673" t="str">
            <v>Электроснабжение магазина непродовольственных товаров по адресу: г. Липецк, ул. Космонавтов, д. 39, корпус 1, кв. 84</v>
          </cell>
          <cell r="G673">
            <v>1.4459</v>
          </cell>
          <cell r="I673">
            <v>3.7499999999999999E-2</v>
          </cell>
          <cell r="K673">
            <v>1.4083999999999999</v>
          </cell>
          <cell r="M673">
            <v>9.0205620750793969E-17</v>
          </cell>
          <cell r="O673">
            <v>9.0205620750793969E-17</v>
          </cell>
        </row>
        <row r="674">
          <cell r="D674" t="str">
            <v>реконструкция</v>
          </cell>
          <cell r="G674">
            <v>5.9000000000000007E-3</v>
          </cell>
          <cell r="I674">
            <v>0</v>
          </cell>
          <cell r="K674">
            <v>5.9000000000000007E-3</v>
          </cell>
        </row>
        <row r="675">
          <cell r="D675" t="str">
            <v>строительство</v>
          </cell>
          <cell r="G675">
            <v>1.44</v>
          </cell>
          <cell r="I675">
            <v>3.7499999999999999E-2</v>
          </cell>
          <cell r="K675">
            <v>1.4024999999999999</v>
          </cell>
        </row>
        <row r="676">
          <cell r="D676" t="str">
            <v>Электроснабжение объектов по ул. Студеновская</v>
          </cell>
          <cell r="G676">
            <v>2.81E-2</v>
          </cell>
          <cell r="I676">
            <v>2.81E-2</v>
          </cell>
          <cell r="K676">
            <v>0</v>
          </cell>
          <cell r="M676">
            <v>0</v>
          </cell>
          <cell r="O676">
            <v>0</v>
          </cell>
        </row>
        <row r="677">
          <cell r="D677" t="str">
            <v>реконструкция</v>
          </cell>
          <cell r="G677">
            <v>0</v>
          </cell>
          <cell r="I677">
            <v>0</v>
          </cell>
        </row>
        <row r="678">
          <cell r="D678" t="str">
            <v>строительство</v>
          </cell>
          <cell r="G678">
            <v>2.81E-2</v>
          </cell>
          <cell r="I678">
            <v>2.81E-2</v>
          </cell>
        </row>
        <row r="679">
          <cell r="D679" t="str">
            <v>Электроснабжение индивидуального жилого дома и хозяйственных построек по адресу: г. Липецк, ул. Репина, д. 47</v>
          </cell>
          <cell r="G679">
            <v>2.5399999999999999E-2</v>
          </cell>
          <cell r="I679">
            <v>0</v>
          </cell>
          <cell r="K679">
            <v>2.5399999999999999E-2</v>
          </cell>
          <cell r="M679">
            <v>0</v>
          </cell>
          <cell r="O679">
            <v>0</v>
          </cell>
        </row>
        <row r="680">
          <cell r="D680" t="str">
            <v>реконструкция</v>
          </cell>
          <cell r="G680">
            <v>0</v>
          </cell>
        </row>
        <row r="681">
          <cell r="D681" t="str">
            <v>строительство</v>
          </cell>
          <cell r="G681">
            <v>2.5399999999999999E-2</v>
          </cell>
          <cell r="K681">
            <v>2.5399999999999999E-2</v>
          </cell>
        </row>
        <row r="682">
          <cell r="D682" t="str">
            <v>Электроснабжение жилого дома по адресу: г. Липецк, ул. Варшавская, д. 27</v>
          </cell>
          <cell r="G682">
            <v>0</v>
          </cell>
          <cell r="I682">
            <v>0</v>
          </cell>
          <cell r="K682">
            <v>0</v>
          </cell>
          <cell r="M682">
            <v>0</v>
          </cell>
          <cell r="O682">
            <v>0</v>
          </cell>
        </row>
        <row r="683">
          <cell r="D683" t="str">
            <v>реконструкция</v>
          </cell>
          <cell r="G683">
            <v>0</v>
          </cell>
        </row>
        <row r="684">
          <cell r="D684" t="str">
            <v>строительство</v>
          </cell>
          <cell r="G684">
            <v>0</v>
          </cell>
        </row>
        <row r="685">
          <cell r="D685" t="str">
            <v>Электроснабжение жилого дома по адресу: г. Липецк, ул. Олимпийская, д. 58</v>
          </cell>
          <cell r="G685">
            <v>0</v>
          </cell>
          <cell r="I685">
            <v>0</v>
          </cell>
          <cell r="K685">
            <v>0</v>
          </cell>
          <cell r="M685">
            <v>0</v>
          </cell>
          <cell r="O685">
            <v>0</v>
          </cell>
        </row>
        <row r="686">
          <cell r="D686" t="str">
            <v>реконструкция</v>
          </cell>
          <cell r="G686">
            <v>0</v>
          </cell>
        </row>
        <row r="687">
          <cell r="D687" t="str">
            <v>строительство</v>
          </cell>
          <cell r="G687">
            <v>0</v>
          </cell>
        </row>
        <row r="688">
          <cell r="D688" t="str">
            <v>Электроснабжение автостоянки закрытого типа по адресу: г. Липецк, ул. Октябрьская, стр. 32</v>
          </cell>
          <cell r="G688">
            <v>0</v>
          </cell>
          <cell r="I688">
            <v>0</v>
          </cell>
          <cell r="K688">
            <v>0</v>
          </cell>
          <cell r="M688">
            <v>0</v>
          </cell>
          <cell r="O688">
            <v>0</v>
          </cell>
        </row>
        <row r="689">
          <cell r="D689" t="str">
            <v>реконструкция</v>
          </cell>
          <cell r="G689">
            <v>0</v>
          </cell>
        </row>
        <row r="690">
          <cell r="D690" t="str">
            <v>строительство</v>
          </cell>
          <cell r="G690">
            <v>0</v>
          </cell>
        </row>
        <row r="691">
          <cell r="D691" t="str">
            <v>Электроснабжение кирпичного гаража с погребом по адресу: г. Липецк, ГК "Центральный", гараж № 74</v>
          </cell>
          <cell r="G691">
            <v>0</v>
          </cell>
          <cell r="I691">
            <v>0</v>
          </cell>
          <cell r="K691">
            <v>0</v>
          </cell>
          <cell r="M691">
            <v>0</v>
          </cell>
          <cell r="O691">
            <v>0</v>
          </cell>
        </row>
        <row r="692">
          <cell r="D692" t="str">
            <v>реконструкция</v>
          </cell>
          <cell r="G692">
            <v>0</v>
          </cell>
        </row>
        <row r="693">
          <cell r="D693" t="str">
            <v>строительство</v>
          </cell>
          <cell r="G693">
            <v>0</v>
          </cell>
        </row>
        <row r="694">
          <cell r="D694" t="str">
            <v>Электроснабжение индивидуального жилого дома по адресу: г. Липецк, ул. Известковая, в районе жилого дома № 54 (№ 2 по схеме)</v>
          </cell>
          <cell r="G694">
            <v>1.1900000000000001E-2</v>
          </cell>
          <cell r="I694">
            <v>0</v>
          </cell>
          <cell r="K694">
            <v>1.1900000000000001E-2</v>
          </cell>
          <cell r="M694">
            <v>0</v>
          </cell>
          <cell r="O694">
            <v>0</v>
          </cell>
        </row>
        <row r="695">
          <cell r="D695" t="str">
            <v>реконструкция</v>
          </cell>
          <cell r="G695">
            <v>1.1900000000000001E-2</v>
          </cell>
          <cell r="K695">
            <v>1.1900000000000001E-2</v>
          </cell>
        </row>
        <row r="696">
          <cell r="D696" t="str">
            <v>строительство</v>
          </cell>
          <cell r="G696">
            <v>0</v>
          </cell>
        </row>
        <row r="697">
          <cell r="D697" t="str">
            <v>Электроснабжение садового домика по адресу: г. Липецк, СНТ "Сокол-2", участок № 413</v>
          </cell>
          <cell r="G697">
            <v>0</v>
          </cell>
          <cell r="I697">
            <v>0</v>
          </cell>
          <cell r="K697">
            <v>0</v>
          </cell>
          <cell r="M697">
            <v>0</v>
          </cell>
          <cell r="O697">
            <v>0</v>
          </cell>
        </row>
        <row r="698">
          <cell r="D698" t="str">
            <v>реконструкция</v>
          </cell>
          <cell r="G698">
            <v>0</v>
          </cell>
        </row>
        <row r="699">
          <cell r="D699" t="str">
            <v>строительство</v>
          </cell>
          <cell r="G699">
            <v>0</v>
          </cell>
        </row>
        <row r="700">
          <cell r="D700" t="str">
            <v>Электроснабжение лодочной пристани по адресу: г. Липецк, ул. Левобережная, 9</v>
          </cell>
          <cell r="G700">
            <v>6.0999999999999995E-3</v>
          </cell>
          <cell r="I700">
            <v>6.0999999999999995E-3</v>
          </cell>
          <cell r="K700">
            <v>0</v>
          </cell>
          <cell r="M700">
            <v>0</v>
          </cell>
          <cell r="O700">
            <v>0</v>
          </cell>
        </row>
        <row r="701">
          <cell r="D701" t="str">
            <v>реконструкция</v>
          </cell>
          <cell r="G701">
            <v>6.0999999999999995E-3</v>
          </cell>
          <cell r="I701">
            <v>6.0999999999999995E-3</v>
          </cell>
        </row>
        <row r="702">
          <cell r="D702" t="str">
            <v>строительство</v>
          </cell>
          <cell r="G702">
            <v>0</v>
          </cell>
          <cell r="I702">
            <v>0</v>
          </cell>
        </row>
        <row r="703">
          <cell r="D703" t="str">
            <v>Электроснабжение садовых домиков в СНТ "имени И.В. Мичурина"</v>
          </cell>
          <cell r="G703">
            <v>0.69410000000000005</v>
          </cell>
          <cell r="I703">
            <v>0.68320000000000003</v>
          </cell>
          <cell r="K703">
            <v>1.0900000000000021E-2</v>
          </cell>
          <cell r="M703">
            <v>0</v>
          </cell>
          <cell r="O703">
            <v>0</v>
          </cell>
        </row>
        <row r="704">
          <cell r="D704" t="str">
            <v>реконструкция</v>
          </cell>
          <cell r="G704">
            <v>9.0800000000000006E-2</v>
          </cell>
          <cell r="I704">
            <v>9.0800000000000006E-2</v>
          </cell>
        </row>
        <row r="705">
          <cell r="D705" t="str">
            <v>строительство</v>
          </cell>
          <cell r="G705">
            <v>0.60330000000000006</v>
          </cell>
          <cell r="I705">
            <v>0.59240000000000004</v>
          </cell>
          <cell r="K705">
            <v>1.0900000000000021E-2</v>
          </cell>
        </row>
        <row r="706">
          <cell r="D706" t="str">
            <v>Электроснабжение садовых домиков в СНТ "Сокол-2"</v>
          </cell>
          <cell r="G706">
            <v>0</v>
          </cell>
          <cell r="I706">
            <v>0</v>
          </cell>
          <cell r="K706">
            <v>0</v>
          </cell>
          <cell r="M706">
            <v>0</v>
          </cell>
          <cell r="O706">
            <v>0</v>
          </cell>
        </row>
        <row r="707">
          <cell r="D707" t="str">
            <v>реконструкция</v>
          </cell>
          <cell r="G707">
            <v>0</v>
          </cell>
        </row>
        <row r="708">
          <cell r="D708" t="str">
            <v>строительство</v>
          </cell>
          <cell r="G708">
            <v>0</v>
          </cell>
        </row>
        <row r="709">
          <cell r="D709" t="str">
            <v>Электроснабжение административно-бытового корпуса с автомойкой по адресу: г. Липецк, ул. Ударников, кадастровый № 48:20:0011103:742</v>
          </cell>
          <cell r="G709">
            <v>0</v>
          </cell>
          <cell r="I709">
            <v>0</v>
          </cell>
          <cell r="K709">
            <v>0</v>
          </cell>
          <cell r="M709">
            <v>0</v>
          </cell>
          <cell r="O709">
            <v>0</v>
          </cell>
        </row>
        <row r="710">
          <cell r="D710" t="str">
            <v>реконструкция</v>
          </cell>
          <cell r="G710">
            <v>0</v>
          </cell>
        </row>
        <row r="711">
          <cell r="D711" t="str">
            <v>строительство</v>
          </cell>
          <cell r="G711">
            <v>0</v>
          </cell>
        </row>
        <row r="712">
          <cell r="D712" t="str">
            <v>Электроснабжение садовых домиков в НТС "Металлург-3"</v>
          </cell>
          <cell r="G712">
            <v>0.1827</v>
          </cell>
          <cell r="I712">
            <v>0.1827</v>
          </cell>
          <cell r="K712">
            <v>0</v>
          </cell>
          <cell r="M712">
            <v>0</v>
          </cell>
          <cell r="O712">
            <v>0</v>
          </cell>
        </row>
        <row r="713">
          <cell r="D713" t="str">
            <v>реконструкция</v>
          </cell>
          <cell r="G713">
            <v>0.1827</v>
          </cell>
          <cell r="I713">
            <v>0.1827</v>
          </cell>
        </row>
        <row r="714">
          <cell r="D714" t="str">
            <v>строительство</v>
          </cell>
          <cell r="G714">
            <v>0</v>
          </cell>
          <cell r="I714">
            <v>0</v>
          </cell>
        </row>
        <row r="715">
          <cell r="D715" t="str">
            <v>Электроснабжение жилого дома по адресу: г. Липецк, ул. 2-я Крымская, д. 33</v>
          </cell>
          <cell r="G715">
            <v>7.0000000000000001E-3</v>
          </cell>
          <cell r="I715">
            <v>0</v>
          </cell>
          <cell r="K715">
            <v>7.0000000000000001E-3</v>
          </cell>
          <cell r="M715">
            <v>0</v>
          </cell>
          <cell r="O715">
            <v>0</v>
          </cell>
        </row>
        <row r="716">
          <cell r="D716" t="str">
            <v>реконструкция</v>
          </cell>
          <cell r="G716">
            <v>0</v>
          </cell>
        </row>
        <row r="717">
          <cell r="D717" t="str">
            <v>строительство</v>
          </cell>
          <cell r="G717">
            <v>7.0000000000000001E-3</v>
          </cell>
          <cell r="K717">
            <v>7.0000000000000001E-3</v>
          </cell>
        </row>
        <row r="718">
          <cell r="D718" t="str">
            <v>Электроснабжение кирпичного гаража № 45 с погребом по адресу: г. Липецк, ГК № 2 "За рулем", линия № 12</v>
          </cell>
          <cell r="G718">
            <v>6.0999999999999995E-3</v>
          </cell>
          <cell r="I718">
            <v>6.0999999999999995E-3</v>
          </cell>
          <cell r="K718">
            <v>0</v>
          </cell>
          <cell r="M718">
            <v>0</v>
          </cell>
          <cell r="O718">
            <v>0</v>
          </cell>
        </row>
        <row r="719">
          <cell r="D719" t="str">
            <v>реконструкция</v>
          </cell>
          <cell r="G719">
            <v>0</v>
          </cell>
          <cell r="I719">
            <v>0</v>
          </cell>
        </row>
        <row r="720">
          <cell r="D720" t="str">
            <v>строительство</v>
          </cell>
          <cell r="G720">
            <v>6.0999999999999995E-3</v>
          </cell>
          <cell r="I720">
            <v>6.0999999999999995E-3</v>
          </cell>
        </row>
        <row r="721">
          <cell r="D721" t="str">
            <v>Электроснабжение индивидуальный жилой дом по адресу: г. Липецк, с. Сселки, № 372 (по схеме, кадастровый № 48:20:0210301:413)</v>
          </cell>
          <cell r="G721">
            <v>0</v>
          </cell>
          <cell r="I721">
            <v>0</v>
          </cell>
          <cell r="K721">
            <v>0</v>
          </cell>
          <cell r="M721">
            <v>0</v>
          </cell>
          <cell r="O721">
            <v>0</v>
          </cell>
        </row>
        <row r="722">
          <cell r="D722" t="str">
            <v>реконструкция</v>
          </cell>
          <cell r="G722">
            <v>0</v>
          </cell>
        </row>
        <row r="723">
          <cell r="D723" t="str">
            <v>строительство</v>
          </cell>
          <cell r="G723">
            <v>0</v>
          </cell>
        </row>
        <row r="724">
          <cell r="D724" t="str">
            <v>Электроснабжение садового домика по адресу: г. Липецк, СНТ "Дачный-1", участок № 774</v>
          </cell>
          <cell r="G724">
            <v>0</v>
          </cell>
          <cell r="I724">
            <v>0</v>
          </cell>
          <cell r="K724">
            <v>0</v>
          </cell>
          <cell r="M724">
            <v>0</v>
          </cell>
          <cell r="O724">
            <v>0</v>
          </cell>
        </row>
        <row r="725">
          <cell r="D725" t="str">
            <v>реконструкция</v>
          </cell>
          <cell r="G725">
            <v>0</v>
          </cell>
        </row>
        <row r="726">
          <cell r="D726" t="str">
            <v>строительство</v>
          </cell>
          <cell r="G726">
            <v>0</v>
          </cell>
        </row>
        <row r="727">
          <cell r="D727" t="str">
            <v>Электроснабжение магазина непродовольственных товаров по адресу: г. Липецк, пр. Мира, д. 21, кв. 10</v>
          </cell>
          <cell r="G727">
            <v>0.34870000000000001</v>
          </cell>
          <cell r="I727">
            <v>1.8100000000000002E-2</v>
          </cell>
          <cell r="K727">
            <v>0.3306</v>
          </cell>
          <cell r="M727">
            <v>0</v>
          </cell>
          <cell r="O727">
            <v>0</v>
          </cell>
        </row>
        <row r="728">
          <cell r="D728" t="str">
            <v>реконструкция</v>
          </cell>
          <cell r="G728">
            <v>0</v>
          </cell>
          <cell r="I728">
            <v>0</v>
          </cell>
        </row>
        <row r="729">
          <cell r="D729" t="str">
            <v>строительство</v>
          </cell>
          <cell r="G729">
            <v>0.34870000000000001</v>
          </cell>
          <cell r="I729">
            <v>1.8100000000000002E-2</v>
          </cell>
          <cell r="K729">
            <v>0.3306</v>
          </cell>
        </row>
        <row r="730">
          <cell r="D730" t="str">
            <v>Электроснабжение СНТ "Дачный-5" по адресу: г. Липецк, поселок Дачный</v>
          </cell>
          <cell r="G730">
            <v>0</v>
          </cell>
          <cell r="I730">
            <v>0</v>
          </cell>
          <cell r="K730">
            <v>0</v>
          </cell>
          <cell r="M730">
            <v>0</v>
          </cell>
          <cell r="O730">
            <v>0</v>
          </cell>
        </row>
        <row r="731">
          <cell r="D731" t="str">
            <v>реконструкция</v>
          </cell>
          <cell r="G731">
            <v>0</v>
          </cell>
        </row>
        <row r="732">
          <cell r="D732" t="str">
            <v>строительство</v>
          </cell>
          <cell r="G732">
            <v>0</v>
          </cell>
        </row>
        <row r="733">
          <cell r="D733" t="str">
            <v>Электроснабжение индивидуального жилого дома по адресу: г. Липецк, ул. Свободный Сокол, дом № 60 а</v>
          </cell>
          <cell r="G733">
            <v>0</v>
          </cell>
          <cell r="I733">
            <v>0</v>
          </cell>
          <cell r="K733">
            <v>0</v>
          </cell>
          <cell r="M733">
            <v>0</v>
          </cell>
          <cell r="O733">
            <v>0</v>
          </cell>
        </row>
        <row r="734">
          <cell r="D734" t="str">
            <v>реконструкция</v>
          </cell>
          <cell r="G734">
            <v>0</v>
          </cell>
        </row>
        <row r="735">
          <cell r="D735" t="str">
            <v>строительство</v>
          </cell>
          <cell r="G735">
            <v>0</v>
          </cell>
        </row>
        <row r="736">
          <cell r="D736" t="str">
            <v>Электроснабжение жилого дома по адресу: г. Липецк, ул. Черешневая, д. № 47 (по схеме)</v>
          </cell>
          <cell r="G736">
            <v>4.0000000000000002E-4</v>
          </cell>
          <cell r="I736">
            <v>4.0000000000000002E-4</v>
          </cell>
          <cell r="K736">
            <v>0</v>
          </cell>
          <cell r="M736">
            <v>0</v>
          </cell>
          <cell r="O736">
            <v>0</v>
          </cell>
        </row>
        <row r="737">
          <cell r="D737" t="str">
            <v>реконструкция</v>
          </cell>
          <cell r="G737">
            <v>4.0000000000000002E-4</v>
          </cell>
          <cell r="I737">
            <v>4.0000000000000002E-4</v>
          </cell>
        </row>
        <row r="738">
          <cell r="D738" t="str">
            <v>строительство</v>
          </cell>
          <cell r="G738">
            <v>0</v>
          </cell>
          <cell r="I738">
            <v>0</v>
          </cell>
        </row>
        <row r="739">
          <cell r="D739" t="str">
            <v>Электроснабжение жилых домов по адресу: г. Липецк, проезд Боевой</v>
          </cell>
          <cell r="G739">
            <v>0.90610000000000002</v>
          </cell>
          <cell r="I739">
            <v>0.8165</v>
          </cell>
          <cell r="K739">
            <v>8.9600000000000013E-2</v>
          </cell>
          <cell r="M739">
            <v>0</v>
          </cell>
          <cell r="O739">
            <v>0</v>
          </cell>
        </row>
        <row r="740">
          <cell r="D740" t="str">
            <v>реконструкция</v>
          </cell>
          <cell r="G740">
            <v>0</v>
          </cell>
          <cell r="I740">
            <v>0</v>
          </cell>
        </row>
        <row r="741">
          <cell r="D741" t="str">
            <v>строительство</v>
          </cell>
          <cell r="G741">
            <v>0.90610000000000002</v>
          </cell>
          <cell r="I741">
            <v>0.8165</v>
          </cell>
          <cell r="K741">
            <v>8.9600000000000013E-2</v>
          </cell>
        </row>
        <row r="742">
          <cell r="D742" t="str">
            <v>Электроснабжение садовых домиков в СНТ "Дачный-1"</v>
          </cell>
          <cell r="G742">
            <v>0</v>
          </cell>
          <cell r="I742">
            <v>0</v>
          </cell>
          <cell r="K742">
            <v>0</v>
          </cell>
          <cell r="M742">
            <v>0</v>
          </cell>
          <cell r="O742">
            <v>0</v>
          </cell>
        </row>
        <row r="743">
          <cell r="D743" t="str">
            <v>реконструкция</v>
          </cell>
          <cell r="G743">
            <v>0</v>
          </cell>
        </row>
        <row r="744">
          <cell r="D744" t="str">
            <v>строительство</v>
          </cell>
          <cell r="G744">
            <v>0</v>
          </cell>
        </row>
        <row r="745">
          <cell r="D745" t="str">
            <v>Электроснабжение индивидуального жилого дом по адресу: г. Липецк, район ул. Брусничная (кадастровый № 48:20:00000000:24407)</v>
          </cell>
          <cell r="G745">
            <v>8.9999999999999998E-4</v>
          </cell>
          <cell r="I745">
            <v>8.9999999999999998E-4</v>
          </cell>
          <cell r="K745">
            <v>0</v>
          </cell>
          <cell r="M745">
            <v>0</v>
          </cell>
          <cell r="O745">
            <v>0</v>
          </cell>
        </row>
        <row r="746">
          <cell r="D746" t="str">
            <v>реконструкция</v>
          </cell>
          <cell r="G746">
            <v>0</v>
          </cell>
          <cell r="I746">
            <v>0</v>
          </cell>
        </row>
        <row r="747">
          <cell r="D747" t="str">
            <v>строительство</v>
          </cell>
          <cell r="G747">
            <v>8.9999999999999998E-4</v>
          </cell>
          <cell r="I747">
            <v>8.9999999999999998E-4</v>
          </cell>
        </row>
        <row r="748">
          <cell r="D748" t="str">
            <v>Электроснабжение индивидуального жилого дома по адресу: г. Липецк, с. Сселки, зем. уч. № 79 ( по схеме)</v>
          </cell>
          <cell r="G748">
            <v>0</v>
          </cell>
          <cell r="I748">
            <v>0</v>
          </cell>
          <cell r="K748">
            <v>0</v>
          </cell>
          <cell r="M748">
            <v>0</v>
          </cell>
          <cell r="O748">
            <v>0</v>
          </cell>
        </row>
        <row r="749">
          <cell r="D749" t="str">
            <v>реконструкция</v>
          </cell>
          <cell r="G749">
            <v>0</v>
          </cell>
        </row>
        <row r="750">
          <cell r="D750" t="str">
            <v>строительство</v>
          </cell>
          <cell r="G750">
            <v>0</v>
          </cell>
        </row>
        <row r="751">
          <cell r="D751" t="str">
            <v>Электроснабжение гаража с мастерской по адресу: г. Липецк, ул. им. Д. Бедного, строительный 66 а</v>
          </cell>
          <cell r="G751">
            <v>0</v>
          </cell>
          <cell r="I751">
            <v>0</v>
          </cell>
          <cell r="K751">
            <v>0</v>
          </cell>
          <cell r="M751">
            <v>0</v>
          </cell>
          <cell r="O751">
            <v>0</v>
          </cell>
        </row>
        <row r="752">
          <cell r="D752" t="str">
            <v>реконструкция</v>
          </cell>
          <cell r="G752">
            <v>0</v>
          </cell>
        </row>
        <row r="753">
          <cell r="D753" t="str">
            <v>строительство</v>
          </cell>
          <cell r="G753">
            <v>0</v>
          </cell>
        </row>
        <row r="754">
          <cell r="D754" t="str">
            <v>Электроснабжение садового домика по адресу: НТС "Металлург-3", улица 41-1, земельный участок № 13</v>
          </cell>
          <cell r="G754">
            <v>0</v>
          </cell>
          <cell r="I754">
            <v>0</v>
          </cell>
          <cell r="K754">
            <v>0</v>
          </cell>
          <cell r="M754">
            <v>0</v>
          </cell>
          <cell r="O754">
            <v>0</v>
          </cell>
        </row>
        <row r="755">
          <cell r="D755" t="str">
            <v>реконструкция</v>
          </cell>
          <cell r="G755">
            <v>0</v>
          </cell>
        </row>
        <row r="756">
          <cell r="D756" t="str">
            <v>строительство</v>
          </cell>
          <cell r="G756">
            <v>0</v>
          </cell>
        </row>
        <row r="757">
          <cell r="D757" t="str">
            <v>Электроснабжение жилого дома по адресу: г. Липецк, ул. Шаумяна, дом 22</v>
          </cell>
          <cell r="G757">
            <v>2.2800000000000001E-2</v>
          </cell>
          <cell r="I757">
            <v>2.2800000000000001E-2</v>
          </cell>
          <cell r="K757">
            <v>0</v>
          </cell>
          <cell r="M757">
            <v>0</v>
          </cell>
          <cell r="O757">
            <v>0</v>
          </cell>
        </row>
        <row r="758">
          <cell r="D758" t="str">
            <v>реконструкция</v>
          </cell>
          <cell r="G758">
            <v>2.2800000000000001E-2</v>
          </cell>
          <cell r="I758">
            <v>2.2800000000000001E-2</v>
          </cell>
        </row>
        <row r="759">
          <cell r="D759" t="str">
            <v>строительство</v>
          </cell>
          <cell r="G759">
            <v>0</v>
          </cell>
          <cell r="I759">
            <v>0</v>
          </cell>
        </row>
        <row r="760">
          <cell r="D760" t="str">
            <v>Электроснабжение 1/2 доли садового домика по адресу: г. Липецк, СНТ "Горняк", участок № 119</v>
          </cell>
          <cell r="G760">
            <v>0</v>
          </cell>
          <cell r="I760">
            <v>0</v>
          </cell>
          <cell r="K760">
            <v>0</v>
          </cell>
          <cell r="M760">
            <v>0</v>
          </cell>
          <cell r="O760">
            <v>0</v>
          </cell>
        </row>
        <row r="761">
          <cell r="D761" t="str">
            <v>реконструкция</v>
          </cell>
          <cell r="G761">
            <v>0</v>
          </cell>
        </row>
        <row r="762">
          <cell r="D762" t="str">
            <v>строительство</v>
          </cell>
          <cell r="G762">
            <v>0</v>
          </cell>
        </row>
        <row r="763">
          <cell r="D763" t="str">
            <v>Электроснабжение садового домика по адресу: г. Липецк, садоводческое объединение коллективного партнерства "Сокол-2", участок № 922</v>
          </cell>
          <cell r="G763">
            <v>2.5999999999999999E-3</v>
          </cell>
          <cell r="I763">
            <v>0</v>
          </cell>
          <cell r="K763">
            <v>2.5999999999999999E-3</v>
          </cell>
          <cell r="M763">
            <v>0</v>
          </cell>
          <cell r="O763">
            <v>0</v>
          </cell>
        </row>
        <row r="764">
          <cell r="D764" t="str">
            <v>реконструкция</v>
          </cell>
          <cell r="G764">
            <v>2.5999999999999999E-3</v>
          </cell>
          <cell r="K764">
            <v>2.5999999999999999E-3</v>
          </cell>
        </row>
        <row r="765">
          <cell r="D765" t="str">
            <v>строительство</v>
          </cell>
          <cell r="G765">
            <v>0</v>
          </cell>
        </row>
        <row r="766">
          <cell r="D766" t="str">
            <v>Электроснабжение индивидуального жилого дома по адресу: г. Липецк, ул. Индустриальная, д. 236</v>
          </cell>
          <cell r="G766">
            <v>0</v>
          </cell>
          <cell r="I766">
            <v>0</v>
          </cell>
          <cell r="K766">
            <v>0</v>
          </cell>
          <cell r="M766">
            <v>0</v>
          </cell>
          <cell r="O766">
            <v>0</v>
          </cell>
        </row>
        <row r="767">
          <cell r="D767" t="str">
            <v>реконструкция</v>
          </cell>
          <cell r="G767">
            <v>0</v>
          </cell>
        </row>
        <row r="768">
          <cell r="D768" t="str">
            <v>строительство</v>
          </cell>
          <cell r="G768">
            <v>0</v>
          </cell>
        </row>
        <row r="769">
          <cell r="D769" t="str">
            <v>Электроснабжение административного здания по адресу: г. Липецк, ул. 50 лет НЛМК</v>
          </cell>
          <cell r="G769">
            <v>0</v>
          </cell>
          <cell r="I769">
            <v>0</v>
          </cell>
          <cell r="K769">
            <v>0</v>
          </cell>
          <cell r="M769">
            <v>0</v>
          </cell>
          <cell r="O769">
            <v>0</v>
          </cell>
        </row>
        <row r="770">
          <cell r="D770" t="str">
            <v>реконструкция</v>
          </cell>
          <cell r="G770">
            <v>0</v>
          </cell>
        </row>
        <row r="771">
          <cell r="D771" t="str">
            <v>строительство</v>
          </cell>
          <cell r="G771">
            <v>0</v>
          </cell>
        </row>
        <row r="772">
          <cell r="D772" t="str">
            <v>Электроснабжение нежилого помещения по "почтовый адрес ориентира: г. Липецк, ул. Суворова, дом № 30"</v>
          </cell>
          <cell r="G772">
            <v>1.3414999999999999</v>
          </cell>
          <cell r="I772">
            <v>9.3299999999999994E-2</v>
          </cell>
          <cell r="K772">
            <v>1.2482</v>
          </cell>
          <cell r="M772">
            <v>0</v>
          </cell>
          <cell r="O772">
            <v>0</v>
          </cell>
        </row>
        <row r="773">
          <cell r="D773" t="str">
            <v>реконструкция</v>
          </cell>
          <cell r="G773">
            <v>0.21829999999999999</v>
          </cell>
          <cell r="I773">
            <v>0</v>
          </cell>
          <cell r="K773">
            <v>0.21829999999999999</v>
          </cell>
        </row>
        <row r="774">
          <cell r="D774" t="str">
            <v>строительство</v>
          </cell>
          <cell r="G774">
            <v>1.1232</v>
          </cell>
          <cell r="I774">
            <v>9.3299999999999994E-2</v>
          </cell>
          <cell r="K774">
            <v>1.0299</v>
          </cell>
        </row>
        <row r="775">
          <cell r="D775" t="str">
            <v>Электроснабжение индивидуального жилого дома по адресу: г. Липецк, ул. Карбышева, д. 33 (по схеме)</v>
          </cell>
          <cell r="G775">
            <v>5.0999999999999995E-3</v>
          </cell>
          <cell r="I775">
            <v>5.0999999999999995E-3</v>
          </cell>
          <cell r="K775">
            <v>0</v>
          </cell>
          <cell r="M775">
            <v>0</v>
          </cell>
          <cell r="O775">
            <v>0</v>
          </cell>
        </row>
        <row r="776">
          <cell r="D776" t="str">
            <v>реконструкция</v>
          </cell>
          <cell r="G776">
            <v>5.0999999999999995E-3</v>
          </cell>
          <cell r="I776">
            <v>5.0999999999999995E-3</v>
          </cell>
        </row>
        <row r="777">
          <cell r="D777" t="str">
            <v>строительство</v>
          </cell>
          <cell r="G777">
            <v>0</v>
          </cell>
          <cell r="I777">
            <v>0</v>
          </cell>
        </row>
        <row r="778">
          <cell r="D778" t="str">
            <v>Электроснабжение садовых домиков в СНП "Спутник"</v>
          </cell>
          <cell r="G778">
            <v>0</v>
          </cell>
          <cell r="I778">
            <v>0</v>
          </cell>
          <cell r="K778">
            <v>0</v>
          </cell>
          <cell r="M778">
            <v>0</v>
          </cell>
          <cell r="O778">
            <v>0</v>
          </cell>
        </row>
        <row r="779">
          <cell r="D779" t="str">
            <v>реконструкция</v>
          </cell>
          <cell r="G779">
            <v>0</v>
          </cell>
        </row>
        <row r="780">
          <cell r="D780" t="str">
            <v>строительство</v>
          </cell>
          <cell r="G780">
            <v>0</v>
          </cell>
        </row>
        <row r="781">
          <cell r="D781" t="str">
            <v>Электроснабжение здания бывшей насосной станции по адресу: г. Липецк, ул. Жуковского, сооружение 7</v>
          </cell>
          <cell r="G781">
            <v>1.1000000000000001E-3</v>
          </cell>
          <cell r="I781">
            <v>0</v>
          </cell>
          <cell r="K781">
            <v>1.1000000000000001E-3</v>
          </cell>
          <cell r="M781">
            <v>0</v>
          </cell>
          <cell r="O781">
            <v>0</v>
          </cell>
        </row>
        <row r="782">
          <cell r="D782" t="str">
            <v>реконструкция</v>
          </cell>
          <cell r="G782">
            <v>0</v>
          </cell>
        </row>
        <row r="783">
          <cell r="D783" t="str">
            <v>строительство</v>
          </cell>
          <cell r="G783">
            <v>1.1000000000000001E-3</v>
          </cell>
          <cell r="K783">
            <v>1.1000000000000001E-3</v>
          </cell>
        </row>
        <row r="784">
          <cell r="D784" t="str">
            <v>Электроснабжение жилого дома по адресу: г. Липецк, ул. Липецкая, дом № 93</v>
          </cell>
          <cell r="G784">
            <v>0.82940000000000003</v>
          </cell>
          <cell r="I784">
            <v>1.7500000000000002E-2</v>
          </cell>
          <cell r="K784">
            <v>0.81190000000000007</v>
          </cell>
          <cell r="M784">
            <v>-4.163336342344337E-17</v>
          </cell>
          <cell r="O784">
            <v>-4.163336342344337E-17</v>
          </cell>
        </row>
        <row r="785">
          <cell r="D785" t="str">
            <v>реконструкция</v>
          </cell>
          <cell r="G785">
            <v>0.65629999999999999</v>
          </cell>
          <cell r="I785">
            <v>0</v>
          </cell>
          <cell r="K785">
            <v>0.65629999999999999</v>
          </cell>
        </row>
        <row r="786">
          <cell r="D786" t="str">
            <v>строительство</v>
          </cell>
          <cell r="G786">
            <v>0.17310000000000009</v>
          </cell>
          <cell r="I786">
            <v>1.7500000000000002E-2</v>
          </cell>
          <cell r="K786">
            <v>0.15560000000000007</v>
          </cell>
        </row>
        <row r="787">
          <cell r="D787" t="str">
            <v>Электроснабжение садового домика по адресу: г. Липецк, потребительское общество пенсионеров и инвалидов "Сокол-1", участок № 520</v>
          </cell>
          <cell r="G787">
            <v>0</v>
          </cell>
          <cell r="I787">
            <v>0</v>
          </cell>
          <cell r="K787">
            <v>0</v>
          </cell>
          <cell r="M787">
            <v>0</v>
          </cell>
          <cell r="O787">
            <v>0</v>
          </cell>
        </row>
        <row r="788">
          <cell r="D788" t="str">
            <v>реконструкция</v>
          </cell>
          <cell r="G788">
            <v>0</v>
          </cell>
        </row>
        <row r="789">
          <cell r="D789" t="str">
            <v>строительство</v>
          </cell>
          <cell r="G789">
            <v>0</v>
          </cell>
        </row>
        <row r="790">
          <cell r="D790" t="str">
            <v>Электроснабжение индивидуального жилого дома по адресу: г. Липецк, ул. Базарная, д. 6 б</v>
          </cell>
          <cell r="G790">
            <v>2.6100000000000002E-2</v>
          </cell>
          <cell r="I790">
            <v>2.6100000000000002E-2</v>
          </cell>
          <cell r="K790">
            <v>0</v>
          </cell>
          <cell r="M790">
            <v>0</v>
          </cell>
          <cell r="O790">
            <v>0</v>
          </cell>
        </row>
        <row r="791">
          <cell r="D791" t="str">
            <v>реконструкция</v>
          </cell>
          <cell r="G791">
            <v>2.6100000000000002E-2</v>
          </cell>
          <cell r="I791">
            <v>2.6100000000000002E-2</v>
          </cell>
        </row>
        <row r="792">
          <cell r="D792" t="str">
            <v>строительство</v>
          </cell>
          <cell r="G792">
            <v>0</v>
          </cell>
          <cell r="I792">
            <v>0</v>
          </cell>
        </row>
        <row r="793">
          <cell r="D793" t="str">
            <v>Электроснабжение индивидуального жилого дома по адресу: г. Липецк, ПОПиИ "Сокол-1", участок № 136</v>
          </cell>
          <cell r="G793">
            <v>0</v>
          </cell>
          <cell r="I793">
            <v>0</v>
          </cell>
          <cell r="K793">
            <v>0</v>
          </cell>
          <cell r="M793">
            <v>0</v>
          </cell>
          <cell r="O793">
            <v>0</v>
          </cell>
        </row>
        <row r="794">
          <cell r="D794" t="str">
            <v>реконструкция</v>
          </cell>
          <cell r="G794">
            <v>0</v>
          </cell>
        </row>
        <row r="795">
          <cell r="D795" t="str">
            <v>строительство</v>
          </cell>
          <cell r="G795">
            <v>0</v>
          </cell>
        </row>
        <row r="796">
          <cell r="D796" t="str">
            <v xml:space="preserve">Электроснабжение садового домика по адресу: г. Липецк, ПОПиИ "Сокол-1", участок № 132 </v>
          </cell>
          <cell r="G796">
            <v>0</v>
          </cell>
          <cell r="I796">
            <v>0</v>
          </cell>
          <cell r="K796">
            <v>0</v>
          </cell>
          <cell r="M796">
            <v>0</v>
          </cell>
          <cell r="O796">
            <v>0</v>
          </cell>
        </row>
        <row r="797">
          <cell r="D797" t="str">
            <v>реконструкция</v>
          </cell>
          <cell r="G797">
            <v>0</v>
          </cell>
        </row>
        <row r="798">
          <cell r="D798" t="str">
            <v>строительство</v>
          </cell>
          <cell r="G798">
            <v>0</v>
          </cell>
        </row>
        <row r="799">
          <cell r="D799" t="str">
            <v>Электроснабжение кирпичного жилого дома с пристройкой по адресу: г. Липецк, ул. Дарвина, дом 104</v>
          </cell>
          <cell r="G799">
            <v>0</v>
          </cell>
          <cell r="I799">
            <v>0</v>
          </cell>
          <cell r="K799">
            <v>0</v>
          </cell>
          <cell r="M799">
            <v>0</v>
          </cell>
          <cell r="O799">
            <v>0</v>
          </cell>
        </row>
        <row r="800">
          <cell r="D800" t="str">
            <v>реконструкция</v>
          </cell>
          <cell r="G800">
            <v>0</v>
          </cell>
        </row>
        <row r="801">
          <cell r="D801" t="str">
            <v>строительство</v>
          </cell>
          <cell r="G801">
            <v>0</v>
          </cell>
        </row>
        <row r="802">
          <cell r="D802" t="str">
            <v>Электроснабжение объектов в районе ул. Ковалева</v>
          </cell>
          <cell r="G802">
            <v>0</v>
          </cell>
          <cell r="I802">
            <v>0</v>
          </cell>
          <cell r="K802">
            <v>0</v>
          </cell>
          <cell r="M802">
            <v>0</v>
          </cell>
          <cell r="O802">
            <v>0</v>
          </cell>
        </row>
        <row r="803">
          <cell r="D803" t="str">
            <v>реконструкция</v>
          </cell>
          <cell r="G803">
            <v>0</v>
          </cell>
        </row>
        <row r="804">
          <cell r="D804" t="str">
            <v>строительство</v>
          </cell>
          <cell r="G804">
            <v>0</v>
          </cell>
        </row>
        <row r="805">
          <cell r="D805" t="str">
            <v>Электроснабжение садового домика по адресу: г. Липецк, СНТ "Машиностроитель", участок № 884</v>
          </cell>
          <cell r="G805">
            <v>0</v>
          </cell>
          <cell r="I805">
            <v>0</v>
          </cell>
          <cell r="K805">
            <v>0</v>
          </cell>
          <cell r="M805">
            <v>0</v>
          </cell>
          <cell r="O805">
            <v>0</v>
          </cell>
        </row>
        <row r="806">
          <cell r="D806" t="str">
            <v>реконструкция</v>
          </cell>
          <cell r="G806">
            <v>0</v>
          </cell>
        </row>
        <row r="807">
          <cell r="D807" t="str">
            <v>строительство</v>
          </cell>
          <cell r="G807">
            <v>0</v>
          </cell>
        </row>
        <row r="808">
          <cell r="D808" t="str">
            <v>Электроснабжение гаража по адресу: г. Липецк, ул. Вавилова, д. 19</v>
          </cell>
          <cell r="G808">
            <v>0.01</v>
          </cell>
          <cell r="I808">
            <v>0.01</v>
          </cell>
          <cell r="K808">
            <v>0</v>
          </cell>
          <cell r="M808">
            <v>0</v>
          </cell>
          <cell r="O808">
            <v>0</v>
          </cell>
        </row>
        <row r="809">
          <cell r="D809" t="str">
            <v>реконструкция</v>
          </cell>
          <cell r="G809">
            <v>0.01</v>
          </cell>
          <cell r="I809">
            <v>0.01</v>
          </cell>
        </row>
        <row r="810">
          <cell r="D810" t="str">
            <v>строительство</v>
          </cell>
          <cell r="G810">
            <v>0</v>
          </cell>
          <cell r="I810">
            <v>0</v>
          </cell>
        </row>
        <row r="811">
          <cell r="D811" t="str">
            <v>Электроснабжение садовых домиков в СНТ "Сокол-3"</v>
          </cell>
          <cell r="G811">
            <v>1E-4</v>
          </cell>
          <cell r="I811">
            <v>0</v>
          </cell>
          <cell r="K811">
            <v>1E-4</v>
          </cell>
          <cell r="M811">
            <v>0</v>
          </cell>
          <cell r="O811">
            <v>0</v>
          </cell>
        </row>
        <row r="812">
          <cell r="D812" t="str">
            <v>реконструкция</v>
          </cell>
          <cell r="G812">
            <v>0</v>
          </cell>
        </row>
        <row r="813">
          <cell r="D813" t="str">
            <v>строительство</v>
          </cell>
          <cell r="G813">
            <v>1E-4</v>
          </cell>
          <cell r="K813">
            <v>1E-4</v>
          </cell>
        </row>
        <row r="814">
          <cell r="D814" t="str">
            <v>Электроснабжение 1/2 доли жилого дома по адресу: г. Липецк, ул. Одесская, дом № 74</v>
          </cell>
          <cell r="G814">
            <v>0.13350000000000001</v>
          </cell>
          <cell r="I814">
            <v>0</v>
          </cell>
          <cell r="K814">
            <v>0.13350000000000001</v>
          </cell>
          <cell r="M814">
            <v>0</v>
          </cell>
          <cell r="O814">
            <v>0</v>
          </cell>
        </row>
        <row r="815">
          <cell r="D815" t="str">
            <v>реконструкция</v>
          </cell>
          <cell r="G815">
            <v>0.13350000000000001</v>
          </cell>
          <cell r="K815">
            <v>0.13350000000000001</v>
          </cell>
        </row>
        <row r="816">
          <cell r="D816" t="str">
            <v>строительство</v>
          </cell>
          <cell r="G816">
            <v>0</v>
          </cell>
        </row>
        <row r="817">
          <cell r="D817" t="str">
            <v>Электроснабжение садового домика по адресу: г. Липецк, ПОПиИ "Сокол-1", земельный участок № 535</v>
          </cell>
          <cell r="G817">
            <v>2E-3</v>
          </cell>
          <cell r="I817">
            <v>0</v>
          </cell>
          <cell r="K817">
            <v>2E-3</v>
          </cell>
          <cell r="M817">
            <v>0</v>
          </cell>
          <cell r="O817">
            <v>0</v>
          </cell>
        </row>
        <row r="818">
          <cell r="D818" t="str">
            <v>реконструкция</v>
          </cell>
          <cell r="G818">
            <v>2E-3</v>
          </cell>
          <cell r="K818">
            <v>2E-3</v>
          </cell>
        </row>
        <row r="819">
          <cell r="D819" t="str">
            <v>строительство</v>
          </cell>
          <cell r="G819">
            <v>0</v>
          </cell>
        </row>
        <row r="820">
          <cell r="D820" t="str">
            <v>Электроснабжение садового домика по адресу: г. Липецк, ПОПиИ "Сокол-1", участок № 712</v>
          </cell>
          <cell r="G820">
            <v>0</v>
          </cell>
          <cell r="I820">
            <v>0</v>
          </cell>
          <cell r="K820">
            <v>0</v>
          </cell>
          <cell r="M820">
            <v>0</v>
          </cell>
          <cell r="O820">
            <v>0</v>
          </cell>
        </row>
        <row r="821">
          <cell r="D821" t="str">
            <v>реконструкция</v>
          </cell>
          <cell r="G821">
            <v>0</v>
          </cell>
        </row>
        <row r="822">
          <cell r="D822" t="str">
            <v>строительство</v>
          </cell>
          <cell r="G822">
            <v>0</v>
          </cell>
        </row>
        <row r="823">
          <cell r="D823" t="str">
            <v>Электроснабжение садовых домиков в 1 и 5 массиве СТ "Ударник"</v>
          </cell>
          <cell r="G823">
            <v>2.63E-2</v>
          </cell>
          <cell r="I823">
            <v>2.5700000000000001E-2</v>
          </cell>
          <cell r="K823">
            <v>5.9999999999999984E-4</v>
          </cell>
          <cell r="M823">
            <v>0</v>
          </cell>
          <cell r="O823">
            <v>0</v>
          </cell>
        </row>
        <row r="824">
          <cell r="D824" t="str">
            <v>реконструкция</v>
          </cell>
          <cell r="G824">
            <v>0</v>
          </cell>
          <cell r="I824">
            <v>0</v>
          </cell>
        </row>
        <row r="825">
          <cell r="D825" t="str">
            <v>строительство</v>
          </cell>
          <cell r="G825">
            <v>2.63E-2</v>
          </cell>
          <cell r="I825">
            <v>2.5700000000000001E-2</v>
          </cell>
          <cell r="K825">
            <v>5.9999999999999984E-4</v>
          </cell>
        </row>
        <row r="826">
          <cell r="D826" t="str">
            <v>Электроснабжение жилого дома по адресу: г. Липецк, ул. И.Франко, дом 43</v>
          </cell>
          <cell r="G826">
            <v>0</v>
          </cell>
          <cell r="I826">
            <v>0</v>
          </cell>
          <cell r="K826">
            <v>0</v>
          </cell>
          <cell r="M826">
            <v>0</v>
          </cell>
          <cell r="O826">
            <v>0</v>
          </cell>
        </row>
        <row r="827">
          <cell r="D827" t="str">
            <v>реконструкция</v>
          </cell>
          <cell r="G827">
            <v>0</v>
          </cell>
        </row>
        <row r="828">
          <cell r="D828" t="str">
            <v>строительство</v>
          </cell>
          <cell r="G828">
            <v>0</v>
          </cell>
        </row>
        <row r="829">
          <cell r="D829" t="str">
            <v>Электроснабжение садового домика по адресу: г. Липецк, СТ "Строитель, участок № 183</v>
          </cell>
          <cell r="G829">
            <v>0</v>
          </cell>
          <cell r="I829">
            <v>0</v>
          </cell>
          <cell r="K829">
            <v>0</v>
          </cell>
          <cell r="M829">
            <v>0</v>
          </cell>
          <cell r="O829">
            <v>0</v>
          </cell>
        </row>
        <row r="830">
          <cell r="D830" t="str">
            <v>реконструкция</v>
          </cell>
          <cell r="G830">
            <v>0</v>
          </cell>
        </row>
        <row r="831">
          <cell r="D831" t="str">
            <v>строительство</v>
          </cell>
          <cell r="G831">
            <v>0</v>
          </cell>
        </row>
        <row r="832">
          <cell r="D832" t="str">
            <v>Электроснабжение садового домика по адресу: г. Липецк, СНТ "Горняк", участок № 586</v>
          </cell>
          <cell r="G832">
            <v>0</v>
          </cell>
          <cell r="I832">
            <v>0</v>
          </cell>
          <cell r="K832">
            <v>0</v>
          </cell>
          <cell r="M832">
            <v>0</v>
          </cell>
          <cell r="O832">
            <v>0</v>
          </cell>
        </row>
        <row r="833">
          <cell r="D833" t="str">
            <v>реконструкция</v>
          </cell>
          <cell r="G833">
            <v>0</v>
          </cell>
        </row>
        <row r="834">
          <cell r="D834" t="str">
            <v>строительство</v>
          </cell>
          <cell r="G834">
            <v>0</v>
          </cell>
        </row>
        <row r="835">
          <cell r="D835" t="str">
            <v>Электроснабжение садовых домиков в 4 массиве СТ "Ударник"</v>
          </cell>
          <cell r="G835">
            <v>1.4917</v>
          </cell>
          <cell r="I835">
            <v>5.7599999999999998E-2</v>
          </cell>
          <cell r="K835">
            <v>1.4340999999999999</v>
          </cell>
          <cell r="M835">
            <v>9.7144514654701197E-17</v>
          </cell>
          <cell r="O835">
            <v>9.7144514654701197E-17</v>
          </cell>
        </row>
        <row r="836">
          <cell r="D836" t="str">
            <v>реконструкция</v>
          </cell>
          <cell r="G836">
            <v>1.4917</v>
          </cell>
          <cell r="I836">
            <v>5.7599999999999998E-2</v>
          </cell>
          <cell r="K836">
            <v>1.4340999999999999</v>
          </cell>
        </row>
        <row r="837">
          <cell r="D837" t="str">
            <v>строительство</v>
          </cell>
          <cell r="G837">
            <v>0</v>
          </cell>
          <cell r="I837">
            <v>0</v>
          </cell>
        </row>
        <row r="838">
          <cell r="D838" t="str">
            <v>Электроснабжение кирпичного садового домика по адресу: г. Липецк, ПСОПиИ им. И.В. Мичурина, ул. Коллективная, земельный участок № 44</v>
          </cell>
          <cell r="G838">
            <v>3.39E-2</v>
          </cell>
          <cell r="I838">
            <v>3.39E-2</v>
          </cell>
          <cell r="K838">
            <v>0</v>
          </cell>
          <cell r="M838">
            <v>0</v>
          </cell>
          <cell r="O838">
            <v>0</v>
          </cell>
        </row>
        <row r="839">
          <cell r="D839" t="str">
            <v>реконструкция</v>
          </cell>
          <cell r="G839">
            <v>3.39E-2</v>
          </cell>
          <cell r="I839">
            <v>3.39E-2</v>
          </cell>
        </row>
        <row r="840">
          <cell r="D840" t="str">
            <v>строительство</v>
          </cell>
          <cell r="G840">
            <v>0</v>
          </cell>
          <cell r="I840">
            <v>0</v>
          </cell>
        </row>
        <row r="841">
          <cell r="D841" t="str">
            <v>Электроснабжение садового домика по адресу: г. Липецк, СНТ "Металлург-2", земельный участок № 1893</v>
          </cell>
          <cell r="G841">
            <v>8.4199999999999997E-2</v>
          </cell>
          <cell r="I841">
            <v>0</v>
          </cell>
          <cell r="K841">
            <v>8.4199999999999997E-2</v>
          </cell>
          <cell r="M841">
            <v>0</v>
          </cell>
          <cell r="O841">
            <v>0</v>
          </cell>
        </row>
        <row r="842">
          <cell r="D842" t="str">
            <v>реконструкция</v>
          </cell>
          <cell r="G842">
            <v>8.4199999999999997E-2</v>
          </cell>
          <cell r="K842">
            <v>8.4199999999999997E-2</v>
          </cell>
        </row>
        <row r="843">
          <cell r="D843" t="str">
            <v>строительство</v>
          </cell>
          <cell r="G843">
            <v>0</v>
          </cell>
        </row>
        <row r="844">
          <cell r="D844" t="str">
            <v>Электроснабжение 1/2 доля жилого дома по адресу: г. Липецк, ул. Речная, д. № 24 а</v>
          </cell>
          <cell r="G844">
            <v>1.6300000000000002E-2</v>
          </cell>
          <cell r="I844">
            <v>5.0000000000000001E-4</v>
          </cell>
          <cell r="K844">
            <v>1.5800000000000002E-2</v>
          </cell>
          <cell r="M844">
            <v>0</v>
          </cell>
          <cell r="O844">
            <v>0</v>
          </cell>
        </row>
        <row r="845">
          <cell r="D845" t="str">
            <v>реконструкция</v>
          </cell>
          <cell r="G845">
            <v>0</v>
          </cell>
          <cell r="I845">
            <v>0</v>
          </cell>
        </row>
        <row r="846">
          <cell r="D846" t="str">
            <v>строительство</v>
          </cell>
          <cell r="G846">
            <v>1.6300000000000002E-2</v>
          </cell>
          <cell r="I846">
            <v>5.0000000000000001E-4</v>
          </cell>
          <cell r="K846">
            <v>1.5800000000000002E-2</v>
          </cell>
        </row>
        <row r="847">
          <cell r="D847" t="str">
            <v>Электроснабжение гаража по адресу: Липецкая обл., Грязинский р-он, с. Казинка, район мастерской, гараж № 3</v>
          </cell>
          <cell r="G847">
            <v>0</v>
          </cell>
          <cell r="I847">
            <v>0</v>
          </cell>
          <cell r="K847">
            <v>0</v>
          </cell>
          <cell r="M847">
            <v>0</v>
          </cell>
          <cell r="O847">
            <v>0</v>
          </cell>
        </row>
        <row r="848">
          <cell r="D848" t="str">
            <v>реконструкция</v>
          </cell>
          <cell r="G848">
            <v>0</v>
          </cell>
        </row>
        <row r="849">
          <cell r="D849" t="str">
            <v>строительство</v>
          </cell>
          <cell r="G849">
            <v>0</v>
          </cell>
        </row>
        <row r="850">
          <cell r="D850" t="str">
            <v>Электроснабжение индивидуального жилого дома по адресу: г. Липецк, ул. Садовая, д. № 51 Литер Б)</v>
          </cell>
          <cell r="G850">
            <v>0.37619999999999998</v>
          </cell>
          <cell r="I850">
            <v>0.37619999999999998</v>
          </cell>
          <cell r="K850">
            <v>0</v>
          </cell>
          <cell r="M850">
            <v>0</v>
          </cell>
          <cell r="O850">
            <v>0</v>
          </cell>
        </row>
        <row r="851">
          <cell r="D851" t="str">
            <v>реконструкция</v>
          </cell>
          <cell r="G851">
            <v>0.37619999999999998</v>
          </cell>
          <cell r="I851">
            <v>0.37619999999999998</v>
          </cell>
        </row>
        <row r="852">
          <cell r="D852" t="str">
            <v>строительство</v>
          </cell>
          <cell r="G852">
            <v>0</v>
          </cell>
          <cell r="I852">
            <v>0</v>
          </cell>
        </row>
        <row r="853">
          <cell r="D853" t="str">
            <v>Электроснабжение гаража по адресу: г. Липецк, 15 микрорайон, ГПК -9, гараж № 273</v>
          </cell>
          <cell r="G853">
            <v>9.3799999999999994E-2</v>
          </cell>
          <cell r="I853">
            <v>8.6900000000000005E-2</v>
          </cell>
          <cell r="K853">
            <v>6.8999999999999895E-3</v>
          </cell>
          <cell r="M853">
            <v>0</v>
          </cell>
          <cell r="O853">
            <v>0</v>
          </cell>
        </row>
        <row r="854">
          <cell r="D854" t="str">
            <v>реконструкция</v>
          </cell>
          <cell r="G854">
            <v>9.3799999999999994E-2</v>
          </cell>
          <cell r="I854">
            <v>8.6900000000000005E-2</v>
          </cell>
          <cell r="K854">
            <v>6.8999999999999895E-3</v>
          </cell>
        </row>
        <row r="855">
          <cell r="D855" t="str">
            <v>строительство</v>
          </cell>
          <cell r="G855">
            <v>0</v>
          </cell>
          <cell r="I855">
            <v>0</v>
          </cell>
        </row>
        <row r="856">
          <cell r="D856" t="str">
            <v>Электроснабжение гаража по адресу: г. Липецк, во дворе дома № 4 по ул. Б.Хмельницкого</v>
          </cell>
          <cell r="G856">
            <v>2.1899999999999999E-2</v>
          </cell>
          <cell r="I856">
            <v>6.4000000000000003E-3</v>
          </cell>
          <cell r="K856">
            <v>1.55E-2</v>
          </cell>
          <cell r="M856">
            <v>0</v>
          </cell>
          <cell r="O856">
            <v>0</v>
          </cell>
        </row>
        <row r="857">
          <cell r="D857" t="str">
            <v>реконструкция</v>
          </cell>
          <cell r="G857">
            <v>1.55E-2</v>
          </cell>
          <cell r="I857">
            <v>0</v>
          </cell>
          <cell r="K857">
            <v>1.55E-2</v>
          </cell>
        </row>
        <row r="858">
          <cell r="D858" t="str">
            <v>строительство</v>
          </cell>
          <cell r="G858">
            <v>6.4000000000000003E-3</v>
          </cell>
          <cell r="I858">
            <v>6.4000000000000003E-3</v>
          </cell>
        </row>
        <row r="859">
          <cell r="D859" t="str">
            <v>Электроснабжение садовых домиков в СНТ "Дачный-3"</v>
          </cell>
          <cell r="G859">
            <v>2.7262999999999997</v>
          </cell>
          <cell r="I859">
            <v>2.4756999999999998</v>
          </cell>
          <cell r="K859">
            <v>0.25059999999999993</v>
          </cell>
          <cell r="M859">
            <v>0</v>
          </cell>
          <cell r="O859">
            <v>0</v>
          </cell>
        </row>
        <row r="860">
          <cell r="D860" t="str">
            <v>реконструкция</v>
          </cell>
          <cell r="G860">
            <v>0</v>
          </cell>
          <cell r="I860">
            <v>0</v>
          </cell>
        </row>
        <row r="861">
          <cell r="D861" t="str">
            <v>строительство</v>
          </cell>
          <cell r="G861">
            <v>2.7262999999999997</v>
          </cell>
          <cell r="I861">
            <v>2.4756999999999998</v>
          </cell>
          <cell r="K861">
            <v>0.25059999999999993</v>
          </cell>
        </row>
        <row r="862">
          <cell r="D862" t="str">
            <v>Электроснабжение садовых домиков в СНТ "Цементник"</v>
          </cell>
          <cell r="G862">
            <v>1.1000000000000001E-3</v>
          </cell>
          <cell r="I862">
            <v>0</v>
          </cell>
          <cell r="K862">
            <v>1.1000000000000001E-3</v>
          </cell>
          <cell r="M862">
            <v>0</v>
          </cell>
          <cell r="O862">
            <v>0</v>
          </cell>
        </row>
        <row r="863">
          <cell r="D863" t="str">
            <v>реконструкция</v>
          </cell>
          <cell r="G863">
            <v>0</v>
          </cell>
        </row>
        <row r="864">
          <cell r="D864" t="str">
            <v>строительство</v>
          </cell>
          <cell r="G864">
            <v>1.1000000000000001E-3</v>
          </cell>
          <cell r="K864">
            <v>1.1000000000000001E-3</v>
          </cell>
        </row>
        <row r="865">
          <cell r="D865" t="str">
            <v>Электроснабжение 1/4 доли 1 части жилого дома с хозяйственными постройками по адресу: г. Липецк, ул. Бабушкина, д. 46</v>
          </cell>
          <cell r="G865">
            <v>0</v>
          </cell>
          <cell r="I865">
            <v>0</v>
          </cell>
          <cell r="K865">
            <v>0</v>
          </cell>
          <cell r="M865">
            <v>0</v>
          </cell>
          <cell r="O865">
            <v>0</v>
          </cell>
        </row>
        <row r="866">
          <cell r="D866" t="str">
            <v>реконструкция</v>
          </cell>
          <cell r="G866">
            <v>0</v>
          </cell>
        </row>
        <row r="867">
          <cell r="D867" t="str">
            <v>строительство</v>
          </cell>
          <cell r="G867">
            <v>0</v>
          </cell>
        </row>
        <row r="868">
          <cell r="D868" t="str">
            <v>Электроснабжение садового домика по адресу: г. Липецк, СНТ "Цементник", уч. № 316</v>
          </cell>
          <cell r="G868">
            <v>3.0899999999999997E-2</v>
          </cell>
          <cell r="I868">
            <v>0</v>
          </cell>
          <cell r="K868">
            <v>3.0899999999999997E-2</v>
          </cell>
          <cell r="M868">
            <v>0</v>
          </cell>
          <cell r="O868">
            <v>0</v>
          </cell>
        </row>
        <row r="869">
          <cell r="D869" t="str">
            <v>реконструкция</v>
          </cell>
          <cell r="G869">
            <v>0</v>
          </cell>
        </row>
        <row r="870">
          <cell r="D870" t="str">
            <v>строительство</v>
          </cell>
          <cell r="G870">
            <v>3.0899999999999997E-2</v>
          </cell>
          <cell r="K870">
            <v>3.0899999999999997E-2</v>
          </cell>
        </row>
        <row r="871">
          <cell r="D871" t="str">
            <v>Электроснабжение садового домика по адресу: г. Липецк, СНТ "Горняк", уч. № 550</v>
          </cell>
          <cell r="G871">
            <v>0</v>
          </cell>
          <cell r="I871">
            <v>0</v>
          </cell>
          <cell r="K871">
            <v>0</v>
          </cell>
          <cell r="M871">
            <v>0</v>
          </cell>
          <cell r="O871">
            <v>0</v>
          </cell>
        </row>
        <row r="872">
          <cell r="D872" t="str">
            <v>реконструкция</v>
          </cell>
          <cell r="G872">
            <v>0</v>
          </cell>
        </row>
        <row r="873">
          <cell r="D873" t="str">
            <v>строительство</v>
          </cell>
          <cell r="G873">
            <v>0</v>
          </cell>
        </row>
        <row r="874">
          <cell r="D874" t="str">
            <v>Электроснабжение автосервиса по адресу: г. Липецк, по ул. Московской в районе ул. Минской</v>
          </cell>
          <cell r="G874">
            <v>0.69559999999999989</v>
          </cell>
          <cell r="I874">
            <v>6.0999999999999995E-3</v>
          </cell>
          <cell r="K874">
            <v>0.68949999999999989</v>
          </cell>
          <cell r="M874">
            <v>0</v>
          </cell>
          <cell r="O874">
            <v>0</v>
          </cell>
        </row>
        <row r="875">
          <cell r="D875" t="str">
            <v>реконструкция</v>
          </cell>
          <cell r="G875">
            <v>0</v>
          </cell>
          <cell r="I875">
            <v>0</v>
          </cell>
        </row>
        <row r="876">
          <cell r="D876" t="str">
            <v>строительство</v>
          </cell>
          <cell r="G876">
            <v>0.69559999999999989</v>
          </cell>
          <cell r="I876">
            <v>6.0999999999999995E-3</v>
          </cell>
          <cell r="K876">
            <v>0.68949999999999989</v>
          </cell>
        </row>
        <row r="877">
          <cell r="D877" t="str">
            <v>Электроснабжение садового домика по адресу: г. Липецк, ПОПиИ "Сокол-1", земельный участок № 197</v>
          </cell>
          <cell r="G877">
            <v>1.5800000000000002E-2</v>
          </cell>
          <cell r="I877">
            <v>0</v>
          </cell>
          <cell r="K877">
            <v>1.5800000000000002E-2</v>
          </cell>
          <cell r="M877">
            <v>0</v>
          </cell>
          <cell r="O877">
            <v>0</v>
          </cell>
        </row>
        <row r="878">
          <cell r="D878" t="str">
            <v>реконструкция</v>
          </cell>
          <cell r="G878">
            <v>1.5800000000000002E-2</v>
          </cell>
          <cell r="K878">
            <v>1.5800000000000002E-2</v>
          </cell>
        </row>
        <row r="879">
          <cell r="D879" t="str">
            <v>строительство</v>
          </cell>
          <cell r="G879">
            <v>0</v>
          </cell>
        </row>
        <row r="880">
          <cell r="D880" t="str">
            <v>Электроснабжение кирпичного садового домика по адресу: г. Липецк, СПО "Металлург-1", II квартал, зем. уч. № 55</v>
          </cell>
          <cell r="G880">
            <v>5.0999999999999995E-3</v>
          </cell>
          <cell r="I880">
            <v>5.0999999999999995E-3</v>
          </cell>
          <cell r="K880">
            <v>0</v>
          </cell>
          <cell r="M880">
            <v>0</v>
          </cell>
          <cell r="O880">
            <v>0</v>
          </cell>
        </row>
        <row r="881">
          <cell r="D881" t="str">
            <v>реконструкция</v>
          </cell>
          <cell r="G881">
            <v>5.0999999999999995E-3</v>
          </cell>
          <cell r="I881">
            <v>5.0999999999999995E-3</v>
          </cell>
        </row>
        <row r="882">
          <cell r="D882" t="str">
            <v>строительство</v>
          </cell>
          <cell r="G882">
            <v>0</v>
          </cell>
          <cell r="I882">
            <v>0</v>
          </cell>
        </row>
        <row r="883">
          <cell r="D883" t="str">
            <v>Электроснабжение садовых домиков в СНТ "Дачный-1"</v>
          </cell>
          <cell r="G883">
            <v>0</v>
          </cell>
          <cell r="I883">
            <v>0</v>
          </cell>
          <cell r="K883">
            <v>0</v>
          </cell>
          <cell r="M883">
            <v>0</v>
          </cell>
          <cell r="O883">
            <v>0</v>
          </cell>
        </row>
        <row r="884">
          <cell r="D884" t="str">
            <v>реконструкция</v>
          </cell>
          <cell r="G884">
            <v>0</v>
          </cell>
        </row>
        <row r="885">
          <cell r="D885" t="str">
            <v>строительство</v>
          </cell>
          <cell r="G885">
            <v>0</v>
          </cell>
        </row>
        <row r="886">
          <cell r="D886" t="str">
            <v>Электроснабжение объектов в с. Сселки по ул. Советская</v>
          </cell>
          <cell r="G886">
            <v>0</v>
          </cell>
          <cell r="I886">
            <v>0</v>
          </cell>
          <cell r="K886">
            <v>0</v>
          </cell>
          <cell r="M886">
            <v>0</v>
          </cell>
          <cell r="O886">
            <v>0</v>
          </cell>
        </row>
        <row r="887">
          <cell r="D887" t="str">
            <v>реконструкция</v>
          </cell>
          <cell r="G887">
            <v>0</v>
          </cell>
        </row>
        <row r="888">
          <cell r="D888" t="str">
            <v>строительство</v>
          </cell>
          <cell r="G888">
            <v>0</v>
          </cell>
        </row>
        <row r="889">
          <cell r="D889" t="str">
            <v>Электроснабжение кирпичного гаража по адресу: г. Липецк, ул. Угловая, около школы № 44 и дома № 12, корп.а</v>
          </cell>
          <cell r="G889">
            <v>0</v>
          </cell>
          <cell r="I889">
            <v>0</v>
          </cell>
          <cell r="K889">
            <v>0</v>
          </cell>
          <cell r="M889">
            <v>0</v>
          </cell>
          <cell r="O889">
            <v>0</v>
          </cell>
        </row>
        <row r="890">
          <cell r="D890" t="str">
            <v>реконструкция</v>
          </cell>
          <cell r="G890">
            <v>0</v>
          </cell>
        </row>
        <row r="891">
          <cell r="D891" t="str">
            <v>строительство</v>
          </cell>
          <cell r="G891">
            <v>0</v>
          </cell>
        </row>
        <row r="892">
          <cell r="D892" t="str">
            <v>Электроснабжение садового домика по адресу: г. Липецк, СНТ "Дачный-3", зем. уч. № 43</v>
          </cell>
          <cell r="G892">
            <v>0</v>
          </cell>
          <cell r="I892">
            <v>0</v>
          </cell>
          <cell r="K892">
            <v>0</v>
          </cell>
          <cell r="M892">
            <v>0</v>
          </cell>
          <cell r="O892">
            <v>0</v>
          </cell>
        </row>
        <row r="893">
          <cell r="D893" t="str">
            <v>реконструкция</v>
          </cell>
          <cell r="G893">
            <v>0</v>
          </cell>
        </row>
        <row r="894">
          <cell r="D894" t="str">
            <v>строительство</v>
          </cell>
          <cell r="G894">
            <v>0</v>
          </cell>
        </row>
        <row r="895">
          <cell r="D895" t="str">
            <v>Электроснабжение садовых домиков в СНТ "Липецкстрой"</v>
          </cell>
          <cell r="G895">
            <v>0.19719999999999999</v>
          </cell>
          <cell r="I895">
            <v>0.17929999999999999</v>
          </cell>
          <cell r="K895">
            <v>1.7899999999999999E-2</v>
          </cell>
          <cell r="M895">
            <v>0</v>
          </cell>
          <cell r="O895">
            <v>0</v>
          </cell>
        </row>
        <row r="896">
          <cell r="D896" t="str">
            <v>реконструкция</v>
          </cell>
          <cell r="G896">
            <v>0.19719999999999999</v>
          </cell>
          <cell r="I896">
            <v>0.17929999999999999</v>
          </cell>
          <cell r="K896">
            <v>1.7899999999999999E-2</v>
          </cell>
        </row>
        <row r="897">
          <cell r="D897" t="str">
            <v>строительство</v>
          </cell>
          <cell r="G897">
            <v>0</v>
          </cell>
          <cell r="I897">
            <v>0</v>
          </cell>
        </row>
        <row r="898">
          <cell r="D898" t="str">
            <v>Электроснабжение садовых домиков в с/о "Сокол-3"</v>
          </cell>
          <cell r="G898">
            <v>0</v>
          </cell>
          <cell r="I898">
            <v>0</v>
          </cell>
          <cell r="K898">
            <v>0</v>
          </cell>
          <cell r="M898">
            <v>0</v>
          </cell>
          <cell r="O898">
            <v>0</v>
          </cell>
        </row>
        <row r="899">
          <cell r="D899" t="str">
            <v>реконструкция</v>
          </cell>
          <cell r="G899">
            <v>0</v>
          </cell>
        </row>
        <row r="900">
          <cell r="D900" t="str">
            <v>строительство</v>
          </cell>
          <cell r="G900">
            <v>0</v>
          </cell>
        </row>
        <row r="901">
          <cell r="D901" t="str">
            <v>Электроснабжение индивидуального жилого дома усадебного типа по адресу: г. Липецк, с/о "Сокол-3", уч. № 664</v>
          </cell>
          <cell r="G901">
            <v>0</v>
          </cell>
          <cell r="I901">
            <v>0</v>
          </cell>
          <cell r="K901">
            <v>0</v>
          </cell>
          <cell r="M901">
            <v>0</v>
          </cell>
          <cell r="O901">
            <v>0</v>
          </cell>
        </row>
        <row r="902">
          <cell r="D902" t="str">
            <v>реконструкция</v>
          </cell>
          <cell r="G902">
            <v>0</v>
          </cell>
        </row>
        <row r="903">
          <cell r="D903" t="str">
            <v>строительство</v>
          </cell>
          <cell r="G903">
            <v>0</v>
          </cell>
        </row>
        <row r="904">
          <cell r="D904" t="str">
            <v>Электроснабжение садового домика по адресу: СНТ "Сокол-2", уч. № 536</v>
          </cell>
          <cell r="G904">
            <v>0</v>
          </cell>
          <cell r="I904">
            <v>0</v>
          </cell>
          <cell r="K904">
            <v>0</v>
          </cell>
          <cell r="M904">
            <v>0</v>
          </cell>
          <cell r="O904">
            <v>0</v>
          </cell>
        </row>
        <row r="905">
          <cell r="D905" t="str">
            <v>реконструкция</v>
          </cell>
          <cell r="G905">
            <v>0</v>
          </cell>
        </row>
        <row r="906">
          <cell r="D906" t="str">
            <v>строительство</v>
          </cell>
          <cell r="G906">
            <v>0</v>
          </cell>
        </row>
        <row r="907">
          <cell r="D907" t="str">
            <v>Электроснабжение жилого дома с пристройкой по адресу: г. Липецк, ул. Шахтерская, дом № 7 а</v>
          </cell>
          <cell r="G907">
            <v>0</v>
          </cell>
          <cell r="I907">
            <v>0</v>
          </cell>
          <cell r="K907">
            <v>0</v>
          </cell>
          <cell r="M907">
            <v>0</v>
          </cell>
          <cell r="O907">
            <v>0</v>
          </cell>
        </row>
        <row r="908">
          <cell r="D908" t="str">
            <v>реконструкция</v>
          </cell>
          <cell r="G908">
            <v>0</v>
          </cell>
        </row>
        <row r="909">
          <cell r="D909" t="str">
            <v>строительство</v>
          </cell>
          <cell r="G909">
            <v>0</v>
          </cell>
        </row>
        <row r="910">
          <cell r="D910" t="str">
            <v>Электроснабжение 51/100 доли помещения с полуподвалом № 12 по адресу: г. Липецк, Универсальный проезд, д. 14</v>
          </cell>
          <cell r="G910">
            <v>0</v>
          </cell>
          <cell r="I910">
            <v>0</v>
          </cell>
          <cell r="K910">
            <v>0</v>
          </cell>
          <cell r="M910">
            <v>0</v>
          </cell>
          <cell r="O910">
            <v>0</v>
          </cell>
        </row>
        <row r="911">
          <cell r="D911" t="str">
            <v>реконструкция</v>
          </cell>
          <cell r="G911">
            <v>0</v>
          </cell>
        </row>
        <row r="912">
          <cell r="D912" t="str">
            <v>строительство</v>
          </cell>
          <cell r="G912">
            <v>0</v>
          </cell>
        </row>
        <row r="913">
          <cell r="D913" t="str">
            <v>Электроснабжение гаражного бокса № 19 по адресу: г. Липецк, ул. Неделина, д. 1 "б"</v>
          </cell>
          <cell r="G913">
            <v>0</v>
          </cell>
          <cell r="I913">
            <v>0</v>
          </cell>
          <cell r="K913">
            <v>0</v>
          </cell>
          <cell r="M913">
            <v>0</v>
          </cell>
          <cell r="O913">
            <v>0</v>
          </cell>
        </row>
        <row r="914">
          <cell r="D914" t="str">
            <v>реконструкция</v>
          </cell>
          <cell r="G914">
            <v>0</v>
          </cell>
        </row>
        <row r="915">
          <cell r="D915" t="str">
            <v>строительство</v>
          </cell>
          <cell r="G915">
            <v>0</v>
          </cell>
        </row>
        <row r="916">
          <cell r="D916" t="str">
            <v>Электроснабжение кирпичного гаража № 830 по адресу: г. Липецк, ГПК "Сырский", ряд 9</v>
          </cell>
          <cell r="G916">
            <v>0</v>
          </cell>
          <cell r="I916">
            <v>0</v>
          </cell>
          <cell r="K916">
            <v>0</v>
          </cell>
          <cell r="M916">
            <v>0</v>
          </cell>
          <cell r="O916">
            <v>0</v>
          </cell>
        </row>
        <row r="917">
          <cell r="D917" t="str">
            <v>реконструкция</v>
          </cell>
          <cell r="G917">
            <v>0</v>
          </cell>
        </row>
        <row r="918">
          <cell r="D918" t="str">
            <v>строительство</v>
          </cell>
          <cell r="G918">
            <v>0</v>
          </cell>
        </row>
        <row r="919">
          <cell r="D919" t="str">
            <v>Электроснабжение садовых домиков в СНТ "Липецкстрой", запитанных от КТП-92 ; 55 кВт, 220 В, 3 категория</v>
          </cell>
          <cell r="G919">
            <v>0</v>
          </cell>
          <cell r="I919">
            <v>0</v>
          </cell>
          <cell r="K919">
            <v>0</v>
          </cell>
          <cell r="M919">
            <v>0</v>
          </cell>
          <cell r="O919">
            <v>0</v>
          </cell>
        </row>
        <row r="920">
          <cell r="D920" t="str">
            <v>реконструкция</v>
          </cell>
          <cell r="G920">
            <v>0</v>
          </cell>
        </row>
        <row r="921">
          <cell r="D921" t="str">
            <v>строительство</v>
          </cell>
          <cell r="G921">
            <v>0</v>
          </cell>
        </row>
        <row r="922">
          <cell r="D922" t="str">
            <v>Электроснабжение садового домика по адресу: г. Липецк, СНТ "Металлург-2" ОАО "НЛМК", участок № 1947 а</v>
          </cell>
          <cell r="G922">
            <v>0.39510000000000001</v>
          </cell>
          <cell r="I922">
            <v>2.0000000000000001E-4</v>
          </cell>
          <cell r="K922">
            <v>0.39490000000000003</v>
          </cell>
          <cell r="M922">
            <v>-2.2036409155767878E-17</v>
          </cell>
          <cell r="O922">
            <v>-2.2036409155767878E-17</v>
          </cell>
        </row>
        <row r="923">
          <cell r="D923" t="str">
            <v>реконструкция</v>
          </cell>
          <cell r="G923">
            <v>0.39490000000000003</v>
          </cell>
          <cell r="I923">
            <v>0</v>
          </cell>
          <cell r="K923">
            <v>0.39490000000000003</v>
          </cell>
        </row>
        <row r="924">
          <cell r="D924" t="str">
            <v>строительство</v>
          </cell>
          <cell r="G924">
            <v>2.0000000000000001E-4</v>
          </cell>
          <cell r="I924">
            <v>2.0000000000000001E-4</v>
          </cell>
        </row>
        <row r="925">
          <cell r="D925" t="str">
            <v>Электроснабжение садового домика по адресу: г. Липецк, СНТ "Металлур-2" ОАО НЛМК, участок № 1913</v>
          </cell>
          <cell r="G925">
            <v>5.6100000000000004E-2</v>
          </cell>
          <cell r="I925">
            <v>0</v>
          </cell>
          <cell r="K925">
            <v>5.6100000000000004E-2</v>
          </cell>
          <cell r="M925">
            <v>0</v>
          </cell>
          <cell r="O925">
            <v>0</v>
          </cell>
        </row>
        <row r="926">
          <cell r="D926" t="str">
            <v>реконструкция</v>
          </cell>
          <cell r="G926">
            <v>0</v>
          </cell>
        </row>
        <row r="927">
          <cell r="D927" t="str">
            <v>строительство</v>
          </cell>
          <cell r="G927">
            <v>5.6100000000000004E-2</v>
          </cell>
          <cell r="K927">
            <v>5.6100000000000004E-2</v>
          </cell>
        </row>
        <row r="928">
          <cell r="D928" t="str">
            <v>Электроснабжение садовых домиков в СНТ "имени И.В. Мичурина"</v>
          </cell>
          <cell r="G928">
            <v>0</v>
          </cell>
          <cell r="I928">
            <v>0</v>
          </cell>
          <cell r="K928">
            <v>0</v>
          </cell>
          <cell r="M928">
            <v>0</v>
          </cell>
          <cell r="O928">
            <v>0</v>
          </cell>
        </row>
        <row r="929">
          <cell r="D929" t="str">
            <v>реконструкция</v>
          </cell>
          <cell r="G929">
            <v>0</v>
          </cell>
        </row>
        <row r="930">
          <cell r="D930" t="str">
            <v>строительство</v>
          </cell>
          <cell r="G930">
            <v>0</v>
          </cell>
        </row>
        <row r="931">
          <cell r="D931" t="str">
            <v>Электроснабжение гаража по адресу: г. Липецк, ГК "Пришвинский", гараж № 248</v>
          </cell>
          <cell r="G931">
            <v>0</v>
          </cell>
          <cell r="I931">
            <v>0</v>
          </cell>
          <cell r="K931">
            <v>0</v>
          </cell>
          <cell r="M931">
            <v>0</v>
          </cell>
          <cell r="O931">
            <v>0</v>
          </cell>
        </row>
        <row r="932">
          <cell r="D932" t="str">
            <v>реконструкция</v>
          </cell>
          <cell r="G932">
            <v>0</v>
          </cell>
        </row>
        <row r="933">
          <cell r="D933" t="str">
            <v>строительство</v>
          </cell>
          <cell r="G933">
            <v>0</v>
          </cell>
        </row>
        <row r="934">
          <cell r="D934" t="str">
            <v>Электроснабжение садовых домиков в СНТ "Тракторостроитель-1"</v>
          </cell>
          <cell r="G934">
            <v>0.12919999999999998</v>
          </cell>
          <cell r="I934">
            <v>6.0999999999999995E-3</v>
          </cell>
          <cell r="K934">
            <v>0.12309999999999999</v>
          </cell>
          <cell r="M934">
            <v>0</v>
          </cell>
          <cell r="O934">
            <v>0</v>
          </cell>
        </row>
        <row r="935">
          <cell r="D935" t="str">
            <v>реконструкция</v>
          </cell>
          <cell r="G935">
            <v>0</v>
          </cell>
          <cell r="I935">
            <v>0</v>
          </cell>
        </row>
        <row r="936">
          <cell r="D936" t="str">
            <v>строительство</v>
          </cell>
          <cell r="G936">
            <v>0.12919999999999998</v>
          </cell>
          <cell r="I936">
            <v>6.0999999999999995E-3</v>
          </cell>
          <cell r="K936">
            <v>0.12309999999999999</v>
          </cell>
        </row>
        <row r="937">
          <cell r="D937" t="str">
            <v>Иные объекты</v>
          </cell>
          <cell r="G937">
            <v>0</v>
          </cell>
          <cell r="I937">
            <v>0</v>
          </cell>
        </row>
        <row r="938">
          <cell r="D938" t="str">
            <v>Электроснабжение садового домика по адресу: г. Липецк, СНТ "Кооператор", линия № 2, земельный участок № 38</v>
          </cell>
          <cell r="G938">
            <v>0.49969999999999998</v>
          </cell>
          <cell r="I938">
            <v>0.49969999999999998</v>
          </cell>
          <cell r="K938">
            <v>0</v>
          </cell>
          <cell r="M938">
            <v>0</v>
          </cell>
          <cell r="O938">
            <v>0</v>
          </cell>
        </row>
        <row r="939">
          <cell r="D939" t="str">
            <v>реконструкция</v>
          </cell>
          <cell r="G939">
            <v>0.49969999999999998</v>
          </cell>
          <cell r="I939">
            <v>0.49969999999999998</v>
          </cell>
        </row>
        <row r="940">
          <cell r="D940" t="str">
            <v>строительство</v>
          </cell>
          <cell r="G940">
            <v>0</v>
          </cell>
          <cell r="I940">
            <v>0</v>
          </cell>
        </row>
        <row r="941">
          <cell r="D941" t="str">
            <v>Электроснабжение жилого дома по адресу: г. Липецк, пер. Чистый, д. 16</v>
          </cell>
          <cell r="G941">
            <v>0.31810000000000005</v>
          </cell>
          <cell r="I941">
            <v>0.30220000000000002</v>
          </cell>
          <cell r="K941">
            <v>1.5900000000000025E-2</v>
          </cell>
          <cell r="M941">
            <v>0</v>
          </cell>
          <cell r="O941">
            <v>0</v>
          </cell>
        </row>
        <row r="942">
          <cell r="D942" t="str">
            <v>реконструкция</v>
          </cell>
          <cell r="G942">
            <v>0.31810000000000005</v>
          </cell>
          <cell r="I942">
            <v>0.30220000000000002</v>
          </cell>
          <cell r="K942">
            <v>1.5900000000000025E-2</v>
          </cell>
        </row>
        <row r="943">
          <cell r="D943" t="str">
            <v>строительство</v>
          </cell>
          <cell r="G943">
            <v>0</v>
          </cell>
          <cell r="I943">
            <v>0</v>
          </cell>
        </row>
        <row r="944">
          <cell r="D944" t="str">
            <v>Электроснабжение садового домика по адресу: г. Липецк, СТ «Строитель», участок № 861</v>
          </cell>
          <cell r="G944">
            <v>0.77539999999999998</v>
          </cell>
          <cell r="I944">
            <v>5.4299999999999994E-2</v>
          </cell>
          <cell r="K944">
            <v>0.72109999999999996</v>
          </cell>
          <cell r="M944">
            <v>0</v>
          </cell>
          <cell r="O944">
            <v>0</v>
          </cell>
        </row>
        <row r="945">
          <cell r="D945" t="str">
            <v>реконструкция</v>
          </cell>
          <cell r="G945">
            <v>0.77539999999999998</v>
          </cell>
          <cell r="I945">
            <v>5.4299999999999994E-2</v>
          </cell>
          <cell r="K945">
            <v>0.72109999999999996</v>
          </cell>
        </row>
        <row r="946">
          <cell r="D946" t="str">
            <v>строительство</v>
          </cell>
          <cell r="G946">
            <v>0</v>
          </cell>
          <cell r="I946">
            <v>0</v>
          </cell>
        </row>
        <row r="947">
          <cell r="D947" t="str">
            <v>Электроснабжение садового домика по адресу: г. Липецк, СТ «Ударник», массив 3, участок № 37</v>
          </cell>
          <cell r="G947">
            <v>2.8000000000000001E-2</v>
          </cell>
          <cell r="I947">
            <v>2.8000000000000001E-2</v>
          </cell>
          <cell r="K947">
            <v>0</v>
          </cell>
          <cell r="M947">
            <v>0</v>
          </cell>
          <cell r="O947">
            <v>0</v>
          </cell>
        </row>
        <row r="948">
          <cell r="D948" t="str">
            <v>реконструкция</v>
          </cell>
          <cell r="G948">
            <v>2.8000000000000001E-2</v>
          </cell>
          <cell r="I948">
            <v>2.8000000000000001E-2</v>
          </cell>
        </row>
        <row r="949">
          <cell r="D949" t="str">
            <v>строительство</v>
          </cell>
          <cell r="G949">
            <v>0</v>
          </cell>
          <cell r="I949">
            <v>0</v>
          </cell>
        </row>
        <row r="950">
          <cell r="D950" t="str">
            <v>Электроснабжение индивидуального жилого дома по адресу: г. Липецк, ул. Покровская, уч. № 11 (по схеме)</v>
          </cell>
          <cell r="G950">
            <v>2.8000000000000001E-2</v>
          </cell>
          <cell r="I950">
            <v>2.8000000000000001E-2</v>
          </cell>
          <cell r="K950">
            <v>0</v>
          </cell>
          <cell r="M950">
            <v>0</v>
          </cell>
          <cell r="O950">
            <v>0</v>
          </cell>
        </row>
        <row r="951">
          <cell r="D951" t="str">
            <v>реконструкция</v>
          </cell>
          <cell r="G951">
            <v>2.8000000000000001E-2</v>
          </cell>
          <cell r="I951">
            <v>2.8000000000000001E-2</v>
          </cell>
        </row>
        <row r="952">
          <cell r="D952" t="str">
            <v>строительство</v>
          </cell>
          <cell r="G952">
            <v>0</v>
          </cell>
          <cell r="I952">
            <v>0</v>
          </cell>
        </row>
        <row r="953">
          <cell r="D953" t="str">
            <v>Электроснабжение кирпичного садового домика по адресу: г. Липецк, ПСОПиИ «Речное», линия № 1, земельный участок № 292</v>
          </cell>
          <cell r="G953">
            <v>1.21E-2</v>
          </cell>
          <cell r="I953">
            <v>1.21E-2</v>
          </cell>
          <cell r="K953">
            <v>0</v>
          </cell>
          <cell r="M953">
            <v>0</v>
          </cell>
          <cell r="O953">
            <v>0</v>
          </cell>
        </row>
        <row r="954">
          <cell r="D954" t="str">
            <v>реконструкция</v>
          </cell>
          <cell r="G954">
            <v>1.21E-2</v>
          </cell>
          <cell r="I954">
            <v>1.21E-2</v>
          </cell>
        </row>
        <row r="955">
          <cell r="D955" t="str">
            <v>строительство</v>
          </cell>
          <cell r="G955">
            <v>0</v>
          </cell>
          <cell r="I955">
            <v>0</v>
          </cell>
        </row>
        <row r="956">
          <cell r="D956" t="str">
            <v>Электроснабжение помещения № 7 по адресу: г. Липецк, проезд Универсальный, д. 12</v>
          </cell>
          <cell r="G956">
            <v>3.0400000000000003E-2</v>
          </cell>
          <cell r="I956">
            <v>1.9300000000000001E-2</v>
          </cell>
          <cell r="K956">
            <v>1.1100000000000002E-2</v>
          </cell>
          <cell r="M956">
            <v>0</v>
          </cell>
          <cell r="O956">
            <v>0</v>
          </cell>
        </row>
        <row r="957">
          <cell r="D957" t="str">
            <v>реконструкция</v>
          </cell>
          <cell r="G957">
            <v>0</v>
          </cell>
          <cell r="I957">
            <v>0</v>
          </cell>
        </row>
        <row r="958">
          <cell r="D958" t="str">
            <v>строительство</v>
          </cell>
          <cell r="G958">
            <v>3.0400000000000003E-2</v>
          </cell>
          <cell r="I958">
            <v>1.9300000000000001E-2</v>
          </cell>
          <cell r="K958">
            <v>1.1100000000000002E-2</v>
          </cell>
        </row>
        <row r="959">
          <cell r="D959" t="str">
            <v>Электроснабжение садового домика по адресу: г. Липецк, СНТ ?Дачный-1?, участок № 778</v>
          </cell>
          <cell r="G959">
            <v>0.98280000000000012</v>
          </cell>
          <cell r="I959">
            <v>6.0999999999999995E-3</v>
          </cell>
          <cell r="K959">
            <v>0.97670000000000012</v>
          </cell>
          <cell r="M959">
            <v>0</v>
          </cell>
          <cell r="O959">
            <v>0</v>
          </cell>
        </row>
        <row r="960">
          <cell r="D960" t="str">
            <v>реконструкция</v>
          </cell>
          <cell r="G960">
            <v>0.97670000000000012</v>
          </cell>
          <cell r="I960">
            <v>0</v>
          </cell>
          <cell r="K960">
            <v>0.97670000000000012</v>
          </cell>
        </row>
        <row r="961">
          <cell r="D961" t="str">
            <v>строительство</v>
          </cell>
          <cell r="G961">
            <v>6.0999999999999995E-3</v>
          </cell>
          <cell r="I961">
            <v>6.0999999999999995E-3</v>
          </cell>
        </row>
        <row r="962">
          <cell r="D962" t="str">
            <v>Электроснабжение садового домика по адресу: г. Липецк, ПОПиИ «Сокол-1», земельный участок № 417</v>
          </cell>
          <cell r="G962">
            <v>2.1399999999999999E-2</v>
          </cell>
          <cell r="I962">
            <v>2.1299999999999996E-2</v>
          </cell>
          <cell r="K962">
            <v>1.0000000000000286E-4</v>
          </cell>
          <cell r="M962">
            <v>0</v>
          </cell>
          <cell r="O962">
            <v>0</v>
          </cell>
        </row>
        <row r="963">
          <cell r="D963" t="str">
            <v>реконструкция</v>
          </cell>
          <cell r="G963">
            <v>2.1399999999999999E-2</v>
          </cell>
          <cell r="I963">
            <v>2.1299999999999996E-2</v>
          </cell>
          <cell r="K963">
            <v>1.0000000000000286E-4</v>
          </cell>
        </row>
        <row r="964">
          <cell r="D964" t="str">
            <v>строительство</v>
          </cell>
          <cell r="G964">
            <v>0</v>
          </cell>
          <cell r="I964">
            <v>0</v>
          </cell>
        </row>
        <row r="965">
          <cell r="D965" t="str">
            <v>Электроснабжение садового домика по адресу: г. Липецк, СТ «Строитель», участок № 212</v>
          </cell>
          <cell r="G965">
            <v>1.33</v>
          </cell>
          <cell r="I965">
            <v>8.1299999999999997E-2</v>
          </cell>
          <cell r="K965">
            <v>1.2487000000000001</v>
          </cell>
          <cell r="M965">
            <v>0</v>
          </cell>
          <cell r="O965">
            <v>0</v>
          </cell>
        </row>
        <row r="966">
          <cell r="D966" t="str">
            <v>реконструкция</v>
          </cell>
          <cell r="G966">
            <v>1.2487000000000001</v>
          </cell>
          <cell r="I966">
            <v>0</v>
          </cell>
          <cell r="K966">
            <v>1.2487000000000001</v>
          </cell>
        </row>
        <row r="967">
          <cell r="D967" t="str">
            <v>строительство</v>
          </cell>
          <cell r="G967">
            <v>8.1299999999999997E-2</v>
          </cell>
          <cell r="I967">
            <v>8.1299999999999997E-2</v>
          </cell>
        </row>
        <row r="968">
          <cell r="D968" t="str">
            <v>Электроснабжение садового домика по адресу: г. Липецк. ПОПиИ «Сокол-1», земельный участок № 405</v>
          </cell>
          <cell r="G968">
            <v>2.1399999999999999E-2</v>
          </cell>
          <cell r="I968">
            <v>2.1299999999999996E-2</v>
          </cell>
          <cell r="K968">
            <v>1.0000000000000286E-4</v>
          </cell>
          <cell r="M968">
            <v>0</v>
          </cell>
          <cell r="O968">
            <v>0</v>
          </cell>
        </row>
        <row r="969">
          <cell r="D969" t="str">
            <v>реконструкция</v>
          </cell>
          <cell r="G969">
            <v>2.1399999999999999E-2</v>
          </cell>
          <cell r="I969">
            <v>2.1299999999999996E-2</v>
          </cell>
          <cell r="K969">
            <v>1.0000000000000286E-4</v>
          </cell>
        </row>
        <row r="970">
          <cell r="D970" t="str">
            <v>строительство</v>
          </cell>
          <cell r="G970">
            <v>0</v>
          </cell>
          <cell r="I970">
            <v>0</v>
          </cell>
        </row>
        <row r="971">
          <cell r="D971" t="str">
            <v>Электроснабжение индивидуального жилого дома по адресу: г. Липецк, ул. Северный Рудник, участок № 9 (по схеме, кадастровый № 48:20:0021502:147)</v>
          </cell>
          <cell r="G971">
            <v>3.8100000000000002E-2</v>
          </cell>
          <cell r="I971">
            <v>2.7199999999999998E-2</v>
          </cell>
          <cell r="K971">
            <v>1.0900000000000003E-2</v>
          </cell>
          <cell r="M971">
            <v>0</v>
          </cell>
          <cell r="O971">
            <v>0</v>
          </cell>
        </row>
        <row r="972">
          <cell r="D972" t="str">
            <v>реконструкция</v>
          </cell>
          <cell r="G972">
            <v>0</v>
          </cell>
          <cell r="I972">
            <v>0</v>
          </cell>
        </row>
        <row r="973">
          <cell r="D973" t="str">
            <v>строительство</v>
          </cell>
          <cell r="G973">
            <v>3.8100000000000002E-2</v>
          </cell>
          <cell r="I973">
            <v>2.7199999999999998E-2</v>
          </cell>
          <cell r="K973">
            <v>1.0900000000000003E-2</v>
          </cell>
        </row>
        <row r="974">
          <cell r="D974" t="str">
            <v>Электроснабжение домов по адресу: г. Липецк, ул. Полетаева</v>
          </cell>
          <cell r="G974">
            <v>0.1804</v>
          </cell>
          <cell r="I974">
            <v>3.1600000000000003E-2</v>
          </cell>
          <cell r="K974">
            <v>0.14879999999999999</v>
          </cell>
          <cell r="M974">
            <v>0</v>
          </cell>
          <cell r="O974">
            <v>0</v>
          </cell>
        </row>
        <row r="975">
          <cell r="D975" t="str">
            <v>реконструкция</v>
          </cell>
          <cell r="G975">
            <v>0.1804</v>
          </cell>
          <cell r="I975">
            <v>3.1600000000000003E-2</v>
          </cell>
          <cell r="K975">
            <v>0.14879999999999999</v>
          </cell>
        </row>
        <row r="976">
          <cell r="D976" t="str">
            <v>строительство</v>
          </cell>
          <cell r="G976">
            <v>0</v>
          </cell>
          <cell r="I976">
            <v>0</v>
          </cell>
        </row>
        <row r="977">
          <cell r="D977" t="str">
            <v>Электроснабжение садового домика по адресу: г. Липецк, СНТ «Дачный-3», зем. уч. № 476</v>
          </cell>
          <cell r="G977">
            <v>1.1867999999999999</v>
          </cell>
          <cell r="I977">
            <v>2.9000000000000001E-2</v>
          </cell>
          <cell r="K977">
            <v>1.1577999999999999</v>
          </cell>
          <cell r="M977">
            <v>-8.6736173798840355E-17</v>
          </cell>
          <cell r="O977">
            <v>-8.6736173798840355E-17</v>
          </cell>
        </row>
        <row r="978">
          <cell r="D978" t="str">
            <v>реконструкция</v>
          </cell>
          <cell r="G978">
            <v>1.1867999999999999</v>
          </cell>
          <cell r="I978">
            <v>2.9000000000000001E-2</v>
          </cell>
          <cell r="K978">
            <v>1.1577999999999999</v>
          </cell>
        </row>
        <row r="979">
          <cell r="D979" t="str">
            <v>строительство</v>
          </cell>
          <cell r="G979">
            <v>0</v>
          </cell>
          <cell r="I979">
            <v>0</v>
          </cell>
        </row>
        <row r="980">
          <cell r="D980" t="str">
            <v>Электроснабжение садовых домиков по адресу: г. Липецк, ПОПиИ «Сокол-1»</v>
          </cell>
          <cell r="G980">
            <v>0.61219999999999997</v>
          </cell>
          <cell r="I980">
            <v>2.0199999999999999E-2</v>
          </cell>
          <cell r="K980">
            <v>0.59199999999999997</v>
          </cell>
          <cell r="M980">
            <v>0</v>
          </cell>
          <cell r="O980">
            <v>0</v>
          </cell>
        </row>
        <row r="981">
          <cell r="D981" t="str">
            <v>реконструкция</v>
          </cell>
          <cell r="G981">
            <v>0.61219999999999997</v>
          </cell>
          <cell r="I981">
            <v>2.0199999999999999E-2</v>
          </cell>
          <cell r="K981">
            <v>0.59199999999999997</v>
          </cell>
        </row>
        <row r="982">
          <cell r="D982" t="str">
            <v>строительство</v>
          </cell>
          <cell r="G982">
            <v>0</v>
          </cell>
          <cell r="I982">
            <v>0</v>
          </cell>
        </row>
        <row r="983">
          <cell r="D983" t="str">
            <v>Электроснабжение СНТ «Студеновское» по адресу: г. Липецк, ул. Гайдара, д. 1</v>
          </cell>
          <cell r="G983">
            <v>0.40529999999999999</v>
          </cell>
          <cell r="I983">
            <v>0.1399</v>
          </cell>
          <cell r="K983">
            <v>0.26539999999999997</v>
          </cell>
          <cell r="M983">
            <v>0</v>
          </cell>
          <cell r="O983">
            <v>0</v>
          </cell>
        </row>
        <row r="984">
          <cell r="D984" t="str">
            <v>реконструкция</v>
          </cell>
          <cell r="G984">
            <v>0</v>
          </cell>
          <cell r="I984">
            <v>0</v>
          </cell>
        </row>
        <row r="985">
          <cell r="D985" t="str">
            <v>строительство</v>
          </cell>
          <cell r="G985">
            <v>0.40529999999999999</v>
          </cell>
          <cell r="I985">
            <v>0.1399</v>
          </cell>
          <cell r="K985">
            <v>0.26539999999999997</v>
          </cell>
        </row>
        <row r="986">
          <cell r="D986" t="str">
            <v>Электроснабжение садовых домиков по адресу: г. Липецк, СНТ "Тракторостроитель-2", линия № 20</v>
          </cell>
          <cell r="G986">
            <v>2.0000000000000001E-4</v>
          </cell>
          <cell r="I986">
            <v>2.0000000000000001E-4</v>
          </cell>
          <cell r="K986">
            <v>0</v>
          </cell>
          <cell r="M986">
            <v>0</v>
          </cell>
          <cell r="O986">
            <v>0</v>
          </cell>
        </row>
        <row r="987">
          <cell r="D987" t="str">
            <v>реконструкция</v>
          </cell>
          <cell r="G987">
            <v>0</v>
          </cell>
          <cell r="I987">
            <v>0</v>
          </cell>
        </row>
        <row r="988">
          <cell r="D988" t="str">
            <v>строительство</v>
          </cell>
          <cell r="G988">
            <v>2.0000000000000001E-4</v>
          </cell>
          <cell r="I988">
            <v>2.0000000000000001E-4</v>
          </cell>
        </row>
        <row r="989">
          <cell r="D989" t="str">
            <v>Электроснабжение садового домика по адресу: г. Липецк, СНТ "Кооператор", линия 3, участок № 88</v>
          </cell>
          <cell r="G989">
            <v>0.33810000000000001</v>
          </cell>
          <cell r="I989">
            <v>1.7999999999999999E-2</v>
          </cell>
          <cell r="K989">
            <v>0.3201</v>
          </cell>
          <cell r="M989">
            <v>0</v>
          </cell>
          <cell r="O989">
            <v>0</v>
          </cell>
        </row>
        <row r="990">
          <cell r="D990" t="str">
            <v>реконструкция</v>
          </cell>
          <cell r="G990">
            <v>0.33810000000000001</v>
          </cell>
          <cell r="I990">
            <v>1.7999999999999999E-2</v>
          </cell>
          <cell r="K990">
            <v>0.3201</v>
          </cell>
        </row>
        <row r="991">
          <cell r="D991" t="str">
            <v>строительство</v>
          </cell>
          <cell r="G991">
            <v>0</v>
          </cell>
          <cell r="I991">
            <v>0</v>
          </cell>
        </row>
        <row r="992">
          <cell r="D992" t="str">
            <v>Электроснабжение садового домика по адресу: г. Липецк, ПОПиИ "Сокол-1", земельный участок № 142</v>
          </cell>
          <cell r="G992">
            <v>2.8000000000000001E-2</v>
          </cell>
          <cell r="I992">
            <v>2.8000000000000001E-2</v>
          </cell>
          <cell r="K992">
            <v>0</v>
          </cell>
          <cell r="M992">
            <v>0</v>
          </cell>
          <cell r="O992">
            <v>0</v>
          </cell>
        </row>
        <row r="993">
          <cell r="D993" t="str">
            <v>реконструкция</v>
          </cell>
          <cell r="G993">
            <v>2.8000000000000001E-2</v>
          </cell>
          <cell r="I993">
            <v>2.8000000000000001E-2</v>
          </cell>
        </row>
        <row r="994">
          <cell r="D994" t="str">
            <v>строительство</v>
          </cell>
          <cell r="G994">
            <v>0</v>
          </cell>
          <cell r="I994">
            <v>0</v>
          </cell>
        </row>
        <row r="995">
          <cell r="D995" t="str">
            <v>Электроснабжение жилых домов по адресу: г. Липецк, ул. Брюллова</v>
          </cell>
          <cell r="G995">
            <v>5.33E-2</v>
          </cell>
          <cell r="I995">
            <v>3.1300000000000001E-2</v>
          </cell>
          <cell r="K995">
            <v>2.1999999999999999E-2</v>
          </cell>
          <cell r="M995">
            <v>0</v>
          </cell>
          <cell r="O995">
            <v>0</v>
          </cell>
        </row>
        <row r="996">
          <cell r="D996" t="str">
            <v>реконструкция</v>
          </cell>
          <cell r="G996">
            <v>0</v>
          </cell>
          <cell r="I996">
            <v>0</v>
          </cell>
        </row>
        <row r="997">
          <cell r="D997" t="str">
            <v>строительство</v>
          </cell>
          <cell r="G997">
            <v>5.33E-2</v>
          </cell>
          <cell r="I997">
            <v>3.1300000000000001E-2</v>
          </cell>
          <cell r="K997">
            <v>2.1999999999999999E-2</v>
          </cell>
        </row>
        <row r="998">
          <cell r="D998" t="str">
            <v>Электроснабжение садовых домиков по адресу: г. Липецк, СТ "Ударник", массив № 2</v>
          </cell>
          <cell r="G998">
            <v>0.53539999999999999</v>
          </cell>
          <cell r="I998">
            <v>1.5300000000000001E-2</v>
          </cell>
          <cell r="K998">
            <v>0.52010000000000001</v>
          </cell>
          <cell r="M998">
            <v>-2.0816681711721685E-17</v>
          </cell>
          <cell r="O998">
            <v>-2.0816681711721685E-17</v>
          </cell>
        </row>
        <row r="999">
          <cell r="D999" t="str">
            <v>реконструкция</v>
          </cell>
          <cell r="G999">
            <v>0.52010000000000001</v>
          </cell>
          <cell r="I999">
            <v>0</v>
          </cell>
          <cell r="K999">
            <v>0.52010000000000001</v>
          </cell>
        </row>
        <row r="1000">
          <cell r="D1000" t="str">
            <v>строительство</v>
          </cell>
          <cell r="G1000">
            <v>1.5299999999999999E-2</v>
          </cell>
          <cell r="I1000">
            <v>1.5299999999999999E-2</v>
          </cell>
        </row>
        <row r="1001">
          <cell r="D1001" t="str">
            <v>Электроснабжение садового домика по адресу: г. Липецк, СНТ "Дачный-3", участок № 216</v>
          </cell>
          <cell r="G1001">
            <v>6.3900000000000012E-2</v>
          </cell>
          <cell r="I1001">
            <v>6.0999999999999995E-3</v>
          </cell>
          <cell r="K1001">
            <v>5.7800000000000011E-2</v>
          </cell>
          <cell r="M1001">
            <v>0</v>
          </cell>
          <cell r="O1001">
            <v>0</v>
          </cell>
        </row>
        <row r="1002">
          <cell r="D1002" t="str">
            <v>реконструкция</v>
          </cell>
          <cell r="G1002">
            <v>5.7800000000000011E-2</v>
          </cell>
          <cell r="I1002">
            <v>0</v>
          </cell>
          <cell r="K1002">
            <v>5.7800000000000011E-2</v>
          </cell>
        </row>
        <row r="1003">
          <cell r="D1003" t="str">
            <v>строительство</v>
          </cell>
          <cell r="G1003">
            <v>6.1000000000000004E-3</v>
          </cell>
          <cell r="I1003">
            <v>6.1000000000000004E-3</v>
          </cell>
        </row>
        <row r="1004">
          <cell r="D1004" t="str">
            <v>Электроснабжение здания (садового домика) по адресу: г. Липецк, СНТ "Монтажник", линия № 25, участок № 1164</v>
          </cell>
          <cell r="G1004">
            <v>1.2E-2</v>
          </cell>
          <cell r="I1004">
            <v>6.0999999999999995E-3</v>
          </cell>
          <cell r="K1004">
            <v>5.9000000000000007E-3</v>
          </cell>
          <cell r="M1004">
            <v>0</v>
          </cell>
          <cell r="O1004">
            <v>0</v>
          </cell>
        </row>
        <row r="1005">
          <cell r="D1005" t="str">
            <v>реконструкция</v>
          </cell>
          <cell r="G1005">
            <v>0</v>
          </cell>
          <cell r="I1005">
            <v>0</v>
          </cell>
        </row>
        <row r="1006">
          <cell r="D1006" t="str">
            <v>строительство</v>
          </cell>
          <cell r="G1006">
            <v>1.2E-2</v>
          </cell>
          <cell r="I1006">
            <v>6.1000000000000004E-3</v>
          </cell>
          <cell r="K1006">
            <v>5.9000000000000007E-3</v>
          </cell>
        </row>
        <row r="1007">
          <cell r="D1007" t="str">
            <v>Электроснабжение садового домика по адресу: г. Липецк, СО "Сокол-3", земельный участок № 639</v>
          </cell>
          <cell r="G1007">
            <v>1.11E-2</v>
          </cell>
          <cell r="I1007">
            <v>1.09E-2</v>
          </cell>
          <cell r="K1007">
            <v>2.0000000000000052E-4</v>
          </cell>
          <cell r="M1007">
            <v>0</v>
          </cell>
          <cell r="O1007">
            <v>0</v>
          </cell>
        </row>
        <row r="1008">
          <cell r="D1008" t="str">
            <v>реконструкция</v>
          </cell>
          <cell r="G1008">
            <v>1.11E-2</v>
          </cell>
          <cell r="I1008">
            <v>1.09E-2</v>
          </cell>
          <cell r="K1008">
            <v>2.0000000000000052E-4</v>
          </cell>
        </row>
        <row r="1009">
          <cell r="D1009" t="str">
            <v>строительство</v>
          </cell>
          <cell r="G1009">
            <v>0</v>
          </cell>
          <cell r="I1009">
            <v>0</v>
          </cell>
        </row>
        <row r="1010">
          <cell r="D1010" t="str">
            <v>Электроснабжение индивидуального жилого дома по адресу: г. Липецк, ул. Советская, д. 120е (с. Сселки)</v>
          </cell>
          <cell r="G1010">
            <v>5.7300000000000004E-2</v>
          </cell>
          <cell r="I1010">
            <v>6.0999999999999995E-3</v>
          </cell>
          <cell r="K1010">
            <v>5.1200000000000002E-2</v>
          </cell>
          <cell r="M1010">
            <v>0</v>
          </cell>
          <cell r="O1010">
            <v>0</v>
          </cell>
        </row>
        <row r="1011">
          <cell r="D1011" t="str">
            <v>реконструкция</v>
          </cell>
          <cell r="G1011">
            <v>5.7300000000000004E-2</v>
          </cell>
          <cell r="I1011">
            <v>6.1000000000000004E-3</v>
          </cell>
          <cell r="K1011">
            <v>5.1200000000000002E-2</v>
          </cell>
        </row>
        <row r="1012">
          <cell r="D1012" t="str">
            <v>строительство</v>
          </cell>
          <cell r="G1012">
            <v>0</v>
          </cell>
          <cell r="I1012">
            <v>0</v>
          </cell>
        </row>
        <row r="1013">
          <cell r="D1013" t="str">
            <v>Электроснабжение садового домика по адресу: г. Липецк, СО "Сокол-3", массив I, участок № 145</v>
          </cell>
          <cell r="G1013">
            <v>3.1699999999999999E-2</v>
          </cell>
          <cell r="I1013">
            <v>3.1699999999999999E-2</v>
          </cell>
          <cell r="K1013">
            <v>0</v>
          </cell>
          <cell r="M1013">
            <v>0</v>
          </cell>
          <cell r="O1013">
            <v>0</v>
          </cell>
        </row>
        <row r="1014">
          <cell r="D1014" t="str">
            <v>реконструкция</v>
          </cell>
          <cell r="G1014">
            <v>3.1699999999999999E-2</v>
          </cell>
          <cell r="I1014">
            <v>3.1699999999999999E-2</v>
          </cell>
        </row>
        <row r="1015">
          <cell r="D1015" t="str">
            <v>строительство</v>
          </cell>
          <cell r="G1015">
            <v>0</v>
          </cell>
          <cell r="I1015">
            <v>0</v>
          </cell>
        </row>
        <row r="1016">
          <cell r="D1016" t="str">
            <v>Электроснабжение садового домика по адресу: г. Липецк, СНТ "Липецкстрой", аллея № 3, земельный участок № 71</v>
          </cell>
          <cell r="G1016">
            <v>4.3199999999999995E-2</v>
          </cell>
          <cell r="I1016">
            <v>6.0999999999999995E-3</v>
          </cell>
          <cell r="K1016">
            <v>3.7099999999999994E-2</v>
          </cell>
          <cell r="M1016">
            <v>0</v>
          </cell>
          <cell r="O1016">
            <v>0</v>
          </cell>
        </row>
        <row r="1017">
          <cell r="D1017" t="str">
            <v>реконструкция</v>
          </cell>
          <cell r="G1017">
            <v>4.3199999999999995E-2</v>
          </cell>
          <cell r="I1017">
            <v>6.1000000000000004E-3</v>
          </cell>
          <cell r="K1017">
            <v>3.7099999999999994E-2</v>
          </cell>
        </row>
        <row r="1018">
          <cell r="D1018" t="str">
            <v>строительство</v>
          </cell>
          <cell r="G1018">
            <v>0</v>
          </cell>
          <cell r="I1018">
            <v>0</v>
          </cell>
        </row>
        <row r="1019">
          <cell r="D1019" t="str">
            <v>Электроснабжение магазина непродовольственных товаров по адресу: г. Липецк, ул. Гагарина, д. 21, кв. 1</v>
          </cell>
          <cell r="G1019">
            <v>1.2199999999999999E-2</v>
          </cell>
          <cell r="I1019">
            <v>1.2199999999999999E-2</v>
          </cell>
          <cell r="K1019">
            <v>0</v>
          </cell>
          <cell r="M1019">
            <v>0</v>
          </cell>
          <cell r="O1019">
            <v>0</v>
          </cell>
        </row>
        <row r="1020">
          <cell r="D1020" t="str">
            <v>реконструкция</v>
          </cell>
          <cell r="G1020">
            <v>0</v>
          </cell>
          <cell r="I1020">
            <v>0</v>
          </cell>
        </row>
        <row r="1021">
          <cell r="D1021" t="str">
            <v>строительство</v>
          </cell>
          <cell r="G1021">
            <v>1.2200000000000001E-2</v>
          </cell>
          <cell r="I1021">
            <v>1.2200000000000001E-2</v>
          </cell>
        </row>
        <row r="1022">
          <cell r="D1022" t="str">
            <v>Электроснабжение садового домика по адресу: г. Липецк, СНТ "Монтажник", участок № 1062</v>
          </cell>
          <cell r="G1022">
            <v>2.87E-2</v>
          </cell>
          <cell r="I1022">
            <v>2.87E-2</v>
          </cell>
          <cell r="K1022">
            <v>0</v>
          </cell>
          <cell r="M1022">
            <v>0</v>
          </cell>
          <cell r="O1022">
            <v>0</v>
          </cell>
        </row>
        <row r="1023">
          <cell r="D1023" t="str">
            <v>реконструкция</v>
          </cell>
          <cell r="G1023">
            <v>0</v>
          </cell>
          <cell r="I1023">
            <v>0</v>
          </cell>
        </row>
        <row r="1024">
          <cell r="D1024" t="str">
            <v>строительство</v>
          </cell>
          <cell r="G1024">
            <v>2.87E-2</v>
          </cell>
          <cell r="I1024">
            <v>2.87E-2</v>
          </cell>
        </row>
        <row r="1025">
          <cell r="D1025" t="str">
            <v>Электроснабжение садового домика по адресу: г. Липецк, СОКП "Сокол-2", участок № 836</v>
          </cell>
          <cell r="G1025">
            <v>2.8000000000000001E-2</v>
          </cell>
          <cell r="I1025">
            <v>2.8000000000000001E-2</v>
          </cell>
          <cell r="K1025">
            <v>0</v>
          </cell>
          <cell r="M1025">
            <v>0</v>
          </cell>
          <cell r="O1025">
            <v>0</v>
          </cell>
        </row>
        <row r="1026">
          <cell r="D1026" t="str">
            <v>реконструкция</v>
          </cell>
          <cell r="G1026">
            <v>2.8000000000000001E-2</v>
          </cell>
          <cell r="I1026">
            <v>2.8000000000000001E-2</v>
          </cell>
        </row>
        <row r="1027">
          <cell r="D1027" t="str">
            <v>строительство</v>
          </cell>
          <cell r="G1027">
            <v>0</v>
          </cell>
          <cell r="I1027">
            <v>0</v>
          </cell>
        </row>
        <row r="1028">
          <cell r="D1028" t="str">
            <v>Электроснабжение распределительной подстанции - 4 по адресу: г. Липецк, ул. Папина у мастерской техучилища № 26</v>
          </cell>
          <cell r="G1028">
            <v>5.0999999999999997E-2</v>
          </cell>
          <cell r="I1028">
            <v>5.0599999999999999E-2</v>
          </cell>
          <cell r="K1028">
            <v>3.9999999999999758E-4</v>
          </cell>
          <cell r="M1028">
            <v>0</v>
          </cell>
          <cell r="O1028">
            <v>0</v>
          </cell>
        </row>
        <row r="1029">
          <cell r="D1029" t="str">
            <v>реконструкция</v>
          </cell>
          <cell r="G1029">
            <v>5.0999999999999997E-2</v>
          </cell>
          <cell r="I1029">
            <v>5.0599999999999999E-2</v>
          </cell>
          <cell r="K1029">
            <v>3.9999999999999758E-4</v>
          </cell>
        </row>
        <row r="1030">
          <cell r="D1030" t="str">
            <v>строительство</v>
          </cell>
          <cell r="G1030">
            <v>0</v>
          </cell>
          <cell r="I1030">
            <v>0</v>
          </cell>
        </row>
        <row r="1031">
          <cell r="D1031" t="str">
            <v>Электроснабжение садового домика по адресу: г. Липецк, СО " Сокол-3", массив I, участок № 475</v>
          </cell>
          <cell r="G1031">
            <v>3.1199999999999999E-2</v>
          </cell>
          <cell r="I1031">
            <v>3.1199999999999999E-2</v>
          </cell>
          <cell r="K1031">
            <v>0</v>
          </cell>
          <cell r="M1031">
            <v>0</v>
          </cell>
          <cell r="O1031">
            <v>0</v>
          </cell>
        </row>
        <row r="1032">
          <cell r="D1032" t="str">
            <v>реконструкция</v>
          </cell>
          <cell r="G1032">
            <v>3.1199999999999999E-2</v>
          </cell>
          <cell r="I1032">
            <v>3.1199999999999999E-2</v>
          </cell>
        </row>
        <row r="1033">
          <cell r="D1033" t="str">
            <v>строительство</v>
          </cell>
          <cell r="G1033">
            <v>0</v>
          </cell>
          <cell r="I1033">
            <v>0</v>
          </cell>
        </row>
        <row r="1034">
          <cell r="D1034" t="str">
            <v xml:space="preserve"> Электроснабжение здания по адресу: г. Липецк, ГК "Пришвинский", гараж № 47</v>
          </cell>
          <cell r="G1034">
            <v>1.29E-2</v>
          </cell>
          <cell r="I1034">
            <v>6.0999999999999995E-3</v>
          </cell>
          <cell r="K1034">
            <v>6.8000000000000005E-3</v>
          </cell>
          <cell r="M1034">
            <v>0</v>
          </cell>
          <cell r="O1034">
            <v>0</v>
          </cell>
        </row>
        <row r="1035">
          <cell r="D1035" t="str">
            <v>реконструкция</v>
          </cell>
          <cell r="G1035">
            <v>0</v>
          </cell>
          <cell r="I1035">
            <v>0</v>
          </cell>
        </row>
        <row r="1036">
          <cell r="D1036" t="str">
            <v>строительство</v>
          </cell>
          <cell r="G1036">
            <v>1.2900000000000002E-2</v>
          </cell>
          <cell r="I1036">
            <v>6.1000000000000004E-3</v>
          </cell>
          <cell r="K1036">
            <v>6.8000000000000005E-3</v>
          </cell>
        </row>
        <row r="1037">
          <cell r="D1037" t="str">
            <v>Электроснабжение садовых домиков в СНТ "Восход"</v>
          </cell>
          <cell r="G1037">
            <v>3.9700000000000006E-2</v>
          </cell>
          <cell r="I1037">
            <v>6.0999999999999995E-3</v>
          </cell>
          <cell r="K1037">
            <v>3.3600000000000005E-2</v>
          </cell>
          <cell r="M1037">
            <v>0</v>
          </cell>
          <cell r="O1037">
            <v>0</v>
          </cell>
        </row>
        <row r="1038">
          <cell r="D1038" t="str">
            <v>реконструкция</v>
          </cell>
          <cell r="G1038">
            <v>0</v>
          </cell>
          <cell r="I1038">
            <v>0</v>
          </cell>
        </row>
        <row r="1039">
          <cell r="D1039" t="str">
            <v>строительство</v>
          </cell>
          <cell r="G1039">
            <v>3.9700000000000006E-2</v>
          </cell>
          <cell r="I1039">
            <v>6.1000000000000004E-3</v>
          </cell>
          <cell r="K1039">
            <v>3.3600000000000005E-2</v>
          </cell>
        </row>
        <row r="1040">
          <cell r="D1040" t="str">
            <v>Электроснабжение садового домика по адресу: г. Липецк, СТ " Монтажник", линия № 21, земельный участок № 1063</v>
          </cell>
          <cell r="G1040">
            <v>1.2899999999999998E-2</v>
          </cell>
          <cell r="I1040">
            <v>6.0999999999999995E-3</v>
          </cell>
          <cell r="K1040">
            <v>6.7999999999999988E-3</v>
          </cell>
          <cell r="M1040">
            <v>0</v>
          </cell>
          <cell r="O1040">
            <v>0</v>
          </cell>
        </row>
        <row r="1041">
          <cell r="D1041" t="str">
            <v>реконструкция</v>
          </cell>
          <cell r="G1041">
            <v>0</v>
          </cell>
          <cell r="I1041">
            <v>0</v>
          </cell>
        </row>
        <row r="1042">
          <cell r="D1042" t="str">
            <v>строительство</v>
          </cell>
          <cell r="G1042">
            <v>1.2899999999999998E-2</v>
          </cell>
          <cell r="I1042">
            <v>6.1000000000000004E-3</v>
          </cell>
          <cell r="K1042">
            <v>6.7999999999999988E-3</v>
          </cell>
        </row>
        <row r="1043">
          <cell r="D1043" t="str">
            <v>Электроснабжение садового домика по адресу: г. Липецк, ПОПиИ "Сокол-1", участок № 760</v>
          </cell>
          <cell r="G1043">
            <v>6.0999999999999995E-3</v>
          </cell>
          <cell r="I1043">
            <v>6.0999999999999995E-3</v>
          </cell>
          <cell r="K1043">
            <v>0</v>
          </cell>
          <cell r="M1043">
            <v>0</v>
          </cell>
          <cell r="O1043">
            <v>0</v>
          </cell>
        </row>
        <row r="1044">
          <cell r="D1044" t="str">
            <v>реконструкция</v>
          </cell>
          <cell r="G1044">
            <v>0</v>
          </cell>
          <cell r="I1044">
            <v>0</v>
          </cell>
        </row>
        <row r="1045">
          <cell r="D1045" t="str">
            <v>строительство</v>
          </cell>
          <cell r="G1045">
            <v>6.0999999999999995E-3</v>
          </cell>
          <cell r="I1045">
            <v>6.0999999999999995E-3</v>
          </cell>
        </row>
        <row r="1046">
          <cell r="D1046" t="str">
            <v xml:space="preserve"> Электроснабжение одноэтажного кирпичного садового домика с мансардой по адресу: г. Липецк, СО "Сокол-2", земельный участок № 1036</v>
          </cell>
          <cell r="G1046">
            <v>0.64810000000000001</v>
          </cell>
          <cell r="I1046">
            <v>6.4399999999999999E-2</v>
          </cell>
          <cell r="K1046">
            <v>0.5837</v>
          </cell>
          <cell r="M1046">
            <v>0</v>
          </cell>
          <cell r="O1046">
            <v>0</v>
          </cell>
        </row>
        <row r="1047">
          <cell r="D1047" t="str">
            <v>реконструкция</v>
          </cell>
          <cell r="G1047">
            <v>0.64810000000000001</v>
          </cell>
          <cell r="I1047">
            <v>6.4399999999999999E-2</v>
          </cell>
          <cell r="K1047">
            <v>0.5837</v>
          </cell>
        </row>
        <row r="1048">
          <cell r="D1048" t="str">
            <v>строительство</v>
          </cell>
          <cell r="G1048">
            <v>0</v>
          </cell>
          <cell r="I1048">
            <v>0</v>
          </cell>
        </row>
        <row r="1049">
          <cell r="D1049" t="str">
            <v xml:space="preserve"> Электроснабжение садового домика по адресу: г. Липецк, СТ "Ударник", массив 2, уч. № 18</v>
          </cell>
          <cell r="G1049">
            <v>0.50019999999999998</v>
          </cell>
          <cell r="I1049">
            <v>4.36E-2</v>
          </cell>
          <cell r="K1049">
            <v>0.45660000000000001</v>
          </cell>
          <cell r="M1049">
            <v>0</v>
          </cell>
          <cell r="O1049">
            <v>0</v>
          </cell>
        </row>
        <row r="1050">
          <cell r="D1050" t="str">
            <v>реконструкция</v>
          </cell>
          <cell r="G1050">
            <v>0.50019999999999998</v>
          </cell>
          <cell r="I1050">
            <v>4.36E-2</v>
          </cell>
          <cell r="K1050">
            <v>0.45660000000000001</v>
          </cell>
        </row>
        <row r="1051">
          <cell r="D1051" t="str">
            <v>строительство</v>
          </cell>
          <cell r="G1051">
            <v>0</v>
          </cell>
          <cell r="I1051">
            <v>0</v>
          </cell>
        </row>
        <row r="1052">
          <cell r="D1052" t="str">
            <v>Электроснабжение садового домика по адресу: г. Липецк, СНТ "Металлург-2" ОАО "НЛМК", участок № 5 Б</v>
          </cell>
          <cell r="G1052">
            <v>3.7999999999999999E-2</v>
          </cell>
          <cell r="I1052">
            <v>3.7999999999999999E-2</v>
          </cell>
          <cell r="K1052">
            <v>0</v>
          </cell>
          <cell r="M1052">
            <v>0</v>
          </cell>
          <cell r="O1052">
            <v>0</v>
          </cell>
        </row>
        <row r="1053">
          <cell r="D1053" t="str">
            <v>реконструкция</v>
          </cell>
          <cell r="G1053">
            <v>3.7999999999999999E-2</v>
          </cell>
          <cell r="I1053">
            <v>3.7999999999999999E-2</v>
          </cell>
        </row>
        <row r="1054">
          <cell r="D1054" t="str">
            <v>строительство</v>
          </cell>
          <cell r="G1054">
            <v>0</v>
          </cell>
          <cell r="I1054">
            <v>0</v>
          </cell>
        </row>
        <row r="1055">
          <cell r="D1055" t="str">
            <v xml:space="preserve"> Электроснабжение садовых домиков по адресу: г. Липецк, СНТ "Монтажник", участок № 947, участок № 931</v>
          </cell>
          <cell r="G1055">
            <v>2.9000000000000001E-2</v>
          </cell>
          <cell r="I1055">
            <v>2.9000000000000001E-2</v>
          </cell>
          <cell r="K1055">
            <v>0</v>
          </cell>
          <cell r="M1055">
            <v>0</v>
          </cell>
          <cell r="O1055">
            <v>0</v>
          </cell>
        </row>
        <row r="1056">
          <cell r="D1056" t="str">
            <v>реконструкция</v>
          </cell>
          <cell r="G1056">
            <v>0</v>
          </cell>
          <cell r="I1056">
            <v>0</v>
          </cell>
        </row>
        <row r="1057">
          <cell r="D1057" t="str">
            <v>строительство</v>
          </cell>
          <cell r="G1057">
            <v>2.9000000000000001E-2</v>
          </cell>
          <cell r="I1057">
            <v>2.9000000000000001E-2</v>
          </cell>
        </row>
        <row r="1058">
          <cell r="D1058" t="str">
            <v>Электроснабжение индивидуального жилого дома усадебного типа с хозяйственными постройками по адресу: г. Липецк, ул. Лучистая, д. 40</v>
          </cell>
          <cell r="G1058">
            <v>1.2800000000000001E-2</v>
          </cell>
          <cell r="I1058">
            <v>6.0999999999999995E-3</v>
          </cell>
          <cell r="K1058">
            <v>6.7000000000000011E-3</v>
          </cell>
          <cell r="M1058">
            <v>0</v>
          </cell>
          <cell r="O1058">
            <v>0</v>
          </cell>
        </row>
        <row r="1059">
          <cell r="D1059" t="str">
            <v>реконструкция</v>
          </cell>
          <cell r="G1059">
            <v>0</v>
          </cell>
          <cell r="I1059">
            <v>0</v>
          </cell>
        </row>
        <row r="1060">
          <cell r="D1060" t="str">
            <v>строительство</v>
          </cell>
          <cell r="G1060">
            <v>1.2800000000000001E-2</v>
          </cell>
          <cell r="I1060">
            <v>6.0999999999999995E-3</v>
          </cell>
          <cell r="K1060">
            <v>6.7000000000000011E-3</v>
          </cell>
        </row>
        <row r="1061">
          <cell r="D1061" t="str">
            <v>Электроснабжение садового домика по адресу: г. Липецк, ПОПиИ "Сокол-1", участок № 30</v>
          </cell>
          <cell r="G1061">
            <v>3.2399999999999998E-2</v>
          </cell>
          <cell r="I1061">
            <v>3.2399999999999998E-2</v>
          </cell>
          <cell r="K1061">
            <v>0</v>
          </cell>
          <cell r="M1061">
            <v>0</v>
          </cell>
          <cell r="O1061">
            <v>0</v>
          </cell>
        </row>
        <row r="1062">
          <cell r="D1062" t="str">
            <v>реконструкция</v>
          </cell>
          <cell r="G1062">
            <v>3.2399999999999998E-2</v>
          </cell>
          <cell r="I1062">
            <v>3.2399999999999998E-2</v>
          </cell>
        </row>
        <row r="1063">
          <cell r="D1063" t="str">
            <v>строительство</v>
          </cell>
          <cell r="G1063">
            <v>0</v>
          </cell>
          <cell r="I1063">
            <v>0</v>
          </cell>
        </row>
        <row r="1064">
          <cell r="D1064" t="str">
            <v xml:space="preserve"> Электроснабжение садового домика по адресу: г. Липецк, СТ "Ударник", массив 2, участок № 85</v>
          </cell>
          <cell r="G1064">
            <v>0.55489999999999995</v>
          </cell>
          <cell r="I1064">
            <v>2.98E-2</v>
          </cell>
          <cell r="K1064">
            <v>0.5250999999999999</v>
          </cell>
          <cell r="M1064">
            <v>4.8572257327350599E-17</v>
          </cell>
          <cell r="O1064">
            <v>4.8572257327350599E-17</v>
          </cell>
        </row>
        <row r="1065">
          <cell r="D1065" t="str">
            <v>реконструкция</v>
          </cell>
          <cell r="G1065">
            <v>0.55489999999999995</v>
          </cell>
          <cell r="I1065">
            <v>2.98E-2</v>
          </cell>
          <cell r="K1065">
            <v>0.5250999999999999</v>
          </cell>
        </row>
        <row r="1066">
          <cell r="D1066" t="str">
            <v>строительство</v>
          </cell>
          <cell r="G1066">
            <v>0</v>
          </cell>
          <cell r="I1066">
            <v>0</v>
          </cell>
        </row>
        <row r="1067">
          <cell r="D1067" t="str">
            <v>Электроснабжение садовых домиков в СНТ "Металлург-2" ОАО "НЛМК" (МТП-2)</v>
          </cell>
          <cell r="G1067">
            <v>0.73150000000000004</v>
          </cell>
          <cell r="I1067">
            <v>0.69929999999999992</v>
          </cell>
          <cell r="K1067">
            <v>3.2200000000000117E-2</v>
          </cell>
          <cell r="M1067">
            <v>0</v>
          </cell>
          <cell r="O1067">
            <v>0</v>
          </cell>
        </row>
        <row r="1068">
          <cell r="D1068" t="str">
            <v>реконструкция</v>
          </cell>
          <cell r="G1068">
            <v>0.73150000000000004</v>
          </cell>
          <cell r="I1068">
            <v>0.69929999999999992</v>
          </cell>
          <cell r="K1068">
            <v>3.2200000000000117E-2</v>
          </cell>
        </row>
        <row r="1069">
          <cell r="D1069" t="str">
            <v>строительство</v>
          </cell>
          <cell r="G1069">
            <v>0</v>
          </cell>
          <cell r="I1069">
            <v>0</v>
          </cell>
        </row>
        <row r="1070">
          <cell r="D1070" t="str">
            <v>Электроснабжение садового домика по адресу: г. Липецк, СТ "Строитель", линия № 6, земельный участок № 392</v>
          </cell>
          <cell r="G1070">
            <v>3.3799999999999997E-2</v>
          </cell>
          <cell r="I1070">
            <v>3.3799999999999997E-2</v>
          </cell>
          <cell r="K1070">
            <v>0</v>
          </cell>
          <cell r="M1070">
            <v>0</v>
          </cell>
          <cell r="O1070">
            <v>0</v>
          </cell>
        </row>
        <row r="1071">
          <cell r="D1071" t="str">
            <v>реконструкция</v>
          </cell>
          <cell r="G1071">
            <v>3.3799999999999997E-2</v>
          </cell>
          <cell r="I1071">
            <v>3.3799999999999997E-2</v>
          </cell>
        </row>
        <row r="1072">
          <cell r="D1072" t="str">
            <v>строительство</v>
          </cell>
          <cell r="G1072">
            <v>0</v>
          </cell>
          <cell r="I1072">
            <v>0</v>
          </cell>
        </row>
        <row r="1073">
          <cell r="D1073" t="str">
            <v>Электроснабжение садового домика по адресу: г. Липецк, СНТ "Сокол-2", уч. № 196</v>
          </cell>
          <cell r="G1073">
            <v>1.12E-2</v>
          </cell>
          <cell r="I1073">
            <v>2.0000000000000001E-4</v>
          </cell>
          <cell r="K1073">
            <v>1.0999999999999999E-2</v>
          </cell>
          <cell r="M1073">
            <v>5.1499603193061461E-19</v>
          </cell>
          <cell r="O1073">
            <v>5.1499603193061461E-19</v>
          </cell>
        </row>
        <row r="1074">
          <cell r="D1074" t="str">
            <v>реконструкция</v>
          </cell>
          <cell r="G1074">
            <v>0</v>
          </cell>
          <cell r="I1074">
            <v>0</v>
          </cell>
        </row>
        <row r="1075">
          <cell r="D1075" t="str">
            <v>строительство</v>
          </cell>
          <cell r="G1075">
            <v>1.12E-2</v>
          </cell>
          <cell r="I1075">
            <v>2.0000000000000001E-4</v>
          </cell>
          <cell r="K1075">
            <v>1.0999999999999999E-2</v>
          </cell>
        </row>
        <row r="1076">
          <cell r="D1076" t="str">
            <v>Электроснабжение садового домика по адресу: г. Липецк, СО "Сокол-3", массив 1, участок № 78</v>
          </cell>
          <cell r="G1076">
            <v>4.4600000000000001E-2</v>
          </cell>
          <cell r="I1076">
            <v>0</v>
          </cell>
          <cell r="K1076">
            <v>4.4600000000000001E-2</v>
          </cell>
          <cell r="M1076">
            <v>0</v>
          </cell>
          <cell r="O1076">
            <v>0</v>
          </cell>
        </row>
        <row r="1077">
          <cell r="D1077" t="str">
            <v>реконструкция</v>
          </cell>
          <cell r="G1077">
            <v>4.4600000000000001E-2</v>
          </cell>
          <cell r="K1077">
            <v>4.4600000000000001E-2</v>
          </cell>
        </row>
        <row r="1078">
          <cell r="D1078" t="str">
            <v>строительство</v>
          </cell>
          <cell r="G1078">
            <v>0</v>
          </cell>
        </row>
        <row r="1079">
          <cell r="D1079" t="str">
            <v>Электроснабжение гаража с погребом по адресу: г. Липецк, гаражно-потребительский кооператив "Защитник", ряд № 2, гараж № 20</v>
          </cell>
          <cell r="G1079">
            <v>4.4999999999999998E-2</v>
          </cell>
          <cell r="I1079">
            <v>4.4999999999999998E-2</v>
          </cell>
          <cell r="K1079">
            <v>0</v>
          </cell>
          <cell r="M1079">
            <v>0</v>
          </cell>
          <cell r="O1079">
            <v>0</v>
          </cell>
        </row>
        <row r="1080">
          <cell r="D1080" t="str">
            <v>реконструкция</v>
          </cell>
          <cell r="G1080">
            <v>4.4999999999999998E-2</v>
          </cell>
          <cell r="I1080">
            <v>4.4999999999999998E-2</v>
          </cell>
        </row>
        <row r="1081">
          <cell r="D1081" t="str">
            <v>строительство</v>
          </cell>
          <cell r="G1081">
            <v>0</v>
          </cell>
          <cell r="I1081">
            <v>0</v>
          </cell>
        </row>
        <row r="1082">
          <cell r="D1082" t="str">
            <v>Электроснабжение садового домика по адресу: г. Липецк, СО "Сокол-3", I массив, участок № 431</v>
          </cell>
          <cell r="G1082">
            <v>4.4600000000000001E-2</v>
          </cell>
          <cell r="I1082">
            <v>4.4600000000000001E-2</v>
          </cell>
          <cell r="K1082">
            <v>0</v>
          </cell>
          <cell r="M1082">
            <v>0</v>
          </cell>
          <cell r="O1082">
            <v>0</v>
          </cell>
        </row>
        <row r="1083">
          <cell r="D1083" t="str">
            <v>реконструкция</v>
          </cell>
          <cell r="G1083">
            <v>4.4600000000000001E-2</v>
          </cell>
          <cell r="I1083">
            <v>4.4600000000000001E-2</v>
          </cell>
        </row>
        <row r="1084">
          <cell r="D1084" t="str">
            <v>строительство</v>
          </cell>
          <cell r="G1084">
            <v>0</v>
          </cell>
          <cell r="I1084">
            <v>0</v>
          </cell>
        </row>
        <row r="1085">
          <cell r="D1085" t="str">
            <v>Электроснабжение садовых домиков в СНТ "Металлург-2" ОАО "НЛМК" (ТП-379)</v>
          </cell>
          <cell r="G1085">
            <v>7.2300000000000003E-2</v>
          </cell>
          <cell r="I1085">
            <v>7.2300000000000003E-2</v>
          </cell>
          <cell r="K1085">
            <v>0</v>
          </cell>
          <cell r="M1085">
            <v>0</v>
          </cell>
          <cell r="O1085">
            <v>0</v>
          </cell>
        </row>
        <row r="1086">
          <cell r="D1086" t="str">
            <v>реконструкция</v>
          </cell>
          <cell r="G1086">
            <v>7.2300000000000003E-2</v>
          </cell>
          <cell r="I1086">
            <v>7.2300000000000003E-2</v>
          </cell>
        </row>
        <row r="1087">
          <cell r="D1087" t="str">
            <v>строительство</v>
          </cell>
          <cell r="G1087">
            <v>0</v>
          </cell>
          <cell r="I1087">
            <v>0</v>
          </cell>
        </row>
        <row r="1088">
          <cell r="D1088" t="str">
            <v>Электроснабжение индивидуального жилого дома по адресу: г. Липецк, с. Сселки, ул. Ленина, кадастровый № 48:20:021616:51</v>
          </cell>
          <cell r="G1088">
            <v>1.2800000000000001E-2</v>
          </cell>
          <cell r="I1088">
            <v>1.2699999999999999E-2</v>
          </cell>
          <cell r="K1088">
            <v>1.0000000000000113E-4</v>
          </cell>
          <cell r="M1088">
            <v>0</v>
          </cell>
          <cell r="O1088">
            <v>0</v>
          </cell>
        </row>
        <row r="1089">
          <cell r="D1089" t="str">
            <v>реконструкция</v>
          </cell>
          <cell r="G1089">
            <v>0</v>
          </cell>
          <cell r="I1089">
            <v>0</v>
          </cell>
        </row>
        <row r="1090">
          <cell r="D1090" t="str">
            <v>строительство</v>
          </cell>
          <cell r="G1090">
            <v>1.2800000000000001E-2</v>
          </cell>
          <cell r="I1090">
            <v>1.2699999999999999E-2</v>
          </cell>
          <cell r="K1090">
            <v>1.0000000000000113E-4</v>
          </cell>
        </row>
        <row r="1091">
          <cell r="D1091" t="str">
            <v>Электроснабжение кирпичного садового домика по адресу: г. Липецк, ПОПиИ "Сокол-1", земельный участок № 33</v>
          </cell>
          <cell r="G1091">
            <v>3.8899999999999997E-2</v>
          </cell>
          <cell r="I1091">
            <v>3.8899999999999997E-2</v>
          </cell>
          <cell r="K1091">
            <v>0</v>
          </cell>
          <cell r="M1091">
            <v>0</v>
          </cell>
          <cell r="O1091">
            <v>0</v>
          </cell>
        </row>
        <row r="1092">
          <cell r="D1092" t="str">
            <v>реконструкция</v>
          </cell>
          <cell r="G1092">
            <v>3.8899999999999997E-2</v>
          </cell>
          <cell r="I1092">
            <v>3.8899999999999997E-2</v>
          </cell>
        </row>
        <row r="1093">
          <cell r="D1093" t="str">
            <v>строительство</v>
          </cell>
          <cell r="G1093">
            <v>0</v>
          </cell>
          <cell r="I1093">
            <v>0</v>
          </cell>
        </row>
        <row r="1094">
          <cell r="D1094" t="str">
            <v>Электроснабжение садового домика по адресу: г. Липецк, СНТ "Металлург-2" ОАО НЛМК, участок № 2019 Б</v>
          </cell>
          <cell r="G1094">
            <v>8.929999999999999E-2</v>
          </cell>
          <cell r="I1094">
            <v>1.0699999999999999E-2</v>
          </cell>
          <cell r="K1094">
            <v>7.8599999999999989E-2</v>
          </cell>
          <cell r="M1094">
            <v>0</v>
          </cell>
          <cell r="O1094">
            <v>0</v>
          </cell>
        </row>
        <row r="1095">
          <cell r="D1095" t="str">
            <v>реконструкция</v>
          </cell>
          <cell r="G1095">
            <v>7.8599999999999989E-2</v>
          </cell>
          <cell r="I1095">
            <v>0</v>
          </cell>
          <cell r="K1095">
            <v>7.8599999999999989E-2</v>
          </cell>
        </row>
        <row r="1096">
          <cell r="D1096" t="str">
            <v>строительство</v>
          </cell>
          <cell r="G1096">
            <v>1.0699999999999999E-2</v>
          </cell>
          <cell r="I1096">
            <v>1.0699999999999999E-2</v>
          </cell>
        </row>
        <row r="1097">
          <cell r="D1097" t="str">
            <v>Электроснабжение автостоянок по адресу: г. Липецк, пр. Имени 60-летия СССР, в районе гипермаркета "Линия" в Октябрьском округе, кадастровый № 48:20:0044301:1360, № 48:20:0044301:1361</v>
          </cell>
          <cell r="G1097">
            <v>0.14780000000000001</v>
          </cell>
          <cell r="I1097">
            <v>0.1368</v>
          </cell>
          <cell r="K1097">
            <v>1.100000000000001E-2</v>
          </cell>
          <cell r="M1097">
            <v>0</v>
          </cell>
          <cell r="O1097">
            <v>0</v>
          </cell>
        </row>
        <row r="1098">
          <cell r="D1098" t="str">
            <v>реконструкция</v>
          </cell>
          <cell r="G1098">
            <v>0</v>
          </cell>
          <cell r="I1098">
            <v>0</v>
          </cell>
        </row>
        <row r="1099">
          <cell r="D1099" t="str">
            <v>строительство</v>
          </cell>
          <cell r="G1099">
            <v>0.14780000000000001</v>
          </cell>
          <cell r="I1099">
            <v>0.1368</v>
          </cell>
          <cell r="K1099">
            <v>1.100000000000001E-2</v>
          </cell>
        </row>
        <row r="1100">
          <cell r="D1100" t="str">
            <v>Электроснабжение жилых домов по адресу: г. Липецк, ул. Буденного, д. 137-139, д. 133 а</v>
          </cell>
          <cell r="G1100">
            <v>1.6300000000000002E-2</v>
          </cell>
          <cell r="I1100">
            <v>1.6300000000000002E-2</v>
          </cell>
          <cell r="K1100">
            <v>0</v>
          </cell>
          <cell r="M1100">
            <v>0</v>
          </cell>
          <cell r="O1100">
            <v>0</v>
          </cell>
        </row>
        <row r="1101">
          <cell r="D1101" t="str">
            <v>реконструкция</v>
          </cell>
          <cell r="G1101">
            <v>0</v>
          </cell>
          <cell r="I1101">
            <v>0</v>
          </cell>
        </row>
        <row r="1102">
          <cell r="D1102" t="str">
            <v>строительство</v>
          </cell>
          <cell r="G1102">
            <v>1.6300000000000002E-2</v>
          </cell>
          <cell r="I1102">
            <v>1.6300000000000002E-2</v>
          </cell>
        </row>
        <row r="1103">
          <cell r="D1103" t="str">
            <v>Электроснабжение садового домика по адресу: г. Липецк, СО "Сокол-3", массив I, участок № 332</v>
          </cell>
          <cell r="G1103">
            <v>1.0999999999999999E-2</v>
          </cell>
          <cell r="I1103">
            <v>1.0999999999999999E-2</v>
          </cell>
          <cell r="K1103">
            <v>0</v>
          </cell>
          <cell r="M1103">
            <v>0</v>
          </cell>
          <cell r="O1103">
            <v>0</v>
          </cell>
        </row>
        <row r="1104">
          <cell r="D1104" t="str">
            <v>реконструкция</v>
          </cell>
          <cell r="G1104">
            <v>1.0999999999999999E-2</v>
          </cell>
          <cell r="I1104">
            <v>1.0999999999999999E-2</v>
          </cell>
        </row>
        <row r="1105">
          <cell r="D1105" t="str">
            <v>строительство</v>
          </cell>
          <cell r="G1105">
            <v>0</v>
          </cell>
          <cell r="I1105">
            <v>0</v>
          </cell>
        </row>
        <row r="1106">
          <cell r="D1106" t="str">
            <v>Электроснабжение садового домика по адресу: г. Липецк, СТ "Строитель", уч. № 385</v>
          </cell>
          <cell r="G1106">
            <v>3.2299999999999995E-2</v>
          </cell>
          <cell r="I1106">
            <v>3.2199999999999999E-2</v>
          </cell>
          <cell r="K1106">
            <v>9.9999999999995925E-5</v>
          </cell>
          <cell r="M1106">
            <v>0</v>
          </cell>
          <cell r="O1106">
            <v>0</v>
          </cell>
        </row>
        <row r="1107">
          <cell r="D1107" t="str">
            <v>реконструкция</v>
          </cell>
          <cell r="G1107">
            <v>3.2299999999999995E-2</v>
          </cell>
          <cell r="I1107">
            <v>3.2199999999999999E-2</v>
          </cell>
          <cell r="K1107">
            <v>9.9999999999995925E-5</v>
          </cell>
        </row>
        <row r="1108">
          <cell r="D1108" t="str">
            <v>строительство</v>
          </cell>
          <cell r="G1108">
            <v>0</v>
          </cell>
          <cell r="I1108">
            <v>0</v>
          </cell>
        </row>
        <row r="1109">
          <cell r="D1109" t="str">
            <v>Электроснабжение садового домика по адресу: г. Липецк, СНТ "Цементник", уч. № 910</v>
          </cell>
          <cell r="G1109">
            <v>0.66680000000000006</v>
          </cell>
          <cell r="I1109">
            <v>1.12E-2</v>
          </cell>
          <cell r="K1109">
            <v>0.65560000000000007</v>
          </cell>
          <cell r="M1109">
            <v>0</v>
          </cell>
          <cell r="O1109">
            <v>0</v>
          </cell>
        </row>
        <row r="1110">
          <cell r="D1110" t="str">
            <v>реконструкция</v>
          </cell>
          <cell r="G1110">
            <v>0.66680000000000006</v>
          </cell>
          <cell r="I1110">
            <v>1.12E-2</v>
          </cell>
          <cell r="K1110">
            <v>0.65560000000000007</v>
          </cell>
        </row>
        <row r="1111">
          <cell r="D1111" t="str">
            <v>строительство</v>
          </cell>
          <cell r="G1111">
            <v>0</v>
          </cell>
          <cell r="I1111">
            <v>0</v>
          </cell>
        </row>
        <row r="1112">
          <cell r="D1112" t="str">
            <v>Электроснабжение садового домика по адресу: почтовый адрес ориентира: г. Липецк, СТ "Строитель", участок № 137</v>
          </cell>
          <cell r="G1112">
            <v>3.9100000000000003E-2</v>
          </cell>
          <cell r="I1112">
            <v>3.9100000000000003E-2</v>
          </cell>
          <cell r="K1112">
            <v>0</v>
          </cell>
          <cell r="M1112">
            <v>0</v>
          </cell>
          <cell r="O1112">
            <v>0</v>
          </cell>
        </row>
        <row r="1113">
          <cell r="D1113" t="str">
            <v>реконструкция</v>
          </cell>
          <cell r="G1113">
            <v>3.9100000000000003E-2</v>
          </cell>
          <cell r="I1113">
            <v>3.9100000000000003E-2</v>
          </cell>
        </row>
        <row r="1114">
          <cell r="D1114" t="str">
            <v>строительство</v>
          </cell>
          <cell r="G1114">
            <v>0</v>
          </cell>
          <cell r="I1114">
            <v>0</v>
          </cell>
        </row>
        <row r="1115">
          <cell r="D1115" t="str">
            <v>Электроснабжение садового домика по адресу: почтовый адрес ориентира: г. Липецк, СТ "Ударник", 4 массив, участок № 48</v>
          </cell>
          <cell r="G1115">
            <v>4.5100000000000001E-2</v>
          </cell>
          <cell r="I1115">
            <v>3.8200000000000005E-2</v>
          </cell>
          <cell r="K1115">
            <v>6.8999999999999964E-3</v>
          </cell>
          <cell r="M1115">
            <v>0</v>
          </cell>
          <cell r="O1115">
            <v>0</v>
          </cell>
        </row>
        <row r="1116">
          <cell r="D1116" t="str">
            <v>реконструкция</v>
          </cell>
          <cell r="G1116">
            <v>4.5100000000000001E-2</v>
          </cell>
          <cell r="I1116">
            <v>3.8200000000000005E-2</v>
          </cell>
          <cell r="K1116">
            <v>6.8999999999999964E-3</v>
          </cell>
        </row>
        <row r="1117">
          <cell r="D1117" t="str">
            <v>строительство</v>
          </cell>
          <cell r="G1117">
            <v>0</v>
          </cell>
          <cell r="I1117">
            <v>0</v>
          </cell>
        </row>
        <row r="1118">
          <cell r="D1118" t="str">
            <v>Электроснабжение гаража по адресу: г. Липецк, ГК "Вираж", ряд № 13, гараж № 60</v>
          </cell>
          <cell r="G1118">
            <v>1.6899999999999998E-2</v>
          </cell>
          <cell r="I1118">
            <v>6.0999999999999995E-3</v>
          </cell>
          <cell r="K1118">
            <v>1.0799999999999999E-2</v>
          </cell>
          <cell r="M1118">
            <v>0</v>
          </cell>
          <cell r="O1118">
            <v>0</v>
          </cell>
        </row>
        <row r="1119">
          <cell r="D1119" t="str">
            <v>реконструкция</v>
          </cell>
          <cell r="G1119">
            <v>0</v>
          </cell>
          <cell r="I1119">
            <v>0</v>
          </cell>
        </row>
        <row r="1120">
          <cell r="D1120" t="str">
            <v>строительство</v>
          </cell>
          <cell r="G1120">
            <v>1.6899999999999998E-2</v>
          </cell>
          <cell r="I1120">
            <v>6.0999999999999995E-3</v>
          </cell>
          <cell r="K1120">
            <v>1.0799999999999999E-2</v>
          </cell>
        </row>
        <row r="1121">
          <cell r="D1121" t="str">
            <v xml:space="preserve"> Электроснабжение гаража по адресу: г. Липецк, проезд Поперечный, строение 1/5</v>
          </cell>
          <cell r="G1121">
            <v>4.3200000000000002E-2</v>
          </cell>
          <cell r="I1121">
            <v>6.0999999999999995E-3</v>
          </cell>
          <cell r="K1121">
            <v>3.7100000000000001E-2</v>
          </cell>
          <cell r="M1121">
            <v>0</v>
          </cell>
          <cell r="O1121">
            <v>0</v>
          </cell>
        </row>
        <row r="1122">
          <cell r="D1122" t="str">
            <v>реконструкция</v>
          </cell>
          <cell r="G1122">
            <v>0</v>
          </cell>
          <cell r="I1122">
            <v>0</v>
          </cell>
        </row>
        <row r="1123">
          <cell r="D1123" t="str">
            <v>строительство</v>
          </cell>
          <cell r="G1123">
            <v>4.3200000000000002E-2</v>
          </cell>
          <cell r="I1123">
            <v>6.0999999999999995E-3</v>
          </cell>
          <cell r="K1123">
            <v>3.7100000000000001E-2</v>
          </cell>
        </row>
        <row r="1124">
          <cell r="D1124" t="str">
            <v>Электроснабжение садового домика по адресу: г. Липецк, СНТ "Восход", участок № 73</v>
          </cell>
          <cell r="G1124">
            <v>3.95E-2</v>
          </cell>
          <cell r="I1124">
            <v>3.44E-2</v>
          </cell>
          <cell r="K1124">
            <v>5.1000000000000004E-3</v>
          </cell>
          <cell r="M1124">
            <v>0</v>
          </cell>
          <cell r="O1124">
            <v>0</v>
          </cell>
        </row>
        <row r="1125">
          <cell r="D1125" t="str">
            <v>реконструкция</v>
          </cell>
          <cell r="G1125">
            <v>0</v>
          </cell>
          <cell r="I1125">
            <v>0</v>
          </cell>
        </row>
        <row r="1126">
          <cell r="D1126" t="str">
            <v>строительство</v>
          </cell>
          <cell r="G1126">
            <v>3.95E-2</v>
          </cell>
          <cell r="I1126">
            <v>3.44E-2</v>
          </cell>
          <cell r="K1126">
            <v>5.1000000000000004E-3</v>
          </cell>
        </row>
        <row r="1127">
          <cell r="D1127" t="str">
            <v>Электроснабжение садового домика по адресу: г. Липецк, СНТ "имени И.В. Мичурина", улица Мирная, участок № 65</v>
          </cell>
          <cell r="G1127">
            <v>4.3E-3</v>
          </cell>
          <cell r="I1127">
            <v>4.3E-3</v>
          </cell>
          <cell r="K1127">
            <v>0</v>
          </cell>
          <cell r="M1127">
            <v>0</v>
          </cell>
          <cell r="O1127">
            <v>0</v>
          </cell>
        </row>
        <row r="1128">
          <cell r="D1128" t="str">
            <v>реконструкция</v>
          </cell>
          <cell r="G1128">
            <v>0</v>
          </cell>
          <cell r="I1128">
            <v>0</v>
          </cell>
        </row>
        <row r="1129">
          <cell r="D1129" t="str">
            <v>строительство</v>
          </cell>
          <cell r="G1129">
            <v>4.3E-3</v>
          </cell>
          <cell r="I1129">
            <v>4.3E-3</v>
          </cell>
        </row>
        <row r="1130">
          <cell r="D1130" t="str">
            <v>Электроснабжение садового домика по адресу: г. Липецк, СНТ "Дачный-3", земельный участок № 490</v>
          </cell>
          <cell r="G1130">
            <v>1.2800000000000001E-2</v>
          </cell>
          <cell r="I1130">
            <v>6.0999999999999995E-3</v>
          </cell>
          <cell r="K1130">
            <v>6.7000000000000011E-3</v>
          </cell>
          <cell r="M1130">
            <v>0</v>
          </cell>
          <cell r="O1130">
            <v>0</v>
          </cell>
        </row>
        <row r="1131">
          <cell r="D1131" t="str">
            <v>реконструкция</v>
          </cell>
          <cell r="G1131">
            <v>0</v>
          </cell>
          <cell r="I1131">
            <v>0</v>
          </cell>
        </row>
        <row r="1132">
          <cell r="D1132" t="str">
            <v>строительство</v>
          </cell>
          <cell r="G1132">
            <v>1.2800000000000001E-2</v>
          </cell>
          <cell r="I1132">
            <v>6.0999999999999995E-3</v>
          </cell>
          <cell r="K1132">
            <v>6.7000000000000011E-3</v>
          </cell>
        </row>
        <row r="1133">
          <cell r="D1133" t="str">
            <v>Электроснабжение жилого дома по адресу: г. Липецк, ул. Баумана, д. 299/1</v>
          </cell>
          <cell r="G1133">
            <v>4.6399999999999997E-2</v>
          </cell>
          <cell r="I1133">
            <v>4.6399999999999997E-2</v>
          </cell>
          <cell r="K1133">
            <v>0</v>
          </cell>
          <cell r="M1133">
            <v>0</v>
          </cell>
          <cell r="O1133">
            <v>0</v>
          </cell>
        </row>
        <row r="1134">
          <cell r="D1134" t="str">
            <v>реконструкция</v>
          </cell>
          <cell r="G1134">
            <v>4.6399999999999997E-2</v>
          </cell>
          <cell r="I1134">
            <v>4.6399999999999997E-2</v>
          </cell>
        </row>
        <row r="1135">
          <cell r="D1135" t="str">
            <v>строительство</v>
          </cell>
          <cell r="G1135">
            <v>0</v>
          </cell>
          <cell r="I1135">
            <v>0</v>
          </cell>
        </row>
        <row r="1136">
          <cell r="D1136" t="str">
            <v>Электроснабжение садового домика по адресу: г. Липецк, СТ "Строитель", участок № 803</v>
          </cell>
          <cell r="G1136">
            <v>1.1300000000000001E-2</v>
          </cell>
          <cell r="I1136">
            <v>1.1300000000000001E-2</v>
          </cell>
          <cell r="K1136">
            <v>0</v>
          </cell>
          <cell r="M1136">
            <v>0</v>
          </cell>
          <cell r="O1136">
            <v>0</v>
          </cell>
        </row>
        <row r="1137">
          <cell r="D1137" t="str">
            <v>реконструкция</v>
          </cell>
          <cell r="G1137">
            <v>1.1300000000000001E-2</v>
          </cell>
          <cell r="I1137">
            <v>1.1300000000000001E-2</v>
          </cell>
        </row>
        <row r="1138">
          <cell r="D1138" t="str">
            <v>строительство</v>
          </cell>
          <cell r="G1138">
            <v>0</v>
          </cell>
          <cell r="I1138">
            <v>0</v>
          </cell>
        </row>
        <row r="1139">
          <cell r="D1139" t="str">
            <v>Электроснабжение стройплощадки садового домика по адресу: г. Липецк, СНТ "Весна", линия 10, участок № 354 а</v>
          </cell>
          <cell r="G1139">
            <v>2.12E-2</v>
          </cell>
          <cell r="I1139">
            <v>2.12E-2</v>
          </cell>
          <cell r="K1139">
            <v>0</v>
          </cell>
          <cell r="M1139">
            <v>0</v>
          </cell>
          <cell r="O1139">
            <v>0</v>
          </cell>
        </row>
        <row r="1140">
          <cell r="D1140" t="str">
            <v>реконструкция</v>
          </cell>
          <cell r="G1140">
            <v>0</v>
          </cell>
          <cell r="I1140">
            <v>0</v>
          </cell>
        </row>
        <row r="1141">
          <cell r="D1141" t="str">
            <v>строительство</v>
          </cell>
          <cell r="G1141">
            <v>2.12E-2</v>
          </cell>
          <cell r="I1141">
            <v>2.12E-2</v>
          </cell>
        </row>
        <row r="1142">
          <cell r="D1142" t="str">
            <v>Электроснабжение садового домика по адресу: г. Липецк, СНТ "Кооператор", линия 2, участок № 37</v>
          </cell>
          <cell r="G1142">
            <v>2.92E-2</v>
          </cell>
          <cell r="I1142">
            <v>1.8200000000000001E-2</v>
          </cell>
          <cell r="K1142">
            <v>1.0999999999999999E-2</v>
          </cell>
          <cell r="M1142">
            <v>0</v>
          </cell>
          <cell r="O1142">
            <v>0</v>
          </cell>
        </row>
        <row r="1143">
          <cell r="D1143" t="str">
            <v>реконструкция</v>
          </cell>
          <cell r="G1143">
            <v>0</v>
          </cell>
          <cell r="I1143">
            <v>0</v>
          </cell>
        </row>
        <row r="1144">
          <cell r="D1144" t="str">
            <v>строительство</v>
          </cell>
          <cell r="G1144">
            <v>2.92E-2</v>
          </cell>
          <cell r="I1144">
            <v>1.8200000000000001E-2</v>
          </cell>
          <cell r="K1144">
            <v>1.0999999999999999E-2</v>
          </cell>
        </row>
        <row r="1145">
          <cell r="D1145" t="str">
            <v>Электроснабжение садового домика по адресу: г. Липецк, СТ "Пусковые двигатели", участок № 101</v>
          </cell>
          <cell r="G1145">
            <v>6.0999999999999995E-3</v>
          </cell>
          <cell r="I1145">
            <v>6.0999999999999995E-3</v>
          </cell>
          <cell r="K1145">
            <v>0</v>
          </cell>
          <cell r="M1145">
            <v>0</v>
          </cell>
          <cell r="O1145">
            <v>0</v>
          </cell>
        </row>
        <row r="1146">
          <cell r="D1146" t="str">
            <v>реконструкция</v>
          </cell>
          <cell r="G1146">
            <v>0</v>
          </cell>
          <cell r="I1146">
            <v>0</v>
          </cell>
        </row>
        <row r="1147">
          <cell r="D1147" t="str">
            <v>строительство</v>
          </cell>
          <cell r="G1147">
            <v>6.0999999999999995E-3</v>
          </cell>
          <cell r="I1147">
            <v>6.0999999999999995E-3</v>
          </cell>
        </row>
        <row r="1148">
          <cell r="D1148" t="str">
            <v>Электроснабжение садового домика по адресу: г. Липецк, СНТ "Цементник", земельный участок № 1836</v>
          </cell>
          <cell r="G1148">
            <v>1.77E-2</v>
          </cell>
          <cell r="I1148">
            <v>6.0999999999999995E-3</v>
          </cell>
          <cell r="K1148">
            <v>1.1600000000000001E-2</v>
          </cell>
          <cell r="M1148">
            <v>0</v>
          </cell>
          <cell r="O1148">
            <v>0</v>
          </cell>
        </row>
        <row r="1149">
          <cell r="D1149" t="str">
            <v>реконструкция</v>
          </cell>
          <cell r="G1149">
            <v>0</v>
          </cell>
          <cell r="I1149">
            <v>0</v>
          </cell>
        </row>
        <row r="1150">
          <cell r="D1150" t="str">
            <v>строительство</v>
          </cell>
          <cell r="G1150">
            <v>1.77E-2</v>
          </cell>
          <cell r="I1150">
            <v>6.0999999999999995E-3</v>
          </cell>
          <cell r="K1150">
            <v>1.1600000000000001E-2</v>
          </cell>
        </row>
        <row r="1151">
          <cell r="D1151" t="str">
            <v>Электроснабжение двух кирпичных зданий по адресу: г. Липецк, ул. Исполкомовская, д. 7</v>
          </cell>
          <cell r="G1151">
            <v>2.9000000000000001E-2</v>
          </cell>
          <cell r="I1151">
            <v>2.9000000000000001E-2</v>
          </cell>
          <cell r="K1151">
            <v>0</v>
          </cell>
          <cell r="M1151">
            <v>0</v>
          </cell>
          <cell r="O1151">
            <v>0</v>
          </cell>
        </row>
        <row r="1152">
          <cell r="D1152" t="str">
            <v>реконструкция</v>
          </cell>
          <cell r="G1152">
            <v>0</v>
          </cell>
          <cell r="I1152">
            <v>0</v>
          </cell>
        </row>
        <row r="1153">
          <cell r="D1153" t="str">
            <v>строительство</v>
          </cell>
          <cell r="G1153">
            <v>2.9000000000000001E-2</v>
          </cell>
          <cell r="I1153">
            <v>2.9000000000000001E-2</v>
          </cell>
        </row>
        <row r="1154">
          <cell r="D1154" t="str">
            <v>Электроснабжение садового домика по адресу: г. Липецк, ЛСПО "Ферросплавщик", линия 1, участок № 17</v>
          </cell>
          <cell r="G1154">
            <v>4.1599999999999998E-2</v>
          </cell>
          <cell r="I1154">
            <v>4.1599999999999998E-2</v>
          </cell>
          <cell r="K1154">
            <v>0</v>
          </cell>
          <cell r="M1154">
            <v>0</v>
          </cell>
          <cell r="O1154">
            <v>0</v>
          </cell>
        </row>
        <row r="1155">
          <cell r="D1155" t="str">
            <v>реконструкция</v>
          </cell>
          <cell r="G1155">
            <v>0</v>
          </cell>
          <cell r="I1155">
            <v>0</v>
          </cell>
        </row>
        <row r="1156">
          <cell r="D1156" t="str">
            <v>строительство</v>
          </cell>
          <cell r="G1156">
            <v>4.1599999999999998E-2</v>
          </cell>
          <cell r="I1156">
            <v>4.1599999999999998E-2</v>
          </cell>
        </row>
        <row r="1157">
          <cell r="D1157" t="str">
            <v>Электроснабжение стройплощадки садового домика по адресу: г. Липецк, СНТ "Тракторостроитель", ул. Мичуринская, участок № 27</v>
          </cell>
          <cell r="G1157">
            <v>4.3E-3</v>
          </cell>
          <cell r="I1157">
            <v>4.3E-3</v>
          </cell>
          <cell r="K1157">
            <v>0</v>
          </cell>
          <cell r="M1157">
            <v>0</v>
          </cell>
          <cell r="O1157">
            <v>0</v>
          </cell>
        </row>
        <row r="1158">
          <cell r="D1158" t="str">
            <v>реконструкция</v>
          </cell>
          <cell r="G1158">
            <v>0</v>
          </cell>
          <cell r="I1158">
            <v>0</v>
          </cell>
        </row>
        <row r="1159">
          <cell r="D1159" t="str">
            <v>строительство</v>
          </cell>
          <cell r="G1159">
            <v>4.3E-3</v>
          </cell>
          <cell r="I1159">
            <v>4.3E-3</v>
          </cell>
        </row>
        <row r="1160">
          <cell r="D1160" t="str">
            <v>Электроснабжение одноэтажного садового домика с пристройкой по адресу: г. Липецк, СНТ ?Дачный - 3?, земельный участок № 708</v>
          </cell>
          <cell r="G1160">
            <v>0.18359999999999999</v>
          </cell>
          <cell r="I1160">
            <v>0.17560000000000001</v>
          </cell>
          <cell r="K1160">
            <v>7.9999999999999793E-3</v>
          </cell>
          <cell r="M1160">
            <v>0</v>
          </cell>
          <cell r="O1160">
            <v>0</v>
          </cell>
        </row>
        <row r="1161">
          <cell r="D1161" t="str">
            <v>реконструкция</v>
          </cell>
          <cell r="G1161">
            <v>0</v>
          </cell>
          <cell r="I1161">
            <v>0</v>
          </cell>
        </row>
        <row r="1162">
          <cell r="D1162" t="str">
            <v>строительство</v>
          </cell>
          <cell r="G1162">
            <v>0.18359999999999999</v>
          </cell>
          <cell r="I1162">
            <v>0.17560000000000001</v>
          </cell>
          <cell r="K1162">
            <v>7.9999999999999793E-3</v>
          </cell>
        </row>
        <row r="1163">
          <cell r="D1163" t="str">
            <v>Электроснабжение садового домика по адресу: г. Липецк, СНТ "Монтажник", участок № 1179</v>
          </cell>
          <cell r="G1163">
            <v>6.4000000000000003E-3</v>
          </cell>
          <cell r="I1163">
            <v>6.0999999999999995E-3</v>
          </cell>
          <cell r="K1163">
            <v>3.0000000000000079E-4</v>
          </cell>
          <cell r="M1163">
            <v>0</v>
          </cell>
          <cell r="O1163">
            <v>0</v>
          </cell>
        </row>
        <row r="1164">
          <cell r="D1164" t="str">
            <v>реконструкция</v>
          </cell>
          <cell r="G1164">
            <v>0</v>
          </cell>
          <cell r="I1164">
            <v>0</v>
          </cell>
        </row>
        <row r="1165">
          <cell r="D1165" t="str">
            <v>строительство</v>
          </cell>
          <cell r="G1165">
            <v>6.4000000000000003E-3</v>
          </cell>
          <cell r="I1165">
            <v>6.0999999999999995E-3</v>
          </cell>
          <cell r="K1165">
            <v>3.0000000000000079E-4</v>
          </cell>
        </row>
        <row r="1166">
          <cell r="D1166" t="str">
            <v>Электроснабжение садового домика по адресу: г. Липецк, ПОПиИ "Сокол-1", земельный участок № 101</v>
          </cell>
          <cell r="G1166">
            <v>6.0999999999999995E-3</v>
          </cell>
          <cell r="I1166">
            <v>6.0999999999999995E-3</v>
          </cell>
          <cell r="K1166">
            <v>0</v>
          </cell>
          <cell r="M1166">
            <v>0</v>
          </cell>
          <cell r="O1166">
            <v>0</v>
          </cell>
        </row>
        <row r="1167">
          <cell r="D1167" t="str">
            <v>реконструкция</v>
          </cell>
          <cell r="G1167">
            <v>0</v>
          </cell>
          <cell r="I1167">
            <v>0</v>
          </cell>
        </row>
        <row r="1168">
          <cell r="D1168" t="str">
            <v>строительство</v>
          </cell>
          <cell r="G1168">
            <v>6.0999999999999995E-3</v>
          </cell>
          <cell r="I1168">
            <v>6.0999999999999995E-3</v>
          </cell>
        </row>
        <row r="1169">
          <cell r="D1169" t="str">
            <v>Электроснабжение жилого дома по адресу: г. Липецк, с. Сселки</v>
          </cell>
          <cell r="G1169">
            <v>3.2299999999999995E-2</v>
          </cell>
          <cell r="I1169">
            <v>1.2699999999999999E-2</v>
          </cell>
          <cell r="K1169">
            <v>1.9599999999999996E-2</v>
          </cell>
          <cell r="M1169">
            <v>0</v>
          </cell>
          <cell r="O1169">
            <v>0</v>
          </cell>
        </row>
        <row r="1170">
          <cell r="D1170" t="str">
            <v>реконструкция</v>
          </cell>
          <cell r="G1170">
            <v>0</v>
          </cell>
          <cell r="I1170">
            <v>0</v>
          </cell>
        </row>
        <row r="1171">
          <cell r="D1171" t="str">
            <v>строительство</v>
          </cell>
          <cell r="G1171">
            <v>3.2299999999999995E-2</v>
          </cell>
          <cell r="I1171">
            <v>1.2699999999999999E-2</v>
          </cell>
          <cell r="K1171">
            <v>1.9599999999999996E-2</v>
          </cell>
        </row>
        <row r="1172">
          <cell r="D1172" t="str">
            <v>Электроснабжение садового домика по адресу: г. Липецк, СНТ "Машиностроитель", участок № 854</v>
          </cell>
          <cell r="G1172">
            <v>6.4000000000000003E-3</v>
          </cell>
          <cell r="I1172">
            <v>6.0999999999999995E-3</v>
          </cell>
          <cell r="K1172">
            <v>3.0000000000000079E-4</v>
          </cell>
          <cell r="M1172">
            <v>0</v>
          </cell>
          <cell r="O1172">
            <v>0</v>
          </cell>
        </row>
        <row r="1173">
          <cell r="D1173" t="str">
            <v>реконструкция</v>
          </cell>
          <cell r="G1173">
            <v>0</v>
          </cell>
          <cell r="I1173">
            <v>0</v>
          </cell>
        </row>
        <row r="1174">
          <cell r="D1174" t="str">
            <v>строительство</v>
          </cell>
          <cell r="G1174">
            <v>6.4000000000000003E-3</v>
          </cell>
          <cell r="I1174">
            <v>6.0999999999999995E-3</v>
          </cell>
          <cell r="K1174">
            <v>3.0000000000000079E-4</v>
          </cell>
        </row>
        <row r="1175">
          <cell r="D1175" t="str">
            <v>Электроснабжение садового домика по адресу: г. Липецк, СТ "Ударник", массив 3, земельный участок № 20</v>
          </cell>
          <cell r="G1175">
            <v>3.3000000000000002E-2</v>
          </cell>
          <cell r="I1175">
            <v>6.0999999999999995E-3</v>
          </cell>
          <cell r="K1175">
            <v>2.69E-2</v>
          </cell>
          <cell r="M1175">
            <v>0</v>
          </cell>
          <cell r="O1175">
            <v>0</v>
          </cell>
        </row>
        <row r="1176">
          <cell r="D1176" t="str">
            <v>реконструкция</v>
          </cell>
          <cell r="G1176">
            <v>3.3000000000000002E-2</v>
          </cell>
          <cell r="I1176">
            <v>6.0999999999999995E-3</v>
          </cell>
          <cell r="K1176">
            <v>2.69E-2</v>
          </cell>
        </row>
        <row r="1177">
          <cell r="D1177" t="str">
            <v>строительство</v>
          </cell>
          <cell r="G1177">
            <v>0</v>
          </cell>
          <cell r="I1177">
            <v>0</v>
          </cell>
        </row>
        <row r="1178">
          <cell r="D1178" t="str">
            <v xml:space="preserve"> Электроснабжение садовых домиков по адресу: г. Липецк, СНТ "Металлург-2" ОАО НЛМК, уч. № 478, 493, 487</v>
          </cell>
          <cell r="G1178">
            <v>2.5600000000000001E-2</v>
          </cell>
          <cell r="I1178">
            <v>2.5499999999999998E-2</v>
          </cell>
          <cell r="K1178">
            <v>1.0000000000000286E-4</v>
          </cell>
          <cell r="M1178">
            <v>0</v>
          </cell>
          <cell r="O1178">
            <v>0</v>
          </cell>
        </row>
        <row r="1179">
          <cell r="D1179" t="str">
            <v>реконструкция</v>
          </cell>
          <cell r="G1179">
            <v>0</v>
          </cell>
          <cell r="I1179">
            <v>0</v>
          </cell>
        </row>
        <row r="1180">
          <cell r="D1180" t="str">
            <v>строительство</v>
          </cell>
          <cell r="G1180">
            <v>2.5600000000000001E-2</v>
          </cell>
          <cell r="I1180">
            <v>2.5499999999999998E-2</v>
          </cell>
          <cell r="K1180">
            <v>1.0000000000000286E-4</v>
          </cell>
        </row>
        <row r="1181">
          <cell r="D1181" t="str">
            <v>Электроснабжение садового домика по адресу: г. Липецк, СНТ "Цементник", уч. № 2154</v>
          </cell>
          <cell r="G1181">
            <v>7.0400000000000004E-2</v>
          </cell>
          <cell r="I1181">
            <v>3.32E-2</v>
          </cell>
          <cell r="K1181">
            <v>3.7200000000000004E-2</v>
          </cell>
          <cell r="M1181">
            <v>0</v>
          </cell>
          <cell r="O1181">
            <v>0</v>
          </cell>
        </row>
        <row r="1182">
          <cell r="D1182" t="str">
            <v>реконструкция</v>
          </cell>
          <cell r="G1182">
            <v>0</v>
          </cell>
          <cell r="I1182">
            <v>0</v>
          </cell>
        </row>
        <row r="1183">
          <cell r="D1183" t="str">
            <v>строительство</v>
          </cell>
          <cell r="G1183">
            <v>7.0400000000000004E-2</v>
          </cell>
          <cell r="I1183">
            <v>3.32E-2</v>
          </cell>
          <cell r="K1183">
            <v>3.7200000000000004E-2</v>
          </cell>
        </row>
        <row r="1184">
          <cell r="D1184" t="str">
            <v>Электроснабжение садового домика по адресу: г. Липецк, СНТ "Металлург-2" ОАО НЛМК, участок № 58</v>
          </cell>
          <cell r="G1184">
            <v>3.4199999999999994E-2</v>
          </cell>
          <cell r="I1184">
            <v>2.9000000000000001E-2</v>
          </cell>
          <cell r="K1184">
            <v>5.1999999999999928E-3</v>
          </cell>
          <cell r="M1184">
            <v>0</v>
          </cell>
          <cell r="O1184">
            <v>0</v>
          </cell>
        </row>
        <row r="1185">
          <cell r="D1185" t="str">
            <v>реконструкция</v>
          </cell>
          <cell r="G1185">
            <v>0</v>
          </cell>
          <cell r="I1185">
            <v>0</v>
          </cell>
        </row>
        <row r="1186">
          <cell r="D1186" t="str">
            <v>строительство</v>
          </cell>
          <cell r="G1186">
            <v>3.4199999999999994E-2</v>
          </cell>
          <cell r="I1186">
            <v>2.9000000000000001E-2</v>
          </cell>
          <cell r="K1186">
            <v>5.1999999999999928E-3</v>
          </cell>
        </row>
        <row r="1187">
          <cell r="D1187" t="str">
            <v>Электроснабжение садовых домиков в СНТ «Металлург-2» (МТП-3)</v>
          </cell>
          <cell r="G1187">
            <v>0.16650000000000001</v>
          </cell>
          <cell r="I1187">
            <v>0.16650000000000001</v>
          </cell>
          <cell r="K1187">
            <v>0</v>
          </cell>
          <cell r="M1187">
            <v>0</v>
          </cell>
          <cell r="O1187">
            <v>0</v>
          </cell>
        </row>
        <row r="1188">
          <cell r="D1188" t="str">
            <v>реконструкция</v>
          </cell>
          <cell r="G1188">
            <v>0</v>
          </cell>
          <cell r="I1188">
            <v>0</v>
          </cell>
        </row>
        <row r="1189">
          <cell r="D1189" t="str">
            <v>строительство</v>
          </cell>
          <cell r="G1189">
            <v>0.16650000000000001</v>
          </cell>
          <cell r="I1189">
            <v>0.16650000000000001</v>
          </cell>
        </row>
        <row r="1190">
          <cell r="D1190" t="str">
            <v>Электроснабжение гаража по адресу: г. Липецк, во дворе № 47 по ул. Советской</v>
          </cell>
          <cell r="G1190">
            <v>0.12459999999999999</v>
          </cell>
          <cell r="I1190">
            <v>0.12459999999999999</v>
          </cell>
          <cell r="K1190">
            <v>0</v>
          </cell>
          <cell r="M1190">
            <v>0</v>
          </cell>
          <cell r="O1190">
            <v>0</v>
          </cell>
        </row>
        <row r="1191">
          <cell r="D1191" t="str">
            <v>реконструкция</v>
          </cell>
          <cell r="G1191">
            <v>0</v>
          </cell>
          <cell r="I1191">
            <v>0</v>
          </cell>
        </row>
        <row r="1192">
          <cell r="D1192" t="str">
            <v>строительство</v>
          </cell>
          <cell r="G1192">
            <v>0.12459999999999999</v>
          </cell>
          <cell r="I1192">
            <v>0.12459999999999999</v>
          </cell>
        </row>
        <row r="1193">
          <cell r="D1193" t="str">
            <v>Электроснабжение садового домика по адресу: г. Липецк, СНТ ?Металлург-1?, квартал I, участок № 60</v>
          </cell>
          <cell r="G1193">
            <v>2.2100000000000002E-2</v>
          </cell>
          <cell r="I1193">
            <v>1.12E-2</v>
          </cell>
          <cell r="K1193">
            <v>1.0900000000000002E-2</v>
          </cell>
          <cell r="M1193">
            <v>0</v>
          </cell>
          <cell r="O1193">
            <v>0</v>
          </cell>
        </row>
        <row r="1194">
          <cell r="D1194" t="str">
            <v>реконструкция</v>
          </cell>
          <cell r="G1194">
            <v>0</v>
          </cell>
          <cell r="I1194">
            <v>0</v>
          </cell>
        </row>
        <row r="1195">
          <cell r="D1195" t="str">
            <v>строительство</v>
          </cell>
          <cell r="G1195">
            <v>2.2100000000000002E-2</v>
          </cell>
          <cell r="I1195">
            <v>1.12E-2</v>
          </cell>
          <cell r="K1195">
            <v>1.0900000000000002E-2</v>
          </cell>
        </row>
        <row r="1196">
          <cell r="D1196" t="str">
            <v>Электроснабжение садового домика по адресу: г. Липецк, СНТ ?Машиностроитель?, участок № 917</v>
          </cell>
          <cell r="G1196">
            <v>0.36730000000000002</v>
          </cell>
          <cell r="I1196">
            <v>5.45E-2</v>
          </cell>
          <cell r="K1196">
            <v>0.31280000000000002</v>
          </cell>
          <cell r="M1196">
            <v>0</v>
          </cell>
          <cell r="O1196">
            <v>0</v>
          </cell>
        </row>
        <row r="1197">
          <cell r="D1197" t="str">
            <v>реконструкция</v>
          </cell>
          <cell r="G1197">
            <v>0.36730000000000002</v>
          </cell>
          <cell r="I1197">
            <v>5.45E-2</v>
          </cell>
          <cell r="K1197">
            <v>0.31280000000000002</v>
          </cell>
        </row>
        <row r="1198">
          <cell r="D1198" t="str">
            <v>строительство</v>
          </cell>
          <cell r="G1198">
            <v>0</v>
          </cell>
          <cell r="I1198">
            <v>0</v>
          </cell>
        </row>
        <row r="1199">
          <cell r="D1199" t="str">
            <v xml:space="preserve"> Электроснабжение индивидуального жилого дома по адресу: г. Липецк, ул. Северный Рудник, участок № 1 (по схеме, кадастровый № 48:20:00215</v>
          </cell>
          <cell r="G1199">
            <v>4.7600000000000003E-2</v>
          </cell>
          <cell r="I1199">
            <v>6.6E-3</v>
          </cell>
          <cell r="K1199">
            <v>4.1000000000000002E-2</v>
          </cell>
          <cell r="M1199">
            <v>0</v>
          </cell>
          <cell r="O1199">
            <v>0</v>
          </cell>
        </row>
        <row r="1200">
          <cell r="D1200" t="str">
            <v>реконструкция</v>
          </cell>
          <cell r="G1200">
            <v>4.7600000000000003E-2</v>
          </cell>
          <cell r="I1200">
            <v>6.6E-3</v>
          </cell>
          <cell r="K1200">
            <v>4.1000000000000002E-2</v>
          </cell>
        </row>
        <row r="1201">
          <cell r="D1201" t="str">
            <v>строительство</v>
          </cell>
          <cell r="G1201">
            <v>0</v>
          </cell>
          <cell r="I1201">
            <v>0</v>
          </cell>
        </row>
        <row r="1202">
          <cell r="D1202" t="str">
            <v>Электроснабжение садовых домиков в СНТ ?Монтажник?</v>
          </cell>
          <cell r="G1202">
            <v>6.9000000000000008E-3</v>
          </cell>
          <cell r="I1202">
            <v>6.0999999999999995E-3</v>
          </cell>
          <cell r="K1202">
            <v>8.0000000000000123E-4</v>
          </cell>
          <cell r="M1202">
            <v>0</v>
          </cell>
          <cell r="O1202">
            <v>0</v>
          </cell>
        </row>
        <row r="1203">
          <cell r="D1203" t="str">
            <v>реконструкция</v>
          </cell>
          <cell r="G1203">
            <v>0</v>
          </cell>
          <cell r="I1203">
            <v>0</v>
          </cell>
        </row>
        <row r="1204">
          <cell r="D1204" t="str">
            <v>строительство</v>
          </cell>
          <cell r="G1204">
            <v>6.9000000000000008E-3</v>
          </cell>
          <cell r="I1204">
            <v>6.0999999999999995E-3</v>
          </cell>
          <cell r="K1204">
            <v>8.0000000000000123E-4</v>
          </cell>
        </row>
        <row r="1205">
          <cell r="D1205" t="str">
            <v>Электроснабжение индивидуального жилого дома усадебного типа и хозяйственных строений по адресу: г. Липецк, ул. Боровая, д. 14</v>
          </cell>
          <cell r="G1205">
            <v>0.2752</v>
          </cell>
          <cell r="I1205">
            <v>6.0999999999999995E-3</v>
          </cell>
          <cell r="K1205">
            <v>0.26910000000000001</v>
          </cell>
          <cell r="M1205">
            <v>0</v>
          </cell>
          <cell r="O1205">
            <v>0</v>
          </cell>
        </row>
        <row r="1206">
          <cell r="D1206" t="str">
            <v>реконструкция</v>
          </cell>
          <cell r="G1206">
            <v>0.26910000000000001</v>
          </cell>
          <cell r="I1206">
            <v>0</v>
          </cell>
          <cell r="K1206">
            <v>0.26910000000000001</v>
          </cell>
        </row>
        <row r="1207">
          <cell r="D1207" t="str">
            <v>строительство</v>
          </cell>
          <cell r="G1207">
            <v>6.0999999999999995E-3</v>
          </cell>
          <cell r="I1207">
            <v>6.0999999999999995E-3</v>
          </cell>
        </row>
        <row r="1208">
          <cell r="D1208" t="str">
            <v>Электроснабжение жилого дома по адресу: г. Липецк, пер. Чистый, дом № 19</v>
          </cell>
          <cell r="G1208">
            <v>2.52E-2</v>
          </cell>
          <cell r="I1208">
            <v>1.8200000000000001E-2</v>
          </cell>
          <cell r="K1208">
            <v>6.9999999999999993E-3</v>
          </cell>
          <cell r="M1208">
            <v>0</v>
          </cell>
          <cell r="O1208">
            <v>0</v>
          </cell>
        </row>
        <row r="1209">
          <cell r="D1209" t="str">
            <v>реконструкция</v>
          </cell>
          <cell r="G1209">
            <v>2.52E-2</v>
          </cell>
          <cell r="I1209">
            <v>1.8200000000000001E-2</v>
          </cell>
          <cell r="K1209">
            <v>6.9999999999999993E-3</v>
          </cell>
        </row>
        <row r="1210">
          <cell r="D1210" t="str">
            <v>строительство</v>
          </cell>
          <cell r="G1210">
            <v>0</v>
          </cell>
          <cell r="I1210">
            <v>0</v>
          </cell>
        </row>
        <row r="1211">
          <cell r="D1211" t="str">
            <v>Электроснабжение садового домика по адресу: г. Липецк, НТС "Металлург-3", улица 34-1, уч. № 26, 28</v>
          </cell>
          <cell r="G1211">
            <v>0.2576</v>
          </cell>
          <cell r="I1211">
            <v>0.2576</v>
          </cell>
          <cell r="K1211">
            <v>0</v>
          </cell>
          <cell r="M1211">
            <v>0</v>
          </cell>
          <cell r="O1211">
            <v>0</v>
          </cell>
        </row>
        <row r="1212">
          <cell r="D1212" t="str">
            <v>реконструкция</v>
          </cell>
          <cell r="G1212">
            <v>0.2576</v>
          </cell>
          <cell r="I1212">
            <v>0.2576</v>
          </cell>
        </row>
        <row r="1213">
          <cell r="D1213" t="str">
            <v>строительство</v>
          </cell>
          <cell r="G1213">
            <v>0</v>
          </cell>
          <cell r="I1213">
            <v>0</v>
          </cell>
        </row>
        <row r="1214">
          <cell r="D1214" t="str">
            <v>Электроснабжение садового домика по адресу: г. Липецк, СНТ "Тракторостроитель-2", линия № 1, земельный участок № 18</v>
          </cell>
          <cell r="G1214">
            <v>0.154</v>
          </cell>
          <cell r="I1214">
            <v>0.15409999999999999</v>
          </cell>
          <cell r="K1214">
            <v>-9.9999999999988987E-5</v>
          </cell>
          <cell r="M1214">
            <v>0</v>
          </cell>
          <cell r="O1214">
            <v>0</v>
          </cell>
        </row>
        <row r="1215">
          <cell r="D1215" t="str">
            <v>реконструкция</v>
          </cell>
          <cell r="G1215">
            <v>0.154</v>
          </cell>
          <cell r="I1215">
            <v>0.15409999999999999</v>
          </cell>
          <cell r="K1215">
            <v>-9.9999999999988987E-5</v>
          </cell>
        </row>
        <row r="1216">
          <cell r="D1216" t="str">
            <v>строительство</v>
          </cell>
          <cell r="G1216">
            <v>0</v>
          </cell>
          <cell r="I1216">
            <v>0</v>
          </cell>
        </row>
        <row r="1217">
          <cell r="D1217" t="str">
            <v>Электроснабжение здания склада по адресу: г. Липецк, пр. Поперечный, стр. 13 б</v>
          </cell>
          <cell r="G1217">
            <v>7.8900000000000012E-2</v>
          </cell>
          <cell r="I1217">
            <v>7.8900000000000012E-2</v>
          </cell>
          <cell r="K1217">
            <v>0</v>
          </cell>
          <cell r="M1217">
            <v>0</v>
          </cell>
          <cell r="O1217">
            <v>0</v>
          </cell>
        </row>
        <row r="1218">
          <cell r="D1218" t="str">
            <v>реконструкция</v>
          </cell>
          <cell r="G1218">
            <v>7.8900000000000012E-2</v>
          </cell>
          <cell r="I1218">
            <v>7.8900000000000012E-2</v>
          </cell>
        </row>
        <row r="1219">
          <cell r="D1219" t="str">
            <v>строительство</v>
          </cell>
          <cell r="G1219">
            <v>0</v>
          </cell>
          <cell r="I1219">
            <v>0</v>
          </cell>
        </row>
        <row r="1220">
          <cell r="D1220" t="str">
            <v>Электроснабжение нежилого здания по адресу: г. Липецк, СНТ "Металлург-2" ОАО НЛМК, земельный участок № 535</v>
          </cell>
          <cell r="G1220">
            <v>0.501</v>
          </cell>
          <cell r="I1220">
            <v>0.47549999999999998</v>
          </cell>
          <cell r="K1220">
            <v>2.5500000000000023E-2</v>
          </cell>
          <cell r="M1220">
            <v>0</v>
          </cell>
          <cell r="O1220">
            <v>0</v>
          </cell>
        </row>
        <row r="1221">
          <cell r="D1221" t="str">
            <v>реконструкция</v>
          </cell>
          <cell r="G1221">
            <v>0.501</v>
          </cell>
          <cell r="I1221">
            <v>0.47549999999999998</v>
          </cell>
          <cell r="K1221">
            <v>2.5500000000000023E-2</v>
          </cell>
        </row>
        <row r="1222">
          <cell r="D1222" t="str">
            <v>строительство</v>
          </cell>
          <cell r="G1222">
            <v>0</v>
          </cell>
          <cell r="I1222">
            <v>0</v>
          </cell>
        </row>
        <row r="1223">
          <cell r="D1223" t="str">
            <v>Электроснабжение садовых домиков по адресу: г. Липецк, СНП "Спутник", массив № 1</v>
          </cell>
          <cell r="G1223">
            <v>9.4400000000000012E-2</v>
          </cell>
          <cell r="I1223">
            <v>3.3700000000000001E-2</v>
          </cell>
          <cell r="K1223">
            <v>6.0700000000000011E-2</v>
          </cell>
          <cell r="M1223">
            <v>0</v>
          </cell>
          <cell r="O1223">
            <v>0</v>
          </cell>
        </row>
        <row r="1224">
          <cell r="D1224" t="str">
            <v>реконструкция</v>
          </cell>
          <cell r="G1224">
            <v>9.4400000000000012E-2</v>
          </cell>
          <cell r="I1224">
            <v>3.3700000000000001E-2</v>
          </cell>
          <cell r="K1224">
            <v>6.0700000000000011E-2</v>
          </cell>
        </row>
        <row r="1225">
          <cell r="D1225" t="str">
            <v>строительство</v>
          </cell>
          <cell r="G1225">
            <v>0</v>
          </cell>
          <cell r="I1225">
            <v>0</v>
          </cell>
        </row>
        <row r="1226">
          <cell r="D1226" t="str">
            <v>Электроснабжение садового домика по адресу: г. Липецк, ПОПиИ"Сокол-1", зем. уч. № 596</v>
          </cell>
          <cell r="G1226">
            <v>0</v>
          </cell>
          <cell r="I1226">
            <v>0</v>
          </cell>
          <cell r="K1226">
            <v>0</v>
          </cell>
          <cell r="M1226">
            <v>0</v>
          </cell>
          <cell r="O1226">
            <v>0</v>
          </cell>
        </row>
        <row r="1227">
          <cell r="D1227" t="str">
            <v>реконструкция</v>
          </cell>
          <cell r="G1227">
            <v>0</v>
          </cell>
        </row>
        <row r="1228">
          <cell r="D1228" t="str">
            <v>строительство</v>
          </cell>
          <cell r="G1228">
            <v>0</v>
          </cell>
        </row>
        <row r="1229">
          <cell r="D1229" t="str">
            <v>Электроснабжение стройплощадки индивидуального жилого дома по адресу: почтовый адрес ориентира: г. Липецк, район ул. Покровская, участок № 17 (по схеме, кадастровый № 48:02:0990101:1359)</v>
          </cell>
          <cell r="G1229">
            <v>5.0599999999999999E-2</v>
          </cell>
          <cell r="I1229">
            <v>5.0500000000000003E-2</v>
          </cell>
          <cell r="K1229">
            <v>9.9999999999995925E-5</v>
          </cell>
          <cell r="M1229">
            <v>0</v>
          </cell>
          <cell r="O1229">
            <v>0</v>
          </cell>
        </row>
        <row r="1230">
          <cell r="D1230" t="str">
            <v>реконструкция</v>
          </cell>
          <cell r="G1230">
            <v>5.0599999999999999E-2</v>
          </cell>
          <cell r="I1230">
            <v>5.0500000000000003E-2</v>
          </cell>
          <cell r="K1230">
            <v>9.9999999999995925E-5</v>
          </cell>
        </row>
        <row r="1231">
          <cell r="D1231" t="str">
            <v>строительство</v>
          </cell>
          <cell r="G1231">
            <v>0</v>
          </cell>
          <cell r="I1231">
            <v>0</v>
          </cell>
          <cell r="K1231">
            <v>0</v>
          </cell>
        </row>
        <row r="1232">
          <cell r="D1232" t="str">
            <v>Электроснабжение административного здания по адресу: г. Липецк, ул. 50 лет НЛМК, кадастровый № 48:20:0046103:906</v>
          </cell>
          <cell r="G1232">
            <v>7.7299999999999994E-2</v>
          </cell>
          <cell r="I1232">
            <v>7.7299999999999994E-2</v>
          </cell>
          <cell r="K1232">
            <v>0</v>
          </cell>
          <cell r="M1232">
            <v>0</v>
          </cell>
          <cell r="O1232">
            <v>0</v>
          </cell>
        </row>
        <row r="1233">
          <cell r="D1233" t="str">
            <v>реконструкция</v>
          </cell>
          <cell r="G1233">
            <v>7.7299999999999994E-2</v>
          </cell>
          <cell r="I1233">
            <v>7.7299999999999994E-2</v>
          </cell>
        </row>
        <row r="1234">
          <cell r="D1234" t="str">
            <v>строительство</v>
          </cell>
          <cell r="G1234">
            <v>0</v>
          </cell>
          <cell r="I1234">
            <v>0</v>
          </cell>
        </row>
        <row r="1235">
          <cell r="D1235" t="str">
            <v>Электроснабжение садового домика по адресу: г. Липецк, СО "Сокол-3", участок № 742</v>
          </cell>
          <cell r="G1235">
            <v>1.21E-2</v>
          </cell>
          <cell r="I1235">
            <v>1.21E-2</v>
          </cell>
          <cell r="K1235">
            <v>0</v>
          </cell>
          <cell r="M1235">
            <v>0</v>
          </cell>
          <cell r="O1235">
            <v>0</v>
          </cell>
        </row>
        <row r="1236">
          <cell r="D1236" t="str">
            <v>реконструкция</v>
          </cell>
          <cell r="G1236">
            <v>0</v>
          </cell>
          <cell r="I1236">
            <v>0</v>
          </cell>
        </row>
        <row r="1237">
          <cell r="D1237" t="str">
            <v>строительство</v>
          </cell>
          <cell r="G1237">
            <v>1.21E-2</v>
          </cell>
          <cell r="I1237">
            <v>1.21E-2</v>
          </cell>
        </row>
        <row r="1238">
          <cell r="D1238" t="str">
            <v>Электроснабжение садового домика по адресу: г. Липецк, СПО "Металлург-1", квартал IIIа, участок № 12</v>
          </cell>
          <cell r="G1238">
            <v>0.44709999999999994</v>
          </cell>
          <cell r="I1238">
            <v>0.43009999999999998</v>
          </cell>
          <cell r="K1238">
            <v>1.699999999999996E-2</v>
          </cell>
          <cell r="M1238">
            <v>0</v>
          </cell>
          <cell r="O1238">
            <v>0</v>
          </cell>
        </row>
        <row r="1239">
          <cell r="D1239" t="str">
            <v>реконструкция</v>
          </cell>
          <cell r="G1239">
            <v>0.44709999999999994</v>
          </cell>
          <cell r="I1239">
            <v>0.43009999999999998</v>
          </cell>
          <cell r="K1239">
            <v>1.699999999999996E-2</v>
          </cell>
        </row>
        <row r="1240">
          <cell r="D1240" t="str">
            <v>строительство</v>
          </cell>
          <cell r="G1240">
            <v>0</v>
          </cell>
          <cell r="I1240">
            <v>0</v>
          </cell>
        </row>
        <row r="1241">
          <cell r="D1241" t="str">
            <v>Электроснабжение садового домика по адресу: г. Липецк, СНТ «Кооператор», линия № 1, земельный участок № 7</v>
          </cell>
          <cell r="G1241">
            <v>2.4899999999999999E-2</v>
          </cell>
          <cell r="I1241">
            <v>2.47E-2</v>
          </cell>
          <cell r="K1241">
            <v>1.9999999999999879E-4</v>
          </cell>
          <cell r="M1241">
            <v>0</v>
          </cell>
          <cell r="O1241">
            <v>0</v>
          </cell>
        </row>
        <row r="1242">
          <cell r="D1242" t="str">
            <v>реконструкция</v>
          </cell>
          <cell r="G1242">
            <v>2.4899999999999999E-2</v>
          </cell>
          <cell r="I1242">
            <v>2.47E-2</v>
          </cell>
          <cell r="K1242">
            <v>1.9999999999999879E-4</v>
          </cell>
        </row>
        <row r="1243">
          <cell r="D1243" t="str">
            <v>строительство</v>
          </cell>
          <cell r="G1243">
            <v>0</v>
          </cell>
          <cell r="I1243">
            <v>0</v>
          </cell>
        </row>
        <row r="1244">
          <cell r="D1244" t="str">
            <v>Электроснабжение гаража № 15 по адресу: г. Липецк, гаражно-строительный кооператив «металлист-4», ряд 4 по ул. Лазо-Воронежской</v>
          </cell>
          <cell r="G1244">
            <v>2.6799999999999997E-2</v>
          </cell>
          <cell r="I1244">
            <v>2.1700000000000001E-2</v>
          </cell>
          <cell r="K1244">
            <v>5.0999999999999969E-3</v>
          </cell>
          <cell r="M1244">
            <v>0</v>
          </cell>
          <cell r="O1244">
            <v>0</v>
          </cell>
        </row>
        <row r="1245">
          <cell r="D1245" t="str">
            <v>реконструкция</v>
          </cell>
          <cell r="G1245">
            <v>0</v>
          </cell>
          <cell r="I1245">
            <v>0</v>
          </cell>
        </row>
        <row r="1246">
          <cell r="D1246" t="str">
            <v>строительство</v>
          </cell>
          <cell r="G1246">
            <v>2.6799999999999997E-2</v>
          </cell>
          <cell r="I1246">
            <v>2.1700000000000001E-2</v>
          </cell>
          <cell r="K1246">
            <v>5.0999999999999969E-3</v>
          </cell>
        </row>
        <row r="1247">
          <cell r="D1247" t="str">
            <v>Электроснабжение садового домика по адресу: г. Липецк, СНТ "Металлург-1", I квартал, участок № 4</v>
          </cell>
          <cell r="G1247">
            <v>0.1052</v>
          </cell>
          <cell r="I1247">
            <v>0.1052</v>
          </cell>
          <cell r="K1247">
            <v>0</v>
          </cell>
          <cell r="M1247">
            <v>0</v>
          </cell>
          <cell r="O1247">
            <v>0</v>
          </cell>
        </row>
        <row r="1248">
          <cell r="D1248" t="str">
            <v>реконструкция</v>
          </cell>
          <cell r="G1248">
            <v>0</v>
          </cell>
          <cell r="I1248">
            <v>0</v>
          </cell>
        </row>
        <row r="1249">
          <cell r="D1249" t="str">
            <v>строительство</v>
          </cell>
          <cell r="G1249">
            <v>0.1052</v>
          </cell>
          <cell r="I1249">
            <v>0.1052</v>
          </cell>
        </row>
        <row r="1250">
          <cell r="D1250" t="str">
            <v>Электроснабжение кирпичного гаража по адресу: г. Липецк, ул. Механизаторов, во дворе дома № 13</v>
          </cell>
          <cell r="G1250">
            <v>3.4099999999999998E-2</v>
          </cell>
          <cell r="I1250">
            <v>2.9000000000000001E-2</v>
          </cell>
          <cell r="K1250">
            <v>5.0999999999999969E-3</v>
          </cell>
          <cell r="M1250">
            <v>0</v>
          </cell>
          <cell r="O1250">
            <v>0</v>
          </cell>
        </row>
        <row r="1251">
          <cell r="D1251" t="str">
            <v>реконструкция</v>
          </cell>
          <cell r="G1251">
            <v>0</v>
          </cell>
          <cell r="I1251">
            <v>0</v>
          </cell>
        </row>
        <row r="1252">
          <cell r="D1252" t="str">
            <v>строительство</v>
          </cell>
          <cell r="G1252">
            <v>3.4099999999999998E-2</v>
          </cell>
          <cell r="I1252">
            <v>2.9000000000000001E-2</v>
          </cell>
          <cell r="K1252">
            <v>5.0999999999999969E-3</v>
          </cell>
        </row>
        <row r="1253">
          <cell r="D1253" t="str">
            <v>Электроснабжение садового домика по адресу: г. Липецк, СО «Сокол-3» участок № 300</v>
          </cell>
          <cell r="G1253">
            <v>0.11159999999999999</v>
          </cell>
          <cell r="I1253">
            <v>0.11159999999999999</v>
          </cell>
          <cell r="K1253">
            <v>0</v>
          </cell>
          <cell r="M1253">
            <v>0</v>
          </cell>
          <cell r="O1253">
            <v>0</v>
          </cell>
        </row>
        <row r="1254">
          <cell r="D1254" t="str">
            <v>реконструкция</v>
          </cell>
          <cell r="G1254">
            <v>0.11159999999999999</v>
          </cell>
          <cell r="I1254">
            <v>0.11159999999999999</v>
          </cell>
        </row>
        <row r="1255">
          <cell r="D1255" t="str">
            <v>строительство</v>
          </cell>
          <cell r="G1255">
            <v>0</v>
          </cell>
          <cell r="I1255">
            <v>0</v>
          </cell>
        </row>
        <row r="1256">
          <cell r="D1256" t="str">
            <v>Электроснабжение садового домика по адресу: г. Липецк, СНТ «Сокол-2», улица Цветочная, участок № 1101 а</v>
          </cell>
          <cell r="G1256">
            <v>0.51890000000000014</v>
          </cell>
          <cell r="I1256">
            <v>4.6600000000000003E-2</v>
          </cell>
          <cell r="K1256">
            <v>0.47230000000000016</v>
          </cell>
          <cell r="M1256">
            <v>0</v>
          </cell>
          <cell r="O1256">
            <v>0</v>
          </cell>
        </row>
        <row r="1257">
          <cell r="D1257" t="str">
            <v>реконструкция</v>
          </cell>
          <cell r="G1257">
            <v>0</v>
          </cell>
          <cell r="I1257">
            <v>0</v>
          </cell>
        </row>
        <row r="1258">
          <cell r="D1258" t="str">
            <v>строительство</v>
          </cell>
          <cell r="G1258">
            <v>0.51890000000000014</v>
          </cell>
          <cell r="I1258">
            <v>4.6600000000000003E-2</v>
          </cell>
          <cell r="K1258">
            <v>0.47230000000000016</v>
          </cell>
        </row>
        <row r="1259">
          <cell r="D1259" t="str">
            <v>Электроснабжение здания цеха для производства металлоизделий по адресу: г. Липецк, ул. Юношеская, кадастровый № 48:20:0011001:175</v>
          </cell>
          <cell r="G1259">
            <v>0.56740000000000013</v>
          </cell>
          <cell r="I1259">
            <v>0.56740000000000013</v>
          </cell>
          <cell r="K1259">
            <v>0</v>
          </cell>
          <cell r="M1259">
            <v>0</v>
          </cell>
          <cell r="O1259">
            <v>0</v>
          </cell>
        </row>
        <row r="1260">
          <cell r="D1260" t="str">
            <v>реконструкция</v>
          </cell>
          <cell r="G1260">
            <v>0.56740000000000013</v>
          </cell>
          <cell r="I1260">
            <v>0.56740000000000013</v>
          </cell>
        </row>
        <row r="1261">
          <cell r="D1261" t="str">
            <v>строительство</v>
          </cell>
          <cell r="G1261">
            <v>0</v>
          </cell>
          <cell r="I1261">
            <v>0</v>
          </cell>
        </row>
        <row r="1262">
          <cell r="D1262" t="str">
            <v>Электроснабжение стройплощадки садового домика по адресу: г. Липецк, СНТ ?Горняк?, земельный участок № 20</v>
          </cell>
          <cell r="G1262">
            <v>2.8000000000000001E-2</v>
          </cell>
          <cell r="I1262">
            <v>2.8000000000000001E-2</v>
          </cell>
          <cell r="K1262">
            <v>0</v>
          </cell>
          <cell r="M1262">
            <v>0</v>
          </cell>
          <cell r="O1262">
            <v>0</v>
          </cell>
        </row>
        <row r="1263">
          <cell r="D1263" t="str">
            <v>реконструкция</v>
          </cell>
          <cell r="G1263">
            <v>2.8000000000000001E-2</v>
          </cell>
          <cell r="I1263">
            <v>2.8000000000000001E-2</v>
          </cell>
        </row>
        <row r="1264">
          <cell r="D1264" t="str">
            <v>строительство</v>
          </cell>
          <cell r="G1264">
            <v>0</v>
          </cell>
          <cell r="I1264">
            <v>0</v>
          </cell>
        </row>
        <row r="1265">
          <cell r="D1265" t="str">
            <v>Электроснабжение1/2 доли садового домика по адресу: г. Липецк, СНТ «Кооператор», линия № 5, участок № 194</v>
          </cell>
          <cell r="G1265">
            <v>0.41759999999999997</v>
          </cell>
          <cell r="I1265">
            <v>6.3E-3</v>
          </cell>
          <cell r="K1265">
            <v>0.4113</v>
          </cell>
          <cell r="M1265">
            <v>-2.7755575615628914E-17</v>
          </cell>
          <cell r="O1265">
            <v>-2.7755575615628914E-17</v>
          </cell>
        </row>
        <row r="1266">
          <cell r="D1266" t="str">
            <v>реконструкция</v>
          </cell>
          <cell r="G1266">
            <v>0.41759999999999997</v>
          </cell>
          <cell r="I1266">
            <v>6.3E-3</v>
          </cell>
          <cell r="K1266">
            <v>0.4113</v>
          </cell>
        </row>
        <row r="1267">
          <cell r="D1267" t="str">
            <v>строительство</v>
          </cell>
          <cell r="G1267">
            <v>0</v>
          </cell>
          <cell r="I1267">
            <v>0</v>
          </cell>
        </row>
        <row r="1268">
          <cell r="D1268" t="str">
            <v>Электроснабжение киоска К-5226 по адресу: г. Липецк, ул. Жуковского, район дома 15 а, кадастровый № 48:20:0042102:1129</v>
          </cell>
          <cell r="G1268">
            <v>0.10019999999999998</v>
          </cell>
          <cell r="I1268">
            <v>8.6900000000000005E-2</v>
          </cell>
          <cell r="K1268">
            <v>1.3299999999999979E-2</v>
          </cell>
          <cell r="M1268">
            <v>0</v>
          </cell>
          <cell r="O1268">
            <v>0</v>
          </cell>
        </row>
        <row r="1269">
          <cell r="D1269" t="str">
            <v>реконструкция</v>
          </cell>
          <cell r="G1269">
            <v>0</v>
          </cell>
          <cell r="I1269">
            <v>0</v>
          </cell>
        </row>
        <row r="1270">
          <cell r="D1270" t="str">
            <v>строительство</v>
          </cell>
          <cell r="G1270">
            <v>0.10019999999999998</v>
          </cell>
          <cell r="I1270">
            <v>8.6900000000000005E-2</v>
          </cell>
          <cell r="K1270">
            <v>1.3299999999999979E-2</v>
          </cell>
        </row>
        <row r="1271">
          <cell r="D1271" t="str">
            <v>Электроснабжение жилого дома с пристройкой и хозяйственными пристройками по адресу: г. Липецк, ул. Ново-Весовая, дом № 15</v>
          </cell>
          <cell r="G1271">
            <v>2.6800000000000001E-2</v>
          </cell>
          <cell r="I1271">
            <v>2.6800000000000001E-2</v>
          </cell>
          <cell r="K1271">
            <v>0</v>
          </cell>
          <cell r="M1271">
            <v>0</v>
          </cell>
          <cell r="O1271">
            <v>0</v>
          </cell>
        </row>
        <row r="1272">
          <cell r="D1272" t="str">
            <v>реконструкция</v>
          </cell>
          <cell r="G1272">
            <v>0</v>
          </cell>
          <cell r="I1272">
            <v>0</v>
          </cell>
        </row>
        <row r="1273">
          <cell r="D1273" t="str">
            <v>строительство</v>
          </cell>
          <cell r="G1273">
            <v>2.6800000000000001E-2</v>
          </cell>
          <cell r="I1273">
            <v>2.6800000000000001E-2</v>
          </cell>
        </row>
        <row r="1274">
          <cell r="D1274" t="str">
            <v>Электроснабжение гаражей по адресу: г. Липецк, ГК «Вираж»</v>
          </cell>
          <cell r="G1274">
            <v>1.9399999999999997E-2</v>
          </cell>
          <cell r="I1274">
            <v>5.0000000000000001E-4</v>
          </cell>
          <cell r="K1274">
            <v>1.8899999999999997E-2</v>
          </cell>
          <cell r="M1274">
            <v>0</v>
          </cell>
          <cell r="O1274">
            <v>0</v>
          </cell>
        </row>
        <row r="1275">
          <cell r="D1275" t="str">
            <v>реконструкция</v>
          </cell>
          <cell r="G1275">
            <v>1.8899999999999997E-2</v>
          </cell>
          <cell r="I1275">
            <v>0</v>
          </cell>
          <cell r="K1275">
            <v>1.8899999999999997E-2</v>
          </cell>
        </row>
        <row r="1276">
          <cell r="D1276" t="str">
            <v>строительство</v>
          </cell>
          <cell r="G1276">
            <v>5.0000000000000001E-4</v>
          </cell>
          <cell r="I1276">
            <v>5.0000000000000001E-4</v>
          </cell>
        </row>
        <row r="1277">
          <cell r="D1277" t="str">
            <v>Электроснабжение садового домика по адресу: г. Липецк, СПО «Ферросплавщик», линия 2, участок № 83</v>
          </cell>
          <cell r="G1277">
            <v>1.14E-2</v>
          </cell>
          <cell r="I1277">
            <v>2.9999999999999997E-4</v>
          </cell>
          <cell r="K1277">
            <v>1.11E-2</v>
          </cell>
          <cell r="M1277">
            <v>0</v>
          </cell>
          <cell r="O1277">
            <v>0</v>
          </cell>
        </row>
        <row r="1278">
          <cell r="D1278" t="str">
            <v>реконструкция</v>
          </cell>
          <cell r="G1278">
            <v>0</v>
          </cell>
          <cell r="I1278">
            <v>0</v>
          </cell>
        </row>
        <row r="1279">
          <cell r="D1279" t="str">
            <v>строительство</v>
          </cell>
          <cell r="G1279">
            <v>1.14E-2</v>
          </cell>
          <cell r="I1279">
            <v>2.9999999999999997E-4</v>
          </cell>
          <cell r="K1279">
            <v>1.11E-2</v>
          </cell>
        </row>
        <row r="1280">
          <cell r="D1280" t="str">
            <v>Электроснабжение кирпичного садового домика по адресу: г. Липецк, СОКП «Сокол-2», земельный участок № 329</v>
          </cell>
          <cell r="G1280">
            <v>0.49710000000000004</v>
          </cell>
          <cell r="I1280">
            <v>0.49710000000000004</v>
          </cell>
          <cell r="K1280">
            <v>0</v>
          </cell>
          <cell r="M1280">
            <v>0</v>
          </cell>
          <cell r="O1280">
            <v>0</v>
          </cell>
        </row>
        <row r="1281">
          <cell r="D1281" t="str">
            <v>реконструкция</v>
          </cell>
          <cell r="G1281">
            <v>0.49710000000000004</v>
          </cell>
          <cell r="I1281">
            <v>0.49710000000000004</v>
          </cell>
          <cell r="K1281">
            <v>0</v>
          </cell>
        </row>
        <row r="1282">
          <cell r="D1282" t="str">
            <v>строительство</v>
          </cell>
          <cell r="G1282">
            <v>0</v>
          </cell>
          <cell r="I1282">
            <v>0</v>
          </cell>
        </row>
        <row r="1283">
          <cell r="D1283" t="str">
            <v>Электроснабжение стройплощадки садового домика по адресу: г. Липецк, СТ «Строитель», земельный участок № 1063</v>
          </cell>
          <cell r="G1283">
            <v>0.89849999999999997</v>
          </cell>
          <cell r="I1283">
            <v>0.89849999999999997</v>
          </cell>
          <cell r="K1283">
            <v>0</v>
          </cell>
          <cell r="M1283">
            <v>0</v>
          </cell>
          <cell r="O1283">
            <v>0</v>
          </cell>
        </row>
        <row r="1284">
          <cell r="D1284" t="str">
            <v>реконструкция</v>
          </cell>
          <cell r="G1284">
            <v>0</v>
          </cell>
          <cell r="I1284">
            <v>0</v>
          </cell>
        </row>
        <row r="1285">
          <cell r="D1285" t="str">
            <v>строительство</v>
          </cell>
          <cell r="G1285">
            <v>0.89849999999999997</v>
          </cell>
          <cell r="I1285">
            <v>0.89849999999999997</v>
          </cell>
          <cell r="K1285">
            <v>0</v>
          </cell>
        </row>
        <row r="1286">
          <cell r="D1286" t="str">
            <v>Электроснабжение садового домика по адресу: г. Липецк, СНТ "Металлург-2" ОАО "НЛМК", земельный участок № 1877</v>
          </cell>
          <cell r="G1286">
            <v>0.33279999999999998</v>
          </cell>
          <cell r="I1286">
            <v>1.11E-2</v>
          </cell>
          <cell r="K1286">
            <v>0.32169999999999999</v>
          </cell>
          <cell r="M1286">
            <v>0</v>
          </cell>
          <cell r="O1286">
            <v>0</v>
          </cell>
        </row>
        <row r="1287">
          <cell r="D1287" t="str">
            <v>реконструкция</v>
          </cell>
          <cell r="G1287">
            <v>0.32169999999999999</v>
          </cell>
          <cell r="I1287">
            <v>0</v>
          </cell>
          <cell r="K1287">
            <v>0.32169999999999999</v>
          </cell>
        </row>
        <row r="1288">
          <cell r="D1288" t="str">
            <v>строительство</v>
          </cell>
          <cell r="G1288">
            <v>1.11E-2</v>
          </cell>
          <cell r="I1288">
            <v>1.11E-2</v>
          </cell>
        </row>
        <row r="1289">
          <cell r="D1289" t="str">
            <v>Электроснабжение гаража по адресу: г. Липецк, ГСК «Сокол», гараж № 1055</v>
          </cell>
          <cell r="G1289">
            <v>0.1101</v>
          </cell>
          <cell r="I1289">
            <v>0.1101</v>
          </cell>
          <cell r="K1289">
            <v>0</v>
          </cell>
          <cell r="M1289">
            <v>0</v>
          </cell>
          <cell r="O1289">
            <v>0</v>
          </cell>
        </row>
        <row r="1290">
          <cell r="D1290" t="str">
            <v>реконструкция</v>
          </cell>
          <cell r="G1290">
            <v>0.1101</v>
          </cell>
          <cell r="I1290">
            <v>0.1101</v>
          </cell>
        </row>
        <row r="1291">
          <cell r="D1291" t="str">
            <v>строительство</v>
          </cell>
          <cell r="G1291">
            <v>0</v>
          </cell>
          <cell r="I1291">
            <v>0</v>
          </cell>
        </row>
        <row r="1292">
          <cell r="D1292" t="str">
            <v>Электроснабжение киоска по адресу: г. Липецк, ул. Бабушкина, прилегающий к домовладению № 4</v>
          </cell>
          <cell r="G1292">
            <v>2.6799999999999997E-2</v>
          </cell>
          <cell r="I1292">
            <v>2.1700000000000001E-2</v>
          </cell>
          <cell r="K1292">
            <v>5.0999999999999969E-3</v>
          </cell>
          <cell r="M1292">
            <v>0</v>
          </cell>
          <cell r="O1292">
            <v>0</v>
          </cell>
        </row>
        <row r="1293">
          <cell r="D1293" t="str">
            <v>реконструкция</v>
          </cell>
          <cell r="G1293">
            <v>5.0999999999999969E-3</v>
          </cell>
          <cell r="I1293">
            <v>0</v>
          </cell>
          <cell r="K1293">
            <v>5.0999999999999969E-3</v>
          </cell>
        </row>
        <row r="1294">
          <cell r="D1294" t="str">
            <v>строительство</v>
          </cell>
          <cell r="G1294">
            <v>2.1700000000000001E-2</v>
          </cell>
          <cell r="I1294">
            <v>2.1700000000000001E-2</v>
          </cell>
        </row>
        <row r="1295">
          <cell r="D1295" t="str">
            <v>Электроснабжение садового домика по адресу: г. Липецк, СНТ «Монтажник», участок № 957</v>
          </cell>
          <cell r="G1295">
            <v>4.48E-2</v>
          </cell>
          <cell r="I1295">
            <v>6.0999999999999995E-3</v>
          </cell>
          <cell r="K1295">
            <v>3.8699999999999998E-2</v>
          </cell>
          <cell r="M1295">
            <v>0</v>
          </cell>
          <cell r="O1295">
            <v>0</v>
          </cell>
        </row>
        <row r="1296">
          <cell r="D1296" t="str">
            <v>реконструкция</v>
          </cell>
          <cell r="G1296">
            <v>0</v>
          </cell>
          <cell r="I1296">
            <v>0</v>
          </cell>
        </row>
        <row r="1297">
          <cell r="D1297" t="str">
            <v>строительство</v>
          </cell>
          <cell r="G1297">
            <v>4.48E-2</v>
          </cell>
          <cell r="I1297">
            <v>6.0999999999999995E-3</v>
          </cell>
          <cell r="K1297">
            <v>3.8699999999999998E-2</v>
          </cell>
        </row>
        <row r="1298">
          <cell r="D1298" t="str">
            <v>Электроснабжение индивидуального жилого дома по адресу: г. Липецк, п. Матырский, строение № 74 (по схеме)</v>
          </cell>
          <cell r="G1298">
            <v>5.4399999999999997E-2</v>
          </cell>
          <cell r="I1298">
            <v>5.4399999999999997E-2</v>
          </cell>
          <cell r="K1298">
            <v>0</v>
          </cell>
          <cell r="M1298">
            <v>0</v>
          </cell>
          <cell r="O1298">
            <v>0</v>
          </cell>
        </row>
        <row r="1299">
          <cell r="D1299" t="str">
            <v>реконструкция</v>
          </cell>
          <cell r="G1299">
            <v>5.4399999999999997E-2</v>
          </cell>
          <cell r="I1299">
            <v>5.4399999999999997E-2</v>
          </cell>
        </row>
        <row r="1300">
          <cell r="D1300" t="str">
            <v>строительство</v>
          </cell>
          <cell r="G1300">
            <v>0</v>
          </cell>
          <cell r="I1300">
            <v>0</v>
          </cell>
        </row>
        <row r="1301">
          <cell r="D1301" t="str">
            <v>Электроснабжение здания по адресу: г. Липецк, ГСК «Сырский», ряд № 19, гараж № 102/1</v>
          </cell>
          <cell r="G1301">
            <v>0.15990000000000001</v>
          </cell>
          <cell r="I1301">
            <v>0.15990000000000001</v>
          </cell>
          <cell r="K1301">
            <v>0</v>
          </cell>
          <cell r="M1301">
            <v>0</v>
          </cell>
          <cell r="O1301">
            <v>0</v>
          </cell>
        </row>
        <row r="1302">
          <cell r="D1302" t="str">
            <v>реконструкция</v>
          </cell>
          <cell r="G1302">
            <v>0.15990000000000001</v>
          </cell>
          <cell r="I1302">
            <v>0.15990000000000001</v>
          </cell>
        </row>
        <row r="1303">
          <cell r="D1303" t="str">
            <v>строительство</v>
          </cell>
          <cell r="G1303">
            <v>0</v>
          </cell>
          <cell r="I1303">
            <v>0</v>
          </cell>
        </row>
        <row r="1304">
          <cell r="D1304" t="str">
            <v>Электроснабжение садового домика по адресу: г. Липецк, СО «Сокол-3», массив I, участок № 81</v>
          </cell>
          <cell r="G1304">
            <v>0</v>
          </cell>
          <cell r="I1304">
            <v>0</v>
          </cell>
          <cell r="K1304">
            <v>0</v>
          </cell>
          <cell r="M1304">
            <v>0</v>
          </cell>
          <cell r="O1304">
            <v>0</v>
          </cell>
        </row>
        <row r="1305">
          <cell r="D1305" t="str">
            <v>реконструкция</v>
          </cell>
          <cell r="G1305">
            <v>0</v>
          </cell>
        </row>
        <row r="1306">
          <cell r="D1306" t="str">
            <v>строительство</v>
          </cell>
          <cell r="G1306">
            <v>0</v>
          </cell>
        </row>
        <row r="1307">
          <cell r="D1307" t="str">
            <v>Электроснабжение садового домика по адресу: г. Липецк, СОКП «Сокол-2», уч. № 621</v>
          </cell>
          <cell r="G1307">
            <v>0.57140000000000002</v>
          </cell>
          <cell r="I1307">
            <v>1.14E-2</v>
          </cell>
          <cell r="K1307">
            <v>0.56000000000000005</v>
          </cell>
          <cell r="M1307">
            <v>-3.4694469519536142E-17</v>
          </cell>
          <cell r="O1307">
            <v>-3.4694469519536142E-17</v>
          </cell>
        </row>
        <row r="1308">
          <cell r="D1308" t="str">
            <v>реконструкция</v>
          </cell>
          <cell r="G1308">
            <v>0.57140000000000002</v>
          </cell>
          <cell r="I1308">
            <v>1.14E-2</v>
          </cell>
          <cell r="K1308">
            <v>0.56000000000000005</v>
          </cell>
        </row>
        <row r="1309">
          <cell r="D1309" t="str">
            <v>строительство</v>
          </cell>
          <cell r="G1309">
            <v>0</v>
          </cell>
          <cell r="I1309">
            <v>0</v>
          </cell>
        </row>
        <row r="1310">
          <cell r="D1310" t="str">
            <v>Электроснабжение садового домика по адресу: г. Липецк, СТ «Строитель», участок № 139</v>
          </cell>
          <cell r="G1310">
            <v>0.91880000000000006</v>
          </cell>
          <cell r="I1310">
            <v>0.86790000000000012</v>
          </cell>
          <cell r="K1310">
            <v>5.0899999999999945E-2</v>
          </cell>
          <cell r="M1310">
            <v>0</v>
          </cell>
          <cell r="O1310">
            <v>0</v>
          </cell>
        </row>
        <row r="1311">
          <cell r="D1311" t="str">
            <v>реконструкция</v>
          </cell>
          <cell r="G1311">
            <v>0.91880000000000006</v>
          </cell>
          <cell r="I1311">
            <v>0.86790000000000012</v>
          </cell>
          <cell r="K1311">
            <v>5.0899999999999945E-2</v>
          </cell>
        </row>
        <row r="1312">
          <cell r="D1312" t="str">
            <v>строительство</v>
          </cell>
          <cell r="G1312">
            <v>0</v>
          </cell>
          <cell r="I1312">
            <v>0</v>
          </cell>
        </row>
        <row r="1313">
          <cell r="D1313" t="str">
            <v>Электроснабжение здания склада по адресу: г. Липецк, ул. Ковалева, кадастровый № 48:20:0027501:88</v>
          </cell>
          <cell r="G1313">
            <v>0.27789999999999998</v>
          </cell>
          <cell r="I1313">
            <v>0.26589999999999997</v>
          </cell>
          <cell r="K1313">
            <v>1.2000000000000011E-2</v>
          </cell>
          <cell r="M1313">
            <v>0</v>
          </cell>
          <cell r="O1313">
            <v>0</v>
          </cell>
        </row>
        <row r="1314">
          <cell r="D1314" t="str">
            <v>реконструкция</v>
          </cell>
          <cell r="G1314">
            <v>0.27789999999999998</v>
          </cell>
          <cell r="I1314">
            <v>0.26589999999999997</v>
          </cell>
          <cell r="K1314">
            <v>1.2000000000000011E-2</v>
          </cell>
        </row>
        <row r="1315">
          <cell r="D1315" t="str">
            <v>строительство</v>
          </cell>
          <cell r="G1315">
            <v>0</v>
          </cell>
          <cell r="I1315">
            <v>0</v>
          </cell>
        </row>
        <row r="1316">
          <cell r="D1316" t="str">
            <v>Электроснабжение садового домика по адресу: г. Липецк, ПСОПиИ «Весна», участок № 324, участок № 326</v>
          </cell>
          <cell r="G1316">
            <v>1.66E-2</v>
          </cell>
          <cell r="I1316">
            <v>1.66E-2</v>
          </cell>
          <cell r="K1316">
            <v>0</v>
          </cell>
          <cell r="M1316">
            <v>0</v>
          </cell>
          <cell r="O1316">
            <v>0</v>
          </cell>
        </row>
        <row r="1317">
          <cell r="D1317" t="str">
            <v>реконструкция</v>
          </cell>
          <cell r="G1317">
            <v>0</v>
          </cell>
          <cell r="I1317">
            <v>0</v>
          </cell>
        </row>
        <row r="1318">
          <cell r="D1318" t="str">
            <v>строительство</v>
          </cell>
          <cell r="G1318">
            <v>1.66E-2</v>
          </cell>
          <cell r="I1318">
            <v>1.66E-2</v>
          </cell>
        </row>
        <row r="1319">
          <cell r="D1319" t="str">
            <v>Электроснабжение садового домика по адресу: г. Липецк, ПОПиИ «Сокол-1», земельный участок № 453</v>
          </cell>
          <cell r="G1319">
            <v>0.43620000000000003</v>
          </cell>
          <cell r="I1319">
            <v>0.43620000000000003</v>
          </cell>
          <cell r="K1319">
            <v>0</v>
          </cell>
          <cell r="M1319">
            <v>0</v>
          </cell>
          <cell r="O1319">
            <v>0</v>
          </cell>
        </row>
        <row r="1320">
          <cell r="D1320" t="str">
            <v>реконструкция</v>
          </cell>
          <cell r="G1320">
            <v>0.43620000000000003</v>
          </cell>
          <cell r="I1320">
            <v>0.43620000000000003</v>
          </cell>
        </row>
        <row r="1321">
          <cell r="D1321" t="str">
            <v>строительство</v>
          </cell>
          <cell r="G1321">
            <v>0</v>
          </cell>
          <cell r="I1321">
            <v>0</v>
          </cell>
        </row>
        <row r="1322">
          <cell r="D1322" t="str">
            <v>Электроснабжение индивидуального жилого помещения по адресу: г. Липецк, ул. Ударников, дом № 49</v>
          </cell>
          <cell r="G1322">
            <v>1.8200000000000001E-2</v>
          </cell>
          <cell r="I1322">
            <v>1.8200000000000001E-2</v>
          </cell>
          <cell r="K1322">
            <v>0</v>
          </cell>
          <cell r="M1322">
            <v>0</v>
          </cell>
          <cell r="O1322">
            <v>0</v>
          </cell>
        </row>
        <row r="1323">
          <cell r="D1323" t="str">
            <v>реконструкция</v>
          </cell>
          <cell r="G1323">
            <v>1.8200000000000001E-2</v>
          </cell>
          <cell r="I1323">
            <v>1.8200000000000001E-2</v>
          </cell>
        </row>
        <row r="1324">
          <cell r="D1324" t="str">
            <v>строительство</v>
          </cell>
          <cell r="G1324">
            <v>0</v>
          </cell>
          <cell r="I1324">
            <v>0</v>
          </cell>
        </row>
        <row r="1325">
          <cell r="D1325" t="str">
            <v>Электроснабжение садового домика по адресу: г. Липецк, СО "Сокол-3", массив 1, участок № 415</v>
          </cell>
          <cell r="G1325">
            <v>8.9999999999999998E-4</v>
          </cell>
          <cell r="I1325">
            <v>0</v>
          </cell>
          <cell r="K1325">
            <v>8.9999999999999998E-4</v>
          </cell>
          <cell r="M1325">
            <v>0</v>
          </cell>
          <cell r="O1325">
            <v>0</v>
          </cell>
        </row>
        <row r="1326">
          <cell r="D1326" t="str">
            <v>реконструкция</v>
          </cell>
          <cell r="G1326">
            <v>8.9999999999999998E-4</v>
          </cell>
          <cell r="K1326">
            <v>8.9999999999999998E-4</v>
          </cell>
        </row>
        <row r="1327">
          <cell r="D1327" t="str">
            <v>строительство</v>
          </cell>
          <cell r="G1327">
            <v>0</v>
          </cell>
        </row>
        <row r="1328">
          <cell r="D1328" t="str">
            <v>Электроснабжение садового домика по адресу: г. Липецк. СТ «Строитель», участок № 309</v>
          </cell>
          <cell r="G1328">
            <v>1.1014999999999999</v>
          </cell>
          <cell r="I1328">
            <v>2.0000000000000001E-4</v>
          </cell>
          <cell r="K1328">
            <v>1.1012999999999999</v>
          </cell>
          <cell r="M1328">
            <v>-2.2036409155767878E-17</v>
          </cell>
          <cell r="O1328">
            <v>-2.2036409155767878E-17</v>
          </cell>
        </row>
        <row r="1329">
          <cell r="D1329" t="str">
            <v>реконструкция</v>
          </cell>
          <cell r="G1329">
            <v>1.1014999999999999</v>
          </cell>
          <cell r="I1329">
            <v>2.0000000000000001E-4</v>
          </cell>
          <cell r="K1329">
            <v>1.1012999999999999</v>
          </cell>
        </row>
        <row r="1330">
          <cell r="D1330" t="str">
            <v>строительство</v>
          </cell>
          <cell r="G1330">
            <v>0</v>
          </cell>
          <cell r="I1330">
            <v>0</v>
          </cell>
        </row>
        <row r="1331">
          <cell r="D1331" t="str">
            <v>Электроснабжение здания по адресу: г. Липецк, ГК "Пришвинский", гараж № 51</v>
          </cell>
          <cell r="G1331">
            <v>6.3900000000000012E-2</v>
          </cell>
          <cell r="I1331">
            <v>6.0999999999999995E-3</v>
          </cell>
          <cell r="K1331">
            <v>5.7800000000000011E-2</v>
          </cell>
          <cell r="M1331">
            <v>0</v>
          </cell>
          <cell r="O1331">
            <v>0</v>
          </cell>
        </row>
        <row r="1332">
          <cell r="D1332" t="str">
            <v>реконструкция</v>
          </cell>
          <cell r="G1332">
            <v>5.7800000000000011E-2</v>
          </cell>
          <cell r="I1332">
            <v>0</v>
          </cell>
          <cell r="K1332">
            <v>5.7800000000000011E-2</v>
          </cell>
        </row>
        <row r="1333">
          <cell r="D1333" t="str">
            <v>строительство</v>
          </cell>
          <cell r="G1333">
            <v>6.0999999999999995E-3</v>
          </cell>
          <cell r="I1333">
            <v>6.0999999999999995E-3</v>
          </cell>
        </row>
        <row r="1334">
          <cell r="D1334" t="str">
            <v>Электроснабжение гаража по адресу: г. Липецк, в районе ул. Октябрьская, гараж № 14</v>
          </cell>
          <cell r="G1334">
            <v>3.0000000000000001E-3</v>
          </cell>
          <cell r="I1334">
            <v>3.0000000000000001E-3</v>
          </cell>
          <cell r="K1334">
            <v>0</v>
          </cell>
          <cell r="M1334">
            <v>0</v>
          </cell>
          <cell r="O1334">
            <v>0</v>
          </cell>
        </row>
        <row r="1335">
          <cell r="D1335" t="str">
            <v>реконструкция</v>
          </cell>
          <cell r="G1335">
            <v>0</v>
          </cell>
          <cell r="I1335">
            <v>0</v>
          </cell>
        </row>
        <row r="1336">
          <cell r="D1336" t="str">
            <v>строительство</v>
          </cell>
          <cell r="G1336">
            <v>3.0000000000000001E-3</v>
          </cell>
          <cell r="I1336">
            <v>3.0000000000000001E-3</v>
          </cell>
        </row>
        <row r="1337">
          <cell r="D1337" t="str">
            <v>Электроснабжение садовых домиков по адресу: г. Липецк, СНТ "Металлург-2" ОАО НЛМК, уч. № 312, 325, 331, 318</v>
          </cell>
          <cell r="G1337">
            <v>3.4599999999999999E-2</v>
          </cell>
          <cell r="I1337">
            <v>3.4599999999999999E-2</v>
          </cell>
          <cell r="K1337">
            <v>0</v>
          </cell>
          <cell r="M1337">
            <v>0</v>
          </cell>
          <cell r="O1337">
            <v>0</v>
          </cell>
        </row>
        <row r="1338">
          <cell r="D1338" t="str">
            <v>реконструкция</v>
          </cell>
          <cell r="G1338">
            <v>0</v>
          </cell>
          <cell r="I1338">
            <v>0</v>
          </cell>
        </row>
        <row r="1339">
          <cell r="D1339" t="str">
            <v>строительство</v>
          </cell>
          <cell r="G1339">
            <v>3.4599999999999999E-2</v>
          </cell>
          <cell r="I1339">
            <v>3.4599999999999999E-2</v>
          </cell>
        </row>
        <row r="1340">
          <cell r="D1340" t="str">
            <v>Электроснабжение садового домика по адресу: г. Липецк, СНТ "Металлург-2" ОАО НЛМК, уч. № 213</v>
          </cell>
          <cell r="G1340">
            <v>3.2600000000000004E-2</v>
          </cell>
          <cell r="I1340">
            <v>3.2600000000000004E-2</v>
          </cell>
          <cell r="K1340">
            <v>0</v>
          </cell>
          <cell r="M1340">
            <v>0</v>
          </cell>
          <cell r="O1340">
            <v>0</v>
          </cell>
        </row>
        <row r="1341">
          <cell r="D1341" t="str">
            <v>реконструкция</v>
          </cell>
          <cell r="G1341">
            <v>0</v>
          </cell>
          <cell r="I1341">
            <v>0</v>
          </cell>
        </row>
        <row r="1342">
          <cell r="D1342" t="str">
            <v>строительство</v>
          </cell>
          <cell r="G1342">
            <v>3.2600000000000004E-2</v>
          </cell>
          <cell r="I1342">
            <v>3.2600000000000004E-2</v>
          </cell>
        </row>
        <row r="1343">
          <cell r="D1343" t="str">
            <v xml:space="preserve">Электроснабжение садовых домиков по адресу: г. Липецк, СНТ "Металлург-2" ОАО НЛМК, уч. № 258, 267, 261, 263 </v>
          </cell>
          <cell r="G1343">
            <v>4.9100000000000005E-2</v>
          </cell>
          <cell r="I1343">
            <v>4.8899999999999999E-2</v>
          </cell>
          <cell r="K1343">
            <v>2.0000000000000573E-4</v>
          </cell>
          <cell r="M1343">
            <v>0</v>
          </cell>
          <cell r="O1343">
            <v>0</v>
          </cell>
        </row>
        <row r="1344">
          <cell r="D1344" t="str">
            <v>реконструкция</v>
          </cell>
          <cell r="G1344">
            <v>0</v>
          </cell>
          <cell r="I1344">
            <v>0</v>
          </cell>
        </row>
        <row r="1345">
          <cell r="D1345" t="str">
            <v>строительство</v>
          </cell>
          <cell r="G1345">
            <v>4.9100000000000005E-2</v>
          </cell>
          <cell r="I1345">
            <v>4.8899999999999999E-2</v>
          </cell>
          <cell r="K1345">
            <v>2.0000000000000573E-4</v>
          </cell>
        </row>
        <row r="1346">
          <cell r="D1346" t="str">
            <v>Электроснабжение садовых домиков по адресу: г. Липецк, СНТ "Металлург-2" ОАО НЛМК, уч. № 144 а, 157</v>
          </cell>
          <cell r="G1346">
            <v>3.9799999999999995E-2</v>
          </cell>
          <cell r="I1346">
            <v>6.3E-3</v>
          </cell>
          <cell r="K1346">
            <v>3.3499999999999995E-2</v>
          </cell>
          <cell r="M1346">
            <v>0</v>
          </cell>
          <cell r="O1346">
            <v>0</v>
          </cell>
        </row>
        <row r="1347">
          <cell r="D1347" t="str">
            <v>реконструкция</v>
          </cell>
          <cell r="G1347">
            <v>3.9799999999999995E-2</v>
          </cell>
          <cell r="I1347">
            <v>6.3E-3</v>
          </cell>
          <cell r="K1347">
            <v>3.3499999999999995E-2</v>
          </cell>
        </row>
        <row r="1348">
          <cell r="D1348" t="str">
            <v>строительство</v>
          </cell>
          <cell r="G1348">
            <v>0</v>
          </cell>
          <cell r="I1348">
            <v>0</v>
          </cell>
        </row>
        <row r="1349">
          <cell r="D1349" t="str">
            <v>Электроснабжение садовых домиков по адресу: г. Липецк, СНТ "Металлург-2" ОАО НЛМК, уч. № 1002, 1003, 1042</v>
          </cell>
          <cell r="G1349">
            <v>9.6799999999999997E-2</v>
          </cell>
          <cell r="I1349">
            <v>9.2499999999999999E-2</v>
          </cell>
          <cell r="K1349">
            <v>4.2999999999999983E-3</v>
          </cell>
          <cell r="M1349">
            <v>0</v>
          </cell>
          <cell r="O1349">
            <v>0</v>
          </cell>
        </row>
        <row r="1350">
          <cell r="D1350" t="str">
            <v>реконструкция</v>
          </cell>
          <cell r="G1350">
            <v>0</v>
          </cell>
          <cell r="I1350">
            <v>0</v>
          </cell>
        </row>
        <row r="1351">
          <cell r="D1351" t="str">
            <v>строительство</v>
          </cell>
          <cell r="G1351">
            <v>9.6799999999999997E-2</v>
          </cell>
          <cell r="I1351">
            <v>9.2499999999999999E-2</v>
          </cell>
          <cell r="K1351">
            <v>4.2999999999999983E-3</v>
          </cell>
        </row>
        <row r="1352">
          <cell r="D1352" t="str">
            <v>Электроснабжение садового домика по адресу: г. Липецк, СНТ "Металлург-2" ОАО НЛМК, уч. № 1341</v>
          </cell>
          <cell r="G1352">
            <v>1.8499999999999999E-2</v>
          </cell>
          <cell r="I1352">
            <v>6.4000000000000003E-3</v>
          </cell>
          <cell r="K1352">
            <v>1.21E-2</v>
          </cell>
          <cell r="M1352">
            <v>0</v>
          </cell>
          <cell r="O1352">
            <v>0</v>
          </cell>
        </row>
        <row r="1353">
          <cell r="D1353" t="str">
            <v>реконструкция</v>
          </cell>
          <cell r="G1353">
            <v>1.8499999999999999E-2</v>
          </cell>
          <cell r="I1353">
            <v>6.4000000000000003E-3</v>
          </cell>
          <cell r="K1353">
            <v>1.21E-2</v>
          </cell>
        </row>
        <row r="1354">
          <cell r="D1354" t="str">
            <v>строительство</v>
          </cell>
          <cell r="G1354">
            <v>0</v>
          </cell>
          <cell r="I1354">
            <v>0</v>
          </cell>
        </row>
        <row r="1355">
          <cell r="D1355" t="str">
            <v>Электроснабжение садового домика по адресу: г. Липецк, СНТ "Цементник", уч. № 85</v>
          </cell>
          <cell r="G1355">
            <v>3.3000000000000002E-2</v>
          </cell>
          <cell r="I1355">
            <v>6.0999999999999995E-3</v>
          </cell>
          <cell r="K1355">
            <v>2.69E-2</v>
          </cell>
          <cell r="M1355">
            <v>0</v>
          </cell>
          <cell r="O1355">
            <v>0</v>
          </cell>
        </row>
        <row r="1356">
          <cell r="D1356" t="str">
            <v>реконструкция</v>
          </cell>
          <cell r="G1356">
            <v>3.3000000000000002E-2</v>
          </cell>
          <cell r="I1356">
            <v>6.0999999999999995E-3</v>
          </cell>
          <cell r="K1356">
            <v>2.69E-2</v>
          </cell>
        </row>
        <row r="1357">
          <cell r="D1357" t="str">
            <v>строительство</v>
          </cell>
          <cell r="G1357">
            <v>0</v>
          </cell>
          <cell r="I1357">
            <v>0</v>
          </cell>
        </row>
        <row r="1358">
          <cell r="D1358" t="str">
            <v>Электроснабжение садового домика по адресу: г. Липецк, СНТ "Сокол-2", участок № 851</v>
          </cell>
          <cell r="G1358">
            <v>3.9100000000000003E-2</v>
          </cell>
          <cell r="I1358">
            <v>6.0999999999999995E-3</v>
          </cell>
          <cell r="K1358">
            <v>3.3000000000000002E-2</v>
          </cell>
          <cell r="M1358">
            <v>0</v>
          </cell>
          <cell r="O1358">
            <v>0</v>
          </cell>
        </row>
        <row r="1359">
          <cell r="D1359" t="str">
            <v>реконструкция</v>
          </cell>
          <cell r="G1359">
            <v>3.9100000000000003E-2</v>
          </cell>
          <cell r="I1359">
            <v>6.0999999999999995E-3</v>
          </cell>
          <cell r="K1359">
            <v>3.3000000000000002E-2</v>
          </cell>
        </row>
        <row r="1360">
          <cell r="D1360" t="str">
            <v>строительство</v>
          </cell>
          <cell r="G1360">
            <v>0</v>
          </cell>
          <cell r="I1360">
            <v>0</v>
          </cell>
        </row>
        <row r="1361">
          <cell r="D1361" t="str">
            <v>Электроснабжение садового домика по адресу: г. Липецк, ПОПиИ "Сокол-1", уч. № 576</v>
          </cell>
          <cell r="G1361">
            <v>1.5599999999999999E-2</v>
          </cell>
          <cell r="I1361">
            <v>6.0999999999999995E-3</v>
          </cell>
          <cell r="K1361">
            <v>9.4999999999999998E-3</v>
          </cell>
          <cell r="M1361">
            <v>0</v>
          </cell>
          <cell r="O1361">
            <v>0</v>
          </cell>
        </row>
        <row r="1362">
          <cell r="D1362" t="str">
            <v>реконструкция</v>
          </cell>
          <cell r="G1362">
            <v>1.5599999999999999E-2</v>
          </cell>
          <cell r="I1362">
            <v>6.0999999999999995E-3</v>
          </cell>
          <cell r="K1362">
            <v>9.4999999999999998E-3</v>
          </cell>
        </row>
        <row r="1363">
          <cell r="D1363" t="str">
            <v>строительство</v>
          </cell>
          <cell r="G1363">
            <v>0</v>
          </cell>
          <cell r="I1363">
            <v>0</v>
          </cell>
        </row>
        <row r="1364">
          <cell r="D1364" t="str">
            <v>Электроснабжение садовых домиков по адресу: г. Липецк, СНТ "Металлург-2" ОАО НЛМК, уч. 89, 95, 96, 83</v>
          </cell>
          <cell r="G1364">
            <v>1.8499999999999999E-2</v>
          </cell>
          <cell r="I1364">
            <v>1.8100000000000002E-2</v>
          </cell>
          <cell r="K1364">
            <v>3.9999999999999758E-4</v>
          </cell>
          <cell r="M1364">
            <v>0</v>
          </cell>
          <cell r="O1364">
            <v>0</v>
          </cell>
        </row>
        <row r="1365">
          <cell r="D1365" t="str">
            <v>реконструкция</v>
          </cell>
          <cell r="G1365">
            <v>0</v>
          </cell>
          <cell r="I1365">
            <v>0</v>
          </cell>
          <cell r="K1365">
            <v>0</v>
          </cell>
        </row>
        <row r="1366">
          <cell r="D1366" t="str">
            <v>строительство</v>
          </cell>
          <cell r="G1366">
            <v>1.8499999999999999E-2</v>
          </cell>
          <cell r="I1366">
            <v>1.8100000000000002E-2</v>
          </cell>
          <cell r="K1366">
            <v>3.9999999999999758E-4</v>
          </cell>
        </row>
        <row r="1367">
          <cell r="D1367" t="str">
            <v>Электроснабжение садового домика по адресу: г. Липецк, СТ "Ударник", 4 массив, уч. № 49</v>
          </cell>
          <cell r="G1367">
            <v>1.8400000000000003E-2</v>
          </cell>
          <cell r="I1367">
            <v>1.2E-2</v>
          </cell>
          <cell r="K1367">
            <v>6.4000000000000029E-3</v>
          </cell>
          <cell r="M1367">
            <v>0</v>
          </cell>
          <cell r="O1367">
            <v>0</v>
          </cell>
        </row>
        <row r="1368">
          <cell r="D1368" t="str">
            <v>реконструкция</v>
          </cell>
          <cell r="G1368">
            <v>1.8400000000000003E-2</v>
          </cell>
          <cell r="I1368">
            <v>1.2E-2</v>
          </cell>
          <cell r="K1368">
            <v>6.4000000000000029E-3</v>
          </cell>
        </row>
        <row r="1369">
          <cell r="D1369" t="str">
            <v>строительство</v>
          </cell>
          <cell r="G1369">
            <v>0</v>
          </cell>
          <cell r="I1369">
            <v>0</v>
          </cell>
        </row>
        <row r="1370">
          <cell r="D1370" t="str">
            <v>Электроснабжение садового домика по адресу: г. Липецк, СНТ "Цементник", участок № 546</v>
          </cell>
          <cell r="G1370">
            <v>5.0000000000000001E-4</v>
          </cell>
          <cell r="I1370">
            <v>5.0000000000000001E-4</v>
          </cell>
          <cell r="K1370">
            <v>0</v>
          </cell>
          <cell r="M1370">
            <v>0</v>
          </cell>
          <cell r="O1370">
            <v>0</v>
          </cell>
        </row>
        <row r="1371">
          <cell r="D1371" t="str">
            <v>реконструкция</v>
          </cell>
          <cell r="G1371">
            <v>0</v>
          </cell>
          <cell r="I1371">
            <v>0</v>
          </cell>
        </row>
        <row r="1372">
          <cell r="D1372" t="str">
            <v>строительство</v>
          </cell>
          <cell r="G1372">
            <v>5.0000000000000001E-4</v>
          </cell>
          <cell r="I1372">
            <v>5.0000000000000001E-4</v>
          </cell>
        </row>
        <row r="1373">
          <cell r="D1373" t="str">
            <v>Электроснабжение садового домика по адресу: г. Липецк, СО "Сокол-3", земельный участок № 120</v>
          </cell>
          <cell r="G1373">
            <v>4.9299999999999997E-2</v>
          </cell>
          <cell r="I1373">
            <v>1.3300000000000001E-2</v>
          </cell>
          <cell r="K1373">
            <v>3.5999999999999997E-2</v>
          </cell>
          <cell r="M1373">
            <v>0</v>
          </cell>
          <cell r="O1373">
            <v>0</v>
          </cell>
        </row>
        <row r="1374">
          <cell r="D1374" t="str">
            <v>реконструкция</v>
          </cell>
          <cell r="G1374">
            <v>4.9299999999999997E-2</v>
          </cell>
          <cell r="I1374">
            <v>1.3300000000000001E-2</v>
          </cell>
          <cell r="K1374">
            <v>3.5999999999999997E-2</v>
          </cell>
        </row>
        <row r="1375">
          <cell r="D1375" t="str">
            <v>строительство</v>
          </cell>
          <cell r="G1375">
            <v>0</v>
          </cell>
          <cell r="I1375">
            <v>0</v>
          </cell>
        </row>
        <row r="1376">
          <cell r="D1376" t="str">
            <v>Электроснабжение садового домика по адресу: г. Липецк, СНТ "Дачный-3", участок № 352</v>
          </cell>
          <cell r="G1376">
            <v>3.0000000000000001E-3</v>
          </cell>
          <cell r="I1376">
            <v>3.0000000000000001E-3</v>
          </cell>
          <cell r="K1376">
            <v>0</v>
          </cell>
          <cell r="M1376">
            <v>0</v>
          </cell>
          <cell r="O1376">
            <v>0</v>
          </cell>
        </row>
        <row r="1377">
          <cell r="D1377" t="str">
            <v>реконструкция</v>
          </cell>
          <cell r="G1377">
            <v>0</v>
          </cell>
          <cell r="I1377">
            <v>0</v>
          </cell>
        </row>
        <row r="1378">
          <cell r="D1378" t="str">
            <v>строительство</v>
          </cell>
          <cell r="G1378">
            <v>3.0000000000000001E-3</v>
          </cell>
          <cell r="I1378">
            <v>3.0000000000000001E-3</v>
          </cell>
        </row>
        <row r="1379">
          <cell r="D1379" t="str">
            <v>Электроснабжение садового домика по адресу: г. Липецк, СНТ "Металлург-2" ОАО НЛМК, линия № 20, участок № 1481</v>
          </cell>
          <cell r="G1379">
            <v>2.0000000000000001E-4</v>
          </cell>
          <cell r="I1379">
            <v>2.0000000000000001E-4</v>
          </cell>
          <cell r="K1379">
            <v>0</v>
          </cell>
          <cell r="M1379">
            <v>0</v>
          </cell>
          <cell r="O1379">
            <v>0</v>
          </cell>
        </row>
        <row r="1380">
          <cell r="D1380" t="str">
            <v>реконструкция</v>
          </cell>
          <cell r="G1380">
            <v>0</v>
          </cell>
          <cell r="I1380">
            <v>0</v>
          </cell>
        </row>
        <row r="1381">
          <cell r="D1381" t="str">
            <v>строительство</v>
          </cell>
          <cell r="G1381">
            <v>2.0000000000000001E-4</v>
          </cell>
          <cell r="I1381">
            <v>2.0000000000000001E-4</v>
          </cell>
        </row>
        <row r="1382">
          <cell r="D1382" t="str">
            <v>Электроснабжение жилого дома по адресу: г. Липецк, ул. Полярная, д. 19</v>
          </cell>
          <cell r="G1382">
            <v>8.3000000000000001E-3</v>
          </cell>
          <cell r="I1382">
            <v>2.9999999999999997E-4</v>
          </cell>
          <cell r="K1382">
            <v>8.0000000000000002E-3</v>
          </cell>
          <cell r="M1382">
            <v>0</v>
          </cell>
          <cell r="O1382">
            <v>0</v>
          </cell>
        </row>
        <row r="1383">
          <cell r="D1383" t="str">
            <v>реконструкция</v>
          </cell>
          <cell r="G1383">
            <v>8.0000000000000002E-3</v>
          </cell>
          <cell r="I1383">
            <v>0</v>
          </cell>
          <cell r="K1383">
            <v>8.0000000000000002E-3</v>
          </cell>
        </row>
        <row r="1384">
          <cell r="D1384" t="str">
            <v>строительство</v>
          </cell>
          <cell r="G1384">
            <v>2.9999999999999997E-4</v>
          </cell>
          <cell r="I1384">
            <v>2.9999999999999997E-4</v>
          </cell>
        </row>
        <row r="1385">
          <cell r="D1385" t="str">
            <v>Электроснабжение садового домика по адресу: г. Липецк, ПОПиИ "Сокол-1", земельный участок № 503</v>
          </cell>
          <cell r="G1385">
            <v>4.6200000000000005E-2</v>
          </cell>
          <cell r="I1385">
            <v>6.0999999999999995E-3</v>
          </cell>
          <cell r="K1385">
            <v>4.0100000000000004E-2</v>
          </cell>
          <cell r="M1385">
            <v>0</v>
          </cell>
          <cell r="O1385">
            <v>0</v>
          </cell>
        </row>
        <row r="1386">
          <cell r="D1386" t="str">
            <v>реконструкция</v>
          </cell>
          <cell r="G1386">
            <v>4.6200000000000005E-2</v>
          </cell>
          <cell r="I1386">
            <v>6.0999999999999995E-3</v>
          </cell>
          <cell r="K1386">
            <v>4.0100000000000004E-2</v>
          </cell>
        </row>
        <row r="1387">
          <cell r="D1387" t="str">
            <v>строительство</v>
          </cell>
          <cell r="G1387">
            <v>0</v>
          </cell>
          <cell r="I1387">
            <v>0</v>
          </cell>
        </row>
        <row r="1388">
          <cell r="D1388" t="str">
            <v>Электроснабжение садового домика по адресу: г. Липецк, СНТ "Металлург-2" ОАО НЛМК, участок № 846</v>
          </cell>
          <cell r="G1388">
            <v>7.2400000000000006E-2</v>
          </cell>
          <cell r="I1388">
            <v>7.2400000000000006E-2</v>
          </cell>
          <cell r="K1388">
            <v>0</v>
          </cell>
          <cell r="M1388">
            <v>0</v>
          </cell>
          <cell r="O1388">
            <v>0</v>
          </cell>
        </row>
        <row r="1389">
          <cell r="D1389" t="str">
            <v>реконструкция</v>
          </cell>
          <cell r="G1389">
            <v>0</v>
          </cell>
          <cell r="I1389">
            <v>0</v>
          </cell>
        </row>
        <row r="1390">
          <cell r="D1390" t="str">
            <v>строительство</v>
          </cell>
          <cell r="G1390">
            <v>7.2400000000000006E-2</v>
          </cell>
          <cell r="I1390">
            <v>7.2400000000000006E-2</v>
          </cell>
        </row>
        <row r="1391">
          <cell r="D1391" t="str">
            <v>Электроснабжение жилых домов по адресу: г. Липецк, ул. Ф.Полетаева, дом № 136, 138, 148, 147</v>
          </cell>
          <cell r="G1391">
            <v>5.2499999999999998E-2</v>
          </cell>
          <cell r="I1391">
            <v>5.2499999999999998E-2</v>
          </cell>
          <cell r="K1391">
            <v>0</v>
          </cell>
          <cell r="M1391">
            <v>0</v>
          </cell>
          <cell r="O1391">
            <v>0</v>
          </cell>
        </row>
        <row r="1392">
          <cell r="D1392" t="str">
            <v>реконструкция</v>
          </cell>
          <cell r="G1392">
            <v>0</v>
          </cell>
          <cell r="I1392">
            <v>0</v>
          </cell>
        </row>
        <row r="1393">
          <cell r="D1393" t="str">
            <v>строительство</v>
          </cell>
          <cell r="G1393">
            <v>5.2499999999999998E-2</v>
          </cell>
          <cell r="I1393">
            <v>5.2499999999999998E-2</v>
          </cell>
        </row>
        <row r="1394">
          <cell r="D1394" t="str">
            <v>Электроснабжение садового домика по адресу: г. Липецк, СО "Сокол-3", 1 массив, участок № 35</v>
          </cell>
          <cell r="G1394">
            <v>4.7299999999999995E-2</v>
          </cell>
          <cell r="I1394">
            <v>4.7299999999999995E-2</v>
          </cell>
          <cell r="K1394">
            <v>0</v>
          </cell>
          <cell r="M1394">
            <v>0</v>
          </cell>
          <cell r="O1394">
            <v>0</v>
          </cell>
        </row>
        <row r="1395">
          <cell r="D1395" t="str">
            <v>реконструкция</v>
          </cell>
          <cell r="G1395">
            <v>0</v>
          </cell>
          <cell r="I1395">
            <v>0</v>
          </cell>
        </row>
        <row r="1396">
          <cell r="D1396" t="str">
            <v>строительство</v>
          </cell>
          <cell r="G1396">
            <v>4.7299999999999995E-2</v>
          </cell>
          <cell r="I1396">
            <v>4.7299999999999995E-2</v>
          </cell>
        </row>
        <row r="1397">
          <cell r="D1397" t="str">
            <v>Электроснабжение садового домика по адресу: г. Липецк, СНТ "Металлург-2" ОАО НЛМК, участок № 1125</v>
          </cell>
          <cell r="G1397">
            <v>4.3099999999999999E-2</v>
          </cell>
          <cell r="I1397">
            <v>3.7999999999999999E-2</v>
          </cell>
          <cell r="K1397">
            <v>5.1000000000000004E-3</v>
          </cell>
          <cell r="M1397">
            <v>0</v>
          </cell>
          <cell r="O1397">
            <v>0</v>
          </cell>
        </row>
        <row r="1398">
          <cell r="D1398" t="str">
            <v>реконструкция</v>
          </cell>
          <cell r="G1398">
            <v>0</v>
          </cell>
          <cell r="I1398">
            <v>0</v>
          </cell>
        </row>
        <row r="1399">
          <cell r="D1399" t="str">
            <v>строительство</v>
          </cell>
          <cell r="G1399">
            <v>4.3099999999999999E-2</v>
          </cell>
          <cell r="I1399">
            <v>3.7999999999999999E-2</v>
          </cell>
          <cell r="K1399">
            <v>5.1000000000000004E-3</v>
          </cell>
        </row>
        <row r="1400">
          <cell r="D1400" t="str">
            <v>Электроснабжение садового домика по адресу: г. Липецк, СНТ "Цементник", участок № 2290</v>
          </cell>
          <cell r="G1400">
            <v>3.0200000000000001E-2</v>
          </cell>
          <cell r="I1400">
            <v>2.35E-2</v>
          </cell>
          <cell r="K1400">
            <v>6.7000000000000011E-3</v>
          </cell>
          <cell r="M1400">
            <v>0</v>
          </cell>
          <cell r="O1400">
            <v>0</v>
          </cell>
        </row>
        <row r="1401">
          <cell r="D1401" t="str">
            <v>реконструкция</v>
          </cell>
          <cell r="G1401">
            <v>3.0200000000000001E-2</v>
          </cell>
          <cell r="I1401">
            <v>2.35E-2</v>
          </cell>
          <cell r="K1401">
            <v>6.7000000000000011E-3</v>
          </cell>
        </row>
        <row r="1402">
          <cell r="D1402" t="str">
            <v>строительство</v>
          </cell>
          <cell r="G1402">
            <v>0</v>
          </cell>
          <cell r="I1402">
            <v>0</v>
          </cell>
        </row>
        <row r="1403">
          <cell r="D1403" t="str">
            <v>Электроснабжение садового домика по адресу: г. Липецк, СНТ "Цементник", участок № 529</v>
          </cell>
          <cell r="G1403">
            <v>3.3400000000000006E-2</v>
          </cell>
          <cell r="I1403">
            <v>6.0999999999999995E-3</v>
          </cell>
          <cell r="K1403">
            <v>2.7300000000000005E-2</v>
          </cell>
          <cell r="M1403">
            <v>0</v>
          </cell>
          <cell r="O1403">
            <v>0</v>
          </cell>
        </row>
        <row r="1404">
          <cell r="D1404" t="str">
            <v>реконструкция</v>
          </cell>
          <cell r="G1404">
            <v>3.3400000000000006E-2</v>
          </cell>
          <cell r="I1404">
            <v>6.0999999999999995E-3</v>
          </cell>
          <cell r="K1404">
            <v>2.7300000000000005E-2</v>
          </cell>
        </row>
        <row r="1405">
          <cell r="D1405" t="str">
            <v>строительство</v>
          </cell>
          <cell r="G1405">
            <v>0</v>
          </cell>
          <cell r="I1405">
            <v>0</v>
          </cell>
        </row>
        <row r="1406">
          <cell r="D1406" t="str">
            <v>Электроснабжение садового домика по адресу: г. Липецк, СНТ "Сокол-2", участок № 878</v>
          </cell>
          <cell r="G1406">
            <v>6.3E-3</v>
          </cell>
          <cell r="I1406">
            <v>6.3E-3</v>
          </cell>
          <cell r="K1406">
            <v>0</v>
          </cell>
          <cell r="M1406">
            <v>0</v>
          </cell>
          <cell r="O1406">
            <v>0</v>
          </cell>
        </row>
        <row r="1407">
          <cell r="D1407" t="str">
            <v>реконструкция</v>
          </cell>
          <cell r="G1407">
            <v>0</v>
          </cell>
          <cell r="I1407">
            <v>0</v>
          </cell>
        </row>
        <row r="1408">
          <cell r="D1408" t="str">
            <v>строительство</v>
          </cell>
          <cell r="G1408">
            <v>6.3E-3</v>
          </cell>
          <cell r="I1408">
            <v>6.3E-3</v>
          </cell>
        </row>
        <row r="1409">
          <cell r="D1409" t="str">
            <v>Электроснабжение садового домика по адресу: г. Липецк, СНТ "Пусковые двигатели", участок № 50</v>
          </cell>
          <cell r="G1409">
            <v>1.2E-2</v>
          </cell>
          <cell r="I1409">
            <v>1.2E-2</v>
          </cell>
          <cell r="K1409">
            <v>0</v>
          </cell>
          <cell r="M1409">
            <v>0</v>
          </cell>
          <cell r="O1409">
            <v>0</v>
          </cell>
        </row>
        <row r="1410">
          <cell r="D1410" t="str">
            <v>реконструкция</v>
          </cell>
          <cell r="G1410">
            <v>1.2E-2</v>
          </cell>
          <cell r="I1410">
            <v>1.2E-2</v>
          </cell>
        </row>
        <row r="1411">
          <cell r="D1411" t="str">
            <v>строительство</v>
          </cell>
          <cell r="G1411">
            <v>0</v>
          </cell>
          <cell r="I1411">
            <v>0</v>
          </cell>
        </row>
        <row r="1412">
          <cell r="D1412" t="str">
            <v>Электроснабжение садового домика по адресу: г. Липецк, СНТ "Дачный-3", линия № 7, земельный участок № 588</v>
          </cell>
          <cell r="G1412">
            <v>5.4999999999999997E-3</v>
          </cell>
          <cell r="I1412">
            <v>4.0000000000000002E-4</v>
          </cell>
          <cell r="K1412">
            <v>5.0999999999999995E-3</v>
          </cell>
          <cell r="M1412">
            <v>0</v>
          </cell>
          <cell r="O1412">
            <v>0</v>
          </cell>
        </row>
        <row r="1413">
          <cell r="D1413" t="str">
            <v>реконструкция</v>
          </cell>
          <cell r="G1413">
            <v>5.0999999999999995E-3</v>
          </cell>
          <cell r="I1413">
            <v>0</v>
          </cell>
          <cell r="K1413">
            <v>5.0999999999999995E-3</v>
          </cell>
        </row>
        <row r="1414">
          <cell r="D1414" t="str">
            <v>строительство</v>
          </cell>
          <cell r="G1414">
            <v>4.0000000000000002E-4</v>
          </cell>
          <cell r="I1414">
            <v>4.0000000000000002E-4</v>
          </cell>
        </row>
        <row r="1415">
          <cell r="D1415" t="str">
            <v>Электроснабжение садового домика по адресу: г. Липецк, СТ "Дачный-3", земельный участок № 573</v>
          </cell>
          <cell r="G1415">
            <v>5.4000000000000003E-3</v>
          </cell>
          <cell r="I1415">
            <v>2.9999999999999997E-4</v>
          </cell>
          <cell r="K1415">
            <v>5.1000000000000004E-3</v>
          </cell>
          <cell r="M1415">
            <v>0</v>
          </cell>
          <cell r="O1415">
            <v>0</v>
          </cell>
        </row>
        <row r="1416">
          <cell r="D1416" t="str">
            <v>реконструкция</v>
          </cell>
          <cell r="G1416">
            <v>5.1000000000000004E-3</v>
          </cell>
          <cell r="I1416">
            <v>0</v>
          </cell>
          <cell r="K1416">
            <v>5.1000000000000004E-3</v>
          </cell>
        </row>
        <row r="1417">
          <cell r="D1417" t="str">
            <v>строительство</v>
          </cell>
          <cell r="G1417">
            <v>2.9999999999999997E-4</v>
          </cell>
          <cell r="I1417">
            <v>2.9999999999999997E-4</v>
          </cell>
        </row>
        <row r="1418">
          <cell r="D1418" t="str">
            <v>Электроснабжение садового домика по адресу: г. Липецк, СНТ "Металлург-2" ОАО НЛМК, участок № 239</v>
          </cell>
          <cell r="G1418">
            <v>4.1299999999999996E-2</v>
          </cell>
          <cell r="I1418">
            <v>3.6200000000000003E-2</v>
          </cell>
          <cell r="K1418">
            <v>5.0999999999999934E-3</v>
          </cell>
          <cell r="M1418">
            <v>0</v>
          </cell>
          <cell r="O1418">
            <v>0</v>
          </cell>
        </row>
        <row r="1419">
          <cell r="D1419" t="str">
            <v>реконструкция</v>
          </cell>
          <cell r="G1419">
            <v>5.0999999999999934E-3</v>
          </cell>
          <cell r="I1419">
            <v>0</v>
          </cell>
          <cell r="K1419">
            <v>5.0999999999999934E-3</v>
          </cell>
        </row>
        <row r="1420">
          <cell r="D1420" t="str">
            <v>строительство</v>
          </cell>
          <cell r="G1420">
            <v>3.6200000000000003E-2</v>
          </cell>
          <cell r="I1420">
            <v>3.6200000000000003E-2</v>
          </cell>
        </row>
        <row r="1421">
          <cell r="D1421" t="str">
            <v>Электроснабжение садового домика по адресу: г. Липецк, СНТ "Тракторостроитель-1", ул. Лесная, участок № 154</v>
          </cell>
          <cell r="G1421">
            <v>3.1100000000000003E-2</v>
          </cell>
          <cell r="I1421">
            <v>1.9899999999999998E-2</v>
          </cell>
          <cell r="K1421">
            <v>1.1200000000000005E-2</v>
          </cell>
          <cell r="M1421">
            <v>0</v>
          </cell>
          <cell r="O1421">
            <v>0</v>
          </cell>
        </row>
        <row r="1422">
          <cell r="D1422" t="str">
            <v>реконструкция</v>
          </cell>
          <cell r="G1422">
            <v>0</v>
          </cell>
          <cell r="I1422">
            <v>0</v>
          </cell>
        </row>
        <row r="1423">
          <cell r="D1423" t="str">
            <v>строительство</v>
          </cell>
          <cell r="G1423">
            <v>3.1100000000000003E-2</v>
          </cell>
          <cell r="I1423">
            <v>1.9899999999999998E-2</v>
          </cell>
          <cell r="K1423">
            <v>1.1200000000000005E-2</v>
          </cell>
        </row>
        <row r="1424">
          <cell r="D1424" t="str">
            <v>Электроснабжение садовых домиков по адресу: г. Липецк, СНП "Мечта", земельный уч. № 1036, № 1035</v>
          </cell>
          <cell r="G1424">
            <v>3.8299999999999994E-2</v>
          </cell>
          <cell r="I1424">
            <v>2.7199999999999998E-2</v>
          </cell>
          <cell r="K1424">
            <v>1.1099999999999995E-2</v>
          </cell>
          <cell r="M1424">
            <v>0</v>
          </cell>
          <cell r="O1424">
            <v>0</v>
          </cell>
        </row>
        <row r="1425">
          <cell r="D1425" t="str">
            <v>реконструкция</v>
          </cell>
          <cell r="G1425">
            <v>1.1099999999999995E-2</v>
          </cell>
          <cell r="I1425">
            <v>0</v>
          </cell>
          <cell r="K1425">
            <v>1.1099999999999995E-2</v>
          </cell>
        </row>
        <row r="1426">
          <cell r="D1426" t="str">
            <v>строительство</v>
          </cell>
          <cell r="G1426">
            <v>2.7199999999999998E-2</v>
          </cell>
          <cell r="I1426">
            <v>2.7199999999999998E-2</v>
          </cell>
        </row>
        <row r="1427">
          <cell r="D1427" t="str">
            <v>Электроснабжение садовых домиков по адресу: г. Липецк, СНТ "Металлург-2" ОАО НЛМК, уч. № 303, № 305, № 282</v>
          </cell>
          <cell r="G1427">
            <v>4.4400000000000002E-2</v>
          </cell>
          <cell r="I1427">
            <v>0.04</v>
          </cell>
          <cell r="K1427">
            <v>4.4000000000000011E-3</v>
          </cell>
          <cell r="M1427">
            <v>0</v>
          </cell>
          <cell r="O1427">
            <v>0</v>
          </cell>
        </row>
        <row r="1428">
          <cell r="D1428" t="str">
            <v>реконструкция</v>
          </cell>
          <cell r="G1428">
            <v>0</v>
          </cell>
          <cell r="I1428">
            <v>0</v>
          </cell>
        </row>
        <row r="1429">
          <cell r="D1429" t="str">
            <v>строительство</v>
          </cell>
          <cell r="G1429">
            <v>4.4400000000000002E-2</v>
          </cell>
          <cell r="I1429">
            <v>0.04</v>
          </cell>
          <cell r="K1429">
            <v>4.4000000000000011E-3</v>
          </cell>
        </row>
        <row r="1430">
          <cell r="D1430" t="str">
            <v>Электроснабжение садовых домиков по адресу: г. Липецк, СНТ "Сокол-2", уч. № 47, № 49, № 75</v>
          </cell>
          <cell r="G1430">
            <v>4.7399999999999998E-2</v>
          </cell>
          <cell r="I1430">
            <v>2.0000000000000001E-4</v>
          </cell>
          <cell r="K1430">
            <v>4.7199999999999999E-2</v>
          </cell>
          <cell r="M1430">
            <v>-1.2197274440461925E-18</v>
          </cell>
          <cell r="O1430">
            <v>-1.2197274440461925E-18</v>
          </cell>
        </row>
        <row r="1431">
          <cell r="D1431" t="str">
            <v>реконструкция</v>
          </cell>
          <cell r="G1431">
            <v>0</v>
          </cell>
          <cell r="I1431">
            <v>0</v>
          </cell>
        </row>
        <row r="1432">
          <cell r="D1432" t="str">
            <v>строительство</v>
          </cell>
          <cell r="G1432">
            <v>4.7399999999999998E-2</v>
          </cell>
          <cell r="I1432">
            <v>2.0000000000000001E-4</v>
          </cell>
          <cell r="K1432">
            <v>4.7199999999999999E-2</v>
          </cell>
        </row>
        <row r="1433">
          <cell r="D1433" t="str">
            <v>Электроснабжение садового домика по адресу: г. Липецк, СНТ "Сокол-2", уч. № 453</v>
          </cell>
          <cell r="G1433">
            <v>5.8400000000000001E-2</v>
          </cell>
          <cell r="I1433">
            <v>6.9999999999999999E-4</v>
          </cell>
          <cell r="K1433">
            <v>5.7700000000000001E-2</v>
          </cell>
          <cell r="M1433">
            <v>0</v>
          </cell>
          <cell r="O1433">
            <v>0</v>
          </cell>
        </row>
        <row r="1434">
          <cell r="D1434" t="str">
            <v>реконструкция</v>
          </cell>
          <cell r="G1434">
            <v>5.7700000000000001E-2</v>
          </cell>
          <cell r="I1434">
            <v>0</v>
          </cell>
          <cell r="K1434">
            <v>5.7700000000000001E-2</v>
          </cell>
        </row>
        <row r="1435">
          <cell r="D1435" t="str">
            <v>строительство</v>
          </cell>
          <cell r="G1435">
            <v>6.9999999999999999E-4</v>
          </cell>
          <cell r="I1435">
            <v>6.9999999999999999E-4</v>
          </cell>
        </row>
        <row r="1436">
          <cell r="D1436" t="str">
            <v>Электроснабжение садового домика по адресу: СНТ "Весна", уч. 267</v>
          </cell>
          <cell r="G1436">
            <v>3.6200000000000003E-2</v>
          </cell>
          <cell r="I1436">
            <v>3.6200000000000003E-2</v>
          </cell>
          <cell r="K1436">
            <v>0</v>
          </cell>
          <cell r="M1436">
            <v>0</v>
          </cell>
          <cell r="O1436">
            <v>0</v>
          </cell>
        </row>
        <row r="1437">
          <cell r="D1437" t="str">
            <v>реконструкция</v>
          </cell>
          <cell r="G1437">
            <v>0</v>
          </cell>
          <cell r="I1437">
            <v>0</v>
          </cell>
        </row>
        <row r="1438">
          <cell r="D1438" t="str">
            <v>строительство</v>
          </cell>
          <cell r="G1438">
            <v>3.6200000000000003E-2</v>
          </cell>
          <cell r="I1438">
            <v>3.6200000000000003E-2</v>
          </cell>
        </row>
        <row r="1439">
          <cell r="D1439" t="str">
            <v>Электроснабжение гаража с погребом № 173 по адресу: ул. Л. Кривенкова, вл. 6</v>
          </cell>
          <cell r="G1439">
            <v>4.3400000000000001E-2</v>
          </cell>
          <cell r="I1439">
            <v>4.3400000000000001E-2</v>
          </cell>
          <cell r="K1439">
            <v>0</v>
          </cell>
          <cell r="M1439">
            <v>0</v>
          </cell>
          <cell r="O1439">
            <v>0</v>
          </cell>
        </row>
        <row r="1440">
          <cell r="D1440" t="str">
            <v>реконструкция</v>
          </cell>
          <cell r="G1440">
            <v>0</v>
          </cell>
          <cell r="I1440">
            <v>0</v>
          </cell>
        </row>
        <row r="1441">
          <cell r="D1441" t="str">
            <v>строительство</v>
          </cell>
          <cell r="G1441">
            <v>4.3400000000000001E-2</v>
          </cell>
          <cell r="I1441">
            <v>4.3400000000000001E-2</v>
          </cell>
        </row>
        <row r="1442">
          <cell r="D1442" t="str">
            <v>Электроснабжение садового домика по адресу: СНТ "Сокол-2", уч. № 1073</v>
          </cell>
          <cell r="G1442">
            <v>2.5700000000000001E-2</v>
          </cell>
          <cell r="I1442">
            <v>1.7500000000000002E-2</v>
          </cell>
          <cell r="K1442">
            <v>8.199999999999999E-3</v>
          </cell>
          <cell r="M1442">
            <v>0</v>
          </cell>
          <cell r="O1442">
            <v>0</v>
          </cell>
        </row>
        <row r="1443">
          <cell r="D1443" t="str">
            <v>реконструкция</v>
          </cell>
          <cell r="G1443">
            <v>0</v>
          </cell>
          <cell r="I1443">
            <v>0</v>
          </cell>
        </row>
        <row r="1444">
          <cell r="D1444" t="str">
            <v>строительство</v>
          </cell>
          <cell r="G1444">
            <v>2.5700000000000001E-2</v>
          </cell>
          <cell r="I1444">
            <v>1.7500000000000002E-2</v>
          </cell>
          <cell r="K1444">
            <v>8.199999999999999E-3</v>
          </cell>
        </row>
        <row r="1445">
          <cell r="D1445" t="str">
            <v>Электроснабжение гаража № 11 по адресу: ул. Индустриальная, владение 19 А</v>
          </cell>
          <cell r="G1445">
            <v>4.7899999999999998E-2</v>
          </cell>
          <cell r="I1445">
            <v>4.7899999999999998E-2</v>
          </cell>
          <cell r="K1445">
            <v>0</v>
          </cell>
          <cell r="M1445">
            <v>0</v>
          </cell>
          <cell r="O1445">
            <v>0</v>
          </cell>
        </row>
        <row r="1446">
          <cell r="D1446" t="str">
            <v>реконструкция</v>
          </cell>
          <cell r="G1446">
            <v>0</v>
          </cell>
          <cell r="I1446">
            <v>0</v>
          </cell>
        </row>
        <row r="1447">
          <cell r="D1447" t="str">
            <v>строительство</v>
          </cell>
          <cell r="G1447">
            <v>4.7899999999999998E-2</v>
          </cell>
          <cell r="I1447">
            <v>4.7899999999999998E-2</v>
          </cell>
        </row>
        <row r="1448">
          <cell r="D1448" t="str">
            <v>Электроснабжение садового домика по адресу: СНТ "Металлург-2" ОАО НЛМК, линия 29, уч. № 1874</v>
          </cell>
          <cell r="G1448">
            <v>1.8100000000000002E-2</v>
          </cell>
          <cell r="I1448">
            <v>1.8100000000000002E-2</v>
          </cell>
          <cell r="K1448">
            <v>0</v>
          </cell>
          <cell r="M1448">
            <v>0</v>
          </cell>
          <cell r="O1448">
            <v>0</v>
          </cell>
        </row>
        <row r="1449">
          <cell r="D1449" t="str">
            <v>реконструкция</v>
          </cell>
          <cell r="G1449">
            <v>0</v>
          </cell>
          <cell r="I1449">
            <v>0</v>
          </cell>
        </row>
        <row r="1450">
          <cell r="D1450" t="str">
            <v>строительство</v>
          </cell>
          <cell r="G1450">
            <v>1.8100000000000002E-2</v>
          </cell>
          <cell r="I1450">
            <v>1.8100000000000002E-2</v>
          </cell>
        </row>
        <row r="1451">
          <cell r="D1451" t="str">
            <v>Электроснабжение садового домика по адресу: СНТ "Пусковые двигатели", уч. № 480</v>
          </cell>
          <cell r="G1451">
            <v>2.0000000000000001E-4</v>
          </cell>
          <cell r="I1451">
            <v>2.0000000000000001E-4</v>
          </cell>
          <cell r="K1451">
            <v>0</v>
          </cell>
          <cell r="M1451">
            <v>0</v>
          </cell>
          <cell r="O1451">
            <v>0</v>
          </cell>
        </row>
        <row r="1452">
          <cell r="D1452" t="str">
            <v>реконструкция</v>
          </cell>
          <cell r="G1452">
            <v>2.0000000000000001E-4</v>
          </cell>
          <cell r="I1452">
            <v>2.0000000000000001E-4</v>
          </cell>
        </row>
        <row r="1453">
          <cell r="D1453" t="str">
            <v>строительство</v>
          </cell>
          <cell r="G1453">
            <v>0</v>
          </cell>
          <cell r="I1453">
            <v>0</v>
          </cell>
        </row>
        <row r="1454">
          <cell r="D1454" t="str">
            <v>Электроснабжение садового домика по адресу: СНТ "Цементник", уч. № 1229</v>
          </cell>
          <cell r="G1454">
            <v>6.7999999999999996E-3</v>
          </cell>
          <cell r="I1454">
            <v>2.0000000000000001E-4</v>
          </cell>
          <cell r="K1454">
            <v>6.6E-3</v>
          </cell>
          <cell r="M1454">
            <v>-3.5236570605778894E-19</v>
          </cell>
          <cell r="O1454">
            <v>-3.5236570605778894E-19</v>
          </cell>
        </row>
        <row r="1455">
          <cell r="D1455" t="str">
            <v>реконструкция</v>
          </cell>
          <cell r="G1455">
            <v>6.7999999999999996E-3</v>
          </cell>
          <cell r="I1455">
            <v>2.0000000000000001E-4</v>
          </cell>
          <cell r="K1455">
            <v>6.6E-3</v>
          </cell>
        </row>
        <row r="1456">
          <cell r="D1456" t="str">
            <v>строительство</v>
          </cell>
          <cell r="G1456">
            <v>0</v>
          </cell>
          <cell r="I1456">
            <v>0</v>
          </cell>
        </row>
        <row r="1457">
          <cell r="D1457" t="str">
            <v>Электроснабжение здания по адресу: СНТ "Цементник", уч. № 1193</v>
          </cell>
          <cell r="G1457">
            <v>1.8800000000000001E-2</v>
          </cell>
          <cell r="I1457">
            <v>1.2E-2</v>
          </cell>
          <cell r="K1457">
            <v>6.8000000000000005E-3</v>
          </cell>
          <cell r="M1457">
            <v>0</v>
          </cell>
          <cell r="O1457">
            <v>0</v>
          </cell>
        </row>
        <row r="1458">
          <cell r="D1458" t="str">
            <v>реконструкция</v>
          </cell>
          <cell r="G1458">
            <v>1.8800000000000001E-2</v>
          </cell>
          <cell r="I1458">
            <v>1.2E-2</v>
          </cell>
          <cell r="K1458">
            <v>6.8000000000000005E-3</v>
          </cell>
        </row>
        <row r="1459">
          <cell r="D1459" t="str">
            <v>строительство</v>
          </cell>
          <cell r="G1459">
            <v>0</v>
          </cell>
          <cell r="I1459">
            <v>0</v>
          </cell>
        </row>
        <row r="1460">
          <cell r="D1460" t="str">
            <v>Электроснабжение садового домика по адресу: г. Липецк, СНТ "Монтажник", уч. 1097</v>
          </cell>
          <cell r="G1460">
            <v>8.3299999999999999E-2</v>
          </cell>
          <cell r="I1460">
            <v>5.2499999999999998E-2</v>
          </cell>
          <cell r="K1460">
            <v>3.0800000000000001E-2</v>
          </cell>
          <cell r="M1460">
            <v>0</v>
          </cell>
          <cell r="O1460">
            <v>0</v>
          </cell>
        </row>
        <row r="1461">
          <cell r="D1461" t="str">
            <v>реконструкция</v>
          </cell>
          <cell r="G1461">
            <v>0</v>
          </cell>
          <cell r="I1461">
            <v>0</v>
          </cell>
        </row>
        <row r="1462">
          <cell r="D1462" t="str">
            <v>строительство</v>
          </cell>
          <cell r="G1462">
            <v>8.3299999999999999E-2</v>
          </cell>
          <cell r="I1462">
            <v>5.2499999999999998E-2</v>
          </cell>
          <cell r="K1462">
            <v>3.0800000000000001E-2</v>
          </cell>
        </row>
        <row r="1463">
          <cell r="D1463" t="str">
            <v>Электроснабжение садового домика по адресу: г. Липецк, ул. Ангарская, д. 27 (по схеме)</v>
          </cell>
          <cell r="G1463">
            <v>3.44E-2</v>
          </cell>
          <cell r="I1463">
            <v>3.3799999999999997E-2</v>
          </cell>
          <cell r="K1463">
            <v>6.0000000000000331E-4</v>
          </cell>
          <cell r="M1463">
            <v>0</v>
          </cell>
          <cell r="O1463">
            <v>0</v>
          </cell>
        </row>
        <row r="1464">
          <cell r="D1464" t="str">
            <v>реконструкция</v>
          </cell>
          <cell r="G1464">
            <v>0</v>
          </cell>
          <cell r="I1464">
            <v>0</v>
          </cell>
        </row>
        <row r="1465">
          <cell r="D1465" t="str">
            <v>строительство</v>
          </cell>
          <cell r="G1465">
            <v>3.44E-2</v>
          </cell>
          <cell r="I1465">
            <v>3.3799999999999997E-2</v>
          </cell>
          <cell r="K1465">
            <v>6.0000000000000331E-4</v>
          </cell>
        </row>
        <row r="1466">
          <cell r="D1466" t="str">
            <v>Электроснабжение садового домика по адресу: г. Липецк, СНТ "Сокол-2", участок № 79</v>
          </cell>
          <cell r="G1466">
            <v>6.4000000000000003E-3</v>
          </cell>
          <cell r="I1466">
            <v>6.0999999999999995E-3</v>
          </cell>
          <cell r="K1466">
            <v>3.0000000000000079E-4</v>
          </cell>
          <cell r="M1466">
            <v>0</v>
          </cell>
          <cell r="O1466">
            <v>0</v>
          </cell>
        </row>
        <row r="1467">
          <cell r="D1467" t="str">
            <v>реконструкция</v>
          </cell>
          <cell r="G1467">
            <v>0</v>
          </cell>
          <cell r="I1467">
            <v>0</v>
          </cell>
        </row>
        <row r="1468">
          <cell r="D1468" t="str">
            <v>строительство</v>
          </cell>
          <cell r="G1468">
            <v>6.4000000000000003E-3</v>
          </cell>
          <cell r="I1468">
            <v>6.0999999999999995E-3</v>
          </cell>
          <cell r="K1468">
            <v>3.0000000000000079E-4</v>
          </cell>
        </row>
        <row r="1469">
          <cell r="D1469" t="str">
            <v>Электроснабжение садового домика по адресу: г. Липецк, СНТ "Тракторостроитель-2", линия № 1, земельный участок № 7</v>
          </cell>
          <cell r="G1469">
            <v>3.1300000000000001E-2</v>
          </cell>
          <cell r="I1469">
            <v>3.1300000000000001E-2</v>
          </cell>
          <cell r="K1469">
            <v>0</v>
          </cell>
          <cell r="M1469">
            <v>0</v>
          </cell>
          <cell r="O1469">
            <v>0</v>
          </cell>
        </row>
        <row r="1470">
          <cell r="D1470" t="str">
            <v>реконструкция</v>
          </cell>
          <cell r="G1470">
            <v>0</v>
          </cell>
          <cell r="I1470">
            <v>0</v>
          </cell>
        </row>
        <row r="1471">
          <cell r="D1471" t="str">
            <v>строительство</v>
          </cell>
          <cell r="G1471">
            <v>3.1300000000000001E-2</v>
          </cell>
          <cell r="I1471">
            <v>3.1300000000000001E-2</v>
          </cell>
        </row>
        <row r="1472">
          <cell r="D1472" t="str">
            <v>Электроснабжение садового домика по адресу: г. Липецк, СО "Сокол-3", участок № 505</v>
          </cell>
          <cell r="G1472">
            <v>2.35E-2</v>
          </cell>
          <cell r="I1472">
            <v>2.35E-2</v>
          </cell>
          <cell r="K1472">
            <v>0</v>
          </cell>
          <cell r="M1472">
            <v>0</v>
          </cell>
          <cell r="O1472">
            <v>0</v>
          </cell>
        </row>
        <row r="1473">
          <cell r="D1473" t="str">
            <v>реконструкция</v>
          </cell>
          <cell r="G1473">
            <v>0</v>
          </cell>
          <cell r="I1473">
            <v>0</v>
          </cell>
        </row>
        <row r="1474">
          <cell r="D1474" t="str">
            <v>строительство</v>
          </cell>
          <cell r="G1474">
            <v>2.35E-2</v>
          </cell>
          <cell r="I1474">
            <v>2.35E-2</v>
          </cell>
        </row>
        <row r="1475">
          <cell r="D1475" t="str">
            <v>Электроснабжение 1/2 доли жилого дома по адресу: г. Липецк, ул. Добровская, дом 20</v>
          </cell>
          <cell r="G1475">
            <v>6.9000000000000006E-2</v>
          </cell>
          <cell r="I1475">
            <v>6.0999999999999995E-3</v>
          </cell>
          <cell r="K1475">
            <v>6.2900000000000011E-2</v>
          </cell>
          <cell r="M1475">
            <v>0</v>
          </cell>
          <cell r="O1475">
            <v>0</v>
          </cell>
        </row>
        <row r="1476">
          <cell r="D1476" t="str">
            <v>реконструкция</v>
          </cell>
          <cell r="G1476">
            <v>6.2900000000000011E-2</v>
          </cell>
          <cell r="I1476">
            <v>0</v>
          </cell>
          <cell r="K1476">
            <v>6.2900000000000011E-2</v>
          </cell>
        </row>
        <row r="1477">
          <cell r="D1477" t="str">
            <v>строительство</v>
          </cell>
          <cell r="G1477">
            <v>6.0999999999999995E-3</v>
          </cell>
          <cell r="I1477">
            <v>6.0999999999999995E-3</v>
          </cell>
        </row>
        <row r="1478">
          <cell r="D1478" t="str">
            <v>Электроснабжение садового домика по адресу: г. Липецк, садоводческое товарищество "Ударник", массив 3, уч. № 31</v>
          </cell>
          <cell r="G1478">
            <v>1.29E-2</v>
          </cell>
          <cell r="I1478">
            <v>6.0999999999999995E-3</v>
          </cell>
          <cell r="K1478">
            <v>6.8000000000000005E-3</v>
          </cell>
          <cell r="M1478">
            <v>0</v>
          </cell>
          <cell r="O1478">
            <v>0</v>
          </cell>
        </row>
        <row r="1479">
          <cell r="D1479" t="str">
            <v>реконструкция</v>
          </cell>
          <cell r="G1479">
            <v>1.29E-2</v>
          </cell>
          <cell r="I1479">
            <v>6.0999999999999995E-3</v>
          </cell>
          <cell r="K1479">
            <v>6.8000000000000005E-3</v>
          </cell>
        </row>
        <row r="1480">
          <cell r="D1480" t="str">
            <v>строительство</v>
          </cell>
          <cell r="G1480">
            <v>0</v>
          </cell>
          <cell r="I1480">
            <v>0</v>
          </cell>
        </row>
        <row r="1481">
          <cell r="D1481" t="str">
            <v>Электроснабжение 2/24 доли производственной базы по адресу: г. Липецк, ул. Перова, д. 2а</v>
          </cell>
          <cell r="G1481">
            <v>1.15E-2</v>
          </cell>
          <cell r="I1481">
            <v>1.15E-2</v>
          </cell>
          <cell r="K1481">
            <v>0</v>
          </cell>
          <cell r="M1481">
            <v>0</v>
          </cell>
          <cell r="O1481">
            <v>0</v>
          </cell>
        </row>
        <row r="1482">
          <cell r="D1482" t="str">
            <v>реконструкция</v>
          </cell>
          <cell r="G1482">
            <v>0</v>
          </cell>
          <cell r="I1482">
            <v>0</v>
          </cell>
        </row>
        <row r="1483">
          <cell r="D1483" t="str">
            <v>строительство</v>
          </cell>
          <cell r="G1483">
            <v>1.15E-2</v>
          </cell>
          <cell r="I1483">
            <v>1.15E-2</v>
          </cell>
        </row>
        <row r="1484">
          <cell r="D1484" t="str">
            <v>Электроснабжение садового домика по адресу: г. Липецк, СНТ "Пусковые двигатели", участок № 401</v>
          </cell>
          <cell r="G1484">
            <v>1.2E-2</v>
          </cell>
          <cell r="I1484">
            <v>1.2E-2</v>
          </cell>
          <cell r="K1484">
            <v>0</v>
          </cell>
          <cell r="M1484">
            <v>0</v>
          </cell>
          <cell r="O1484">
            <v>0</v>
          </cell>
        </row>
        <row r="1485">
          <cell r="D1485" t="str">
            <v>реконструкция</v>
          </cell>
          <cell r="G1485">
            <v>1.2E-2</v>
          </cell>
          <cell r="I1485">
            <v>1.2E-2</v>
          </cell>
        </row>
        <row r="1486">
          <cell r="D1486" t="str">
            <v>строительство</v>
          </cell>
          <cell r="G1486">
            <v>0</v>
          </cell>
          <cell r="I1486">
            <v>0</v>
          </cell>
        </row>
        <row r="1487">
          <cell r="D1487" t="str">
            <v>Электроснабжение садового домика по адресу: г. Липецк, проезд Северный, д. 23 б</v>
          </cell>
          <cell r="G1487">
            <v>0.04</v>
          </cell>
          <cell r="I1487">
            <v>0.04</v>
          </cell>
          <cell r="K1487">
            <v>0</v>
          </cell>
          <cell r="M1487">
            <v>0</v>
          </cell>
          <cell r="O1487">
            <v>0</v>
          </cell>
        </row>
        <row r="1488">
          <cell r="D1488" t="str">
            <v>реконструкция</v>
          </cell>
          <cell r="G1488">
            <v>0</v>
          </cell>
          <cell r="I1488">
            <v>0</v>
          </cell>
        </row>
        <row r="1489">
          <cell r="D1489" t="str">
            <v>строительство</v>
          </cell>
          <cell r="G1489">
            <v>0.04</v>
          </cell>
          <cell r="I1489">
            <v>0.04</v>
          </cell>
        </row>
        <row r="1490">
          <cell r="D1490" t="str">
            <v>Электроснабжение садового домика по адресу: г. Липецк, СНП "Мечта", земельный участок № 923</v>
          </cell>
          <cell r="G1490">
            <v>9.3900000000000011E-2</v>
          </cell>
          <cell r="I1490">
            <v>8.8700000000000001E-2</v>
          </cell>
          <cell r="K1490">
            <v>5.2000000000000102E-3</v>
          </cell>
          <cell r="M1490">
            <v>0</v>
          </cell>
          <cell r="O1490">
            <v>0</v>
          </cell>
        </row>
        <row r="1491">
          <cell r="D1491" t="str">
            <v>реконструкция</v>
          </cell>
          <cell r="G1491">
            <v>5.2000000000000102E-3</v>
          </cell>
          <cell r="I1491">
            <v>0</v>
          </cell>
          <cell r="K1491">
            <v>5.2000000000000102E-3</v>
          </cell>
        </row>
        <row r="1492">
          <cell r="D1492" t="str">
            <v>строительство</v>
          </cell>
          <cell r="G1492">
            <v>8.8700000000000001E-2</v>
          </cell>
          <cell r="I1492">
            <v>8.8700000000000001E-2</v>
          </cell>
        </row>
        <row r="1493">
          <cell r="D1493" t="str">
            <v>Электроснабжение садового домика по адресу: г. Липецк, СНТ "Металлург-2" ОАО НЛМК, земельный участок № 2006</v>
          </cell>
          <cell r="G1493">
            <v>4.1599999999999998E-2</v>
          </cell>
          <cell r="I1493">
            <v>4.1599999999999998E-2</v>
          </cell>
          <cell r="K1493">
            <v>0</v>
          </cell>
          <cell r="M1493">
            <v>0</v>
          </cell>
          <cell r="O1493">
            <v>0</v>
          </cell>
        </row>
        <row r="1494">
          <cell r="D1494" t="str">
            <v>реконструкция</v>
          </cell>
          <cell r="G1494">
            <v>0</v>
          </cell>
          <cell r="I1494">
            <v>0</v>
          </cell>
        </row>
        <row r="1495">
          <cell r="D1495" t="str">
            <v>строительство</v>
          </cell>
          <cell r="G1495">
            <v>4.1599999999999998E-2</v>
          </cell>
          <cell r="I1495">
            <v>4.1599999999999998E-2</v>
          </cell>
        </row>
        <row r="1496">
          <cell r="D1496" t="str">
            <v>Электроснабжение садового домика по адресу: г. Липецк, СНТ "Дачный-1", земельный участок № 775</v>
          </cell>
          <cell r="G1496">
            <v>4.0000000000000002E-4</v>
          </cell>
          <cell r="I1496">
            <v>4.0000000000000002E-4</v>
          </cell>
          <cell r="K1496">
            <v>0</v>
          </cell>
          <cell r="M1496">
            <v>0</v>
          </cell>
          <cell r="O1496">
            <v>0</v>
          </cell>
        </row>
        <row r="1497">
          <cell r="D1497" t="str">
            <v>реконструкция</v>
          </cell>
          <cell r="G1497">
            <v>0</v>
          </cell>
          <cell r="I1497">
            <v>0</v>
          </cell>
        </row>
        <row r="1498">
          <cell r="D1498" t="str">
            <v>строительство</v>
          </cell>
          <cell r="G1498">
            <v>4.0000000000000002E-4</v>
          </cell>
          <cell r="I1498">
            <v>4.0000000000000002E-4</v>
          </cell>
        </row>
        <row r="1499">
          <cell r="D1499" t="str">
            <v>Электроснабжение стройплощадки административного здания по адресу: г. Липецк, ул. Студеновская, дом № 89</v>
          </cell>
          <cell r="G1499">
            <v>2.3300000000000001E-2</v>
          </cell>
          <cell r="I1499">
            <v>1.8100000000000002E-2</v>
          </cell>
          <cell r="K1499">
            <v>5.1999999999999998E-3</v>
          </cell>
          <cell r="M1499">
            <v>0</v>
          </cell>
          <cell r="O1499">
            <v>0</v>
          </cell>
        </row>
        <row r="1500">
          <cell r="D1500" t="str">
            <v>реконструкция</v>
          </cell>
          <cell r="G1500">
            <v>5.1999999999999998E-3</v>
          </cell>
          <cell r="I1500">
            <v>0</v>
          </cell>
          <cell r="K1500">
            <v>5.1999999999999998E-3</v>
          </cell>
        </row>
        <row r="1501">
          <cell r="D1501" t="str">
            <v>строительство</v>
          </cell>
          <cell r="G1501">
            <v>1.8100000000000002E-2</v>
          </cell>
          <cell r="I1501">
            <v>1.8100000000000002E-2</v>
          </cell>
        </row>
        <row r="1502">
          <cell r="D1502" t="str">
            <v>Электроснабжение садового домика по адресу: г. Липецк, СНТ "Металлург-2" ОАО НЛМК, земельный участок № 1442</v>
          </cell>
          <cell r="G1502">
            <v>8.3799999999999999E-2</v>
          </cell>
          <cell r="I1502">
            <v>8.3799999999999999E-2</v>
          </cell>
          <cell r="K1502">
            <v>0</v>
          </cell>
          <cell r="M1502">
            <v>0</v>
          </cell>
          <cell r="O1502">
            <v>0</v>
          </cell>
        </row>
        <row r="1503">
          <cell r="D1503" t="str">
            <v>реконструкция</v>
          </cell>
          <cell r="G1503">
            <v>0</v>
          </cell>
          <cell r="I1503">
            <v>0</v>
          </cell>
        </row>
        <row r="1504">
          <cell r="D1504" t="str">
            <v>строительство</v>
          </cell>
          <cell r="G1504">
            <v>8.3799999999999999E-2</v>
          </cell>
          <cell r="I1504">
            <v>8.3799999999999999E-2</v>
          </cell>
        </row>
        <row r="1505">
          <cell r="D1505" t="str">
            <v>Электроснабжение гаражей № 1, № 2, № 3, № 4 по адресу: г. Липецк, переулок Попова, строение 4/8</v>
          </cell>
          <cell r="G1505">
            <v>1.3599999999999999E-2</v>
          </cell>
          <cell r="I1505">
            <v>1.35E-2</v>
          </cell>
          <cell r="K1505">
            <v>9.9999999999999395E-5</v>
          </cell>
          <cell r="M1505">
            <v>0</v>
          </cell>
          <cell r="O1505">
            <v>0</v>
          </cell>
        </row>
        <row r="1506">
          <cell r="D1506" t="str">
            <v>реконструкция</v>
          </cell>
          <cell r="G1506">
            <v>0</v>
          </cell>
          <cell r="I1506">
            <v>0</v>
          </cell>
        </row>
        <row r="1507">
          <cell r="D1507" t="str">
            <v>строительство</v>
          </cell>
          <cell r="G1507">
            <v>1.3599999999999999E-2</v>
          </cell>
          <cell r="I1507">
            <v>1.35E-2</v>
          </cell>
          <cell r="K1507">
            <v>9.9999999999999395E-5</v>
          </cell>
        </row>
        <row r="1508">
          <cell r="D1508" t="str">
            <v>Электроснабжение садового домика по адресу: г. Липецк, СНТ "Металлург-2" ОАО НЛМК, участок № 990</v>
          </cell>
          <cell r="G1508">
            <v>1.1300000000000001E-2</v>
          </cell>
          <cell r="I1508">
            <v>1.1300000000000001E-2</v>
          </cell>
          <cell r="K1508">
            <v>0</v>
          </cell>
          <cell r="M1508">
            <v>0</v>
          </cell>
          <cell r="O1508">
            <v>0</v>
          </cell>
        </row>
        <row r="1509">
          <cell r="D1509" t="str">
            <v>реконструкция</v>
          </cell>
          <cell r="G1509">
            <v>0</v>
          </cell>
          <cell r="I1509">
            <v>0</v>
          </cell>
        </row>
        <row r="1510">
          <cell r="D1510" t="str">
            <v>строительство</v>
          </cell>
          <cell r="G1510">
            <v>1.1300000000000001E-2</v>
          </cell>
          <cell r="I1510">
            <v>1.1300000000000001E-2</v>
          </cell>
        </row>
        <row r="1511">
          <cell r="D1511" t="str">
            <v>Электроснабжение садового домика по адресу: г. Липецк, СНТ "Тракторостроитель-2", линия 14, участок № 11</v>
          </cell>
          <cell r="G1511">
            <v>0.13419999999999999</v>
          </cell>
          <cell r="I1511">
            <v>0.129</v>
          </cell>
          <cell r="K1511">
            <v>5.1999999999999824E-3</v>
          </cell>
          <cell r="M1511">
            <v>0</v>
          </cell>
          <cell r="O1511">
            <v>0</v>
          </cell>
        </row>
        <row r="1512">
          <cell r="D1512" t="str">
            <v>реконструкция</v>
          </cell>
          <cell r="G1512">
            <v>5.1999999999999824E-3</v>
          </cell>
          <cell r="I1512">
            <v>0</v>
          </cell>
          <cell r="K1512">
            <v>5.1999999999999824E-3</v>
          </cell>
        </row>
        <row r="1513">
          <cell r="D1513" t="str">
            <v>строительство</v>
          </cell>
          <cell r="G1513">
            <v>0.129</v>
          </cell>
          <cell r="I1513">
            <v>0.129</v>
          </cell>
        </row>
        <row r="1514">
          <cell r="D1514" t="str">
            <v>Электроснабжение садового домика по адресу: г. Липецк, СНТ "Сокол-2", участок № 804</v>
          </cell>
          <cell r="G1514">
            <v>1.6500000000000001E-2</v>
          </cell>
          <cell r="I1514">
            <v>1.1300000000000001E-2</v>
          </cell>
          <cell r="K1514">
            <v>5.1999999999999998E-3</v>
          </cell>
          <cell r="M1514">
            <v>0</v>
          </cell>
          <cell r="O1514">
            <v>0</v>
          </cell>
        </row>
        <row r="1515">
          <cell r="D1515" t="str">
            <v>реконструкция</v>
          </cell>
          <cell r="G1515">
            <v>0</v>
          </cell>
          <cell r="I1515">
            <v>0</v>
          </cell>
        </row>
        <row r="1516">
          <cell r="D1516" t="str">
            <v>строительство</v>
          </cell>
          <cell r="G1516">
            <v>1.6500000000000001E-2</v>
          </cell>
          <cell r="I1516">
            <v>1.1300000000000001E-2</v>
          </cell>
          <cell r="K1516">
            <v>5.1999999999999998E-3</v>
          </cell>
        </row>
        <row r="1517">
          <cell r="D1517" t="str">
            <v>Электроснабжение садового домика по адресу: г. Липецк, СНТПиИ "Речное", линия 2, участок № 247</v>
          </cell>
          <cell r="G1517">
            <v>1.1300000000000001E-2</v>
          </cell>
          <cell r="I1517">
            <v>1.1300000000000001E-2</v>
          </cell>
          <cell r="K1517">
            <v>0</v>
          </cell>
          <cell r="M1517">
            <v>0</v>
          </cell>
          <cell r="O1517">
            <v>0</v>
          </cell>
        </row>
        <row r="1518">
          <cell r="D1518" t="str">
            <v>реконструкция</v>
          </cell>
          <cell r="G1518">
            <v>0</v>
          </cell>
          <cell r="I1518">
            <v>0</v>
          </cell>
        </row>
        <row r="1519">
          <cell r="D1519" t="str">
            <v>строительство</v>
          </cell>
          <cell r="G1519">
            <v>1.1300000000000001E-2</v>
          </cell>
          <cell r="I1519">
            <v>1.1300000000000001E-2</v>
          </cell>
        </row>
        <row r="1520">
          <cell r="D1520" t="str">
            <v>Электроснабжение садового домика по адресу: г. Липецк, СНТ "Дачный-3", земельный участок № 271</v>
          </cell>
          <cell r="G1520">
            <v>1.66E-2</v>
          </cell>
          <cell r="I1520">
            <v>1.15E-2</v>
          </cell>
          <cell r="K1520">
            <v>5.1000000000000004E-3</v>
          </cell>
          <cell r="M1520">
            <v>0</v>
          </cell>
          <cell r="O1520">
            <v>0</v>
          </cell>
        </row>
        <row r="1521">
          <cell r="D1521" t="str">
            <v>реконструкция</v>
          </cell>
          <cell r="G1521">
            <v>5.1000000000000004E-3</v>
          </cell>
          <cell r="I1521">
            <v>0</v>
          </cell>
          <cell r="K1521">
            <v>5.1000000000000004E-3</v>
          </cell>
        </row>
        <row r="1522">
          <cell r="D1522" t="str">
            <v>строительство</v>
          </cell>
          <cell r="G1522">
            <v>1.15E-2</v>
          </cell>
          <cell r="I1522">
            <v>1.15E-2</v>
          </cell>
        </row>
        <row r="1523">
          <cell r="D1523" t="str">
            <v>Электроснабжение садового домика по адресу: г. Липецк, ПОПиИ "Сокол-1", участок № 452</v>
          </cell>
          <cell r="G1523">
            <v>1.6399999999999998E-2</v>
          </cell>
          <cell r="I1523">
            <v>1.1300000000000001E-2</v>
          </cell>
          <cell r="K1523">
            <v>5.0999999999999969E-3</v>
          </cell>
          <cell r="M1523">
            <v>0</v>
          </cell>
          <cell r="O1523">
            <v>0</v>
          </cell>
        </row>
        <row r="1524">
          <cell r="D1524" t="str">
            <v>реконструкция</v>
          </cell>
          <cell r="G1524">
            <v>5.0999999999999969E-3</v>
          </cell>
          <cell r="I1524">
            <v>0</v>
          </cell>
          <cell r="K1524">
            <v>5.0999999999999969E-3</v>
          </cell>
        </row>
        <row r="1525">
          <cell r="D1525" t="str">
            <v>строительство</v>
          </cell>
          <cell r="G1525">
            <v>1.1300000000000001E-2</v>
          </cell>
          <cell r="I1525">
            <v>1.1300000000000001E-2</v>
          </cell>
        </row>
        <row r="1526">
          <cell r="D1526" t="str">
            <v>Электроснабжение садового домика по адресу: г. Липецк, СТ "Ударник", массив № 5, участок № 43</v>
          </cell>
          <cell r="G1526">
            <v>1.6500000000000001E-2</v>
          </cell>
          <cell r="I1526">
            <v>1.14E-2</v>
          </cell>
          <cell r="K1526">
            <v>5.1000000000000004E-3</v>
          </cell>
          <cell r="M1526">
            <v>0</v>
          </cell>
          <cell r="O1526">
            <v>0</v>
          </cell>
        </row>
        <row r="1527">
          <cell r="D1527" t="str">
            <v>реконструкция</v>
          </cell>
          <cell r="G1527">
            <v>0</v>
          </cell>
          <cell r="I1527">
            <v>0</v>
          </cell>
        </row>
        <row r="1528">
          <cell r="D1528" t="str">
            <v>строительство</v>
          </cell>
          <cell r="G1528">
            <v>1.6500000000000001E-2</v>
          </cell>
          <cell r="I1528">
            <v>1.14E-2</v>
          </cell>
          <cell r="K1528">
            <v>5.1000000000000004E-3</v>
          </cell>
        </row>
        <row r="1529">
          <cell r="D1529" t="str">
            <v xml:space="preserve">Электроснабжение садового домика по адресу: г. Липецк, СНТ "Металлург-2" ОАО НЛМК, зем. уч. № 1834 </v>
          </cell>
          <cell r="G1529">
            <v>1.14E-2</v>
          </cell>
          <cell r="I1529">
            <v>1.14E-2</v>
          </cell>
          <cell r="K1529">
            <v>0</v>
          </cell>
          <cell r="M1529">
            <v>0</v>
          </cell>
          <cell r="O1529">
            <v>0</v>
          </cell>
        </row>
        <row r="1530">
          <cell r="D1530" t="str">
            <v>реконструкция</v>
          </cell>
          <cell r="G1530">
            <v>0</v>
          </cell>
          <cell r="I1530">
            <v>0</v>
          </cell>
        </row>
        <row r="1531">
          <cell r="D1531" t="str">
            <v>строительство</v>
          </cell>
          <cell r="G1531">
            <v>1.14E-2</v>
          </cell>
          <cell r="I1531">
            <v>1.14E-2</v>
          </cell>
        </row>
        <row r="1532">
          <cell r="D1532" t="str">
            <v>Электроснабжение садового домика по адресу: г. Липецк, СО "Сокол-3", массив I, участок № 221</v>
          </cell>
          <cell r="G1532">
            <v>1.1300000000000001E-2</v>
          </cell>
          <cell r="I1532">
            <v>1.1300000000000001E-2</v>
          </cell>
          <cell r="K1532">
            <v>0</v>
          </cell>
          <cell r="M1532">
            <v>0</v>
          </cell>
          <cell r="O1532">
            <v>0</v>
          </cell>
        </row>
        <row r="1533">
          <cell r="D1533" t="str">
            <v>реконструкция</v>
          </cell>
          <cell r="G1533">
            <v>0</v>
          </cell>
          <cell r="I1533">
            <v>0</v>
          </cell>
        </row>
        <row r="1534">
          <cell r="D1534" t="str">
            <v>строительство</v>
          </cell>
          <cell r="G1534">
            <v>1.1300000000000001E-2</v>
          </cell>
          <cell r="I1534">
            <v>1.1300000000000001E-2</v>
          </cell>
        </row>
        <row r="1535">
          <cell r="D1535" t="str">
            <v>Электроснабжение садового домика по адресу: г. Липецк, СНТ "Восход", участок № 111</v>
          </cell>
          <cell r="G1535">
            <v>5.1799999999999999E-2</v>
          </cell>
          <cell r="I1535">
            <v>1.35E-2</v>
          </cell>
          <cell r="K1535">
            <v>3.8300000000000001E-2</v>
          </cell>
          <cell r="M1535">
            <v>0</v>
          </cell>
          <cell r="O1535">
            <v>0</v>
          </cell>
        </row>
        <row r="1536">
          <cell r="D1536" t="str">
            <v>реконструкция</v>
          </cell>
          <cell r="G1536">
            <v>0</v>
          </cell>
          <cell r="I1536">
            <v>0</v>
          </cell>
        </row>
        <row r="1537">
          <cell r="D1537" t="str">
            <v>строительство</v>
          </cell>
          <cell r="G1537">
            <v>5.1799999999999999E-2</v>
          </cell>
          <cell r="I1537">
            <v>1.35E-2</v>
          </cell>
          <cell r="K1537">
            <v>3.8300000000000001E-2</v>
          </cell>
        </row>
        <row r="1538">
          <cell r="D1538" t="str">
            <v>Электроснабжение гаража № 3 по адресу: г. Липецк, ул. Нестерова, строение 10 Б</v>
          </cell>
          <cell r="G1538">
            <v>2.0500000000000001E-2</v>
          </cell>
          <cell r="I1538">
            <v>1.12E-2</v>
          </cell>
          <cell r="K1538">
            <v>9.300000000000001E-3</v>
          </cell>
          <cell r="M1538">
            <v>0</v>
          </cell>
          <cell r="O1538">
            <v>0</v>
          </cell>
        </row>
        <row r="1539">
          <cell r="D1539" t="str">
            <v>реконструкция</v>
          </cell>
          <cell r="G1539">
            <v>0</v>
          </cell>
          <cell r="I1539">
            <v>0</v>
          </cell>
        </row>
        <row r="1540">
          <cell r="D1540" t="str">
            <v>строительство</v>
          </cell>
          <cell r="G1540">
            <v>2.0500000000000001E-2</v>
          </cell>
          <cell r="I1540">
            <v>1.12E-2</v>
          </cell>
          <cell r="K1540">
            <v>9.300000000000001E-3</v>
          </cell>
        </row>
        <row r="1541">
          <cell r="D1541" t="str">
            <v>Электроснабжение индивидуального жилого дома по адресу: г. Липецк, ул. Рудничная, 46</v>
          </cell>
          <cell r="G1541">
            <v>0.12179999999999999</v>
          </cell>
          <cell r="I1541">
            <v>0.12179999999999999</v>
          </cell>
          <cell r="K1541">
            <v>0</v>
          </cell>
          <cell r="M1541">
            <v>0</v>
          </cell>
          <cell r="O1541">
            <v>0</v>
          </cell>
        </row>
        <row r="1542">
          <cell r="D1542" t="str">
            <v>реконструкция</v>
          </cell>
          <cell r="G1542">
            <v>0</v>
          </cell>
          <cell r="I1542">
            <v>0</v>
          </cell>
        </row>
        <row r="1543">
          <cell r="D1543" t="str">
            <v>строительство</v>
          </cell>
          <cell r="G1543">
            <v>0.12179999999999999</v>
          </cell>
          <cell r="I1543">
            <v>0.12179999999999999</v>
          </cell>
        </row>
        <row r="1544">
          <cell r="D1544" t="str">
            <v>Электроснабжение садового домика по адресу: г. Липецк, СНТ "Тракторостроитель-1", ул. Коллективная, уч. № 1</v>
          </cell>
          <cell r="G1544">
            <v>5.4999999999999997E-3</v>
          </cell>
          <cell r="I1544">
            <v>2.0000000000000001E-4</v>
          </cell>
          <cell r="K1544">
            <v>5.3E-3</v>
          </cell>
          <cell r="M1544">
            <v>-3.5236570605778894E-19</v>
          </cell>
          <cell r="O1544">
            <v>-3.5236570605778894E-19</v>
          </cell>
        </row>
        <row r="1545">
          <cell r="D1545" t="str">
            <v>реконструкция</v>
          </cell>
          <cell r="G1545">
            <v>5.3E-3</v>
          </cell>
          <cell r="I1545">
            <v>0</v>
          </cell>
          <cell r="K1545">
            <v>5.3E-3</v>
          </cell>
        </row>
        <row r="1546">
          <cell r="D1546" t="str">
            <v>строительство</v>
          </cell>
          <cell r="G1546">
            <v>2.0000000000000001E-4</v>
          </cell>
          <cell r="I1546">
            <v>2.0000000000000001E-4</v>
          </cell>
        </row>
        <row r="1547">
          <cell r="D1547" t="str">
            <v>Электроснабжение садового домика по адресу: г. Липецк, садоводство "Строитель", участок № 1782</v>
          </cell>
          <cell r="G1547">
            <v>4.7999999999999996E-3</v>
          </cell>
          <cell r="I1547">
            <v>2.0000000000000001E-4</v>
          </cell>
          <cell r="K1547">
            <v>4.5999999999999999E-3</v>
          </cell>
          <cell r="M1547">
            <v>-3.5236570605778894E-19</v>
          </cell>
          <cell r="O1547">
            <v>-3.5236570605778894E-19</v>
          </cell>
        </row>
        <row r="1548">
          <cell r="D1548" t="str">
            <v>реконструкция</v>
          </cell>
          <cell r="G1548">
            <v>4.5999999999999999E-3</v>
          </cell>
          <cell r="I1548">
            <v>0</v>
          </cell>
          <cell r="K1548">
            <v>4.5999999999999999E-3</v>
          </cell>
        </row>
        <row r="1549">
          <cell r="D1549" t="str">
            <v>строительство</v>
          </cell>
          <cell r="G1549">
            <v>2.0000000000000001E-4</v>
          </cell>
          <cell r="I1549">
            <v>2.0000000000000001E-4</v>
          </cell>
        </row>
        <row r="1550">
          <cell r="D1550" t="str">
            <v>Электроснабжение гаражей по ул. Фурманова, запитанных от ТП-600; 11 кВт, 220 В, 3 категория</v>
          </cell>
          <cell r="G1550">
            <v>9.1999999999999998E-3</v>
          </cell>
          <cell r="I1550">
            <v>4.5999999999999999E-3</v>
          </cell>
          <cell r="K1550">
            <v>4.5999999999999999E-3</v>
          </cell>
          <cell r="M1550">
            <v>0</v>
          </cell>
          <cell r="O1550">
            <v>0</v>
          </cell>
        </row>
        <row r="1551">
          <cell r="D1551" t="str">
            <v>реконструкция</v>
          </cell>
          <cell r="G1551">
            <v>0</v>
          </cell>
          <cell r="I1551">
            <v>0</v>
          </cell>
        </row>
        <row r="1552">
          <cell r="D1552" t="str">
            <v>строительство</v>
          </cell>
          <cell r="G1552">
            <v>9.1999999999999998E-3</v>
          </cell>
          <cell r="I1552">
            <v>4.5999999999999999E-3</v>
          </cell>
          <cell r="K1552">
            <v>4.5999999999999999E-3</v>
          </cell>
        </row>
        <row r="1553">
          <cell r="D1553" t="str">
            <v>Электроснабжение садовых домиков в СНТ "Металлург-2"</v>
          </cell>
          <cell r="G1553">
            <v>9.1600000000000001E-2</v>
          </cell>
          <cell r="I1553">
            <v>8.0700000000000008E-2</v>
          </cell>
          <cell r="K1553">
            <v>1.0899999999999993E-2</v>
          </cell>
          <cell r="M1553">
            <v>0</v>
          </cell>
          <cell r="O1553">
            <v>0</v>
          </cell>
        </row>
        <row r="1554">
          <cell r="D1554" t="str">
            <v>реконструкция</v>
          </cell>
          <cell r="G1554">
            <v>0</v>
          </cell>
          <cell r="I1554">
            <v>0</v>
          </cell>
        </row>
        <row r="1555">
          <cell r="D1555" t="str">
            <v>строительство</v>
          </cell>
          <cell r="G1555">
            <v>9.1600000000000001E-2</v>
          </cell>
          <cell r="I1555">
            <v>8.0700000000000008E-2</v>
          </cell>
          <cell r="K1555">
            <v>1.0899999999999993E-2</v>
          </cell>
        </row>
        <row r="1556">
          <cell r="D1556" t="str">
            <v>Электроснабжение садового домика по адресу: г. Липецк, СНТ "Машиностроитель", участок № 877</v>
          </cell>
          <cell r="G1556">
            <v>4.9000000000000007E-3</v>
          </cell>
          <cell r="I1556">
            <v>2.9999999999999997E-4</v>
          </cell>
          <cell r="K1556">
            <v>4.6000000000000008E-3</v>
          </cell>
          <cell r="M1556">
            <v>0</v>
          </cell>
          <cell r="O1556">
            <v>0</v>
          </cell>
        </row>
        <row r="1557">
          <cell r="D1557" t="str">
            <v>реконструкция</v>
          </cell>
          <cell r="G1557">
            <v>0</v>
          </cell>
          <cell r="I1557">
            <v>0</v>
          </cell>
        </row>
        <row r="1558">
          <cell r="D1558" t="str">
            <v>строительство</v>
          </cell>
          <cell r="G1558">
            <v>4.9000000000000007E-3</v>
          </cell>
          <cell r="I1558">
            <v>2.9999999999999997E-4</v>
          </cell>
          <cell r="K1558">
            <v>4.6000000000000008E-3</v>
          </cell>
        </row>
        <row r="1559">
          <cell r="D1559" t="str">
            <v>Электроснабжение садовых домиков в с/о "Сокол-2", запитанных от ТП-437 (2 очередь)</v>
          </cell>
          <cell r="G1559">
            <v>0</v>
          </cell>
          <cell r="I1559">
            <v>0</v>
          </cell>
          <cell r="K1559">
            <v>0</v>
          </cell>
          <cell r="M1559">
            <v>0</v>
          </cell>
          <cell r="O1559">
            <v>0</v>
          </cell>
        </row>
        <row r="1560">
          <cell r="D1560" t="str">
            <v>реконструкция</v>
          </cell>
          <cell r="G1560">
            <v>0</v>
          </cell>
        </row>
        <row r="1561">
          <cell r="D1561" t="str">
            <v>строительство</v>
          </cell>
          <cell r="G1561">
            <v>0</v>
          </cell>
        </row>
        <row r="1562">
          <cell r="D1562" t="str">
            <v>Электроснабжение садового домика по адресу: г. Липецк, СО "Сокол-3", массив 1, участок № 127</v>
          </cell>
          <cell r="G1562">
            <v>0</v>
          </cell>
        </row>
        <row r="1563">
          <cell r="D1563" t="str">
            <v>реконструкция</v>
          </cell>
          <cell r="G1563">
            <v>0</v>
          </cell>
        </row>
        <row r="1564">
          <cell r="D1564" t="str">
            <v>строительство</v>
          </cell>
          <cell r="G1564">
            <v>0</v>
          </cell>
        </row>
        <row r="1565">
          <cell r="D1565" t="str">
            <v>Электроснабжение стройплощадки индивидуального жилого дома по адресу: г. Липецк, ул. Дарвина (№ 3 по схеме, кадастровый № 48:20:0</v>
          </cell>
          <cell r="G1565">
            <v>0</v>
          </cell>
        </row>
        <row r="1566">
          <cell r="D1566" t="str">
            <v>реконструкция</v>
          </cell>
          <cell r="G1566">
            <v>0</v>
          </cell>
        </row>
        <row r="1567">
          <cell r="D1567" t="str">
            <v>строительство</v>
          </cell>
          <cell r="G1567">
            <v>0</v>
          </cell>
        </row>
        <row r="1568">
          <cell r="D1568" t="str">
            <v>Электроснабжение жилого дома по адресу: г. Липецк, ул. Еловая, дом № 61</v>
          </cell>
          <cell r="G1568">
            <v>0</v>
          </cell>
        </row>
        <row r="1569">
          <cell r="D1569" t="str">
            <v>реконструкция</v>
          </cell>
          <cell r="G1569">
            <v>0</v>
          </cell>
        </row>
        <row r="1570">
          <cell r="D1570" t="str">
            <v>строительство</v>
          </cell>
          <cell r="G1570">
            <v>0</v>
          </cell>
        </row>
        <row r="1571">
          <cell r="D1571" t="str">
            <v>Электроснабжение встроенного нежилого помещения № 2 по ул. Коммунистическая, д. 11, запитанного от ТП-713; 50 кВт, 380 В, 3 категория</v>
          </cell>
          <cell r="G1571">
            <v>0</v>
          </cell>
        </row>
        <row r="1572">
          <cell r="D1572" t="str">
            <v>реконструкция</v>
          </cell>
          <cell r="G1572">
            <v>0</v>
          </cell>
        </row>
        <row r="1573">
          <cell r="D1573" t="str">
            <v>строительство</v>
          </cell>
          <cell r="G1573">
            <v>0</v>
          </cell>
        </row>
        <row r="1574">
          <cell r="D1574" t="str">
            <v>Электроснабжение павильона П-4441 по адресу: г. Липецк, Елецкое шоссе, 6 справа от Центрального входа Косыревского кладбища</v>
          </cell>
          <cell r="G1574">
            <v>0</v>
          </cell>
        </row>
        <row r="1575">
          <cell r="D1575" t="str">
            <v>реконструкция</v>
          </cell>
          <cell r="G1575">
            <v>0</v>
          </cell>
        </row>
        <row r="1576">
          <cell r="D1576" t="str">
            <v>строительство</v>
          </cell>
          <cell r="G1576">
            <v>0</v>
          </cell>
        </row>
        <row r="1577">
          <cell r="D1577" t="str">
            <v>Электроснабжение танцевальной площадки по адресу: г. Липецк, район Петровского моста в Правобережном округе, кадастровый № 48:20:0020211:44</v>
          </cell>
          <cell r="G1577">
            <v>7.6999999999999999E-2</v>
          </cell>
        </row>
        <row r="1578">
          <cell r="D1578" t="str">
            <v>реконструкция</v>
          </cell>
          <cell r="G1578">
            <v>0</v>
          </cell>
        </row>
        <row r="1579">
          <cell r="D1579" t="str">
            <v>строительство</v>
          </cell>
          <cell r="G1579">
            <v>7.6999999999999999E-2</v>
          </cell>
        </row>
        <row r="1580">
          <cell r="D1580" t="str">
            <v>Электроснабжение кирпичного гаража № 17 с погребом по адресу: г. Липецк, ГК "Вираж", ряд № 13</v>
          </cell>
          <cell r="G1580">
            <v>4.5999999999999999E-3</v>
          </cell>
        </row>
        <row r="1581">
          <cell r="D1581" t="str">
            <v>реконструкция</v>
          </cell>
          <cell r="G1581">
            <v>0</v>
          </cell>
        </row>
        <row r="1582">
          <cell r="D1582" t="str">
            <v>строительство</v>
          </cell>
          <cell r="G1582">
            <v>4.5999999999999999E-3</v>
          </cell>
        </row>
        <row r="1583">
          <cell r="D1583" t="str">
            <v>Электроснабжение садовых домиков по адресу: г. Липецк, СНТ "Восход", участок № 174, участок № 201</v>
          </cell>
          <cell r="G1583">
            <v>5.5999999999999999E-3</v>
          </cell>
        </row>
        <row r="1584">
          <cell r="D1584" t="str">
            <v>реконструкция</v>
          </cell>
          <cell r="G1584">
            <v>0</v>
          </cell>
        </row>
        <row r="1585">
          <cell r="D1585" t="str">
            <v>строительство</v>
          </cell>
          <cell r="G1585">
            <v>5.5999999999999999E-3</v>
          </cell>
        </row>
        <row r="1586">
          <cell r="D1586" t="str">
            <v>Электроснабжение магазина с подвалом по адресу: г. Липецк, проезд Универсальный, кадастровый № 48:20:029502:0040:1333н-В/01-1</v>
          </cell>
          <cell r="G1586">
            <v>4.4000000000000003E-3</v>
          </cell>
        </row>
        <row r="1587">
          <cell r="D1587" t="str">
            <v>реконструкция</v>
          </cell>
          <cell r="G1587">
            <v>0</v>
          </cell>
        </row>
        <row r="1588">
          <cell r="D1588" t="str">
            <v>строительство</v>
          </cell>
          <cell r="G1588">
            <v>4.4000000000000003E-3</v>
          </cell>
        </row>
        <row r="1589">
          <cell r="D1589" t="str">
            <v>Электроснабжение гаража по адресу: г. Липецк, во дворе дома № 6/2 по ул. Терешковой, гараж № 1</v>
          </cell>
          <cell r="G1589">
            <v>4.4999999999999997E-3</v>
          </cell>
        </row>
        <row r="1590">
          <cell r="D1590" t="str">
            <v>реконструкция</v>
          </cell>
          <cell r="G1590">
            <v>0</v>
          </cell>
        </row>
        <row r="1591">
          <cell r="D1591" t="str">
            <v>строительство</v>
          </cell>
          <cell r="G1591">
            <v>4.4999999999999997E-3</v>
          </cell>
        </row>
        <row r="1592">
          <cell r="D1592" t="str">
            <v>Электроснабжение садового домика по адресу: г. Липецк, СНТ "Металлург-2" ОАО НЛМК, участок № 233</v>
          </cell>
          <cell r="G1592">
            <v>4.5999999999999999E-3</v>
          </cell>
        </row>
        <row r="1593">
          <cell r="D1593" t="str">
            <v>реконструкция</v>
          </cell>
          <cell r="G1593">
            <v>0</v>
          </cell>
        </row>
        <row r="1594">
          <cell r="D1594" t="str">
            <v>строительство</v>
          </cell>
          <cell r="G1594">
            <v>4.5999999999999999E-3</v>
          </cell>
        </row>
        <row r="1595">
          <cell r="D1595" t="str">
            <v>Электроснабжение садового домика по адресу: г. Липецк, ПСОПиИ им. И.В. Мичурина, ул. Дальняя, земельный участок № 38</v>
          </cell>
          <cell r="G1595">
            <v>4.4999999999999997E-3</v>
          </cell>
        </row>
        <row r="1596">
          <cell r="D1596" t="str">
            <v>реконструкция</v>
          </cell>
          <cell r="G1596">
            <v>0</v>
          </cell>
        </row>
        <row r="1597">
          <cell r="D1597" t="str">
            <v>строительство</v>
          </cell>
          <cell r="G1597">
            <v>4.4999999999999997E-3</v>
          </cell>
        </row>
        <row r="1598">
          <cell r="D1598" t="str">
            <v>Электроснабжение садовых домиков по адресу: г. Липецк, СТ «Строитель», участок № 583, участок № 505</v>
          </cell>
          <cell r="G1598">
            <v>1.7173</v>
          </cell>
        </row>
        <row r="1599">
          <cell r="D1599" t="str">
            <v>реконструкция</v>
          </cell>
          <cell r="G1599">
            <v>1.7173</v>
          </cell>
        </row>
        <row r="1600">
          <cell r="D1600" t="str">
            <v>строительство</v>
          </cell>
          <cell r="G1600">
            <v>0</v>
          </cell>
        </row>
        <row r="1601">
          <cell r="D1601" t="str">
            <v>Электроснабжение здания - садового домика по адресу: г. Липецк, СТ "Строитель", участок № 788</v>
          </cell>
          <cell r="G1601">
            <v>4.7000000000000002E-3</v>
          </cell>
        </row>
        <row r="1602">
          <cell r="D1602" t="str">
            <v>реконструкция</v>
          </cell>
          <cell r="G1602">
            <v>0</v>
          </cell>
        </row>
        <row r="1603">
          <cell r="D1603" t="str">
            <v>строительство</v>
          </cell>
          <cell r="G1603">
            <v>4.7000000000000002E-3</v>
          </cell>
        </row>
        <row r="1604">
          <cell r="D1604" t="str">
            <v>Электроснабжение садового домика по адресу: г. Липецк, СНТ "Металлург-2" ОАО НЛМК, земельный участок № 1678 а</v>
          </cell>
          <cell r="G1604">
            <v>4.7000000000000002E-3</v>
          </cell>
        </row>
        <row r="1605">
          <cell r="D1605" t="str">
            <v>реконструкция</v>
          </cell>
          <cell r="G1605">
            <v>0</v>
          </cell>
        </row>
        <row r="1606">
          <cell r="D1606" t="str">
            <v>строительство</v>
          </cell>
          <cell r="G1606">
            <v>4.7000000000000002E-3</v>
          </cell>
        </row>
        <row r="1607">
          <cell r="D1607" t="str">
            <v>Электроснабжение 1/2 доля садового домика по адресу: г. Липецк, СНТ "Цементник", земельный участок № 782</v>
          </cell>
          <cell r="G1607">
            <v>4.4999999999999997E-3</v>
          </cell>
        </row>
        <row r="1608">
          <cell r="D1608" t="str">
            <v>реконструкция</v>
          </cell>
          <cell r="G1608">
            <v>0</v>
          </cell>
        </row>
        <row r="1609">
          <cell r="D1609" t="str">
            <v>строительство</v>
          </cell>
          <cell r="G1609">
            <v>4.4999999999999997E-3</v>
          </cell>
        </row>
        <row r="1610">
          <cell r="D1610" t="str">
            <v>Электроснабжение стройплощадки по адресу: г. Липецк, СНТ "Восход", участок № 131</v>
          </cell>
          <cell r="G1610">
            <v>4.3E-3</v>
          </cell>
        </row>
        <row r="1611">
          <cell r="D1611" t="str">
            <v>реконструкция</v>
          </cell>
          <cell r="G1611">
            <v>0</v>
          </cell>
        </row>
        <row r="1612">
          <cell r="D1612" t="str">
            <v>строительство</v>
          </cell>
          <cell r="G1612">
            <v>4.3E-3</v>
          </cell>
        </row>
        <row r="1613">
          <cell r="D1613" t="str">
            <v>Электроснабжение садовых домиков по адресу: г. Липецк, СТ «Строитель»</v>
          </cell>
          <cell r="G1613">
            <v>7.0000000000000001E-3</v>
          </cell>
        </row>
        <row r="1614">
          <cell r="D1614" t="str">
            <v>реконструкция</v>
          </cell>
          <cell r="G1614">
            <v>7.0000000000000001E-3</v>
          </cell>
        </row>
        <row r="1615">
          <cell r="D1615" t="str">
            <v>строительство</v>
          </cell>
          <cell r="G1615">
            <v>0</v>
          </cell>
        </row>
        <row r="1616">
          <cell r="D1616" t="str">
            <v>Электроснабжение садового домика по адресу: г. Липецк, СТ "Сокол-2", участок № 496</v>
          </cell>
          <cell r="G1616">
            <v>4.7000000000000002E-3</v>
          </cell>
        </row>
        <row r="1617">
          <cell r="D1617" t="str">
            <v>реконструкция</v>
          </cell>
          <cell r="G1617">
            <v>0</v>
          </cell>
        </row>
        <row r="1618">
          <cell r="D1618" t="str">
            <v>строительство</v>
          </cell>
          <cell r="G1618">
            <v>4.7000000000000002E-3</v>
          </cell>
        </row>
        <row r="1619">
          <cell r="D1619" t="str">
            <v>Электроснабжение садового домика по адресу: г. Липецк, ПОПиИ "Сокол-1", участок № 390</v>
          </cell>
          <cell r="G1619">
            <v>4.4999999999999997E-3</v>
          </cell>
        </row>
        <row r="1620">
          <cell r="D1620" t="str">
            <v>реконструкция</v>
          </cell>
          <cell r="G1620">
            <v>0</v>
          </cell>
        </row>
        <row r="1621">
          <cell r="D1621" t="str">
            <v>строительство</v>
          </cell>
          <cell r="G1621">
            <v>4.4999999999999997E-3</v>
          </cell>
        </row>
        <row r="1622">
          <cell r="D1622" t="str">
            <v>Электроснабжение индивидуального жилого дома по адресу: г. Липецк, ул. Бородинская-Карбышева, № 1 (по схеме, кадастровый № 48:20:0027349:949)</v>
          </cell>
          <cell r="G1622">
            <v>4.4999999999999997E-3</v>
          </cell>
        </row>
        <row r="1623">
          <cell r="D1623" t="str">
            <v>реконструкция</v>
          </cell>
          <cell r="G1623">
            <v>0</v>
          </cell>
        </row>
        <row r="1624">
          <cell r="D1624" t="str">
            <v>строительство</v>
          </cell>
          <cell r="G1624">
            <v>4.4999999999999997E-3</v>
          </cell>
        </row>
        <row r="1625">
          <cell r="D1625" t="str">
            <v>Электроснабжение садового домика по адресу: г. Липецк, СНТ "Ветеран труда", ул. Западная, участок № 243</v>
          </cell>
          <cell r="G1625">
            <v>4.7000000000000002E-3</v>
          </cell>
        </row>
        <row r="1626">
          <cell r="D1626" t="str">
            <v>реконструкция</v>
          </cell>
          <cell r="G1626">
            <v>0</v>
          </cell>
        </row>
        <row r="1627">
          <cell r="D1627" t="str">
            <v>строительство</v>
          </cell>
          <cell r="G1627">
            <v>4.7000000000000002E-3</v>
          </cell>
        </row>
        <row r="1628">
          <cell r="D1628" t="str">
            <v>Электроснабжение шлакоблочного жилого дома с хозяйственными постройками по адресу: г. Липецк, ул. Тургенева, д. 26</v>
          </cell>
          <cell r="G1628">
            <v>4.4000000000000003E-3</v>
          </cell>
        </row>
        <row r="1629">
          <cell r="D1629" t="str">
            <v>реконструкция</v>
          </cell>
          <cell r="G1629">
            <v>0</v>
          </cell>
        </row>
        <row r="1630">
          <cell r="D1630" t="str">
            <v>строительство</v>
          </cell>
          <cell r="G1630">
            <v>4.4000000000000003E-3</v>
          </cell>
        </row>
        <row r="1631">
          <cell r="D1631" t="str">
            <v>Электроснабжение садового домика по адресу: г. Липецк, садоводство "Строитель", участок № 38</v>
          </cell>
          <cell r="G1631">
            <v>4.3E-3</v>
          </cell>
        </row>
        <row r="1632">
          <cell r="D1632" t="str">
            <v>реконструкция</v>
          </cell>
          <cell r="G1632">
            <v>0</v>
          </cell>
        </row>
        <row r="1633">
          <cell r="D1633" t="str">
            <v>строительство</v>
          </cell>
          <cell r="G1633">
            <v>4.3E-3</v>
          </cell>
        </row>
        <row r="1634">
          <cell r="D1634" t="str">
            <v>Электроснабжение здания (нежилого) по адресу: г. Липецк, СНТ "Весна", участок № 79</v>
          </cell>
          <cell r="G1634">
            <v>4.3E-3</v>
          </cell>
        </row>
        <row r="1635">
          <cell r="D1635" t="str">
            <v>реконструкция</v>
          </cell>
          <cell r="G1635">
            <v>0</v>
          </cell>
        </row>
        <row r="1636">
          <cell r="D1636" t="str">
            <v>строительство</v>
          </cell>
          <cell r="G1636">
            <v>4.3E-3</v>
          </cell>
        </row>
        <row r="1637">
          <cell r="D1637" t="str">
            <v>Электроснабжение садового домика по адресу: г. Липецк, ПОПиИ "Сокол-1", участок № 124</v>
          </cell>
          <cell r="G1637">
            <v>4.5999999999999999E-3</v>
          </cell>
        </row>
        <row r="1638">
          <cell r="D1638" t="str">
            <v>реконструкция</v>
          </cell>
          <cell r="G1638">
            <v>0</v>
          </cell>
        </row>
        <row r="1639">
          <cell r="D1639" t="str">
            <v>строительство</v>
          </cell>
          <cell r="G1639">
            <v>4.5999999999999999E-3</v>
          </cell>
        </row>
        <row r="1640">
          <cell r="D1640" t="str">
            <v>Электроснабжение индивидуального жилого дома по адресу: г. Липецк, улица Ангарская в Советском округе, кадастровый № 48:20:0010501:135</v>
          </cell>
          <cell r="G1640">
            <v>3.3999999999999998E-3</v>
          </cell>
        </row>
        <row r="1641">
          <cell r="D1641" t="str">
            <v>реконструкция</v>
          </cell>
          <cell r="G1641">
            <v>0</v>
          </cell>
        </row>
        <row r="1642">
          <cell r="D1642" t="str">
            <v>строительство</v>
          </cell>
          <cell r="G1642">
            <v>3.3999999999999998E-3</v>
          </cell>
        </row>
        <row r="1643">
          <cell r="D1643" t="str">
            <v>Электроснабжение садового домика по адресу: г. Липецк, СТ "Ударник", массив 2, участок № 30</v>
          </cell>
          <cell r="G1643">
            <v>3.7000000000000002E-3</v>
          </cell>
        </row>
        <row r="1644">
          <cell r="D1644" t="str">
            <v>реконструкция</v>
          </cell>
          <cell r="G1644">
            <v>0</v>
          </cell>
        </row>
        <row r="1645">
          <cell r="D1645" t="str">
            <v>строительство</v>
          </cell>
          <cell r="G1645">
            <v>3.7000000000000002E-3</v>
          </cell>
        </row>
        <row r="1646">
          <cell r="D1646" t="str">
            <v>Электроснабжение садового домика по адресу: г. Липецк, СНТ "Дачный-1", участок № 550</v>
          </cell>
          <cell r="G1646">
            <v>3.3999999999999998E-3</v>
          </cell>
        </row>
        <row r="1647">
          <cell r="D1647" t="str">
            <v>реконструкция</v>
          </cell>
          <cell r="G1647">
            <v>0</v>
          </cell>
        </row>
        <row r="1648">
          <cell r="D1648" t="str">
            <v>строительство</v>
          </cell>
          <cell r="G1648">
            <v>3.3999999999999998E-3</v>
          </cell>
        </row>
        <row r="1649">
          <cell r="D1649" t="str">
            <v>Электроснабжение садового домика по адресу: г. Липецк, СНТ "Металлург-2" ОАО "НЛМК", участок № 121 б</v>
          </cell>
          <cell r="G1649">
            <v>3.8E-3</v>
          </cell>
        </row>
        <row r="1650">
          <cell r="D1650" t="str">
            <v>реконструкция</v>
          </cell>
          <cell r="G1650">
            <v>0</v>
          </cell>
        </row>
        <row r="1651">
          <cell r="D1651" t="str">
            <v>строительство</v>
          </cell>
          <cell r="G1651">
            <v>3.8E-3</v>
          </cell>
        </row>
        <row r="1652">
          <cell r="D1652" t="str">
            <v>Электроснабжение садового домика по адресу: г. Липецк, СНТ «Пусковые двигатели</v>
          </cell>
          <cell r="G1652">
            <v>1.0999999999999999E-2</v>
          </cell>
        </row>
        <row r="1653">
          <cell r="D1653" t="str">
            <v>реконструкция</v>
          </cell>
          <cell r="G1653">
            <v>0</v>
          </cell>
        </row>
        <row r="1654">
          <cell r="D1654" t="str">
            <v>строительство</v>
          </cell>
          <cell r="G1654">
            <v>1.0999999999999999E-2</v>
          </cell>
        </row>
        <row r="1655">
          <cell r="D1655" t="str">
            <v>Электроснабжение нежилого здания по адресу: г. Липецк, СНТ "Тракторостроитель-1", улица Вишневая, садовый участок № 37</v>
          </cell>
          <cell r="G1655">
            <v>3.3E-3</v>
          </cell>
        </row>
        <row r="1656">
          <cell r="D1656" t="str">
            <v>реконструкция</v>
          </cell>
          <cell r="G1656">
            <v>0</v>
          </cell>
        </row>
        <row r="1657">
          <cell r="D1657" t="str">
            <v>строительство</v>
          </cell>
          <cell r="G1657">
            <v>3.3E-3</v>
          </cell>
        </row>
        <row r="1658">
          <cell r="D1658" t="str">
            <v>Электроснабжение гаражного бокса № 13, на втором этаже, второй ряд; гаражного бокса № 4, во втором ряду первого этажа автостоянки закрытого типа по адресу: г. Липецк, ул. Стаханова, в районе МЖК</v>
          </cell>
          <cell r="G1658">
            <v>8.199999999999999E-3</v>
          </cell>
        </row>
        <row r="1659">
          <cell r="D1659" t="str">
            <v>реконструкция</v>
          </cell>
          <cell r="G1659">
            <v>0</v>
          </cell>
        </row>
        <row r="1660">
          <cell r="D1660" t="str">
            <v>строительство</v>
          </cell>
          <cell r="G1660">
            <v>8.199999999999999E-3</v>
          </cell>
        </row>
        <row r="1661">
          <cell r="D1661" t="str">
            <v>Электроснабжение здания правления по адресу: г. Липецк, СО "Сокол-3", массив I, участки № 186, № 187</v>
          </cell>
          <cell r="G1661">
            <v>3.3999999999999998E-3</v>
          </cell>
        </row>
        <row r="1662">
          <cell r="D1662" t="str">
            <v>реконструкция</v>
          </cell>
          <cell r="G1662">
            <v>0</v>
          </cell>
        </row>
        <row r="1663">
          <cell r="D1663" t="str">
            <v>строительство</v>
          </cell>
          <cell r="G1663">
            <v>3.3999999999999998E-3</v>
          </cell>
        </row>
        <row r="1664">
          <cell r="D1664" t="str">
            <v>Электроснабжение садового домика по адресу: г. Липецк, СНТ "Металлург-2" ОАО НЛМК, участок № 1584</v>
          </cell>
          <cell r="G1664">
            <v>8.3000000000000001E-3</v>
          </cell>
        </row>
        <row r="1665">
          <cell r="D1665" t="str">
            <v>реконструкция</v>
          </cell>
          <cell r="G1665">
            <v>0</v>
          </cell>
        </row>
        <row r="1666">
          <cell r="D1666" t="str">
            <v>строительство</v>
          </cell>
          <cell r="G1666">
            <v>8.3000000000000001E-3</v>
          </cell>
        </row>
        <row r="1667">
          <cell r="D1667" t="str">
            <v>Электроснабжение садового домика по адресу: г. Липецк, СО "Сокол-3", массив I, участок № 447</v>
          </cell>
          <cell r="G1667">
            <v>3.5999999999999999E-3</v>
          </cell>
        </row>
        <row r="1668">
          <cell r="D1668" t="str">
            <v>реконструкция</v>
          </cell>
          <cell r="G1668">
            <v>0</v>
          </cell>
        </row>
        <row r="1669">
          <cell r="D1669" t="str">
            <v>строительство</v>
          </cell>
          <cell r="G1669">
            <v>3.5999999999999999E-3</v>
          </cell>
        </row>
        <row r="1670">
          <cell r="D1670" t="str">
            <v>Электроснабжение садового домика по адресу: г. Липецк, СНТ "Дачный-1", участок № 561</v>
          </cell>
          <cell r="G1670">
            <v>3.7000000000000002E-3</v>
          </cell>
        </row>
        <row r="1671">
          <cell r="D1671" t="str">
            <v>реконструкция</v>
          </cell>
          <cell r="G1671">
            <v>0</v>
          </cell>
        </row>
        <row r="1672">
          <cell r="D1672" t="str">
            <v>строительство</v>
          </cell>
          <cell r="G1672">
            <v>3.7000000000000002E-3</v>
          </cell>
        </row>
        <row r="1673">
          <cell r="D1673" t="str">
            <v>Электроснабжение садового домика по адресу: г. Липецк, СТ "Ударник", массив № 5, участок № 23</v>
          </cell>
          <cell r="G1673">
            <v>3.5000000000000001E-3</v>
          </cell>
        </row>
        <row r="1674">
          <cell r="D1674" t="str">
            <v>реконструкция</v>
          </cell>
          <cell r="G1674">
            <v>0</v>
          </cell>
        </row>
        <row r="1675">
          <cell r="D1675" t="str">
            <v>строительство</v>
          </cell>
          <cell r="G1675">
            <v>3.5000000000000001E-3</v>
          </cell>
        </row>
        <row r="1676">
          <cell r="D1676" t="str">
            <v>Электроснабжение садового домика по адресу: г. Липецк, СНТ "Металлург-2" ОАО НЛМК, участок № 1909</v>
          </cell>
          <cell r="G1676">
            <v>2.3700000000000002E-2</v>
          </cell>
        </row>
        <row r="1677">
          <cell r="D1677" t="str">
            <v>реконструкция</v>
          </cell>
          <cell r="G1677">
            <v>0</v>
          </cell>
        </row>
        <row r="1678">
          <cell r="D1678" t="str">
            <v>строительство</v>
          </cell>
          <cell r="G1678">
            <v>2.3700000000000002E-2</v>
          </cell>
        </row>
        <row r="1679">
          <cell r="D1679" t="str">
            <v>Электроснабжение гаража № 5 по адресу: г. Липецк, 15 микрорайон, строение 34</v>
          </cell>
          <cell r="G1679">
            <v>3.5999999999999999E-3</v>
          </cell>
        </row>
        <row r="1680">
          <cell r="D1680" t="str">
            <v>реконструкция</v>
          </cell>
          <cell r="G1680">
            <v>0</v>
          </cell>
        </row>
        <row r="1681">
          <cell r="D1681" t="str">
            <v>строительство</v>
          </cell>
          <cell r="G1681">
            <v>3.5999999999999999E-3</v>
          </cell>
        </row>
        <row r="1682">
          <cell r="D1682" t="str">
            <v>Электроснабжение садового домика по адресу: г. Липецк, СО "Сокол-3", земельный участок № 539</v>
          </cell>
          <cell r="G1682">
            <v>3.5000000000000001E-3</v>
          </cell>
        </row>
        <row r="1683">
          <cell r="D1683" t="str">
            <v>реконструкция</v>
          </cell>
          <cell r="G1683">
            <v>0</v>
          </cell>
        </row>
        <row r="1684">
          <cell r="D1684" t="str">
            <v>строительство</v>
          </cell>
          <cell r="G1684">
            <v>3.5000000000000001E-3</v>
          </cell>
        </row>
        <row r="1685">
          <cell r="D1685" t="str">
            <v>Электроснабжение садового домика по адресу: г. Липецк, СНТ "Металлург-2" ОАО НЛМК, участок № 125</v>
          </cell>
          <cell r="G1685">
            <v>3.8999999999999998E-3</v>
          </cell>
        </row>
        <row r="1686">
          <cell r="D1686" t="str">
            <v>реконструкция</v>
          </cell>
          <cell r="G1686">
            <v>0</v>
          </cell>
        </row>
        <row r="1687">
          <cell r="D1687" t="str">
            <v>строительство</v>
          </cell>
          <cell r="G1687">
            <v>3.8999999999999998E-3</v>
          </cell>
        </row>
        <row r="1688">
          <cell r="D1688" t="str">
            <v>Электроснабжение садового домика по адресу: г. Липецк, СНТ "Липецкстрой", 5 аллея, участок № 96</v>
          </cell>
          <cell r="G1688">
            <v>5.1300000000000005E-2</v>
          </cell>
        </row>
        <row r="1689">
          <cell r="D1689" t="str">
            <v>реконструкция</v>
          </cell>
          <cell r="G1689">
            <v>0</v>
          </cell>
        </row>
        <row r="1690">
          <cell r="D1690" t="str">
            <v>строительство</v>
          </cell>
          <cell r="G1690">
            <v>5.1300000000000005E-2</v>
          </cell>
        </row>
        <row r="1691">
          <cell r="D1691" t="str">
            <v>Электроснабжение садового домика по адресу: г. Липецк, СО "Сокол-3", земельный участок № 540</v>
          </cell>
          <cell r="G1691">
            <v>3.5000000000000001E-3</v>
          </cell>
        </row>
        <row r="1692">
          <cell r="D1692" t="str">
            <v>реконструкция</v>
          </cell>
          <cell r="G1692">
            <v>0</v>
          </cell>
        </row>
        <row r="1693">
          <cell r="D1693" t="str">
            <v>строительство</v>
          </cell>
          <cell r="G1693">
            <v>3.5000000000000001E-3</v>
          </cell>
        </row>
        <row r="1694">
          <cell r="D1694" t="str">
            <v xml:space="preserve">Электроснабжение садового домика по адресу: г. Липецк, СНП "Спутник", массив II, участок № 71 </v>
          </cell>
          <cell r="G1694">
            <v>7.1999999999999998E-3</v>
          </cell>
        </row>
        <row r="1695">
          <cell r="D1695" t="str">
            <v>реконструкция</v>
          </cell>
          <cell r="G1695">
            <v>0</v>
          </cell>
        </row>
        <row r="1696">
          <cell r="D1696" t="str">
            <v>строительство</v>
          </cell>
          <cell r="G1696">
            <v>7.1999999999999998E-3</v>
          </cell>
        </row>
        <row r="1697">
          <cell r="D1697" t="str">
            <v>Электроснабжение садового домика по адресу: г. Липецк, СНТ "Цементник", участок № 1010</v>
          </cell>
          <cell r="G1697">
            <v>3.3999999999999998E-3</v>
          </cell>
        </row>
        <row r="1698">
          <cell r="D1698" t="str">
            <v>реконструкция</v>
          </cell>
          <cell r="G1698">
            <v>0</v>
          </cell>
        </row>
        <row r="1699">
          <cell r="D1699" t="str">
            <v>строительство</v>
          </cell>
          <cell r="G1699">
            <v>3.3999999999999998E-3</v>
          </cell>
        </row>
        <row r="1700">
          <cell r="D1700" t="str">
            <v>Электроснабжение жилого дома по адресу: почтовый адрес ориентира: г. Липецк, с. Сселки, участок № 2, кадастровый № 48:20:021637:59</v>
          </cell>
          <cell r="G1700">
            <v>5.1200000000000002E-2</v>
          </cell>
        </row>
        <row r="1701">
          <cell r="D1701" t="str">
            <v>реконструкция</v>
          </cell>
          <cell r="G1701">
            <v>0</v>
          </cell>
        </row>
        <row r="1702">
          <cell r="D1702" t="str">
            <v>строительство</v>
          </cell>
          <cell r="G1702">
            <v>5.1200000000000002E-2</v>
          </cell>
        </row>
        <row r="1703">
          <cell r="D1703" t="str">
            <v>Электроснабжение здания (нежилого) по адресу: г. Липецк, СНТ "Цементник", земельный участок № 2308</v>
          </cell>
          <cell r="G1703">
            <v>3.3999999999999998E-3</v>
          </cell>
        </row>
        <row r="1704">
          <cell r="D1704" t="str">
            <v>реконструкция</v>
          </cell>
          <cell r="G1704">
            <v>0</v>
          </cell>
        </row>
        <row r="1705">
          <cell r="D1705" t="str">
            <v>строительство</v>
          </cell>
          <cell r="G1705">
            <v>3.3999999999999998E-3</v>
          </cell>
        </row>
        <row r="1706">
          <cell r="D1706" t="str">
            <v>Электроснабжение садового домика по адресу: г. Липецк, СНТ "ДАЧНЫЙ-1", участок № 592</v>
          </cell>
          <cell r="G1706">
            <v>3.3999999999999998E-3</v>
          </cell>
        </row>
        <row r="1707">
          <cell r="D1707" t="str">
            <v>реконструкция</v>
          </cell>
          <cell r="G1707">
            <v>0</v>
          </cell>
        </row>
        <row r="1708">
          <cell r="D1708" t="str">
            <v>строительство</v>
          </cell>
          <cell r="G1708">
            <v>3.3999999999999998E-3</v>
          </cell>
        </row>
        <row r="1709">
          <cell r="D1709" t="str">
            <v>Электроснабжение помещения по адресу: г. Липецк, ул. Гагарина, дом № 97-99-101, помещение 15</v>
          </cell>
          <cell r="G1709">
            <v>3.5000000000000001E-3</v>
          </cell>
        </row>
        <row r="1710">
          <cell r="D1710" t="str">
            <v>реконструкция</v>
          </cell>
          <cell r="G1710">
            <v>0</v>
          </cell>
        </row>
        <row r="1711">
          <cell r="D1711" t="str">
            <v>строительство</v>
          </cell>
          <cell r="G1711">
            <v>3.5000000000000001E-3</v>
          </cell>
        </row>
        <row r="1712">
          <cell r="D1712" t="str">
            <v>Электроснабжение гаражей по адресу: г. Липецк, ГПКА "Речной", ряд А, гараж № 20-21; ряд 5, гараж № 68; ряд 8, гараж № 119; ряд А, гараж № 22</v>
          </cell>
          <cell r="G1712">
            <v>1.03E-2</v>
          </cell>
        </row>
        <row r="1713">
          <cell r="D1713" t="str">
            <v>реконструкция</v>
          </cell>
          <cell r="G1713">
            <v>0</v>
          </cell>
        </row>
        <row r="1714">
          <cell r="D1714" t="str">
            <v>строительство</v>
          </cell>
          <cell r="G1714">
            <v>1.03E-2</v>
          </cell>
        </row>
        <row r="1715">
          <cell r="D1715" t="str">
            <v>Электроснабжение садового домика по адресу: г. Липецк, СНТ "Горняк", земельный участок № 33</v>
          </cell>
          <cell r="G1715">
            <v>3.5000000000000001E-3</v>
          </cell>
        </row>
        <row r="1716">
          <cell r="D1716" t="str">
            <v>реконструкция</v>
          </cell>
          <cell r="G1716">
            <v>0</v>
          </cell>
        </row>
        <row r="1717">
          <cell r="D1717" t="str">
            <v>строительство</v>
          </cell>
          <cell r="G1717">
            <v>3.5000000000000001E-3</v>
          </cell>
        </row>
        <row r="1718">
          <cell r="D1718" t="str">
            <v>Электроснабжение индивидуального жилого дома по адресу: г. Липецк, с. Сселки, участок № 7, кадастровый № 48:20:0021631:122</v>
          </cell>
          <cell r="G1718">
            <v>3.3999999999999998E-3</v>
          </cell>
        </row>
        <row r="1719">
          <cell r="D1719" t="str">
            <v>реконструкция</v>
          </cell>
          <cell r="G1719">
            <v>0</v>
          </cell>
        </row>
        <row r="1720">
          <cell r="D1720" t="str">
            <v>строительство</v>
          </cell>
          <cell r="G1720">
            <v>3.3999999999999998E-3</v>
          </cell>
        </row>
        <row r="1721">
          <cell r="D1721" t="str">
            <v>Электроснабжение садового домика по адресу: г. Липецк, СНП "Спутник", массив II, участок № 238</v>
          </cell>
          <cell r="G1721">
            <v>6.9000000000000008E-3</v>
          </cell>
        </row>
        <row r="1722">
          <cell r="D1722" t="str">
            <v>реконструкция</v>
          </cell>
          <cell r="G1722">
            <v>0</v>
          </cell>
        </row>
        <row r="1723">
          <cell r="D1723" t="str">
            <v>строительство</v>
          </cell>
          <cell r="G1723">
            <v>6.9000000000000008E-3</v>
          </cell>
        </row>
        <row r="1724">
          <cell r="D1724" t="str">
            <v>Электроснабжение индивидуального жилого дома по адресу: г. Липецк, СНТ "Горняк", участок № 2</v>
          </cell>
          <cell r="G1724">
            <v>3.3999999999999998E-3</v>
          </cell>
        </row>
        <row r="1725">
          <cell r="D1725" t="str">
            <v>реконструкция</v>
          </cell>
          <cell r="G1725">
            <v>0</v>
          </cell>
        </row>
        <row r="1726">
          <cell r="D1726" t="str">
            <v>строительство</v>
          </cell>
          <cell r="G1726">
            <v>3.3999999999999998E-3</v>
          </cell>
        </row>
        <row r="1727">
          <cell r="D1727" t="str">
            <v>Электроснабжение садового домика по адресу: г. Липецк, СНТ "Металлург-2" ОАО НЛМК, участок № 9а</v>
          </cell>
          <cell r="G1727">
            <v>3.5000000000000001E-3</v>
          </cell>
        </row>
        <row r="1728">
          <cell r="D1728" t="str">
            <v>реконструкция</v>
          </cell>
          <cell r="G1728">
            <v>0</v>
          </cell>
        </row>
        <row r="1729">
          <cell r="D1729" t="str">
            <v>строительство</v>
          </cell>
          <cell r="G1729">
            <v>3.5000000000000001E-3</v>
          </cell>
        </row>
        <row r="1730">
          <cell r="D1730" t="str">
            <v>Электроснабжение садовых домиков по адресу: г. Липецк, ПОПиИ "Сокол-1", участок № 570, участок № 579</v>
          </cell>
          <cell r="G1730">
            <v>1.7899999999999999E-2</v>
          </cell>
        </row>
        <row r="1731">
          <cell r="D1731" t="str">
            <v>реконструкция</v>
          </cell>
          <cell r="G1731">
            <v>0</v>
          </cell>
        </row>
        <row r="1732">
          <cell r="D1732" t="str">
            <v>строительство</v>
          </cell>
          <cell r="G1732">
            <v>1.7899999999999999E-2</v>
          </cell>
        </row>
        <row r="1733">
          <cell r="D1733" t="str">
            <v>Электроснабжение садового домика по адресу: г. Липецк, ЛСНТ "Металлург-1", I квартал, участок № 135</v>
          </cell>
          <cell r="G1733">
            <v>3.7000000000000002E-3</v>
          </cell>
        </row>
        <row r="1734">
          <cell r="D1734" t="str">
            <v>реконструкция</v>
          </cell>
          <cell r="G1734">
            <v>0</v>
          </cell>
        </row>
        <row r="1735">
          <cell r="D1735" t="str">
            <v>строительство</v>
          </cell>
          <cell r="G1735">
            <v>3.7000000000000002E-3</v>
          </cell>
        </row>
        <row r="1736">
          <cell r="D1736" t="str">
            <v>Электроснабжение индивидуального жилого дома по адресу: г. Липецк, ул. Земная, дом № 7 а</v>
          </cell>
          <cell r="G1736">
            <v>3.7000000000000002E-3</v>
          </cell>
        </row>
        <row r="1737">
          <cell r="D1737" t="str">
            <v>реконструкция</v>
          </cell>
          <cell r="G1737">
            <v>0</v>
          </cell>
        </row>
        <row r="1738">
          <cell r="D1738" t="str">
            <v>строительство</v>
          </cell>
          <cell r="G1738">
            <v>3.7000000000000002E-3</v>
          </cell>
        </row>
        <row r="1739">
          <cell r="D1739" t="str">
            <v>Электроснабжение садового домика по адресу: г. Липецк, ПСОПиИ "Речное", линия № 2, земельный участок № 221</v>
          </cell>
          <cell r="G1739">
            <v>9.1999999999999998E-3</v>
          </cell>
        </row>
        <row r="1740">
          <cell r="D1740" t="str">
            <v>реконструкция</v>
          </cell>
          <cell r="G1740">
            <v>9.1999999999999998E-3</v>
          </cell>
        </row>
        <row r="1741">
          <cell r="D1741" t="str">
            <v>строительство</v>
          </cell>
          <cell r="G1741">
            <v>0</v>
          </cell>
        </row>
        <row r="1742">
          <cell r="D1742" t="str">
            <v>Электроснабжение садового домика по адресу: г. Липецк, СНТ "Металлург-2" ОАО НЛМК, зем. уч. № 1201</v>
          </cell>
          <cell r="G1742">
            <v>5.5999999999999999E-3</v>
          </cell>
        </row>
        <row r="1743">
          <cell r="D1743" t="str">
            <v>реконструкция</v>
          </cell>
          <cell r="G1743">
            <v>0</v>
          </cell>
        </row>
        <row r="1744">
          <cell r="D1744" t="str">
            <v>строительство</v>
          </cell>
          <cell r="G1744">
            <v>5.5999999999999999E-3</v>
          </cell>
        </row>
        <row r="1745">
          <cell r="D1745" t="str">
            <v>Электроснабжение садового домика по адресу: г. Липецк, СТ "Строитель", участок № 671</v>
          </cell>
          <cell r="G1745">
            <v>6.7000000000000002E-3</v>
          </cell>
        </row>
        <row r="1746">
          <cell r="D1746" t="str">
            <v>реконструкция</v>
          </cell>
          <cell r="G1746">
            <v>0</v>
          </cell>
        </row>
        <row r="1747">
          <cell r="D1747" t="str">
            <v>строительство</v>
          </cell>
          <cell r="G1747">
            <v>6.7000000000000002E-3</v>
          </cell>
        </row>
        <row r="1748">
          <cell r="D1748" t="str">
            <v>Электроснабжение индивидуального жилого дома по адресу: г. Липецк, ПОПиИ "Сокол-1", участок № 829 (ул. Ушинского, д. 32)</v>
          </cell>
          <cell r="G1748">
            <v>4.2000000000000006E-3</v>
          </cell>
        </row>
        <row r="1749">
          <cell r="D1749" t="str">
            <v>реконструкция</v>
          </cell>
          <cell r="G1749">
            <v>0</v>
          </cell>
        </row>
        <row r="1750">
          <cell r="D1750" t="str">
            <v>строительство</v>
          </cell>
          <cell r="G1750">
            <v>4.2000000000000006E-3</v>
          </cell>
        </row>
        <row r="1751">
          <cell r="D1751" t="str">
            <v>Электроснабжение здания по адресу: г. Липецк, ГК "Вираж", ряд 13, гараж 54</v>
          </cell>
          <cell r="G1751">
            <v>6.7000000000000002E-3</v>
          </cell>
        </row>
        <row r="1752">
          <cell r="D1752" t="str">
            <v>реконструкция</v>
          </cell>
          <cell r="G1752">
            <v>0</v>
          </cell>
        </row>
        <row r="1753">
          <cell r="D1753" t="str">
            <v>строительство</v>
          </cell>
          <cell r="G1753">
            <v>6.7000000000000002E-3</v>
          </cell>
        </row>
        <row r="1754">
          <cell r="D1754" t="str">
            <v>Электроснабжение садового домика по адресу: г. Липецк, СНТПиИ "Речное", ул. 2-я Садовая, уч. № 535, ул. Садовая, уч. № 534</v>
          </cell>
          <cell r="G1754">
            <v>2.0300000000000002E-2</v>
          </cell>
        </row>
        <row r="1755">
          <cell r="D1755" t="str">
            <v>реконструкция</v>
          </cell>
          <cell r="G1755">
            <v>0</v>
          </cell>
        </row>
        <row r="1756">
          <cell r="D1756" t="str">
            <v>строительство</v>
          </cell>
          <cell r="G1756">
            <v>2.0300000000000002E-2</v>
          </cell>
        </row>
        <row r="1757">
          <cell r="D1757" t="str">
            <v>Электроснабжение здания (жилого дома) по адресу: г. Липецк, ул. Д. Бедного, д. 15 а</v>
          </cell>
          <cell r="G1757">
            <v>1.0999999999999999E-2</v>
          </cell>
        </row>
        <row r="1758">
          <cell r="D1758" t="str">
            <v>реконструкция</v>
          </cell>
          <cell r="G1758">
            <v>1.0999999999999999E-2</v>
          </cell>
        </row>
        <row r="1759">
          <cell r="D1759" t="str">
            <v>строительство</v>
          </cell>
          <cell r="G1759">
            <v>0</v>
          </cell>
        </row>
        <row r="1760">
          <cell r="D1760" t="str">
            <v>Электроснабжение жилого дома с пристройкой по адресу: г. Липецк, с. Сселки, ул. Ленина, д. 219</v>
          </cell>
          <cell r="G1760">
            <v>1.9399999999999997E-2</v>
          </cell>
        </row>
        <row r="1761">
          <cell r="D1761" t="str">
            <v>реконструкция</v>
          </cell>
          <cell r="G1761">
            <v>0</v>
          </cell>
        </row>
        <row r="1762">
          <cell r="D1762" t="str">
            <v>строительство</v>
          </cell>
          <cell r="G1762">
            <v>1.9399999999999997E-2</v>
          </cell>
        </row>
        <row r="1763">
          <cell r="D1763" t="str">
            <v>Электроснабжение садового домика по адресу: г. Липецк, СНТ "Тракторостроитель-1", ул. Мичуринская, участок № 24</v>
          </cell>
          <cell r="G1763">
            <v>6.7000000000000002E-3</v>
          </cell>
        </row>
        <row r="1764">
          <cell r="D1764" t="str">
            <v>реконструкция</v>
          </cell>
          <cell r="G1764">
            <v>0</v>
          </cell>
        </row>
        <row r="1765">
          <cell r="D1765" t="str">
            <v>строительство</v>
          </cell>
          <cell r="G1765">
            <v>6.7000000000000002E-3</v>
          </cell>
        </row>
        <row r="1766">
          <cell r="D1766" t="str">
            <v>Электроснабжение гаража по адресу: г. Липецк, ГПК № 8, гараж № 18 по ул. 8 Марта</v>
          </cell>
          <cell r="G1766">
            <v>4.7000000000000002E-3</v>
          </cell>
        </row>
        <row r="1767">
          <cell r="D1767" t="str">
            <v>реконструкция</v>
          </cell>
          <cell r="G1767">
            <v>0</v>
          </cell>
        </row>
        <row r="1768">
          <cell r="D1768" t="str">
            <v>строительство</v>
          </cell>
          <cell r="G1768">
            <v>4.7000000000000002E-3</v>
          </cell>
        </row>
        <row r="1769">
          <cell r="D1769" t="str">
            <v>Электроснабжение садового домика по адресу: г. Липецк, СНП "Спутник", массив II, участок № 147</v>
          </cell>
          <cell r="G1769">
            <v>6.7000000000000002E-3</v>
          </cell>
        </row>
        <row r="1770">
          <cell r="D1770" t="str">
            <v>реконструкция</v>
          </cell>
          <cell r="G1770">
            <v>0</v>
          </cell>
        </row>
        <row r="1771">
          <cell r="D1771" t="str">
            <v>строительство</v>
          </cell>
          <cell r="G1771">
            <v>6.7000000000000002E-3</v>
          </cell>
        </row>
        <row r="1772">
          <cell r="D1772" t="str">
            <v>Электроснабжение склада по адресу: г. Липецк, ул. Металлургов, д. 4, территория продовольственной базы</v>
          </cell>
          <cell r="G1772">
            <v>1.4500000000000001E-2</v>
          </cell>
        </row>
        <row r="1773">
          <cell r="D1773" t="str">
            <v>реконструкция</v>
          </cell>
          <cell r="G1773">
            <v>0</v>
          </cell>
        </row>
        <row r="1774">
          <cell r="D1774" t="str">
            <v>строительство</v>
          </cell>
          <cell r="G1774">
            <v>1.4500000000000001E-2</v>
          </cell>
        </row>
        <row r="1775">
          <cell r="D1775" t="str">
            <v>Электроснабжение садового домика по адресу: г. Липецк, СОКП "Сокол-2", земельный участок № 483</v>
          </cell>
          <cell r="G1775">
            <v>6.2600000000000003E-2</v>
          </cell>
        </row>
        <row r="1776">
          <cell r="D1776" t="str">
            <v>реконструкция</v>
          </cell>
          <cell r="G1776">
            <v>0</v>
          </cell>
        </row>
        <row r="1777">
          <cell r="D1777" t="str">
            <v>строительство</v>
          </cell>
          <cell r="G1777">
            <v>6.2600000000000003E-2</v>
          </cell>
        </row>
        <row r="1778">
          <cell r="D1778" t="str">
            <v>Электроснабжение капитального гаража по адресу: г. Липецк, ул. Московская</v>
          </cell>
          <cell r="G1778">
            <v>2.5399999999999999E-2</v>
          </cell>
        </row>
        <row r="1779">
          <cell r="D1779" t="str">
            <v>реконструкция</v>
          </cell>
          <cell r="G1779">
            <v>0</v>
          </cell>
        </row>
        <row r="1780">
          <cell r="D1780" t="str">
            <v>строительство</v>
          </cell>
          <cell r="G1780">
            <v>2.5399999999999999E-2</v>
          </cell>
        </row>
        <row r="1781">
          <cell r="D1781" t="str">
            <v>Электроснабжение индивидуального жилого дома по адресу: г. Липецк, переулок Любимый, д. 7</v>
          </cell>
          <cell r="G1781">
            <v>5.1400000000000001E-2</v>
          </cell>
        </row>
        <row r="1782">
          <cell r="D1782" t="str">
            <v>реконструкция</v>
          </cell>
          <cell r="G1782">
            <v>0</v>
          </cell>
        </row>
        <row r="1783">
          <cell r="D1783" t="str">
            <v>строительство</v>
          </cell>
          <cell r="G1783">
            <v>5.1400000000000001E-2</v>
          </cell>
        </row>
        <row r="1784">
          <cell r="D1784" t="str">
            <v>Электроснабжение автопарковок по адресу: г. Липецк, ул. Неделина, слева от КТ "Спутник"; пр. Победы, в районе д. 19 а</v>
          </cell>
          <cell r="G1784">
            <v>6.3399999999999998E-2</v>
          </cell>
        </row>
        <row r="1785">
          <cell r="D1785" t="str">
            <v>реконструкция</v>
          </cell>
          <cell r="G1785">
            <v>0</v>
          </cell>
        </row>
        <row r="1786">
          <cell r="D1786" t="str">
            <v>строительство</v>
          </cell>
          <cell r="G1786">
            <v>6.3399999999999998E-2</v>
          </cell>
        </row>
        <row r="1787">
          <cell r="D1787" t="str">
            <v>Электроснабжение гаража по адресу: г. Липецк, ГК "Центральный", гараж № 371</v>
          </cell>
          <cell r="G1787">
            <v>4.2500000000000003E-2</v>
          </cell>
        </row>
        <row r="1788">
          <cell r="D1788" t="str">
            <v>реконструкция</v>
          </cell>
          <cell r="G1788">
            <v>0</v>
          </cell>
        </row>
        <row r="1789">
          <cell r="D1789" t="str">
            <v>строительство</v>
          </cell>
          <cell r="G1789">
            <v>4.2500000000000003E-2</v>
          </cell>
        </row>
        <row r="1790">
          <cell r="D1790" t="str">
            <v>Электроснабжение гаража по адресу: г. Липецк, район ОАО "Железобетон-2" по Поперечному проезду, гараж № 26</v>
          </cell>
          <cell r="G1790">
            <v>6.7000000000000002E-3</v>
          </cell>
        </row>
        <row r="1791">
          <cell r="D1791" t="str">
            <v>реконструкция</v>
          </cell>
          <cell r="G1791">
            <v>0</v>
          </cell>
        </row>
        <row r="1792">
          <cell r="D1792" t="str">
            <v>строительство</v>
          </cell>
          <cell r="G1792">
            <v>6.7000000000000002E-3</v>
          </cell>
        </row>
        <row r="1793">
          <cell r="D1793" t="str">
            <v>Электроснабжение садового домика по адресу: г. Липецк, СО "Сокол-3", массив I, участок № 704</v>
          </cell>
          <cell r="G1793">
            <v>1.6899999999999998E-2</v>
          </cell>
        </row>
        <row r="1794">
          <cell r="D1794" t="str">
            <v>реконструкция</v>
          </cell>
          <cell r="G1794">
            <v>0</v>
          </cell>
        </row>
        <row r="1795">
          <cell r="D1795" t="str">
            <v>строительство</v>
          </cell>
          <cell r="G1795">
            <v>1.6899999999999998E-2</v>
          </cell>
        </row>
        <row r="1796">
          <cell r="D1796" t="str">
            <v>Электроснабжение садовых домиков по адресу: г. Липецк, СО "Сокол-3", массив I, участок № 570, участок 577</v>
          </cell>
          <cell r="G1796">
            <v>3.3800000000000004E-2</v>
          </cell>
        </row>
        <row r="1797">
          <cell r="D1797" t="str">
            <v>реконструкция</v>
          </cell>
          <cell r="G1797">
            <v>0</v>
          </cell>
        </row>
        <row r="1798">
          <cell r="D1798" t="str">
            <v>строительство</v>
          </cell>
          <cell r="G1798">
            <v>3.3800000000000004E-2</v>
          </cell>
        </row>
        <row r="1799">
          <cell r="D1799" t="str">
            <v>Электроснабжение автопарковки по адресу: г. Липецк, ул. Гагарина, в районе ТД "Гагаринский"</v>
          </cell>
          <cell r="G1799">
            <v>2.1700000000000001E-2</v>
          </cell>
        </row>
        <row r="1800">
          <cell r="D1800" t="str">
            <v>реконструкция</v>
          </cell>
          <cell r="G1800">
            <v>0</v>
          </cell>
        </row>
        <row r="1801">
          <cell r="D1801" t="str">
            <v>строительство</v>
          </cell>
          <cell r="G1801">
            <v>2.1700000000000001E-2</v>
          </cell>
        </row>
        <row r="1802">
          <cell r="D1802" t="str">
            <v>Электроснабжение гаража по адресу: г. Липецк, ул. Калинина, строение 1, гараж № 9</v>
          </cell>
          <cell r="G1802">
            <v>1.09E-2</v>
          </cell>
        </row>
        <row r="1803">
          <cell r="D1803" t="str">
            <v>реконструкция</v>
          </cell>
          <cell r="G1803">
            <v>1.09E-2</v>
          </cell>
        </row>
        <row r="1804">
          <cell r="D1804" t="str">
            <v>строительство</v>
          </cell>
          <cell r="G1804">
            <v>0</v>
          </cell>
        </row>
        <row r="1805">
          <cell r="D1805" t="str">
            <v>Электроснабжение садового домика по адресу: г. Липецк, СНТ "Цементник", участок № 2372</v>
          </cell>
          <cell r="G1805">
            <v>1.6E-2</v>
          </cell>
        </row>
        <row r="1806">
          <cell r="D1806" t="str">
            <v>реконструкция</v>
          </cell>
          <cell r="G1806">
            <v>1.6E-2</v>
          </cell>
        </row>
        <row r="1807">
          <cell r="D1807" t="str">
            <v>строительство</v>
          </cell>
          <cell r="G1807">
            <v>0</v>
          </cell>
        </row>
        <row r="1808">
          <cell r="D1808" t="str">
            <v>Электроснабжение автопарковки по адресу: г. Липецк, ул. Московская, в районе д. 85, магазин "Пролетарский"</v>
          </cell>
          <cell r="G1808">
            <v>3.44E-2</v>
          </cell>
        </row>
        <row r="1809">
          <cell r="D1809" t="str">
            <v>реконструкция</v>
          </cell>
          <cell r="G1809">
            <v>0</v>
          </cell>
        </row>
        <row r="1810">
          <cell r="D1810" t="str">
            <v>строительство</v>
          </cell>
          <cell r="G1810">
            <v>3.44E-2</v>
          </cell>
        </row>
        <row r="1811">
          <cell r="D1811" t="str">
            <v xml:space="preserve"> Электроснабжение садового домика по адресу: г. Липецк, СНТ "Сокол-2", участок № 427</v>
          </cell>
          <cell r="G1811">
            <v>1.89E-2</v>
          </cell>
        </row>
        <row r="1812">
          <cell r="D1812" t="str">
            <v>реконструкция</v>
          </cell>
          <cell r="G1812">
            <v>0</v>
          </cell>
        </row>
        <row r="1813">
          <cell r="D1813" t="str">
            <v>строительство</v>
          </cell>
          <cell r="G1813">
            <v>1.89E-2</v>
          </cell>
        </row>
        <row r="1814">
          <cell r="D1814" t="str">
            <v>Электроснабжение гаража по адресу: г. Липецк, гараж у дома № 6 по пер. Попова</v>
          </cell>
          <cell r="G1814">
            <v>2.0399999999999998E-2</v>
          </cell>
        </row>
        <row r="1815">
          <cell r="D1815" t="str">
            <v>реконструкция</v>
          </cell>
          <cell r="G1815">
            <v>2.0399999999999998E-2</v>
          </cell>
        </row>
        <row r="1816">
          <cell r="D1816" t="str">
            <v>строительство</v>
          </cell>
          <cell r="G1816">
            <v>0</v>
          </cell>
        </row>
        <row r="1817">
          <cell r="D1817" t="str">
            <v>Электроснабжение индивидуального жилого дома по адресу: г. Липецк, с. Сселки, ул. Комарова, д. 74</v>
          </cell>
          <cell r="G1817">
            <v>4.9000000000000007E-3</v>
          </cell>
        </row>
        <row r="1818">
          <cell r="D1818" t="str">
            <v>реконструкция</v>
          </cell>
          <cell r="G1818">
            <v>0</v>
          </cell>
        </row>
        <row r="1819">
          <cell r="D1819" t="str">
            <v>строительство</v>
          </cell>
          <cell r="G1819">
            <v>4.9000000000000007E-3</v>
          </cell>
        </row>
        <row r="1820">
          <cell r="D1820" t="str">
            <v>Электроснабжение садовых домиков по адресу: г. Липецк, СНТ "имени И.В. Мичурина", улица Тракторозаводская, уч. № 74, 75</v>
          </cell>
          <cell r="G1820">
            <v>8.4599999999999995E-2</v>
          </cell>
        </row>
        <row r="1821">
          <cell r="D1821" t="str">
            <v>реконструкция</v>
          </cell>
          <cell r="G1821">
            <v>8.4599999999999995E-2</v>
          </cell>
        </row>
        <row r="1822">
          <cell r="D1822" t="str">
            <v>строительство</v>
          </cell>
          <cell r="G1822">
            <v>0</v>
          </cell>
        </row>
        <row r="1823">
          <cell r="D1823" t="str">
            <v>Электроснабжение садового домика по адресу: г. Липецк, СНП "Спутник", массив II, уч. № 340</v>
          </cell>
          <cell r="G1823">
            <v>8.0000000000000002E-3</v>
          </cell>
        </row>
        <row r="1824">
          <cell r="D1824" t="str">
            <v>реконструкция</v>
          </cell>
          <cell r="G1824">
            <v>0</v>
          </cell>
        </row>
        <row r="1825">
          <cell r="D1825" t="str">
            <v>строительство</v>
          </cell>
          <cell r="G1825">
            <v>8.0000000000000002E-3</v>
          </cell>
        </row>
        <row r="1826">
          <cell r="D1826" t="str">
            <v>Электроснабжение садового домика по адресу: г. Липецк, СНТ "Горняк-1", участок № 1602</v>
          </cell>
          <cell r="G1826">
            <v>4.5999999999999999E-3</v>
          </cell>
        </row>
        <row r="1827">
          <cell r="D1827" t="str">
            <v>реконструкция</v>
          </cell>
          <cell r="G1827">
            <v>0</v>
          </cell>
        </row>
        <row r="1828">
          <cell r="D1828" t="str">
            <v>строительство</v>
          </cell>
          <cell r="G1828">
            <v>4.5999999999999999E-3</v>
          </cell>
        </row>
        <row r="1829">
          <cell r="D1829" t="str">
            <v>Электроснабжение жилого дома по адресу: г. Липецк, СНТ "имени И.В. Мичурина", ул. Мирная, уч. № 57 и ул. Дальняя, уч. № 29</v>
          </cell>
          <cell r="G1829">
            <v>3.6999999999999998E-2</v>
          </cell>
        </row>
        <row r="1830">
          <cell r="D1830" t="str">
            <v>реконструкция</v>
          </cell>
          <cell r="G1830">
            <v>3.6999999999999998E-2</v>
          </cell>
        </row>
        <row r="1831">
          <cell r="D1831" t="str">
            <v>строительство</v>
          </cell>
          <cell r="G1831">
            <v>0</v>
          </cell>
        </row>
        <row r="1832">
          <cell r="D1832" t="str">
            <v>Электроснабжение садового домика по адресу: г. Липецк, СО "Сокол-2", уч. № 428</v>
          </cell>
          <cell r="G1832">
            <v>1.89E-2</v>
          </cell>
        </row>
        <row r="1833">
          <cell r="D1833" t="str">
            <v>реконструкция</v>
          </cell>
          <cell r="G1833">
            <v>0</v>
          </cell>
        </row>
        <row r="1834">
          <cell r="D1834" t="str">
            <v>строительство</v>
          </cell>
          <cell r="G1834">
            <v>1.89E-2</v>
          </cell>
        </row>
        <row r="1835">
          <cell r="D1835" t="str">
            <v xml:space="preserve">Электроснабжение жилого дома по адресу: г. Липецк, ул. Поселковая, в районе дома № 30 д, с кадастровым № 48:20:0011807:107 </v>
          </cell>
          <cell r="G1835">
            <v>1.6300000000000002E-2</v>
          </cell>
        </row>
        <row r="1836">
          <cell r="D1836" t="str">
            <v>реконструкция</v>
          </cell>
          <cell r="G1836">
            <v>0</v>
          </cell>
        </row>
        <row r="1837">
          <cell r="D1837" t="str">
            <v>строительство</v>
          </cell>
          <cell r="G1837">
            <v>1.6300000000000002E-2</v>
          </cell>
        </row>
        <row r="1838">
          <cell r="D1838" t="str">
            <v>Электроснабжение гаража по адресу: г. Липецк, ГК "Вираж", гараж № 59</v>
          </cell>
          <cell r="G1838">
            <v>1.6300000000000002E-2</v>
          </cell>
        </row>
        <row r="1839">
          <cell r="D1839" t="str">
            <v>реконструкция</v>
          </cell>
          <cell r="G1839">
            <v>0</v>
          </cell>
        </row>
        <row r="1840">
          <cell r="D1840" t="str">
            <v>строительство</v>
          </cell>
          <cell r="G1840">
            <v>1.6300000000000002E-2</v>
          </cell>
        </row>
        <row r="1841">
          <cell r="D1841" t="str">
            <v>Электроснабжение садового домика по адресу: г. Липецк, СНТ "Дачный-3", участок № 489</v>
          </cell>
          <cell r="G1841">
            <v>1.0500000000000001E-2</v>
          </cell>
        </row>
        <row r="1842">
          <cell r="D1842" t="str">
            <v>реконструкция</v>
          </cell>
          <cell r="G1842">
            <v>0</v>
          </cell>
        </row>
        <row r="1843">
          <cell r="D1843" t="str">
            <v>строительство</v>
          </cell>
          <cell r="G1843">
            <v>1.0500000000000001E-2</v>
          </cell>
        </row>
        <row r="1844">
          <cell r="D1844" t="str">
            <v>Электроснабжение садового домика по адресу: г. Липецк, СНТ "Металлург-2" ОАО "НЛМК", линия 7, участок № 273</v>
          </cell>
          <cell r="G1844">
            <v>4.7000000000000002E-3</v>
          </cell>
        </row>
        <row r="1845">
          <cell r="D1845" t="str">
            <v>реконструкция</v>
          </cell>
          <cell r="G1845">
            <v>0</v>
          </cell>
        </row>
        <row r="1846">
          <cell r="D1846" t="str">
            <v>строительство</v>
          </cell>
          <cell r="G1846">
            <v>4.7000000000000002E-3</v>
          </cell>
        </row>
        <row r="1847">
          <cell r="D1847" t="str">
            <v>Электроснабжение садового домика по адресу: г. Липецк, СНТ "Металлург-2" ОАО НЛМК, земельный участок № 2141</v>
          </cell>
          <cell r="G1847">
            <v>4.5999999999999999E-3</v>
          </cell>
        </row>
        <row r="1848">
          <cell r="D1848" t="str">
            <v>реконструкция</v>
          </cell>
          <cell r="G1848">
            <v>0</v>
          </cell>
        </row>
        <row r="1849">
          <cell r="D1849" t="str">
            <v>строительство</v>
          </cell>
          <cell r="G1849">
            <v>4.5999999999999999E-3</v>
          </cell>
        </row>
        <row r="1850">
          <cell r="D1850" t="str">
            <v>Электроснабжение садового домика по адресу: г. Липецк, СТ "Строитель", зем. уч. 1085</v>
          </cell>
          <cell r="G1850">
            <v>1.6500000000000001E-2</v>
          </cell>
        </row>
        <row r="1851">
          <cell r="D1851" t="str">
            <v>реконструкция</v>
          </cell>
          <cell r="G1851">
            <v>0</v>
          </cell>
        </row>
        <row r="1852">
          <cell r="D1852" t="str">
            <v>строительство</v>
          </cell>
          <cell r="G1852">
            <v>1.6500000000000001E-2</v>
          </cell>
        </row>
        <row r="1853">
          <cell r="D1853" t="str">
            <v>Электроснабжение жилых домов по адресу: г. Липецк, ул. Индустриальная</v>
          </cell>
          <cell r="G1853">
            <v>4.7899999999999998E-2</v>
          </cell>
        </row>
        <row r="1854">
          <cell r="D1854" t="str">
            <v>реконструкция</v>
          </cell>
          <cell r="G1854">
            <v>0</v>
          </cell>
        </row>
        <row r="1855">
          <cell r="D1855" t="str">
            <v>строительство</v>
          </cell>
          <cell r="G1855">
            <v>4.7899999999999998E-2</v>
          </cell>
        </row>
        <row r="1856">
          <cell r="D1856" t="str">
            <v>Электроснабжение садового домика по адресу: г. Липецк, СНТ "Металлург-2" ОАО НЛМК, уч. 63а</v>
          </cell>
          <cell r="G1856">
            <v>6.7999999999999996E-3</v>
          </cell>
        </row>
        <row r="1857">
          <cell r="D1857" t="str">
            <v>реконструкция</v>
          </cell>
          <cell r="G1857">
            <v>0</v>
          </cell>
        </row>
        <row r="1858">
          <cell r="D1858" t="str">
            <v>строительство</v>
          </cell>
          <cell r="G1858">
            <v>6.7999999999999996E-3</v>
          </cell>
        </row>
        <row r="1859">
          <cell r="D1859" t="str">
            <v>Электроснабжение садового домика по адресу: г. Липецк, СНТ "Ударник", массив 5, участок № 24</v>
          </cell>
          <cell r="G1859">
            <v>3.3999999999999998E-3</v>
          </cell>
        </row>
        <row r="1860">
          <cell r="D1860" t="str">
            <v>реконструкция</v>
          </cell>
          <cell r="G1860">
            <v>0</v>
          </cell>
        </row>
        <row r="1861">
          <cell r="D1861" t="str">
            <v>строительство</v>
          </cell>
          <cell r="G1861">
            <v>3.3999999999999998E-3</v>
          </cell>
        </row>
        <row r="1862">
          <cell r="D1862" t="str">
            <v>Электроснабжение садового домика по адресу: г. Липецк, СНТ "Металлург-2" ОАО НЛМК, участок № 543</v>
          </cell>
          <cell r="G1862">
            <v>6.4000000000000003E-3</v>
          </cell>
        </row>
        <row r="1863">
          <cell r="D1863" t="str">
            <v>реконструкция</v>
          </cell>
          <cell r="G1863">
            <v>0</v>
          </cell>
        </row>
        <row r="1864">
          <cell r="D1864" t="str">
            <v>строительство</v>
          </cell>
          <cell r="G1864">
            <v>6.4000000000000003E-3</v>
          </cell>
        </row>
        <row r="1865">
          <cell r="D1865" t="str">
            <v>Электроснабжение садового домика по адресу: г. Липецк, СНТ "Металлург-2" ОАО НЛМК, уч. № 586</v>
          </cell>
          <cell r="G1865">
            <v>5.4000000000000003E-3</v>
          </cell>
        </row>
        <row r="1866">
          <cell r="D1866" t="str">
            <v>реконструкция</v>
          </cell>
          <cell r="G1866">
            <v>0</v>
          </cell>
        </row>
        <row r="1867">
          <cell r="D1867" t="str">
            <v>строительство</v>
          </cell>
          <cell r="G1867">
            <v>5.4000000000000003E-3</v>
          </cell>
        </row>
        <row r="1868">
          <cell r="D1868" t="str">
            <v>Электроснабжение кирпичного садового домика по адресу: г. Липецк, ПСОПиИ имени И.В. Мичурина, ул. Коммунальная, зем. уч. № 39</v>
          </cell>
          <cell r="G1868">
            <v>1.9199999999999998E-2</v>
          </cell>
        </row>
        <row r="1869">
          <cell r="D1869" t="str">
            <v>реконструкция</v>
          </cell>
          <cell r="G1869">
            <v>1.9199999999999998E-2</v>
          </cell>
        </row>
        <row r="1870">
          <cell r="D1870" t="str">
            <v>строительство</v>
          </cell>
          <cell r="G1870">
            <v>0</v>
          </cell>
        </row>
        <row r="1871">
          <cell r="D1871" t="str">
            <v>Электроснабжение индивидуального жилого дома по адресу: г. Липецк, с. Сселки, ул. Советская, № 1 (по схеме)</v>
          </cell>
          <cell r="G1871">
            <v>2.0000000000000001E-4</v>
          </cell>
        </row>
        <row r="1872">
          <cell r="D1872" t="str">
            <v>реконструкция</v>
          </cell>
          <cell r="G1872">
            <v>0</v>
          </cell>
        </row>
        <row r="1873">
          <cell r="D1873" t="str">
            <v>строительство</v>
          </cell>
          <cell r="G1873">
            <v>2.0000000000000001E-4</v>
          </cell>
        </row>
        <row r="1874">
          <cell r="D1874" t="str">
            <v>Электроснабжение садового домика по адресу: г. Липецк, СНТ "Дачный-3", земельный участок № 379</v>
          </cell>
          <cell r="G1874">
            <v>6.7000000000000002E-3</v>
          </cell>
        </row>
        <row r="1875">
          <cell r="D1875" t="str">
            <v>реконструкция</v>
          </cell>
          <cell r="G1875">
            <v>0</v>
          </cell>
        </row>
        <row r="1876">
          <cell r="D1876" t="str">
            <v>строительство</v>
          </cell>
          <cell r="G1876">
            <v>6.7000000000000002E-3</v>
          </cell>
        </row>
        <row r="1877">
          <cell r="D1877" t="str">
            <v>Электроснабжение садового домика по адресу: г. Липецк, СНТ "Дачный-1", участок № 615</v>
          </cell>
          <cell r="G1877">
            <v>1.0500000000000001E-2</v>
          </cell>
        </row>
        <row r="1878">
          <cell r="D1878" t="str">
            <v>реконструкция</v>
          </cell>
          <cell r="G1878">
            <v>0</v>
          </cell>
        </row>
        <row r="1879">
          <cell r="D1879" t="str">
            <v>строительство</v>
          </cell>
          <cell r="G1879">
            <v>1.0500000000000001E-2</v>
          </cell>
        </row>
        <row r="1880">
          <cell r="D1880" t="str">
            <v>Электроснабжение садового домика по адресу: г. Липецк, СНТ "Дачный-3", участок № 580</v>
          </cell>
          <cell r="G1880">
            <v>5.4000000000000003E-3</v>
          </cell>
        </row>
        <row r="1881">
          <cell r="D1881" t="str">
            <v>реконструкция</v>
          </cell>
          <cell r="G1881">
            <v>0</v>
          </cell>
        </row>
        <row r="1882">
          <cell r="D1882" t="str">
            <v>строительство</v>
          </cell>
          <cell r="G1882">
            <v>5.4000000000000003E-3</v>
          </cell>
        </row>
        <row r="1883">
          <cell r="D1883" t="str">
            <v>Электроснабжение гаража по адресу: г. Липецк, гараж в районе хоздвора станции переливания крови</v>
          </cell>
          <cell r="G1883">
            <v>4.4999999999999997E-3</v>
          </cell>
        </row>
        <row r="1884">
          <cell r="D1884" t="str">
            <v>реконструкция</v>
          </cell>
          <cell r="G1884">
            <v>0</v>
          </cell>
        </row>
        <row r="1885">
          <cell r="D1885" t="str">
            <v>строительство</v>
          </cell>
          <cell r="G1885">
            <v>4.4999999999999997E-3</v>
          </cell>
        </row>
        <row r="1886">
          <cell r="D1886" t="str">
            <v>Электроснабжение стройплощадки здания магазина по адресу: г. Липецк, ул. Доватора в районе д. № 57 в Октябрьском округе, кадастровый № 48:20:0044902:37</v>
          </cell>
          <cell r="G1886">
            <v>1.12E-2</v>
          </cell>
        </row>
        <row r="1887">
          <cell r="D1887" t="str">
            <v>реконструкция</v>
          </cell>
          <cell r="G1887">
            <v>1.12E-2</v>
          </cell>
        </row>
        <row r="1888">
          <cell r="D1888" t="str">
            <v>строительство</v>
          </cell>
          <cell r="G1888">
            <v>0</v>
          </cell>
        </row>
        <row r="1889">
          <cell r="D1889" t="str">
            <v>Электроснабжение садового домика по адресу: г. Липецк, СНТ "Металлург-2" ОАО НЛМК, участок № 414а</v>
          </cell>
          <cell r="G1889">
            <v>5.5100000000000003E-2</v>
          </cell>
        </row>
        <row r="1890">
          <cell r="D1890" t="str">
            <v>реконструкция</v>
          </cell>
          <cell r="G1890">
            <v>0</v>
          </cell>
        </row>
        <row r="1891">
          <cell r="D1891" t="str">
            <v>строительство</v>
          </cell>
          <cell r="G1891">
            <v>5.5100000000000003E-2</v>
          </cell>
        </row>
        <row r="1892">
          <cell r="D1892" t="str">
            <v>Электроснабжение садового домика по адресу: г. Липецк, ПСОПиИ "Речное", линия № 4, участок № 71</v>
          </cell>
          <cell r="G1892">
            <v>4.24E-2</v>
          </cell>
        </row>
        <row r="1893">
          <cell r="D1893" t="str">
            <v>реконструкция</v>
          </cell>
          <cell r="G1893">
            <v>0</v>
          </cell>
        </row>
        <row r="1894">
          <cell r="D1894" t="str">
            <v>строительство</v>
          </cell>
          <cell r="G1894">
            <v>4.24E-2</v>
          </cell>
        </row>
        <row r="1895">
          <cell r="D1895" t="str">
            <v>Электроснабжение кирпичный садовый домик по адресу: г. Липецк, СНТ "Металлург-1", квартал III, участок № 64</v>
          </cell>
          <cell r="G1895">
            <v>8.0999999999999996E-3</v>
          </cell>
        </row>
        <row r="1896">
          <cell r="D1896" t="str">
            <v>реконструкция</v>
          </cell>
          <cell r="G1896">
            <v>0</v>
          </cell>
        </row>
        <row r="1897">
          <cell r="D1897" t="str">
            <v>строительство</v>
          </cell>
          <cell r="G1897">
            <v>8.0999999999999996E-3</v>
          </cell>
        </row>
        <row r="1898">
          <cell r="D1898" t="str">
            <v>Электроснабжение садового домика по адресу: г. Липецк, СТ "Ударник", 1 массив, участок № 107</v>
          </cell>
          <cell r="G1898">
            <v>9.4000000000000004E-3</v>
          </cell>
        </row>
        <row r="1899">
          <cell r="D1899" t="str">
            <v>реконструкция</v>
          </cell>
          <cell r="G1899">
            <v>0</v>
          </cell>
        </row>
        <row r="1900">
          <cell r="D1900" t="str">
            <v>строительство</v>
          </cell>
          <cell r="G1900">
            <v>9.4000000000000004E-3</v>
          </cell>
        </row>
        <row r="1901">
          <cell r="D1901" t="str">
            <v>Электроснабжение кирпичного гаража № 38 с погребом по адресу: г. Липецк, в районе овощной базы по ул. Инженерная</v>
          </cell>
          <cell r="G1901">
            <v>4.5999999999999999E-3</v>
          </cell>
        </row>
        <row r="1902">
          <cell r="D1902" t="str">
            <v>реконструкция</v>
          </cell>
          <cell r="G1902">
            <v>0</v>
          </cell>
        </row>
        <row r="1903">
          <cell r="D1903" t="str">
            <v>строительство</v>
          </cell>
          <cell r="G1903">
            <v>4.5999999999999999E-3</v>
          </cell>
        </row>
        <row r="1904">
          <cell r="D1904" t="str">
            <v>Электроснабжение автопарковки по адресу: г. Липецк, пр. Победы, в районе д. 21</v>
          </cell>
          <cell r="G1904">
            <v>2.1700000000000001E-2</v>
          </cell>
        </row>
        <row r="1905">
          <cell r="D1905" t="str">
            <v>реконструкция</v>
          </cell>
          <cell r="G1905">
            <v>0</v>
          </cell>
        </row>
        <row r="1906">
          <cell r="D1906" t="str">
            <v>строительство</v>
          </cell>
          <cell r="G1906">
            <v>2.1700000000000001E-2</v>
          </cell>
        </row>
        <row r="1907">
          <cell r="D1907" t="str">
            <v>Электроснабжение автопарковки по адресу: г. Липецк, ул. Катукова, в районе д. 18а</v>
          </cell>
          <cell r="G1907">
            <v>1.9899999999999998E-2</v>
          </cell>
        </row>
        <row r="1908">
          <cell r="D1908" t="str">
            <v>реконструкция</v>
          </cell>
          <cell r="G1908">
            <v>0</v>
          </cell>
        </row>
        <row r="1909">
          <cell r="D1909" t="str">
            <v>строительство</v>
          </cell>
          <cell r="G1909">
            <v>1.9899999999999998E-2</v>
          </cell>
        </row>
        <row r="1910">
          <cell r="D1910" t="str">
            <v>Электроснабжение автопарковки по адресу: г. Липецка, ул. Меркулова, в районе д. 14</v>
          </cell>
          <cell r="G1910">
            <v>2.1700000000000001E-2</v>
          </cell>
        </row>
        <row r="1911">
          <cell r="D1911" t="str">
            <v>реконструкция</v>
          </cell>
          <cell r="G1911">
            <v>0</v>
          </cell>
        </row>
        <row r="1912">
          <cell r="D1912" t="str">
            <v>строительство</v>
          </cell>
          <cell r="G1912">
            <v>2.1700000000000001E-2</v>
          </cell>
        </row>
        <row r="1913">
          <cell r="D1913" t="str">
            <v>Электроснабжение автопарковки по адресу: г. Липецк, пр. Победы, в районе д. 91б</v>
          </cell>
          <cell r="G1913">
            <v>1.4500000000000001E-2</v>
          </cell>
        </row>
        <row r="1914">
          <cell r="D1914" t="str">
            <v>реконструкция</v>
          </cell>
          <cell r="G1914">
            <v>0</v>
          </cell>
        </row>
        <row r="1915">
          <cell r="D1915" t="str">
            <v>строительство</v>
          </cell>
          <cell r="G1915">
            <v>1.4500000000000001E-2</v>
          </cell>
        </row>
        <row r="1916">
          <cell r="D1916" t="str">
            <v>Электроснабжение садового домика по адресу: г. Липецк, СНТ "Металлург-2" ОАО НЛМК, участок № 1960</v>
          </cell>
          <cell r="G1916">
            <v>0.11700000000000001</v>
          </cell>
        </row>
        <row r="1917">
          <cell r="D1917" t="str">
            <v>реконструкция</v>
          </cell>
          <cell r="G1917">
            <v>0.11700000000000001</v>
          </cell>
        </row>
        <row r="1918">
          <cell r="D1918" t="str">
            <v>строительство</v>
          </cell>
          <cell r="G1918">
            <v>0</v>
          </cell>
        </row>
        <row r="1919">
          <cell r="D1919" t="str">
            <v>Электроснабжение автопарковки по адресу: г. Липецк, ул. Стаханова, в районе д. 21</v>
          </cell>
          <cell r="G1919">
            <v>3.2600000000000004E-2</v>
          </cell>
        </row>
        <row r="1920">
          <cell r="D1920" t="str">
            <v>реконструкция</v>
          </cell>
          <cell r="G1920">
            <v>0</v>
          </cell>
        </row>
        <row r="1921">
          <cell r="D1921" t="str">
            <v>строительство</v>
          </cell>
          <cell r="G1921">
            <v>3.2600000000000004E-2</v>
          </cell>
        </row>
        <row r="1922">
          <cell r="D1922" t="str">
            <v>Электроснабжение автопарковки по адресу: г. Липецк, ул. Московская, в районе д. 103, магазин "Перекресток"</v>
          </cell>
          <cell r="G1922">
            <v>3.0800000000000001E-2</v>
          </cell>
        </row>
        <row r="1923">
          <cell r="D1923" t="str">
            <v>реконструкция</v>
          </cell>
          <cell r="G1923">
            <v>0</v>
          </cell>
        </row>
        <row r="1924">
          <cell r="D1924" t="str">
            <v>строительство</v>
          </cell>
          <cell r="G1924">
            <v>3.0800000000000001E-2</v>
          </cell>
        </row>
        <row r="1925">
          <cell r="D1925" t="str">
            <v>Электроснабжение административного здания по адресу: г. Липецк, ул. Фестивальная, дом 13</v>
          </cell>
          <cell r="G1925">
            <v>3.3999999999999998E-3</v>
          </cell>
        </row>
        <row r="1926">
          <cell r="D1926" t="str">
            <v>реконструкция</v>
          </cell>
          <cell r="G1926">
            <v>0</v>
          </cell>
        </row>
        <row r="1927">
          <cell r="D1927" t="str">
            <v>строительство</v>
          </cell>
          <cell r="G1927">
            <v>3.3999999999999998E-3</v>
          </cell>
        </row>
        <row r="1928">
          <cell r="D1928" t="str">
            <v>Электроснабжение садового домика по адресу: г. Липецк, СНТ "Сокол-1", участок № 57</v>
          </cell>
          <cell r="G1928">
            <v>3.5000000000000001E-3</v>
          </cell>
        </row>
        <row r="1929">
          <cell r="D1929" t="str">
            <v>реконструкция</v>
          </cell>
          <cell r="G1929">
            <v>0</v>
          </cell>
        </row>
        <row r="1930">
          <cell r="D1930" t="str">
            <v>строительство</v>
          </cell>
          <cell r="G1930">
            <v>3.5000000000000001E-3</v>
          </cell>
        </row>
        <row r="1931">
          <cell r="D1931" t="str">
            <v>Электроснабжение гаража по адресу: г. Липецк, ул. Механизаторов, строение 3/3</v>
          </cell>
          <cell r="G1931">
            <v>4.0000000000000001E-3</v>
          </cell>
        </row>
        <row r="1932">
          <cell r="D1932" t="str">
            <v>реконструкция</v>
          </cell>
          <cell r="G1932">
            <v>0</v>
          </cell>
        </row>
        <row r="1933">
          <cell r="D1933" t="str">
            <v>строительство</v>
          </cell>
          <cell r="G1933">
            <v>4.0000000000000001E-3</v>
          </cell>
        </row>
        <row r="1934">
          <cell r="D1934" t="str">
            <v>Электроснабжение индивидуального жилого дома по адресу: г. Липецк, СНТ «Горняк», участок № 505</v>
          </cell>
          <cell r="G1934">
            <v>2.9999999999999997E-4</v>
          </cell>
        </row>
        <row r="1935">
          <cell r="D1935" t="str">
            <v>реконструкция</v>
          </cell>
          <cell r="G1935">
            <v>0</v>
          </cell>
        </row>
        <row r="1936">
          <cell r="D1936" t="str">
            <v>строительство</v>
          </cell>
          <cell r="G1936">
            <v>2.9999999999999997E-4</v>
          </cell>
        </row>
        <row r="1937">
          <cell r="D1937" t="str">
            <v>Электроснабжение садового домика по адресу: г. Липецк, СНТ "имени И.В. Мичурина", улица Дальняя, участок № 27</v>
          </cell>
          <cell r="G1937">
            <v>1.5300000000000001E-2</v>
          </cell>
        </row>
        <row r="1938">
          <cell r="D1938" t="str">
            <v>реконструкция</v>
          </cell>
          <cell r="G1938">
            <v>0</v>
          </cell>
        </row>
        <row r="1939">
          <cell r="D1939" t="str">
            <v>строительство</v>
          </cell>
          <cell r="G1939">
            <v>1.5300000000000001E-2</v>
          </cell>
        </row>
        <row r="1940">
          <cell r="D1940" t="str">
            <v>Электроснабжение индивидуального жилого дома по адресу: г. Липецк, ул. Баженова, д. 32 б</v>
          </cell>
          <cell r="G1940">
            <v>3.5000000000000001E-3</v>
          </cell>
        </row>
        <row r="1941">
          <cell r="D1941" t="str">
            <v>реконструкция</v>
          </cell>
          <cell r="G1941">
            <v>0</v>
          </cell>
        </row>
        <row r="1942">
          <cell r="D1942" t="str">
            <v>строительство</v>
          </cell>
          <cell r="G1942">
            <v>3.5000000000000001E-3</v>
          </cell>
        </row>
        <row r="1943">
          <cell r="D1943" t="str">
            <v>Электроснабжение садового домика по адресу: г. Липецк, СТ "Ударник", массив 1, участок № 27</v>
          </cell>
          <cell r="G1943">
            <v>3.8E-3</v>
          </cell>
        </row>
        <row r="1944">
          <cell r="D1944" t="str">
            <v>реконструкция</v>
          </cell>
          <cell r="G1944">
            <v>0</v>
          </cell>
        </row>
        <row r="1945">
          <cell r="D1945" t="str">
            <v>строительство</v>
          </cell>
          <cell r="G1945">
            <v>3.8E-3</v>
          </cell>
        </row>
        <row r="1946">
          <cell r="D1946" t="str">
            <v>Электроснабжение садового домика по адресу: г. Липецк, ПСОПиИ им. И.В.Мичурина, ул. Дальняя, уч. № 41</v>
          </cell>
          <cell r="G1946">
            <v>3.5999999999999999E-3</v>
          </cell>
        </row>
        <row r="1947">
          <cell r="D1947" t="str">
            <v>реконструкция</v>
          </cell>
          <cell r="G1947">
            <v>0</v>
          </cell>
        </row>
        <row r="1948">
          <cell r="D1948" t="str">
            <v>строительство</v>
          </cell>
          <cell r="G1948">
            <v>3.5999999999999999E-3</v>
          </cell>
        </row>
        <row r="1949">
          <cell r="D1949" t="str">
            <v>Электроснабжение садовых домиков по адресу: г. Липецк, СНТ «Тракторостроитель-1», ул. Лесная</v>
          </cell>
          <cell r="G1949">
            <v>6.0499999999999998E-2</v>
          </cell>
        </row>
        <row r="1950">
          <cell r="D1950" t="str">
            <v>реконструкция</v>
          </cell>
          <cell r="G1950">
            <v>0</v>
          </cell>
        </row>
        <row r="1951">
          <cell r="D1951" t="str">
            <v>строительство</v>
          </cell>
          <cell r="G1951">
            <v>6.0499999999999998E-2</v>
          </cell>
        </row>
        <row r="1952">
          <cell r="D1952" t="str">
            <v>Электроснабжение гаража по адресу: г. Липецк, ул. 40 лет Октября, строение 37Б/20</v>
          </cell>
          <cell r="G1952">
            <v>4.3E-3</v>
          </cell>
        </row>
        <row r="1953">
          <cell r="D1953" t="str">
            <v>реконструкция</v>
          </cell>
          <cell r="G1953">
            <v>0</v>
          </cell>
        </row>
        <row r="1954">
          <cell r="D1954" t="str">
            <v>строительство</v>
          </cell>
          <cell r="G1954">
            <v>4.3E-3</v>
          </cell>
        </row>
        <row r="1955">
          <cell r="D1955" t="str">
            <v>Электроснабжение садового домика по адресу: г. Липецк, СНТ "Сокол-2", уч. № 111</v>
          </cell>
          <cell r="G1955">
            <v>3.5000000000000001E-3</v>
          </cell>
        </row>
        <row r="1956">
          <cell r="D1956" t="str">
            <v>реконструкция</v>
          </cell>
          <cell r="G1956">
            <v>0</v>
          </cell>
        </row>
        <row r="1957">
          <cell r="D1957" t="str">
            <v>строительство</v>
          </cell>
          <cell r="G1957">
            <v>3.5000000000000001E-3</v>
          </cell>
        </row>
        <row r="1958">
          <cell r="D1958" t="str">
            <v>Электроснабжение садового домика по адресу: г. Липецк, СТ "Ударник", массив 1, участок № 139</v>
          </cell>
          <cell r="G1958">
            <v>3.5000000000000001E-3</v>
          </cell>
        </row>
        <row r="1959">
          <cell r="D1959" t="str">
            <v>реконструкция</v>
          </cell>
          <cell r="G1959">
            <v>0</v>
          </cell>
        </row>
        <row r="1960">
          <cell r="D1960" t="str">
            <v>строительство</v>
          </cell>
          <cell r="G1960">
            <v>3.5000000000000001E-3</v>
          </cell>
        </row>
        <row r="1961">
          <cell r="D1961" t="str">
            <v>Электроснабжение кирпичного гаража № 365 по адресу: г. Липецк, ГК "Центральный"</v>
          </cell>
          <cell r="G1961">
            <v>1.5300000000000001E-2</v>
          </cell>
        </row>
        <row r="1962">
          <cell r="D1962" t="str">
            <v>реконструкция</v>
          </cell>
          <cell r="G1962">
            <v>0</v>
          </cell>
        </row>
        <row r="1963">
          <cell r="D1963" t="str">
            <v>строительство</v>
          </cell>
          <cell r="G1963">
            <v>1.5300000000000001E-2</v>
          </cell>
        </row>
        <row r="1964">
          <cell r="D1964" t="str">
            <v>Электроснабжение садового домика по адресу: г. Липецк, СНТ "Горняк-1", земельный участок № 1535</v>
          </cell>
          <cell r="G1964">
            <v>3.5999999999999999E-3</v>
          </cell>
        </row>
        <row r="1965">
          <cell r="D1965" t="str">
            <v>реконструкция</v>
          </cell>
          <cell r="G1965">
            <v>0</v>
          </cell>
        </row>
        <row r="1966">
          <cell r="D1966" t="str">
            <v>строительство</v>
          </cell>
          <cell r="G1966">
            <v>3.5999999999999999E-3</v>
          </cell>
        </row>
        <row r="1967">
          <cell r="D1967" t="str">
            <v>Электроснабжение индивидуального капитального гаража по адресу: г. Липецк, ул. Вавилова, строение 119 а</v>
          </cell>
          <cell r="G1967">
            <v>3.3E-3</v>
          </cell>
        </row>
        <row r="1968">
          <cell r="D1968" t="str">
            <v>реконструкция</v>
          </cell>
          <cell r="G1968">
            <v>0</v>
          </cell>
        </row>
        <row r="1969">
          <cell r="D1969" t="str">
            <v>строительство</v>
          </cell>
          <cell r="G1969">
            <v>3.3E-3</v>
          </cell>
        </row>
        <row r="1970">
          <cell r="D1970" t="str">
            <v>Электроснабжение садового домика по адресу: г. Липецк, СТ «Машиностроитель-1», земельный участок № 739</v>
          </cell>
          <cell r="G1970">
            <v>1.0999999999999999E-2</v>
          </cell>
        </row>
        <row r="1971">
          <cell r="D1971" t="str">
            <v>реконструкция</v>
          </cell>
          <cell r="G1971">
            <v>1.0999999999999999E-2</v>
          </cell>
        </row>
        <row r="1972">
          <cell r="D1972" t="str">
            <v>строительство</v>
          </cell>
          <cell r="G1972">
            <v>0</v>
          </cell>
        </row>
        <row r="1973">
          <cell r="D1973" t="str">
            <v>Электроснабжение кирпичного гаража № 111 с погребом по адресу: г. Липецк, ГК № 10</v>
          </cell>
          <cell r="G1973">
            <v>1.6399999999999998E-2</v>
          </cell>
        </row>
        <row r="1974">
          <cell r="D1974" t="str">
            <v>реконструкция</v>
          </cell>
          <cell r="G1974">
            <v>0</v>
          </cell>
        </row>
        <row r="1975">
          <cell r="D1975" t="str">
            <v>строительство</v>
          </cell>
          <cell r="G1975">
            <v>1.6399999999999998E-2</v>
          </cell>
        </row>
        <row r="1976">
          <cell r="D1976" t="str">
            <v>Электроснабжение садового домика по адресу: г. Липецк, СНТ "Металлург-2", уч. 1632</v>
          </cell>
          <cell r="G1976">
            <v>3.5000000000000001E-3</v>
          </cell>
        </row>
        <row r="1977">
          <cell r="D1977" t="str">
            <v>реконструкция</v>
          </cell>
          <cell r="G1977">
            <v>0</v>
          </cell>
        </row>
        <row r="1978">
          <cell r="D1978" t="str">
            <v>строительство</v>
          </cell>
          <cell r="G1978">
            <v>3.5000000000000001E-3</v>
          </cell>
        </row>
        <row r="1979">
          <cell r="D1979" t="str">
            <v>Электроснабжение здания пневмотира-гаража по адресу: г. Липецк, проезд Строителей, д. 10а</v>
          </cell>
          <cell r="G1979">
            <v>3.3E-3</v>
          </cell>
        </row>
        <row r="1980">
          <cell r="D1980" t="str">
            <v>реконструкция</v>
          </cell>
          <cell r="G1980">
            <v>0</v>
          </cell>
        </row>
        <row r="1981">
          <cell r="D1981" t="str">
            <v>строительство</v>
          </cell>
          <cell r="G1981">
            <v>3.3E-3</v>
          </cell>
        </row>
        <row r="1982">
          <cell r="D1982" t="str">
            <v>Электроснабжение садового домика по адресу: г. Липецк, СТ «Строитель», участок № 743</v>
          </cell>
          <cell r="G1982">
            <v>4.3799999999999999E-2</v>
          </cell>
        </row>
        <row r="1983">
          <cell r="D1983" t="str">
            <v>реконструкция</v>
          </cell>
          <cell r="G1983">
            <v>0</v>
          </cell>
        </row>
        <row r="1984">
          <cell r="D1984" t="str">
            <v>строительство</v>
          </cell>
          <cell r="G1984">
            <v>4.3799999999999999E-2</v>
          </cell>
        </row>
        <row r="1985">
          <cell r="D1985" t="str">
            <v>Электроснабжение садового домика по адресу: г. Липецк, СНТ "Весна", участок № 314</v>
          </cell>
          <cell r="G1985">
            <v>3.3E-3</v>
          </cell>
        </row>
        <row r="1986">
          <cell r="D1986" t="str">
            <v>реконструкция</v>
          </cell>
          <cell r="G1986">
            <v>0</v>
          </cell>
        </row>
        <row r="1987">
          <cell r="D1987" t="str">
            <v>строительство</v>
          </cell>
          <cell r="G1987">
            <v>3.3E-3</v>
          </cell>
        </row>
        <row r="1988">
          <cell r="D1988" t="str">
            <v>Электроснабжение жилого дома по адресу: г. Липецк, ул. Озерная, дом № 24 б</v>
          </cell>
          <cell r="G1988">
            <v>4.5899999999999996E-2</v>
          </cell>
        </row>
        <row r="1989">
          <cell r="D1989" t="str">
            <v>реконструкция</v>
          </cell>
          <cell r="G1989">
            <v>0</v>
          </cell>
        </row>
        <row r="1990">
          <cell r="D1990" t="str">
            <v>строительство</v>
          </cell>
          <cell r="G1990">
            <v>4.5899999999999996E-2</v>
          </cell>
        </row>
        <row r="1991">
          <cell r="D1991" t="str">
            <v>Электроснабжение садового домика по адресу: г. Липецк, СНТ "Дачный-1", участок № 572</v>
          </cell>
          <cell r="G1991">
            <v>3.5000000000000001E-3</v>
          </cell>
        </row>
        <row r="1992">
          <cell r="D1992" t="str">
            <v>реконструкция</v>
          </cell>
          <cell r="G1992">
            <v>0</v>
          </cell>
        </row>
        <row r="1993">
          <cell r="D1993" t="str">
            <v>строительство</v>
          </cell>
          <cell r="G1993">
            <v>3.5000000000000001E-3</v>
          </cell>
        </row>
        <row r="1994">
          <cell r="D1994" t="str">
            <v>Электроснабжение садового домика по адресу: г. Липецк, СТ "Ударник", массив 1, участок № 206 а</v>
          </cell>
          <cell r="G1994">
            <v>3.5000000000000001E-3</v>
          </cell>
        </row>
        <row r="1995">
          <cell r="D1995" t="str">
            <v>реконструкция</v>
          </cell>
          <cell r="G1995">
            <v>0</v>
          </cell>
        </row>
        <row r="1996">
          <cell r="D1996" t="str">
            <v>строительство</v>
          </cell>
          <cell r="G1996">
            <v>3.5000000000000001E-3</v>
          </cell>
        </row>
        <row r="1997">
          <cell r="D1997" t="str">
            <v>Электроснабжение здания по адресу: г. Липецк, ул. 40 лет Октября во дворе дома № 11</v>
          </cell>
          <cell r="G1997">
            <v>1.1900000000000001E-2</v>
          </cell>
        </row>
        <row r="1998">
          <cell r="D1998" t="str">
            <v>реконструкция</v>
          </cell>
          <cell r="G1998">
            <v>1.1900000000000001E-2</v>
          </cell>
        </row>
        <row r="1999">
          <cell r="D1999" t="str">
            <v>строительство</v>
          </cell>
          <cell r="G1999">
            <v>0</v>
          </cell>
        </row>
        <row r="2000">
          <cell r="D2000" t="str">
            <v>Электроснабжение здания (нежилого) по адресу: г. Липецк, СНТ "Металлург-2" ОАО НЛМК, участок № 114</v>
          </cell>
          <cell r="G2000">
            <v>3.7000000000000002E-3</v>
          </cell>
        </row>
        <row r="2001">
          <cell r="D2001" t="str">
            <v>реконструкция</v>
          </cell>
          <cell r="G2001">
            <v>0</v>
          </cell>
        </row>
        <row r="2002">
          <cell r="D2002" t="str">
            <v>строительство</v>
          </cell>
          <cell r="G2002">
            <v>3.7000000000000002E-3</v>
          </cell>
        </row>
        <row r="2003">
          <cell r="D2003" t="str">
            <v>Электроснабжение индивидуального жилого дома по адресу: г. Липецк, ул. Жемчужная, в районе д. № 4, кадастровый № 48:20:0021631:145</v>
          </cell>
          <cell r="G2003">
            <v>3.5999999999999999E-3</v>
          </cell>
        </row>
        <row r="2004">
          <cell r="D2004" t="str">
            <v>реконструкция</v>
          </cell>
          <cell r="G2004">
            <v>0</v>
          </cell>
        </row>
        <row r="2005">
          <cell r="D2005" t="str">
            <v>строительство</v>
          </cell>
          <cell r="G2005">
            <v>3.5999999999999999E-3</v>
          </cell>
        </row>
        <row r="2006">
          <cell r="D2006" t="str">
            <v>Электроснабжение садового домика по адресу: г. Липецк, СО "Сокол-3", массив 1, участок № 733</v>
          </cell>
          <cell r="G2006">
            <v>3.3999999999999998E-3</v>
          </cell>
        </row>
        <row r="2007">
          <cell r="D2007" t="str">
            <v>реконструкция</v>
          </cell>
          <cell r="G2007">
            <v>0</v>
          </cell>
        </row>
        <row r="2008">
          <cell r="D2008" t="str">
            <v>строительство</v>
          </cell>
          <cell r="G2008">
            <v>3.3999999999999998E-3</v>
          </cell>
        </row>
        <row r="2009">
          <cell r="D2009" t="str">
            <v>Электроснабжение садового домика по адресу: г. Липецк, СНТ "Металлург-2" ОАО НЛМК, участок № 359</v>
          </cell>
          <cell r="G2009">
            <v>3.3999999999999998E-3</v>
          </cell>
        </row>
        <row r="2010">
          <cell r="D2010" t="str">
            <v>реконструкция</v>
          </cell>
          <cell r="G2010">
            <v>0</v>
          </cell>
        </row>
        <row r="2011">
          <cell r="D2011" t="str">
            <v>строительство</v>
          </cell>
          <cell r="G2011">
            <v>3.3999999999999998E-3</v>
          </cell>
        </row>
        <row r="2012">
          <cell r="D2012" t="str">
            <v>Электроснабжение садового домика по адресу: г. Липецк, СО "Сокол-3", участок № 708</v>
          </cell>
          <cell r="G2012">
            <v>3.5000000000000001E-3</v>
          </cell>
        </row>
        <row r="2013">
          <cell r="D2013" t="str">
            <v>реконструкция</v>
          </cell>
          <cell r="G2013">
            <v>0</v>
          </cell>
        </row>
        <row r="2014">
          <cell r="D2014" t="str">
            <v>строительство</v>
          </cell>
          <cell r="G2014">
            <v>3.5000000000000001E-3</v>
          </cell>
        </row>
        <row r="2015">
          <cell r="D2015" t="str">
            <v>Электроснабжение садового домика по адресу: г. Липецк, НТС "Металлург-3", улица 34-1, участок № 24</v>
          </cell>
          <cell r="G2015">
            <v>4.0000000000000001E-3</v>
          </cell>
        </row>
        <row r="2016">
          <cell r="D2016" t="str">
            <v>реконструкция</v>
          </cell>
          <cell r="G2016">
            <v>0</v>
          </cell>
        </row>
        <row r="2017">
          <cell r="D2017" t="str">
            <v>строительство</v>
          </cell>
          <cell r="G2017">
            <v>4.0000000000000001E-3</v>
          </cell>
        </row>
        <row r="2018">
          <cell r="D2018" t="str">
            <v xml:space="preserve">Электроснабжение садового домика по адресу: г. Липецк, ПОПиИ "Сокол-1", участок № 4 </v>
          </cell>
          <cell r="G2018">
            <v>4.4000000000000003E-3</v>
          </cell>
        </row>
        <row r="2019">
          <cell r="D2019" t="str">
            <v>реконструкция</v>
          </cell>
          <cell r="G2019">
            <v>0</v>
          </cell>
        </row>
        <row r="2020">
          <cell r="D2020" t="str">
            <v>строительство</v>
          </cell>
          <cell r="G2020">
            <v>4.4000000000000003E-3</v>
          </cell>
        </row>
        <row r="2021">
          <cell r="D2021" t="str">
            <v>Электроснабжение садового домика по адресу: г. Липецк, СНТ "Горняк", участок № 34</v>
          </cell>
          <cell r="G2021">
            <v>3.3999999999999998E-3</v>
          </cell>
        </row>
        <row r="2022">
          <cell r="D2022" t="str">
            <v>реконструкция</v>
          </cell>
          <cell r="G2022">
            <v>0</v>
          </cell>
        </row>
        <row r="2023">
          <cell r="D2023" t="str">
            <v>строительство</v>
          </cell>
          <cell r="G2023">
            <v>3.3999999999999998E-3</v>
          </cell>
        </row>
        <row r="2024">
          <cell r="D2024" t="str">
            <v>Электроснабжение садовых домиков по адресу: г. Липецк, СНТ «Сокол-2», участок № 193, № 209</v>
          </cell>
          <cell r="G2024">
            <v>0.59650000000000003</v>
          </cell>
        </row>
        <row r="2025">
          <cell r="D2025" t="str">
            <v>реконструкция</v>
          </cell>
          <cell r="G2025">
            <v>0.59650000000000003</v>
          </cell>
        </row>
        <row r="2026">
          <cell r="D2026" t="str">
            <v>строительство</v>
          </cell>
          <cell r="G2026">
            <v>0</v>
          </cell>
        </row>
        <row r="2027">
          <cell r="D2027" t="str">
            <v>Электроснабжение садового домика по адресу: г. Липецк, ЛСНТ "Металлург-1", I квартал, участок № 4</v>
          </cell>
          <cell r="G2027">
            <v>3.5000000000000001E-3</v>
          </cell>
        </row>
        <row r="2028">
          <cell r="D2028" t="str">
            <v>реконструкция</v>
          </cell>
          <cell r="G2028">
            <v>0</v>
          </cell>
        </row>
        <row r="2029">
          <cell r="D2029" t="str">
            <v>строительство</v>
          </cell>
          <cell r="G2029">
            <v>3.5000000000000001E-3</v>
          </cell>
        </row>
        <row r="2030">
          <cell r="D2030" t="str">
            <v>Электроснабжение индивидуального жилого дома по адресу: г. Липецк, участок № 30 жилого квартала в районе автодороги обход города Липецка и ул. Ангарская в Советском округе, кадастровый № 48:20:0010501:1850</v>
          </cell>
          <cell r="G2030">
            <v>3.3999999999999998E-3</v>
          </cell>
        </row>
        <row r="2031">
          <cell r="D2031" t="str">
            <v>реконструкция</v>
          </cell>
          <cell r="G2031">
            <v>0</v>
          </cell>
        </row>
        <row r="2032">
          <cell r="D2032" t="str">
            <v>строительство</v>
          </cell>
          <cell r="G2032">
            <v>3.3999999999999998E-3</v>
          </cell>
        </row>
        <row r="2033">
          <cell r="D2033" t="str">
            <v>Электроснабжение индивидуального жилого дома по адресу: г. Липецк, в районе пер. Ландшафтного (№ 11 по схеме)</v>
          </cell>
          <cell r="G2033">
            <v>1.5599999999999999E-2</v>
          </cell>
        </row>
        <row r="2034">
          <cell r="D2034" t="str">
            <v>реконструкция</v>
          </cell>
          <cell r="G2034">
            <v>0</v>
          </cell>
        </row>
        <row r="2035">
          <cell r="D2035" t="str">
            <v>строительство</v>
          </cell>
          <cell r="G2035">
            <v>1.5599999999999999E-2</v>
          </cell>
        </row>
        <row r="2036">
          <cell r="D2036" t="str">
            <v>Электроснабжение садового домика по адресу: г. Липецк, СНП "Спутник", II массив, участок № 187</v>
          </cell>
          <cell r="G2036">
            <v>3.3999999999999998E-3</v>
          </cell>
        </row>
        <row r="2037">
          <cell r="D2037" t="str">
            <v>реконструкция</v>
          </cell>
          <cell r="G2037">
            <v>0</v>
          </cell>
        </row>
        <row r="2038">
          <cell r="D2038" t="str">
            <v>строительство</v>
          </cell>
          <cell r="G2038">
            <v>3.3999999999999998E-3</v>
          </cell>
        </row>
        <row r="2039">
          <cell r="D2039" t="str">
            <v>Электроснабжение индивидуального жилого дома по адресу: г. Липецк, в районе ул. Брюллова (кадастровый № 48:20:0027349:1166)</v>
          </cell>
          <cell r="G2039">
            <v>3.5000000000000001E-3</v>
          </cell>
        </row>
        <row r="2040">
          <cell r="D2040" t="str">
            <v>реконструкция</v>
          </cell>
          <cell r="G2040">
            <v>0</v>
          </cell>
        </row>
        <row r="2041">
          <cell r="D2041" t="str">
            <v>строительство</v>
          </cell>
          <cell r="G2041">
            <v>3.5000000000000001E-3</v>
          </cell>
        </row>
        <row r="2042">
          <cell r="D2042" t="str">
            <v>Электроснабжение садового домика по адресу: г. Липецк, СНТ "Дачный-3", участок № 435</v>
          </cell>
          <cell r="G2042">
            <v>3.3999999999999998E-3</v>
          </cell>
        </row>
        <row r="2043">
          <cell r="D2043" t="str">
            <v>реконструкция</v>
          </cell>
          <cell r="G2043">
            <v>0</v>
          </cell>
        </row>
        <row r="2044">
          <cell r="D2044" t="str">
            <v>строительство</v>
          </cell>
          <cell r="G2044">
            <v>3.3999999999999998E-3</v>
          </cell>
        </row>
        <row r="2045">
          <cell r="D2045" t="str">
            <v>Электроснабжение садового домика по адресу: г. Липецк, СНП "Спутник", массив I, участок № 324</v>
          </cell>
          <cell r="G2045">
            <v>6.9000000000000008E-3</v>
          </cell>
        </row>
        <row r="2046">
          <cell r="D2046" t="str">
            <v>реконструкция</v>
          </cell>
          <cell r="G2046">
            <v>0</v>
          </cell>
        </row>
        <row r="2047">
          <cell r="D2047" t="str">
            <v>строительство</v>
          </cell>
          <cell r="G2047">
            <v>6.9000000000000008E-3</v>
          </cell>
        </row>
        <row r="2048">
          <cell r="D2048" t="str">
            <v>Электроснабжение садового домика по адресу: г. Липецк, СНТ "Пусковые двигатели", земельный участок № 632</v>
          </cell>
          <cell r="G2048">
            <v>3.5000000000000001E-3</v>
          </cell>
        </row>
        <row r="2049">
          <cell r="D2049" t="str">
            <v>реконструкция</v>
          </cell>
          <cell r="G2049">
            <v>0</v>
          </cell>
        </row>
        <row r="2050">
          <cell r="D2050" t="str">
            <v>строительство</v>
          </cell>
          <cell r="G2050">
            <v>3.5000000000000001E-3</v>
          </cell>
        </row>
        <row r="2051">
          <cell r="D2051" t="str">
            <v>Электроснабжение садового домика по адресу: г. Липецк, СОКП "Сокол-2", земельный участок № 40</v>
          </cell>
          <cell r="G2051">
            <v>5.5999999999999999E-3</v>
          </cell>
        </row>
        <row r="2052">
          <cell r="D2052" t="str">
            <v>реконструкция</v>
          </cell>
          <cell r="G2052">
            <v>0</v>
          </cell>
        </row>
        <row r="2053">
          <cell r="D2053" t="str">
            <v>строительство</v>
          </cell>
          <cell r="G2053">
            <v>5.5999999999999999E-3</v>
          </cell>
        </row>
        <row r="2054">
          <cell r="D2054" t="str">
            <v>Электроснабжение кирпичного садового домика по адресу: г. Липецк, СО "Сокол-3", участок № 340</v>
          </cell>
          <cell r="G2054">
            <v>3.5999999999999999E-3</v>
          </cell>
        </row>
        <row r="2055">
          <cell r="D2055" t="str">
            <v>реконструкция</v>
          </cell>
          <cell r="G2055">
            <v>0</v>
          </cell>
        </row>
        <row r="2056">
          <cell r="D2056" t="str">
            <v>строительство</v>
          </cell>
          <cell r="G2056">
            <v>3.5999999999999999E-3</v>
          </cell>
        </row>
        <row r="2057">
          <cell r="D2057" t="str">
            <v>Электроснабжение 1/2 доли жилого дома (часть 1) по адресу: г. Липецк, ул. Буденного, д. 165</v>
          </cell>
          <cell r="G2057">
            <v>4.0000000000000001E-3</v>
          </cell>
        </row>
        <row r="2058">
          <cell r="D2058" t="str">
            <v>реконструкция</v>
          </cell>
          <cell r="G2058">
            <v>0</v>
          </cell>
        </row>
        <row r="2059">
          <cell r="D2059" t="str">
            <v>строительство</v>
          </cell>
          <cell r="G2059">
            <v>4.0000000000000001E-3</v>
          </cell>
        </row>
        <row r="2060">
          <cell r="D2060" t="str">
            <v>Электроснабжение садового домика по адресу: г. Липецк, СО "Сокол-3", участок № 618, I массив</v>
          </cell>
          <cell r="G2060">
            <v>3.5999999999999999E-3</v>
          </cell>
        </row>
        <row r="2061">
          <cell r="D2061" t="str">
            <v>реконструкция</v>
          </cell>
          <cell r="G2061">
            <v>0</v>
          </cell>
        </row>
        <row r="2062">
          <cell r="D2062" t="str">
            <v>строительство</v>
          </cell>
          <cell r="G2062">
            <v>3.5999999999999999E-3</v>
          </cell>
        </row>
        <row r="2063">
          <cell r="D2063" t="str">
            <v>Электроснабжение садового домика по адресу: г. Липецк, СТ "Ударник", 1 массив, участок № 36</v>
          </cell>
          <cell r="G2063">
            <v>1.9E-3</v>
          </cell>
        </row>
        <row r="2064">
          <cell r="D2064" t="str">
            <v>реконструкция</v>
          </cell>
          <cell r="G2064">
            <v>0</v>
          </cell>
        </row>
        <row r="2065">
          <cell r="D2065" t="str">
            <v>строительство</v>
          </cell>
          <cell r="G2065">
            <v>1.9E-3</v>
          </cell>
        </row>
        <row r="2066">
          <cell r="D2066" t="str">
            <v>Электроснабжение индивидуального жилого дома по адресу: г. Липецк, участок № 39 жилого квартала в районе автодороги обход города Липецка и ул. Ангарская в Советском округе, кадастровый № 48</v>
          </cell>
          <cell r="G2066">
            <v>2.3E-3</v>
          </cell>
        </row>
        <row r="2067">
          <cell r="D2067" t="str">
            <v>реконструкция</v>
          </cell>
          <cell r="G2067">
            <v>0</v>
          </cell>
        </row>
        <row r="2068">
          <cell r="D2068" t="str">
            <v>строительство</v>
          </cell>
          <cell r="G2068">
            <v>2.3E-3</v>
          </cell>
        </row>
        <row r="2069">
          <cell r="D2069" t="str">
            <v xml:space="preserve">Электроснабжение садового домика по почтовому адресу ориентира: г. Липецк, СТ "Строитель", линия № 6, участок № 1111 </v>
          </cell>
          <cell r="G2069">
            <v>2.5999999999999999E-3</v>
          </cell>
        </row>
        <row r="2070">
          <cell r="D2070" t="str">
            <v>реконструкция</v>
          </cell>
          <cell r="G2070">
            <v>0</v>
          </cell>
        </row>
        <row r="2071">
          <cell r="D2071" t="str">
            <v>строительство</v>
          </cell>
          <cell r="G2071">
            <v>2.5999999999999999E-3</v>
          </cell>
        </row>
        <row r="2072">
          <cell r="D2072" t="str">
            <v>Электроснабжение кирпичного садового домика с мансардой по адресу: г. Липецк, СТ "Строитель", земельный участок № 399 по линии № 6 на участке № 1</v>
          </cell>
          <cell r="G2072">
            <v>2.3E-3</v>
          </cell>
        </row>
        <row r="2073">
          <cell r="D2073" t="str">
            <v>реконструкция</v>
          </cell>
          <cell r="G2073">
            <v>0</v>
          </cell>
        </row>
        <row r="2074">
          <cell r="D2074" t="str">
            <v>строительство</v>
          </cell>
          <cell r="G2074">
            <v>2.3E-3</v>
          </cell>
        </row>
        <row r="2075">
          <cell r="D2075" t="str">
            <v>Электроснабжение садового домика по адресу: г. Липецк, СНТ "Сокол-2", участок № 210</v>
          </cell>
          <cell r="G2075">
            <v>2.3E-3</v>
          </cell>
        </row>
        <row r="2076">
          <cell r="D2076" t="str">
            <v>реконструкция</v>
          </cell>
          <cell r="G2076">
            <v>0</v>
          </cell>
        </row>
        <row r="2077">
          <cell r="D2077" t="str">
            <v>строительство</v>
          </cell>
          <cell r="G2077">
            <v>2.3E-3</v>
          </cell>
        </row>
        <row r="2078">
          <cell r="D2078" t="str">
            <v>Электроснабжение садовых домиков по адресу: г. Липецк, СНТ «Монтажник»</v>
          </cell>
          <cell r="G2078">
            <v>5.0999999999999995E-3</v>
          </cell>
        </row>
        <row r="2079">
          <cell r="D2079" t="str">
            <v>реконструкция</v>
          </cell>
          <cell r="G2079">
            <v>0</v>
          </cell>
        </row>
        <row r="2080">
          <cell r="D2080" t="str">
            <v>строительство</v>
          </cell>
          <cell r="G2080">
            <v>5.0999999999999995E-3</v>
          </cell>
        </row>
        <row r="2081">
          <cell r="D2081" t="str">
            <v>Электроснабжение садового домика по адресу: г. Липецк, СО "Сокол-3", земельный участок № 15</v>
          </cell>
          <cell r="G2081">
            <v>2.0000000000000001E-4</v>
          </cell>
        </row>
        <row r="2082">
          <cell r="D2082" t="str">
            <v>реконструкция</v>
          </cell>
          <cell r="G2082">
            <v>0</v>
          </cell>
        </row>
        <row r="2083">
          <cell r="D2083" t="str">
            <v>строительство</v>
          </cell>
          <cell r="G2083">
            <v>2.0000000000000001E-4</v>
          </cell>
        </row>
        <row r="2084">
          <cell r="D2084" t="str">
            <v>Электроснабжение индивидуального жилого дома усадебного типа и хозяйственные постройки по адресу: г. Липецк, ул. им. Кирова, в районе д. № 21, участок № 5 (по схеме), кадастровый № 48:20:0045813:94</v>
          </cell>
          <cell r="G2084">
            <v>4.0000000000000002E-4</v>
          </cell>
        </row>
        <row r="2085">
          <cell r="D2085" t="str">
            <v>реконструкция</v>
          </cell>
          <cell r="G2085">
            <v>0</v>
          </cell>
        </row>
        <row r="2086">
          <cell r="D2086" t="str">
            <v>строительство</v>
          </cell>
          <cell r="G2086">
            <v>4.0000000000000002E-4</v>
          </cell>
        </row>
        <row r="2087">
          <cell r="D2087" t="str">
            <v>Электроснабжение кирпичного садового домика по адресу: г. Липецк, ПСОПиИ имени И.В. Мичурина, ул. 2 Радиаторная, земельный участок № 5</v>
          </cell>
          <cell r="G2087">
            <v>5.0999999999999995E-3</v>
          </cell>
        </row>
        <row r="2088">
          <cell r="D2088" t="str">
            <v>реконструкция</v>
          </cell>
          <cell r="G2088">
            <v>0</v>
          </cell>
        </row>
        <row r="2089">
          <cell r="D2089" t="str">
            <v>строительство</v>
          </cell>
          <cell r="G2089">
            <v>5.0999999999999995E-3</v>
          </cell>
        </row>
        <row r="2090">
          <cell r="D2090" t="str">
            <v>Электроснабжение кирпичного садового домика по адресу: г. Липецк, СТРиС "Цементник", участок № 862</v>
          </cell>
          <cell r="G2090">
            <v>2.0000000000000001E-4</v>
          </cell>
        </row>
        <row r="2091">
          <cell r="D2091" t="str">
            <v>реконструкция</v>
          </cell>
          <cell r="G2091">
            <v>0</v>
          </cell>
        </row>
        <row r="2092">
          <cell r="D2092" t="str">
            <v>строительство</v>
          </cell>
          <cell r="G2092">
            <v>2.0000000000000001E-4</v>
          </cell>
        </row>
        <row r="2093">
          <cell r="D2093" t="str">
            <v>Электроснабжение садового домика по адресу: г. Липецк, СНТ "Цементник", зем. уч. № 1285</v>
          </cell>
          <cell r="G2093">
            <v>1E-4</v>
          </cell>
        </row>
        <row r="2094">
          <cell r="D2094" t="str">
            <v>реконструкция</v>
          </cell>
          <cell r="G2094">
            <v>0</v>
          </cell>
        </row>
        <row r="2095">
          <cell r="D2095" t="str">
            <v>строительство</v>
          </cell>
          <cell r="G2095">
            <v>1E-4</v>
          </cell>
        </row>
        <row r="2096">
          <cell r="D2096" t="str">
            <v>Электроснабжение здания (нежилого) по адресу: г. Липецк, СНТ "Дачный-3", участок № 339</v>
          </cell>
          <cell r="G2096">
            <v>1.21E-2</v>
          </cell>
        </row>
        <row r="2097">
          <cell r="D2097" t="str">
            <v>реконструкция</v>
          </cell>
          <cell r="G2097">
            <v>0</v>
          </cell>
        </row>
        <row r="2098">
          <cell r="D2098" t="str">
            <v>строительство</v>
          </cell>
          <cell r="G2098">
            <v>1.21E-2</v>
          </cell>
        </row>
        <row r="2099">
          <cell r="D2099" t="str">
            <v>Электроснабжение садового домика по адресу: г. Липецк, потребительское общество пенсионеров и инвалидов "Сокол-1", зем. уч. № 421</v>
          </cell>
          <cell r="G2099">
            <v>1.0199999999999999E-2</v>
          </cell>
        </row>
        <row r="2100">
          <cell r="D2100" t="str">
            <v>реконструкция</v>
          </cell>
          <cell r="G2100">
            <v>1.0199999999999999E-2</v>
          </cell>
        </row>
        <row r="2101">
          <cell r="D2101" t="str">
            <v>строительство</v>
          </cell>
          <cell r="G2101">
            <v>0</v>
          </cell>
        </row>
        <row r="2102">
          <cell r="D2102" t="str">
            <v>Электроснабжение садового домика по адресу: г. Липецк, СНТ "Металлург-2" ОАО НЛМК, участок № 1503</v>
          </cell>
          <cell r="G2102">
            <v>5.79E-2</v>
          </cell>
        </row>
        <row r="2103">
          <cell r="D2103" t="str">
            <v>реконструкция</v>
          </cell>
          <cell r="G2103">
            <v>0</v>
          </cell>
        </row>
        <row r="2104">
          <cell r="D2104" t="str">
            <v>строительство</v>
          </cell>
          <cell r="G2104">
            <v>5.79E-2</v>
          </cell>
        </row>
        <row r="2105">
          <cell r="D2105" t="str">
            <v>Электроснабжение садового домика по адресу: г. Липецк, СНП "Спутник", массив II, участок № 7</v>
          </cell>
          <cell r="G2105">
            <v>5.0999999999999995E-3</v>
          </cell>
        </row>
        <row r="2106">
          <cell r="D2106" t="str">
            <v>реконструкция</v>
          </cell>
          <cell r="G2106">
            <v>5.0999999999999995E-3</v>
          </cell>
        </row>
        <row r="2107">
          <cell r="D2107" t="str">
            <v>строительство</v>
          </cell>
          <cell r="G2107">
            <v>0</v>
          </cell>
        </row>
        <row r="2108">
          <cell r="D2108" t="str">
            <v>Электроснабжение садового домика по адресу: г. Липецк, СНТ "Машиностроитель", участок № 842</v>
          </cell>
          <cell r="G2108">
            <v>1.1000000000000001E-3</v>
          </cell>
        </row>
        <row r="2109">
          <cell r="D2109" t="str">
            <v>реконструкция</v>
          </cell>
          <cell r="G2109">
            <v>1.1000000000000001E-3</v>
          </cell>
        </row>
        <row r="2110">
          <cell r="D2110" t="str">
            <v>строительство</v>
          </cell>
          <cell r="G2110">
            <v>0</v>
          </cell>
        </row>
        <row r="2111">
          <cell r="D2111" t="str">
            <v>Электроснабжение садовых домиков по адресу: г. Липецк, СНТ "Монтажник", уч. № 523, № 524, № 526</v>
          </cell>
          <cell r="G2111">
            <v>5.0999999999999995E-3</v>
          </cell>
        </row>
        <row r="2112">
          <cell r="D2112" t="str">
            <v>реконструкция</v>
          </cell>
          <cell r="G2112">
            <v>5.0999999999999995E-3</v>
          </cell>
        </row>
        <row r="2113">
          <cell r="D2113" t="str">
            <v>строительство</v>
          </cell>
          <cell r="G2113">
            <v>0</v>
          </cell>
        </row>
        <row r="2114">
          <cell r="D2114" t="str">
            <v>Электроснабжение садового домика по адресу: г. Липецк, СТРиС "Цементник", участок № 2026</v>
          </cell>
          <cell r="G2114">
            <v>5.0999999999999995E-3</v>
          </cell>
        </row>
        <row r="2115">
          <cell r="D2115" t="str">
            <v>реконструкция</v>
          </cell>
          <cell r="G2115">
            <v>5.0999999999999995E-3</v>
          </cell>
        </row>
        <row r="2116">
          <cell r="D2116" t="str">
            <v>строительство</v>
          </cell>
          <cell r="G2116">
            <v>0</v>
          </cell>
        </row>
        <row r="2117">
          <cell r="D2117" t="str">
            <v>Электроснабжение садового домика по адресу: г. Липецк, СО "Сокол-3", участок № 605</v>
          </cell>
          <cell r="G2117">
            <v>5.3E-3</v>
          </cell>
        </row>
        <row r="2118">
          <cell r="D2118" t="str">
            <v>реконструкция</v>
          </cell>
          <cell r="G2118">
            <v>5.3E-3</v>
          </cell>
        </row>
        <row r="2119">
          <cell r="D2119" t="str">
            <v>строительство</v>
          </cell>
          <cell r="G2119">
            <v>0</v>
          </cell>
        </row>
        <row r="2120">
          <cell r="D2120" t="str">
            <v>Электроснабжение садового домика по адресу: г. Липецк, СО "Сокол-3", участок № 658</v>
          </cell>
          <cell r="G2120">
            <v>5.0999999999999995E-3</v>
          </cell>
        </row>
        <row r="2121">
          <cell r="D2121" t="str">
            <v>реконструкция</v>
          </cell>
          <cell r="G2121">
            <v>5.0999999999999995E-3</v>
          </cell>
        </row>
        <row r="2122">
          <cell r="D2122" t="str">
            <v>строительство</v>
          </cell>
          <cell r="G2122">
            <v>0</v>
          </cell>
        </row>
        <row r="2123">
          <cell r="D2123" t="str">
            <v>Электроснабжение садового домика по адресу: г. Липецк, СНТ "Дачный-3", участок № 333</v>
          </cell>
          <cell r="G2123">
            <v>5.0999999999999995E-3</v>
          </cell>
        </row>
        <row r="2124">
          <cell r="D2124" t="str">
            <v>реконструкция</v>
          </cell>
          <cell r="G2124">
            <v>5.0999999999999995E-3</v>
          </cell>
        </row>
        <row r="2125">
          <cell r="D2125" t="str">
            <v>строительство</v>
          </cell>
          <cell r="G2125">
            <v>0</v>
          </cell>
        </row>
        <row r="2126">
          <cell r="D2126" t="str">
            <v>Электроснабжение садового домика по адресу: г. Липецк, СНТ "Дачный-3", участок № 484</v>
          </cell>
          <cell r="G2126">
            <v>5.0999999999999995E-3</v>
          </cell>
        </row>
        <row r="2127">
          <cell r="D2127" t="str">
            <v>реконструкция</v>
          </cell>
          <cell r="G2127">
            <v>0</v>
          </cell>
        </row>
        <row r="2128">
          <cell r="D2128" t="str">
            <v>строительство</v>
          </cell>
          <cell r="G2128">
            <v>5.0999999999999995E-3</v>
          </cell>
        </row>
        <row r="2129">
          <cell r="D2129" t="str">
            <v>Электроснабжение садового домика по адресу: г. Липецк, СНТ "Сокол-2", уч. № 66, № 31, № 32</v>
          </cell>
          <cell r="G2129">
            <v>8.6999999999999994E-3</v>
          </cell>
        </row>
        <row r="2130">
          <cell r="D2130" t="str">
            <v>реконструкция</v>
          </cell>
          <cell r="G2130">
            <v>8.6999999999999994E-3</v>
          </cell>
        </row>
        <row r="2131">
          <cell r="D2131" t="str">
            <v>строительство</v>
          </cell>
          <cell r="G2131">
            <v>0</v>
          </cell>
        </row>
        <row r="2132">
          <cell r="D2132" t="str">
            <v>Электроснабжение садового домика по адресу: г. Липецк, садоводческое общество "Сокол-3", массив № 1, участок № 469</v>
          </cell>
          <cell r="G2132">
            <v>5.0999999999999995E-3</v>
          </cell>
        </row>
        <row r="2133">
          <cell r="D2133" t="str">
            <v>реконструкция</v>
          </cell>
          <cell r="G2133">
            <v>5.0999999999999995E-3</v>
          </cell>
        </row>
        <row r="2134">
          <cell r="D2134" t="str">
            <v>строительство</v>
          </cell>
          <cell r="G2134">
            <v>0</v>
          </cell>
        </row>
        <row r="2135">
          <cell r="D2135" t="str">
            <v>Электроснабжение садового домика по адресу: г. Липецк, СО "Сокол-3", участок № 425</v>
          </cell>
          <cell r="G2135">
            <v>5.0999999999999995E-3</v>
          </cell>
        </row>
        <row r="2136">
          <cell r="D2136" t="str">
            <v>реконструкция</v>
          </cell>
          <cell r="G2136">
            <v>5.0999999999999995E-3</v>
          </cell>
        </row>
        <row r="2137">
          <cell r="D2137" t="str">
            <v>строительство</v>
          </cell>
          <cell r="G2137">
            <v>0</v>
          </cell>
        </row>
        <row r="2138">
          <cell r="D2138" t="str">
            <v>Электроснабжение садового домика по адресу: г. Липецк, СНТ "Дачный-3", участок № 603</v>
          </cell>
          <cell r="G2138">
            <v>5.0999999999999995E-3</v>
          </cell>
        </row>
        <row r="2139">
          <cell r="D2139" t="str">
            <v>реконструкция</v>
          </cell>
          <cell r="G2139">
            <v>5.0999999999999995E-3</v>
          </cell>
        </row>
        <row r="2140">
          <cell r="D2140" t="str">
            <v>строительство</v>
          </cell>
          <cell r="G2140">
            <v>0</v>
          </cell>
        </row>
        <row r="2141">
          <cell r="D2141" t="str">
            <v>Электроснабжение садового домика по адресу: г. Липецк, СО "Сокол-3", массив I, участок № 565</v>
          </cell>
          <cell r="G2141">
            <v>5.0999999999999995E-3</v>
          </cell>
        </row>
        <row r="2142">
          <cell r="D2142" t="str">
            <v>реконструкция</v>
          </cell>
          <cell r="G2142">
            <v>0</v>
          </cell>
        </row>
        <row r="2143">
          <cell r="D2143" t="str">
            <v>строительство</v>
          </cell>
          <cell r="G2143">
            <v>5.0999999999999995E-3</v>
          </cell>
        </row>
        <row r="2144">
          <cell r="D2144" t="str">
            <v>Электроснабжение здания правления по адресу: г. Липецк, СНТ "Сокол-1"</v>
          </cell>
          <cell r="G2144">
            <v>6.6E-3</v>
          </cell>
        </row>
        <row r="2145">
          <cell r="D2145" t="str">
            <v>реконструкция</v>
          </cell>
          <cell r="G2145">
            <v>6.6E-3</v>
          </cell>
        </row>
        <row r="2146">
          <cell r="D2146" t="str">
            <v>строительство</v>
          </cell>
          <cell r="G2146">
            <v>0</v>
          </cell>
        </row>
        <row r="2147">
          <cell r="D2147" t="str">
            <v>Электроснабжение садового домика по адресу: г. Липецк, СНТ "Сокол-2", участок № 1</v>
          </cell>
          <cell r="G2147">
            <v>3.2299999999999995E-2</v>
          </cell>
        </row>
        <row r="2148">
          <cell r="D2148" t="str">
            <v>реконструкция</v>
          </cell>
          <cell r="G2148">
            <v>0</v>
          </cell>
        </row>
        <row r="2149">
          <cell r="D2149" t="str">
            <v>строительство</v>
          </cell>
          <cell r="G2149">
            <v>3.2299999999999995E-2</v>
          </cell>
        </row>
        <row r="2150">
          <cell r="D2150" t="str">
            <v>Электроснабжение садового домика по адресу: г. Липецк, СНТ "Сокол-2", уч. 241</v>
          </cell>
          <cell r="G2150">
            <v>5.4299999999999994E-2</v>
          </cell>
        </row>
        <row r="2151">
          <cell r="D2151" t="str">
            <v>реконструкция</v>
          </cell>
          <cell r="G2151">
            <v>0</v>
          </cell>
        </row>
        <row r="2152">
          <cell r="D2152" t="str">
            <v>строительство</v>
          </cell>
          <cell r="G2152">
            <v>5.4299999999999994E-2</v>
          </cell>
        </row>
        <row r="2153">
          <cell r="D2153" t="str">
            <v>Электроснабжение стройплощадки жилого дома по адресу: г. Липецк, ул. Жемчужная, участок № 80 (по схеме, кадастровый № 48:20:0021631:113)</v>
          </cell>
          <cell r="G2153">
            <v>5.1999999999999998E-3</v>
          </cell>
        </row>
        <row r="2154">
          <cell r="D2154" t="str">
            <v>реконструкция</v>
          </cell>
          <cell r="G2154">
            <v>5.1999999999999998E-3</v>
          </cell>
        </row>
        <row r="2155">
          <cell r="D2155" t="str">
            <v>строительство</v>
          </cell>
          <cell r="G2155">
            <v>0</v>
          </cell>
        </row>
        <row r="2156">
          <cell r="D2156" t="str">
            <v>Электроснабжение садового домика по адресу: г. Липецк, СНТ «имени И.В. Мичурина», улица Дальняя, участок № 43</v>
          </cell>
          <cell r="G2156">
            <v>2.0000000000000001E-4</v>
          </cell>
        </row>
        <row r="2157">
          <cell r="D2157" t="str">
            <v>реконструкция</v>
          </cell>
          <cell r="G2157">
            <v>0</v>
          </cell>
        </row>
        <row r="2158">
          <cell r="D2158" t="str">
            <v>строительство</v>
          </cell>
          <cell r="G2158">
            <v>2.0000000000000001E-4</v>
          </cell>
        </row>
        <row r="2159">
          <cell r="D2159" t="str">
            <v>Электроснабжение автопарковки по адресу: г. Липецк, ул. Водопьянова, в районе д. 33</v>
          </cell>
          <cell r="G2159">
            <v>2.7199999999999998E-2</v>
          </cell>
        </row>
        <row r="2160">
          <cell r="D2160" t="str">
            <v>реконструкция</v>
          </cell>
          <cell r="G2160">
            <v>0</v>
          </cell>
        </row>
        <row r="2161">
          <cell r="D2161" t="str">
            <v>строительство</v>
          </cell>
          <cell r="G2161">
            <v>2.7199999999999998E-2</v>
          </cell>
        </row>
        <row r="2162">
          <cell r="D2162" t="str">
            <v>Электроснабжение садового домика по адресу: г. Липецк, СНТ "Цементник", земельный участок № 1287</v>
          </cell>
          <cell r="G2162">
            <v>3.5000000000000001E-3</v>
          </cell>
        </row>
        <row r="2163">
          <cell r="D2163" t="str">
            <v>реконструкция</v>
          </cell>
          <cell r="G2163">
            <v>0</v>
          </cell>
        </row>
        <row r="2164">
          <cell r="D2164" t="str">
            <v>строительство</v>
          </cell>
          <cell r="G2164">
            <v>3.5000000000000001E-3</v>
          </cell>
        </row>
        <row r="2165">
          <cell r="D2165" t="str">
            <v>Электроснабжение кирпичного садового домика по адресу: г. Липецк, СНТ "Цементник", земельный участок № 1294</v>
          </cell>
          <cell r="G2165">
            <v>3.5000000000000001E-3</v>
          </cell>
        </row>
        <row r="2166">
          <cell r="D2166" t="str">
            <v>реконструкция</v>
          </cell>
          <cell r="G2166">
            <v>0</v>
          </cell>
        </row>
        <row r="2167">
          <cell r="D2167" t="str">
            <v>строительство</v>
          </cell>
          <cell r="G2167">
            <v>3.5000000000000001E-3</v>
          </cell>
        </row>
        <row r="2168">
          <cell r="D2168" t="str">
            <v>Электроснабжение садового домика по адресу: г. Липецк, СТ "Ударник", 1 массив, уч. № 192</v>
          </cell>
          <cell r="G2168">
            <v>3.3999999999999998E-3</v>
          </cell>
        </row>
        <row r="2169">
          <cell r="D2169" t="str">
            <v>реконструкция</v>
          </cell>
          <cell r="G2169">
            <v>0</v>
          </cell>
        </row>
        <row r="2170">
          <cell r="D2170" t="str">
            <v>строительство</v>
          </cell>
          <cell r="G2170">
            <v>3.3999999999999998E-3</v>
          </cell>
        </row>
        <row r="2171">
          <cell r="D2171" t="str">
            <v>Электроснабжение садового домика по адресу: г. Липецк, СНТ "Металлург-1", квартал № IIIа, участок № 44</v>
          </cell>
          <cell r="G2171">
            <v>2.0000000000000001E-4</v>
          </cell>
        </row>
        <row r="2172">
          <cell r="D2172" t="str">
            <v>реконструкция</v>
          </cell>
          <cell r="G2172">
            <v>0</v>
          </cell>
        </row>
        <row r="2173">
          <cell r="D2173" t="str">
            <v>строительство</v>
          </cell>
          <cell r="G2173">
            <v>2.0000000000000001E-4</v>
          </cell>
        </row>
        <row r="2174">
          <cell r="D2174" t="str">
            <v>Электроснабжение административного помещения по адресу: г. Липецк, пр. Мира, д. 21, кВ. 26</v>
          </cell>
          <cell r="G2174">
            <v>5.0999999999999995E-3</v>
          </cell>
        </row>
        <row r="2175">
          <cell r="D2175" t="str">
            <v>реконструкция</v>
          </cell>
          <cell r="G2175">
            <v>0</v>
          </cell>
        </row>
        <row r="2176">
          <cell r="D2176" t="str">
            <v>строительство</v>
          </cell>
          <cell r="G2176">
            <v>5.0999999999999995E-3</v>
          </cell>
        </row>
        <row r="2177">
          <cell r="D2177" t="str">
            <v>Электроснабжение кирпичного гаража с погребом по адресу: г. Липецк, расположенный во дворе дома № 1 ул. Саперная</v>
          </cell>
          <cell r="G2177">
            <v>5.0999999999999995E-3</v>
          </cell>
        </row>
        <row r="2178">
          <cell r="D2178" t="str">
            <v>реконструкция</v>
          </cell>
          <cell r="G2178">
            <v>0</v>
          </cell>
        </row>
        <row r="2179">
          <cell r="D2179" t="str">
            <v>строительство</v>
          </cell>
          <cell r="G2179">
            <v>5.0999999999999995E-3</v>
          </cell>
        </row>
        <row r="2180">
          <cell r="D2180" t="str">
            <v>Электроснабжение садового домика по адресу: г. Липецк, СО "Сокол-3", I массив, участок № 636</v>
          </cell>
          <cell r="G2180">
            <v>5.0999999999999995E-3</v>
          </cell>
        </row>
        <row r="2181">
          <cell r="D2181" t="str">
            <v>реконструкция</v>
          </cell>
          <cell r="G2181">
            <v>0</v>
          </cell>
        </row>
        <row r="2182">
          <cell r="D2182" t="str">
            <v>строительство</v>
          </cell>
          <cell r="G2182">
            <v>5.0999999999999995E-3</v>
          </cell>
        </row>
        <row r="2183">
          <cell r="D2183" t="str">
            <v>Выполнение объектов за счет платы за технологическое присоединение</v>
          </cell>
          <cell r="G2183">
            <v>27.055999999999983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l_1"/>
      <sheetName val="2015"/>
      <sheetName val="2016"/>
      <sheetName val="2017"/>
      <sheetName val="2018"/>
      <sheetName val="2019"/>
      <sheetName val="pril_ 8"/>
      <sheetName val="pril_9"/>
      <sheetName val="pril_10"/>
      <sheetName val="pril_11"/>
      <sheetName val="pril_12"/>
    </sheetNames>
    <sheetDataSet>
      <sheetData sheetId="0">
        <row r="103">
          <cell r="B103" t="str">
            <v>4.1.30/09</v>
          </cell>
          <cell r="C103" t="str">
            <v>3.1.1</v>
          </cell>
          <cell r="D103" t="str">
            <v>Реконструкция оборудования в РУ-0,4 кВ ТП-702 для электроснабжения помещений №2, №3 по ул. Ильича, д.4, запитанных от ТП-702; 130 кВт, 380 В, 2 категория</v>
          </cell>
          <cell r="E103" t="str">
            <v>П+С
(тех присоед.)</v>
          </cell>
          <cell r="F103" t="str">
            <v>-</v>
          </cell>
          <cell r="G103">
            <v>2017</v>
          </cell>
          <cell r="H103">
            <v>2018</v>
          </cell>
        </row>
        <row r="104">
          <cell r="B104" t="str">
            <v>4.1.79/09</v>
          </cell>
          <cell r="C104" t="str">
            <v>3.1.2</v>
          </cell>
          <cell r="D104" t="str">
            <v>Монтаж оборудования в РУ-0,4 ТП-11, реконструкция КЛ-6 кВ для электроснабжения административного здания по ул. Неделина, 25, запитанного от ТП-11; 114 кВт, 380 В, 2 категория</v>
          </cell>
          <cell r="E104" t="str">
            <v>П+С
(тех присоед.)</v>
          </cell>
          <cell r="F104" t="str">
            <v xml:space="preserve">0,05 км                      </v>
          </cell>
          <cell r="G104">
            <v>2010</v>
          </cell>
          <cell r="H104">
            <v>2016</v>
          </cell>
        </row>
        <row r="105">
          <cell r="B105" t="str">
            <v>1.1.6.4.41/10</v>
          </cell>
          <cell r="C105" t="str">
            <v>3.1.7</v>
          </cell>
          <cell r="D105" t="str">
            <v>Строительство новой ТП, строительство КЛ-10 кВ от РП-Центр до вновь смонтированной ТП, монтаж устройства передачи данных (УСПД) по учету электрической энергии в РУ-0,4 кВ вновь смонтированной ТП, монтаж пожарно-охранной сигнализации во вновь смонтированной ТП, монтаж приборов учета в РУ-0,4 кВ вновь смонтированной ТП для электроснабжения 10 этажного жилого здания по ул. Котовского</v>
          </cell>
          <cell r="E105" t="str">
            <v>П+С
(тех присоед.)</v>
          </cell>
          <cell r="F105" t="str">
            <v>1 км
1,26 МВА</v>
          </cell>
          <cell r="G105">
            <v>2013</v>
          </cell>
          <cell r="H105">
            <v>2018</v>
          </cell>
        </row>
        <row r="106">
          <cell r="B106" t="str">
            <v>1.1.6.4.39/10</v>
          </cell>
          <cell r="C106" t="str">
            <v>3.1.9</v>
          </cell>
          <cell r="D106" t="str">
            <v>Монтаж ячейки в РУ-6кВ РП-8, монтаж трансформатора напряжения в яч. №2 РУ-6кВ РП-8, монтаж прибора учета РУ-6кВ РП-8 для электроснабжения индивидуального жилого дома по ул. Баумана, д.4</v>
          </cell>
          <cell r="E106" t="str">
            <v>П+С
(тех присоед.)</v>
          </cell>
          <cell r="F106" t="str">
            <v>-</v>
          </cell>
          <cell r="G106">
            <v>2013</v>
          </cell>
          <cell r="H106">
            <v>2017</v>
          </cell>
        </row>
        <row r="107">
          <cell r="B107" t="str">
            <v>1.1.6.1.32/11</v>
          </cell>
          <cell r="C107" t="str">
            <v>3.1.10</v>
          </cell>
          <cell r="D107" t="str">
            <v xml:space="preserve">Реконструкция оборудования в ТП-241 (инв. №400713), строительство КЛ-6кВ от ПС "Бугор" до ТП-241, Монтаж выключателей нагрузки в яч. №4 и №5 РУ-6кВ ТП-80, Монтаж нового трансформатора взамен существующего (инв. №41022А) в ТП-80, Монтаж нового автоматического выключателя в панели №1 РУ-0,4кВ ТП-80, Монтаж нового автоматического выключателя в панели №1 РУ-0,4кВ ТП-80, Монтаж нового секционного рубильника в панели №4 РУ-0,4кВ ТП-80 для электроснабжения встроенного нежилого помещения №7 по адресу: г. Липецк, пр. Победы, д.53 </v>
          </cell>
          <cell r="E107" t="str">
            <v>П+С
(тех присоед.)</v>
          </cell>
          <cell r="F107" t="str">
            <v>3 км
0,23 МВА</v>
          </cell>
          <cell r="G107">
            <v>2011</v>
          </cell>
          <cell r="H107">
            <v>2017</v>
          </cell>
        </row>
        <row r="108">
          <cell r="B108" t="str">
            <v>1.1.6.1.62/11</v>
          </cell>
          <cell r="C108" t="str">
            <v>3.1.12</v>
          </cell>
          <cell r="D108" t="str">
            <v>Монтаж коммутационного аппарата в панели №1 в РУ-0,4кВ ТП-131, монтаж коммутационного аппарата в панели №10 в РУ-0,4кВ ТП-131, монтаж нового оборудования в ТП-11, строительство КЛ-10 кВ от ТП-11 до ТП-176, строительство КЛ-10 кВ от ТП-11 до ТП-178, реконструкция КЛ-6 кВ " ТП-11 - ТП-365" (инв. №345356) и "ТП-11, яч. №3 - ТП-176, яч. №5" (инв. №345353), реконструкция КЛ-6 кВ " ТП-11 - ТП-179" (инв. №345355) и "ТП-11, яч. №4 - ТП-178, яч. №6" (инв. №345354) для электроснабжения жилого дома с объектами соцкультбыта в цокольном этаже по адресу: г. Липецк, ул. Гоголя</v>
          </cell>
          <cell r="E108" t="str">
            <v>П+С
(касается РП-Центр)</v>
          </cell>
          <cell r="F108" t="str">
            <v>4 км
1,26 МВА</v>
          </cell>
          <cell r="G108">
            <v>2015</v>
          </cell>
          <cell r="H108">
            <v>2017</v>
          </cell>
        </row>
        <row r="109">
          <cell r="B109" t="str">
            <v>1.1.6.1.8/12</v>
          </cell>
          <cell r="C109" t="str">
            <v>3.1.14</v>
          </cell>
          <cell r="D109" t="str">
            <v>Монтаж ошиновки трансформаторов в ТП-203 (инв. №410113А) для электроснабжения помещения №2 по адресу: г. Липецк, ул. Терешковой, д.2</v>
          </cell>
          <cell r="E109" t="str">
            <v>П+С
(тех присоед.)</v>
          </cell>
          <cell r="F109" t="str">
            <v>-</v>
          </cell>
          <cell r="G109">
            <v>2013</v>
          </cell>
          <cell r="H109">
            <v>2018</v>
          </cell>
        </row>
        <row r="110">
          <cell r="B110" t="str">
            <v>1.1.6.1.42/12</v>
          </cell>
          <cell r="C110" t="str">
            <v>3.1.15</v>
          </cell>
          <cell r="D110" t="str">
            <v>Монтаж оборудования в РП-32, строительство КЛ-10 кВ от ПС "Манежная" до РП-32, монтаж оборудования в ТП-339, перезавод КЛ-10 кВ из ПС "Южная" в ТП-339 для электроснабжения административного здания по ул. 50 лет НЛМК, запитанного от РУ-10 кВ ПС "Манежная"; 256,6 кВт, 380 В, II категория</v>
          </cell>
          <cell r="E110" t="str">
            <v>П+С
(тех присоед.)</v>
          </cell>
          <cell r="F110" t="str">
            <v xml:space="preserve">1,1 км                      </v>
          </cell>
          <cell r="G110">
            <v>2012</v>
          </cell>
          <cell r="H110">
            <v>2019</v>
          </cell>
        </row>
        <row r="111">
          <cell r="B111" t="str">
            <v>1.1.6.1.39/12</v>
          </cell>
          <cell r="C111" t="str">
            <v>3.1.16</v>
          </cell>
          <cell r="D111" t="str">
            <v>Монтаж оборудования в РУ-0,4 кВ ТП-143 для электроснабжения магазина продовольственных и непродовольственных товаров по адресу: г. Липецк, ул. Ю. Натуралистов - ул. Папина.</v>
          </cell>
          <cell r="E111" t="str">
            <v>П+С
(тех присоед.)</v>
          </cell>
          <cell r="F111" t="str">
            <v>-</v>
          </cell>
          <cell r="G111">
            <v>2013</v>
          </cell>
          <cell r="H111">
            <v>2017</v>
          </cell>
        </row>
        <row r="112">
          <cell r="B112" t="str">
            <v>1.1.6.1.45/12</v>
          </cell>
          <cell r="C112" t="str">
            <v>3.1.17</v>
          </cell>
          <cell r="D112" t="str">
            <v>Монтаж оборудования в РУ-0,4 кВ ТП-400, Монтаж УСПД по учету электрической энергии в РУ-0,4кВ ТП-400 для электроснабжения 9-ти этажного жилого здания по адресу: г. Липецк, потребительское общество пенсионеров и инвалидов "Сокол-1".</v>
          </cell>
          <cell r="E112" t="str">
            <v>П+С
(тех присоед.)</v>
          </cell>
          <cell r="F112" t="str">
            <v>-</v>
          </cell>
          <cell r="G112">
            <v>2013</v>
          </cell>
          <cell r="H112">
            <v>2019</v>
          </cell>
        </row>
        <row r="113">
          <cell r="B113" t="str">
            <v>1.1.6.1.47/12</v>
          </cell>
          <cell r="C113" t="str">
            <v>3.1.18</v>
          </cell>
          <cell r="D113" t="str">
            <v>Монтаж оборудования в РУ-0,4 кВ ТП-153 для электроснабжения нежилого помещения № 22 по адресу: г. Липецк, ул. 8 Марта, д. 36</v>
          </cell>
          <cell r="E113" t="str">
            <v>П+С
(тех присоед.)</v>
          </cell>
          <cell r="F113" t="str">
            <v>-</v>
          </cell>
          <cell r="G113">
            <v>2013</v>
          </cell>
          <cell r="H113">
            <v>2019</v>
          </cell>
        </row>
        <row r="114">
          <cell r="B114" t="str">
            <v>1.1.6.1.78/12</v>
          </cell>
          <cell r="C114" t="str">
            <v>3.1.19</v>
          </cell>
          <cell r="D114" t="str">
            <v>Монтаж оборудования в РУ-6 кВ ТП-151, Монтаж оборудования в РУ-0,4 кВ ТП-151 для электроснабжения нежилого помещения № 1 по адресу: г. Липецк, ул. Советская, д. 26</v>
          </cell>
          <cell r="E114" t="str">
            <v>П+С
(тех присоед.)</v>
          </cell>
          <cell r="F114" t="str">
            <v>-</v>
          </cell>
          <cell r="G114">
            <v>2017</v>
          </cell>
          <cell r="H114">
            <v>2018</v>
          </cell>
        </row>
        <row r="115">
          <cell r="B115" t="str">
            <v>1.1.5.1.19/13</v>
          </cell>
          <cell r="C115" t="str">
            <v>3.1.20</v>
          </cell>
          <cell r="D115" t="str">
            <v>Замена трансформаторов и реконструкция РУ-0,4 кВ ТП-84 для электроснабжения нежилого встроенного-пристроенного помещения № 3 (магазина) по адресу: г. Липецк, ул. Папина, д. 6</v>
          </cell>
          <cell r="E115" t="str">
            <v>П+С
(тех присоед.)</v>
          </cell>
          <cell r="F115" t="str">
            <v>1,26 МВА</v>
          </cell>
          <cell r="G115">
            <v>2014</v>
          </cell>
          <cell r="H115">
            <v>2018</v>
          </cell>
        </row>
        <row r="116">
          <cell r="B116" t="str">
            <v>1.1.6.4.50/10</v>
          </cell>
          <cell r="C116" t="str">
            <v>3.1.21</v>
          </cell>
          <cell r="D116" t="str">
            <v>Строительство ВЛ-10 кВ "ПС "Бутырки", яч.№6 - ТП-846" (инв. №3452047А) от ПС "Бутырки" до опоры №56, реконструкция отпайки к ПП-3 от ВЛ-10 кВ "ПС "Бутырки", яч.№6 - ТП-846" (инв. №340009) от опоры №56 ВЛ-10 кВ "ПС "Бутырки", яч.№6 - ТП-846" до ПП-3, реконструкция ВЛ-10 кВ "ПП-3 - ТП-415" (инв. №345700) от ПП-3 до ТП-415, монтаж вакуумного реклоузера на опоре ВЛ-10 кВ "ПП-3 - ТП-415"для электроснабжения объектов недвижимости культурно-оздоровительного лагеря в Грязинском районе, Плехановском лесничестве, Ленинском лесхозе, квартал 54</v>
          </cell>
          <cell r="E116" t="str">
            <v>П+С
(тех присоед.)</v>
          </cell>
          <cell r="F116" t="str">
            <v xml:space="preserve">8 км                      </v>
          </cell>
          <cell r="G116">
            <v>2013</v>
          </cell>
          <cell r="H116">
            <v>2018</v>
          </cell>
        </row>
        <row r="117">
          <cell r="B117" t="str">
            <v>1.1.6.4.29/10</v>
          </cell>
          <cell r="C117" t="str">
            <v>3.1.22</v>
          </cell>
          <cell r="D117" t="str">
            <v>Монтаж ячеек в РУ-10 кВ РП на пл. Петра Великого, строительство КЛ-10 кВ от РП на пл. Петра Великого до ТП яхт-клуба в районе ресторана "Фрегат" по ул. К. Маркса, монтаж приборов учета в РУ-10 кВ РП на пл. Петра Великого для электроснабжения яхт-клуба со стоянкой яхт, запитанного от РУ-10 кВ РП на пл. Петра Великого; 250 кВт, 10 кВ, 2 категория</v>
          </cell>
          <cell r="E117" t="str">
            <v>П+С
(тех присоед.)</v>
          </cell>
          <cell r="F117" t="str">
            <v xml:space="preserve">1 км                      </v>
          </cell>
          <cell r="G117">
            <v>2013</v>
          </cell>
          <cell r="H117">
            <v>2017</v>
          </cell>
        </row>
        <row r="118">
          <cell r="B118" t="str">
            <v>1.1.6.1.2/12</v>
          </cell>
          <cell r="C118" t="str">
            <v>3.1.24</v>
          </cell>
          <cell r="D118" t="str">
            <v>Монтаж новой ТП взамен существующей ТП-65, строительство КЛ-10кВ от ЦРП "Город" до новой ТП, Строительство КЛ-10кВ от ТП-121 до новой ТП, монтаж устройства передачи данных (УСПД) по учету электрической энергии в РУ-0,4кВ новой ТП, монтаж пожарно-охранной сигнализации в новой ТП, монтаж приборов учета в РУ-0,4кВ новой ТП для электроснабжения многоэтажного жилого дома с подземной автостоянкой по адресу: г. Липецк, ул. Гагарина, д.27"а"</v>
          </cell>
          <cell r="E118" t="str">
            <v>П+С
(тех присоед.)</v>
          </cell>
          <cell r="F118" t="str">
            <v>5,4 км
1,6 МВА</v>
          </cell>
          <cell r="G118">
            <v>2014</v>
          </cell>
          <cell r="H118">
            <v>2016</v>
          </cell>
        </row>
        <row r="119">
          <cell r="B119" t="str">
            <v>1.1.6.1.46/12</v>
          </cell>
          <cell r="C119" t="str">
            <v>3.1.27</v>
          </cell>
          <cell r="D119" t="str">
            <v>Монтаж оборудования в РУ-6 кВ ТП-196, строительство КЛ-6 кВ от РП-3 до ТП-196, монтаж трансформатора № 1 в ТП-196, монтаж трансформатора № 2 в ТП-196, монтаж оборудования в РУ-0,4 кВ ТП-196 для электроснабжения объекта: "Реконструкция МОУ СОШ № 27 по ул. Шкатова" по адресу: г. Липецк, ул. Шкатова, д. 23.</v>
          </cell>
          <cell r="E119" t="str">
            <v>П+С
(тех присоед.)</v>
          </cell>
          <cell r="F119" t="str">
            <v>2 км
2 МВА</v>
          </cell>
          <cell r="G119">
            <v>2013</v>
          </cell>
          <cell r="H119">
            <v>2018</v>
          </cell>
        </row>
        <row r="120">
          <cell r="B120" t="str">
            <v>1.1.6.1.50/12</v>
          </cell>
          <cell r="C120" t="str">
            <v>3.1.28</v>
          </cell>
          <cell r="D120" t="str">
            <v>Монтаж пожарно-охранной сигнализации в РУ-0,4 кВ ТП-528, монтаж узла учета в РУ-0,4 кВ ТП-528 для электроснабжения магазина непродовольственных товаров по адресу: г. Липецк, ул. З. Космодемьянской</v>
          </cell>
          <cell r="E120" t="str">
            <v>П+С
(тех присоед.)</v>
          </cell>
          <cell r="F120" t="str">
            <v>-</v>
          </cell>
          <cell r="G120">
            <v>2013</v>
          </cell>
          <cell r="H120">
            <v>2016</v>
          </cell>
        </row>
        <row r="121">
          <cell r="B121" t="str">
            <v>1.1.6.1.54/12</v>
          </cell>
          <cell r="C121" t="str">
            <v>3.1.29</v>
          </cell>
          <cell r="D121" t="str">
            <v>I этап: Монтаж трансформатора № 1 в ТП-71, монтаж трансформатора № 2 в ТП-71, монтаж оборудования в РУ-6 кВ ТП-71, монтаж оборудования в РУ-0,4 кВ ТП-71, строительство КЛ-0,4 кВ от ТП-71 до нежилого помещения № 1 по адресу: г. Липецк, ул. Ворошилова, д. 4; II этап: Реконструкция оборудования в РУ-6 кВ ТП-71, реконструкция оборудования в РУ-0,4 кВ ТП-71,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2 в ТП-71 взамен трансформатора, смонтированного по п. 1.1.6.1.54.2/12, строительство КЛ-10 кВ от РП-П.Великого до ТП-71, строительство КЛ-10 кВ от РП-П.Великого до ТП-71, реконструкция КЛ-6 кВ "ТП-71 - ТП-59" (инв. № 340413) и "ТП-71 - ТП-14" (инв. № 345398), монтаж узла учета в РУ-0,4кВ ТП-71 для электроснабжения нежилого помещения № 1 по адресу: г. Липецк, ул. Ворошилова, д. 4.</v>
          </cell>
          <cell r="E121" t="str">
            <v>П+С
(тех присоед.)</v>
          </cell>
          <cell r="F121" t="str">
            <v>2 км
2 МВА</v>
          </cell>
          <cell r="G121">
            <v>2013</v>
          </cell>
          <cell r="H121">
            <v>2017</v>
          </cell>
        </row>
        <row r="122">
          <cell r="B122" t="str">
            <v>1.1.6.1.58/12</v>
          </cell>
          <cell r="C122" t="str">
            <v>3.1.30</v>
          </cell>
          <cell r="D122" t="str">
            <v>Монтаж трансформатора № 1 в ТП-79 взамен существующего (инв. № 431460), монтаж трансформатора № 2 в ТП-79 взамен существующего (инв. № 431461),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3.</v>
          </cell>
          <cell r="E122" t="str">
            <v>П+С
(тех присоед.)</v>
          </cell>
          <cell r="F122" t="str">
            <v>1,26 МВА</v>
          </cell>
          <cell r="G122">
            <v>2013</v>
          </cell>
          <cell r="H122">
            <v>2016</v>
          </cell>
        </row>
        <row r="123">
          <cell r="B123" t="str">
            <v>1.1.6.1.66/12</v>
          </cell>
          <cell r="C123" t="str">
            <v>3.1.31</v>
          </cell>
          <cell r="D123" t="str">
            <v>Монтаж трансформатора № 1 в ТП-326 взамен существующего (инв. № 41358 А), монтаж трансформатора № 2 в ТП-326 взамен существующего (инв. № 41970 А), монтаж оборудования в РУ-0,4 кВ ТП-326 для электроснабжения торгово-административного здания по адресу: г. Липецк, ул. Меркулова, д. 24 а</v>
          </cell>
          <cell r="E123" t="str">
            <v>П+С
(тех присоед.)</v>
          </cell>
          <cell r="F123" t="str">
            <v>2 МВА</v>
          </cell>
          <cell r="G123">
            <v>2013</v>
          </cell>
          <cell r="H123">
            <v>2016</v>
          </cell>
        </row>
        <row r="124">
          <cell r="B124" t="str">
            <v>1.1.5.1.6/13</v>
          </cell>
          <cell r="C124" t="str">
            <v>3.1.32</v>
          </cell>
          <cell r="D124" t="str">
            <v>Монтаж оборудования в РУ-10 кВ ТП-517, монтаж оборудования в РУ-10 кВ ТП-541, строительство КЛ-10 кВ от ТП-541 до ТП-540 для электроснабжения ТП-517 а по адресу: г. Липецк, ул. Адмирала Макарова, д. 1 К</v>
          </cell>
          <cell r="E124" t="str">
            <v>П+С
(тех присоед.)</v>
          </cell>
          <cell r="F124" t="str">
            <v xml:space="preserve">0,05 км                      </v>
          </cell>
          <cell r="G124">
            <v>2013</v>
          </cell>
          <cell r="H124">
            <v>2016</v>
          </cell>
        </row>
        <row r="125">
          <cell r="B125" t="str">
            <v>1.1.5.1.8/13</v>
          </cell>
          <cell r="C125" t="str">
            <v>3.1.33</v>
          </cell>
          <cell r="D125" t="str">
            <v>Монтаж трансформатора № 1 в ТП-241 взамен существующего (инв. № 41315 А), монтаж трансформатора № 2 в ТП-241 взамен существующего (инв. № 41332 А), реконструкция оборудования в РУ-6 кВ ТП-241 (инв. № 400713), реконструкция оборудования в РУ-0,4 кВ ТП-241 (инв. № 400713), монтаж узла учета в РУ-0,4 кВ ТП-241 для электроснабжения здания магазина по адресу: г. Липецк, пр. Победы</v>
          </cell>
          <cell r="E125" t="str">
            <v>П+С
(тех присоед.)</v>
          </cell>
          <cell r="F125" t="str">
            <v>1,26 МВА</v>
          </cell>
          <cell r="G125">
            <v>2013</v>
          </cell>
          <cell r="H125">
            <v>2016</v>
          </cell>
        </row>
        <row r="126">
          <cell r="B126" t="str">
            <v>4.1.70/09</v>
          </cell>
          <cell r="C126" t="str">
            <v>3.1.35</v>
          </cell>
          <cell r="D126" t="str">
            <v>Модернизация оборудования ТП-810, кабельная сеть от ТП-810 до РП на пл. Петра Великого, замена трансформаторов в ТП-810 для электроснабжения жилого здания с объектами соцкультбыта по ул. Скороходова-Радиаторная, запитанного от РУ-0,4 кВ ТП-810; 300 кВт, 380В, 2 категория</v>
          </cell>
          <cell r="E126" t="str">
            <v>П+С
(тех присоед.)</v>
          </cell>
          <cell r="F126" t="str">
            <v>1 км
2 МВА</v>
          </cell>
          <cell r="G126">
            <v>2013</v>
          </cell>
          <cell r="H126">
            <v>2017</v>
          </cell>
        </row>
        <row r="127">
          <cell r="B127" t="str">
            <v>1.1.6.4.51/10</v>
          </cell>
          <cell r="C127" t="str">
            <v>3.1.36</v>
          </cell>
          <cell r="D127" t="str">
            <v>Монтаж телемеханики РП-49, монтаж приборов учета в РУ-10кВ РП-49 для электроснабжения 29 микр. в г. Липецке, запитанного от РУ-10 кВ РП-49; 4440 кВт, 10кВт, 2 категория</v>
          </cell>
          <cell r="E127" t="str">
            <v>П+С
(тех присоед.)</v>
          </cell>
          <cell r="F127" t="str">
            <v>-</v>
          </cell>
          <cell r="G127">
            <v>2013</v>
          </cell>
          <cell r="H127">
            <v>2018</v>
          </cell>
        </row>
        <row r="128">
          <cell r="B128" t="str">
            <v>1.1.6.4.52/10</v>
          </cell>
          <cell r="C128" t="str">
            <v>3.1.37</v>
          </cell>
          <cell r="D128" t="str">
            <v>Монтаж трансформаторов в ТП-183 взамен существующих (инв.№41251А, №41140А), монтаж оборудования в РУ-0,4 кВ ТП-183, строительство КЛ-10 кВ от РП "Центр" до ТП-380, реконструкция КЛ-6 кВ "ТП-180 - ТП-380" (инв.№345665) и "ТП-56 - ТП-380" (инв.№345666), строительство КЛ-6 кВ "ТП-16 - ТП-176" для электроснабжения жилого дома строительный №1 с предприятиями соцкультбыта по ул. Неделина, запитанного от ТП-183</v>
          </cell>
          <cell r="E128" t="str">
            <v>П+С
(тех присоед.)</v>
          </cell>
          <cell r="F128" t="str">
            <v>2 км
2 МВА</v>
          </cell>
          <cell r="G128">
            <v>2013</v>
          </cell>
          <cell r="H128">
            <v>2018</v>
          </cell>
        </row>
        <row r="129">
          <cell r="B129" t="str">
            <v>1.1.6.4.7/10</v>
          </cell>
          <cell r="C129" t="str">
            <v>3.1.38</v>
          </cell>
          <cell r="D129" t="str">
            <v>Монтаж ячеек №3 и №8 взамен существующих в РУ-6кВ ТП-131, строительство КЛ-6кВ от ТП-131 до РП-26, монтаж панелей №2,4,5 взамен существующих в РУ-0,4кВ ТП-131, строительство КЛ-10кВ от ТП-180 до РП "Центр", реконструкция КЛ-6кВ "ТП-180 - ТП-380" (инв. №345665), монтаж оборудования в ТП-180 взамен существующего (инв. №410102А), монтаж устройства передачи данных (УСПД) по учету электрической энергии в РУ-0,4кВ ТП-131, реконструкция КЛ-6кВ "ТП-16 - ТП-180" (инв. №345423) для электроснабжения многоэтажного жилого здания со встроенными помещениями соцкультбыта по ул. У. Громовой, запитанного от ТП-131; 248 кВт, 380 В, 2 категория</v>
          </cell>
          <cell r="E129" t="str">
            <v>С
(касается РП Центр)</v>
          </cell>
          <cell r="F129" t="str">
            <v xml:space="preserve">4 км                      </v>
          </cell>
          <cell r="G129">
            <v>2012</v>
          </cell>
          <cell r="H129">
            <v>2018</v>
          </cell>
        </row>
        <row r="130">
          <cell r="B130" t="str">
            <v>1.1.6.1.12/11</v>
          </cell>
          <cell r="C130" t="str">
            <v>3.1.39</v>
          </cell>
          <cell r="D130" t="str">
            <v>Строительство КЛ-6кВ от ТП-43 до ТП-63, монтаж трансформатора в ТП-62 взамен существующего (инв. №41208А), монтаж панели в РУ-0,4 кВ ТП-62 для электроснабжения здания с административными, жилыми помещениями и подземной автостоянкой по ул. Плеханова</v>
          </cell>
          <cell r="E130" t="str">
            <v>П+С
(тех присоед.)</v>
          </cell>
          <cell r="F130" t="str">
            <v>1 км
0,315 МВА</v>
          </cell>
          <cell r="G130">
            <v>2012</v>
          </cell>
          <cell r="H130">
            <v>2017</v>
          </cell>
        </row>
        <row r="131">
          <cell r="B131" t="str">
            <v>1.1.6.1.16/11</v>
          </cell>
          <cell r="C131" t="str">
            <v>3.1.40</v>
          </cell>
          <cell r="D131" t="str">
            <v xml:space="preserve">Монтаж вакуумного выключателя в яч.3,4 РУ-6 кВ ТП-36, монтаж силовых трансформаторов в ТП-36 взамен существующих (инв. №41333А, 41984А), монтаж панелей в РУ-0,4 кВ ТП-36, Реконструкция КЛ-0,4 кВ "ТП-36 - ул.Советская,77" (инв. №343507) для электроснабжения нежилого помещения №6 по ул. Советская, д.77 </v>
          </cell>
          <cell r="E131" t="str">
            <v>П+С
(тех присоед.)</v>
          </cell>
          <cell r="F131" t="str">
            <v>1 МВА</v>
          </cell>
          <cell r="G131">
            <v>2014</v>
          </cell>
          <cell r="H131">
            <v>2018</v>
          </cell>
        </row>
        <row r="132">
          <cell r="B132" t="str">
            <v>1.1.6.1.38/11</v>
          </cell>
          <cell r="C132" t="str">
            <v>3.1.41</v>
          </cell>
          <cell r="D132" t="str">
            <v>Строительство КЛ-10 кВ от ТП-810 до ТП-839а для электроснабжения группы жилых домов с объектами соцкультбыта по адресу: г. Липецк, ул. Фрунзе, запитанного от РУ-10 кВ ТП-810 и ТП-377; 540 кВт, 10 кВ, II категория</v>
          </cell>
          <cell r="E132" t="str">
            <v>П+С
(тех присоед.)</v>
          </cell>
          <cell r="F132" t="str">
            <v xml:space="preserve">2 км                      </v>
          </cell>
          <cell r="G132">
            <v>2013</v>
          </cell>
          <cell r="H132">
            <v>2016</v>
          </cell>
        </row>
        <row r="133">
          <cell r="B133" t="str">
            <v>1.1.6.1.43/11</v>
          </cell>
          <cell r="C133" t="str">
            <v>3.1.42</v>
          </cell>
          <cell r="D133" t="str">
            <v>Реконструкция ВЛ-0,4 кВ по ул. Бачурина от ТП-713 (инв. №346005) от опоры №19 до опоры №1, строительство КЛ-0,4 кВ от ТП-713 до опоры №19 ВЛ-0,4кВ по ул. Бачурина от ТП-713 для электроснабжения помещения №1 (магазина) по адресу: г. Липецк, ул.Бачурина,1</v>
          </cell>
          <cell r="E133" t="str">
            <v>П+С
(тех присоед.)</v>
          </cell>
          <cell r="F133" t="str">
            <v xml:space="preserve">0,5 км </v>
          </cell>
          <cell r="G133">
            <v>2017</v>
          </cell>
          <cell r="H133">
            <v>2018</v>
          </cell>
        </row>
        <row r="134">
          <cell r="B134" t="str">
            <v>1.1.6.1.49/11</v>
          </cell>
          <cell r="C134" t="str">
            <v>3.1.44</v>
          </cell>
          <cell r="D134" t="str">
            <v>Реконструкция ВЛ -6кВ "ПС "Тепличная" , яч. №6 - ТП-316" ( с отпайкой на ТП-397) ( инв. №340060), монтаж вакуумного реклоузера, монтаж высоковольтного пункта коммерческого учета электрической энергии для электроснабжения СНТ "Березка" по адресу: ОПХ "Липецкое" Липецкого района</v>
          </cell>
          <cell r="E134" t="str">
            <v>П+С
(тех присоед.)</v>
          </cell>
          <cell r="F134" t="str">
            <v xml:space="preserve">5 км                      </v>
          </cell>
          <cell r="G134">
            <v>2013</v>
          </cell>
          <cell r="H134">
            <v>2016</v>
          </cell>
        </row>
        <row r="135">
          <cell r="B135" t="str">
            <v>1.1.6.1.10/12</v>
          </cell>
          <cell r="C135" t="str">
            <v>3.1.46</v>
          </cell>
          <cell r="D135" t="str">
            <v>Монтаж оборудования в РУ-0,4кВ ТП-278 для электроснабжения медицинского центра по адресу: г. Липецк, ул. Московская в районе областной детской больницы</v>
          </cell>
          <cell r="E135" t="str">
            <v>П+С
(тех присоед.)</v>
          </cell>
          <cell r="F135" t="str">
            <v>-</v>
          </cell>
          <cell r="G135">
            <v>2013</v>
          </cell>
          <cell r="H135">
            <v>2018</v>
          </cell>
        </row>
        <row r="136">
          <cell r="B136" t="str">
            <v>1.1.6.1.12/12</v>
          </cell>
          <cell r="C136" t="str">
            <v>3.1.47</v>
          </cell>
          <cell r="D136" t="str">
            <v>Реконструкция ВЛ-6кВ ПС "Бугор", яч.№25 - ТП-368; ПС "Бугор", яч.№26 - ТП-368 (инв. №340006), реконструкция КЛ-6кВ от ТП-368 (инв. №345652), реконструкция оборудования ТП-368 (инв.№400749) для электроснабжения многоэтажного жилого дома с объектами соцкультбыта по адресу: г. Липецк, пр. Победы</v>
          </cell>
          <cell r="E136" t="str">
            <v>П+С
(тех присоед.)</v>
          </cell>
          <cell r="F136" t="str">
            <v>4,1 км</v>
          </cell>
          <cell r="G136">
            <v>2013</v>
          </cell>
          <cell r="H136">
            <v>2018</v>
          </cell>
        </row>
        <row r="137">
          <cell r="B137" t="str">
            <v>1.1.6.1.14/12</v>
          </cell>
          <cell r="C137" t="str">
            <v>3.1.48</v>
          </cell>
          <cell r="D137" t="str">
            <v>Реконструкция КЛ-0,4 кВ "ТП-107 - ул. Гагарина, д. 60 "а" для электроснабжения здания лабораторного корпуса по адресу: г. Липецк, ул. Гагарина, д. 60 "а" (инв. № 341211)</v>
          </cell>
          <cell r="E137" t="str">
            <v>П+С
(тех присоед.)</v>
          </cell>
          <cell r="F137" t="str">
            <v xml:space="preserve">0,1 км                      </v>
          </cell>
          <cell r="G137">
            <v>2013</v>
          </cell>
          <cell r="H137">
            <v>2018</v>
          </cell>
        </row>
        <row r="138">
          <cell r="B138" t="str">
            <v>1.1.6.1.16/12</v>
          </cell>
          <cell r="C138" t="str">
            <v>3.1.49</v>
          </cell>
          <cell r="D138" t="str">
            <v>Монтаж УСПД в ТП-283 для электроснабжения магазина по адресу: г. Липецк, пр. 60 лет СССР, д. 2</v>
          </cell>
          <cell r="E138" t="str">
            <v>П+С
(тех присоед.)</v>
          </cell>
          <cell r="F138" t="str">
            <v>-</v>
          </cell>
          <cell r="G138">
            <v>2013</v>
          </cell>
          <cell r="H138">
            <v>2018</v>
          </cell>
        </row>
        <row r="139">
          <cell r="B139" t="str">
            <v>1.1.6.1.21/12</v>
          </cell>
          <cell r="C139" t="str">
            <v>3.1.50</v>
          </cell>
          <cell r="D139" t="str">
            <v xml:space="preserve">Реконструкция оборудования РУ-0,4 кВ КТП-571 (инв. № 340408), реконструкция узла учета в КТП-571 (инв. № 414089) для электроснабжения магазина продовольственных и непродовольственных товаров по адресу: г. Липецк, ул. Владимирская, район д. № 42 </v>
          </cell>
          <cell r="E139" t="str">
            <v>П+С
(тех присоед.)</v>
          </cell>
          <cell r="F139" t="str">
            <v>-</v>
          </cell>
          <cell r="G139">
            <v>2013</v>
          </cell>
          <cell r="H139">
            <v>2016</v>
          </cell>
        </row>
        <row r="140">
          <cell r="B140" t="str">
            <v>1.1.6.1.30/12</v>
          </cell>
          <cell r="C140" t="str">
            <v>3.1.51</v>
          </cell>
          <cell r="D140" t="str">
            <v>Монтаж оборудования в РУ-0,4кВ КТП-91, монтаж узла учета в РУ-0,4кВ КТП-91, строительство ВЛ-0,4кВ от КТП-91 до потребителей в СНТ "Тракторостроитель-1" для электроснабжения садовых домиков в СНТ "Тракторостроитель-1".</v>
          </cell>
          <cell r="E140" t="str">
            <v>П+С
(тех присоед.)</v>
          </cell>
          <cell r="F140" t="str">
            <v>-</v>
          </cell>
          <cell r="G140">
            <v>2013</v>
          </cell>
          <cell r="H140">
            <v>2018</v>
          </cell>
        </row>
        <row r="141">
          <cell r="B141" t="str">
            <v>1.1.6.1.33/12</v>
          </cell>
          <cell r="C141" t="str">
            <v>3.1.53</v>
          </cell>
          <cell r="D141" t="str">
            <v>Монтаж оборудования в РУ-10 кВ РП-15, монтаж оборудования в РУ-10 кВ ТП-555, строительство КЛ-10кВ от РП-15, яч.13 до ТП-555, строительство КЛ-10кВ от РП-15, яч.14 до ТП-555, монтаж узла учета в РУ-10кВ РП-15 для электроснабжения основной пристройки к административно-бытовому комплексу по адресу: г. Липецк, проезд Осенний, владение 1г.</v>
          </cell>
          <cell r="E141" t="str">
            <v>П+С
(тех присоед.)</v>
          </cell>
          <cell r="F141" t="str">
            <v xml:space="preserve">1,5 км                      </v>
          </cell>
          <cell r="G141">
            <v>2013</v>
          </cell>
          <cell r="H141">
            <v>2018</v>
          </cell>
        </row>
        <row r="142">
          <cell r="B142" t="str">
            <v>1.1.6.1.44/12</v>
          </cell>
          <cell r="C142" t="str">
            <v>3.1.54</v>
          </cell>
          <cell r="D142" t="str">
            <v>Монтаж оборудования в РУ-10 кВ РП-32 и монтаж узла учета в РУ-10 кВ в РП-32 для электроснабжения комплекса зданий и сооружений, связанных с организацией отдыха на воде по адресу: г. Липецк, прибрежная зона реки Воронеж по ул. 50 лет НЛМК</v>
          </cell>
          <cell r="E142" t="str">
            <v>П+С
(тех присоед.)</v>
          </cell>
          <cell r="F142" t="str">
            <v>-</v>
          </cell>
          <cell r="G142">
            <v>2013</v>
          </cell>
          <cell r="H142">
            <v>2018</v>
          </cell>
        </row>
        <row r="143">
          <cell r="B143" t="str">
            <v>1.1.6.1.53/12</v>
          </cell>
          <cell r="C143" t="str">
            <v>3.1.55</v>
          </cell>
          <cell r="D143" t="str">
            <v>Монтаж трансформатора № 1 в ТП-143 взамен существующего (инв. № 41298А), монтаж трансформатора № 2 в ТП-143 взамен существующего (инв. № 41299А), монтаж оборудования в РУ-0,4 кВ ТП-143, монтаж узла учета в РУ-0,4 кВ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и сносом существующего здания магазина с пристройками по адресу: г. Липецк, ул. Юных Натуралистов, 7 А</v>
          </cell>
          <cell r="E143" t="str">
            <v>П+С
(тех присоед.)</v>
          </cell>
          <cell r="F143" t="str">
            <v>1,26 МВА</v>
          </cell>
          <cell r="G143">
            <v>2013</v>
          </cell>
          <cell r="H143">
            <v>2015</v>
          </cell>
        </row>
        <row r="144">
          <cell r="B144" t="str">
            <v>1.1.6.1.72/12</v>
          </cell>
          <cell r="C144" t="str">
            <v>3.1.57</v>
          </cell>
          <cell r="D144" t="str">
            <v>Монтаж оборудования в РУ-10 кВ РП-33, монтаж узла учета в РУ-10 кВ РП-33 для электроснабжения здания КНС для 7-го жилого района в составе объекта: "Многофункциональный спортивный комплекс" по адресу: г. Липецк, Молодежный парк по ул. Леонтия Кривенкова</v>
          </cell>
          <cell r="E144" t="str">
            <v>П+С
(тех присоед.)</v>
          </cell>
          <cell r="F144" t="str">
            <v>-</v>
          </cell>
          <cell r="G144">
            <v>2013</v>
          </cell>
          <cell r="H144">
            <v>2017</v>
          </cell>
        </row>
        <row r="145">
          <cell r="B145" t="str">
            <v>1.1.6.1.74/12</v>
          </cell>
          <cell r="C145" t="str">
            <v>3.1.58</v>
          </cell>
          <cell r="D145" t="str">
            <v>Монтаж оборудования в РУ-0,4 кВ ТП-580,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v>
          </cell>
          <cell r="E145" t="str">
            <v>П+С
(тех присоед.)</v>
          </cell>
          <cell r="F145" t="str">
            <v>-</v>
          </cell>
          <cell r="G145">
            <v>2013</v>
          </cell>
          <cell r="H145">
            <v>2018</v>
          </cell>
        </row>
        <row r="146">
          <cell r="B146" t="str">
            <v>1.1.6.1.62/12</v>
          </cell>
          <cell r="C146" t="str">
            <v>3.1.60</v>
          </cell>
          <cell r="D146" t="str">
            <v>Реконструкция ВЛ-10 кВ "ТП-555 - ТП-37 а" (инв. № 346166) для электроснабжения зонального центра кинологической службы по адресу: г. Липецк, ул. Фурманова, д. 23 а</v>
          </cell>
          <cell r="E146" t="str">
            <v>П+С
(тех присоед.)</v>
          </cell>
          <cell r="F146" t="str">
            <v xml:space="preserve">1,7 км                      </v>
          </cell>
          <cell r="G146">
            <v>2014</v>
          </cell>
          <cell r="H146">
            <v>2017</v>
          </cell>
        </row>
        <row r="147">
          <cell r="B147" t="str">
            <v>1.1.6.1.79/12</v>
          </cell>
          <cell r="C147" t="str">
            <v>3.1.62</v>
          </cell>
          <cell r="D147" t="str">
            <v>Монтаж оборудования в РУ-0,4 кВ ТП-264, монтаж узла учета в РУ-0,4 кВ ТП-264 для электроснабжения многоэтажной автостоянки по адресу: г. Липецк, ул. Космонавтов</v>
          </cell>
          <cell r="E147" t="str">
            <v>П+С
(тех присоед.)</v>
          </cell>
          <cell r="F147" t="str">
            <v>-</v>
          </cell>
          <cell r="G147">
            <v>2013</v>
          </cell>
          <cell r="H147">
            <v>2018</v>
          </cell>
        </row>
        <row r="148">
          <cell r="B148" t="str">
            <v>1.1.5.1.1/13</v>
          </cell>
          <cell r="C148" t="str">
            <v>3.1.63</v>
          </cell>
          <cell r="D148" t="str">
            <v>Реконструкция оборудования в РУ-10 кВ РП-П.Великого, строительство КЛ-10 кВ от врезки в КЛ-10 кВ "РП-П.Великого - КТП Яхт-клуб"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v>
          </cell>
          <cell r="E148" t="str">
            <v>П+С
(тех присоед.)</v>
          </cell>
          <cell r="F148" t="str">
            <v>-</v>
          </cell>
          <cell r="G148">
            <v>2013</v>
          </cell>
          <cell r="H148">
            <v>2016</v>
          </cell>
        </row>
        <row r="149">
          <cell r="B149" t="str">
            <v>1.1.5.1.2/13</v>
          </cell>
          <cell r="C149" t="str">
            <v>3.1.64</v>
          </cell>
          <cell r="D149" t="str">
            <v>Строительство КЛ-0,4 кВ от ТП-122 до опоры № 1 ВЛ-0,4 кВ по ул. Доватора, реконструкция ВЛ-0,4 кВ по ул. Доватора от ТП-122 (инв. № 346077) для электроснабжения многоквартирного жилого дома по адресу: г. Липецк, ул. Доватора, д. 49, 51</v>
          </cell>
          <cell r="E149" t="str">
            <v>П+С
(тех присоед.)</v>
          </cell>
          <cell r="F149" t="str">
            <v xml:space="preserve">1 км                      </v>
          </cell>
          <cell r="G149">
            <v>2013</v>
          </cell>
          <cell r="H149">
            <v>2017</v>
          </cell>
        </row>
        <row r="150">
          <cell r="B150" t="str">
            <v>1.1.6.1.45/11</v>
          </cell>
          <cell r="C150" t="str">
            <v>3.1.65</v>
          </cell>
          <cell r="D150" t="str">
            <v>Монтаж оборудования в РУ-0,4 кВ ТП-175 для электроснабжения здания спортивно-оздоровительного центра по адресу: г. Липецк, Правобережный округ, район городского пляжа</v>
          </cell>
          <cell r="E150" t="str">
            <v>П+С
(тех присоед.)</v>
          </cell>
          <cell r="F150" t="str">
            <v>-</v>
          </cell>
          <cell r="G150">
            <v>2013</v>
          </cell>
          <cell r="H150">
            <v>2018</v>
          </cell>
        </row>
        <row r="151">
          <cell r="B151" t="str">
            <v>1.1.5.1.3/13</v>
          </cell>
          <cell r="C151" t="str">
            <v>3.1.66</v>
          </cell>
          <cell r="D151" t="str">
            <v>Монтаж оборудования в РУ-0,4 кВ ТП-583 для электроснабжения здания магазина по адресу: г. Липецк, ул. З. Космодемьянской, д. 8</v>
          </cell>
          <cell r="E151" t="str">
            <v>П+С
(тех присоед.)</v>
          </cell>
          <cell r="F151" t="str">
            <v>-</v>
          </cell>
          <cell r="G151">
            <v>2013</v>
          </cell>
          <cell r="H151">
            <v>2015</v>
          </cell>
        </row>
        <row r="152">
          <cell r="B152" t="str">
            <v>1.1.5.1.5/13</v>
          </cell>
          <cell r="C152" t="str">
            <v>3.1.67</v>
          </cell>
          <cell r="D152" t="str">
            <v>Строительство новой КТП взамен существующей (инв. № 100954), монтаж трансформатора в новой КТП, монтаж РУ-6 кВ в новой КТП, монтаж РУ-0,4 кВ в новой КТП, Строительство ВЛ-6 кВ от ВЛ-6 кВ "ПС "Трубная" - ТП-395" до новой КТП, Строительство КВЛ-0,4 кВ от новой КТП до бокса по ремонту оборудования по адресу: г. Липецк, ул. Опытная, строение № 1 А, монтаж пожарно-охранной сигнализации в новой КТП, монтаж узла учета в РУ-0,4 кВ новой КТП,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</v>
          </cell>
          <cell r="E152" t="str">
            <v>П+С
(тех присоед.)</v>
          </cell>
          <cell r="F152" t="str">
            <v>0,3 км
0,25 МВА</v>
          </cell>
          <cell r="G152">
            <v>2013</v>
          </cell>
          <cell r="H152">
            <v>2016</v>
          </cell>
        </row>
        <row r="153">
          <cell r="B153" t="str">
            <v>1.1.5.1.7/13</v>
          </cell>
          <cell r="C153" t="str">
            <v>3.1.68</v>
          </cell>
          <cell r="D153" t="str">
            <v>Монтаж оборудования в РУ-0,4 кВ ТП-3 для электроснабжения стройплощадки по адресу: г. Липецк, ул. Гагарина, д. 70 А</v>
          </cell>
          <cell r="E153" t="str">
            <v>П+С
(тех присоед.)</v>
          </cell>
          <cell r="F153" t="str">
            <v>-</v>
          </cell>
          <cell r="G153">
            <v>2013</v>
          </cell>
          <cell r="H153">
            <v>2018</v>
          </cell>
        </row>
        <row r="154">
          <cell r="B154" t="str">
            <v>1.1.5.1.9/13</v>
          </cell>
          <cell r="C154" t="str">
            <v>3.1.69</v>
          </cell>
          <cell r="D154" t="str">
            <v>Монтаж оборудования в РУ-0,4 кВ ТП-289,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А.</v>
          </cell>
          <cell r="E154" t="str">
            <v>П+С
(тех присоед.)</v>
          </cell>
          <cell r="F154" t="str">
            <v>-</v>
          </cell>
          <cell r="G154">
            <v>2013</v>
          </cell>
          <cell r="H154">
            <v>2018</v>
          </cell>
        </row>
        <row r="155">
          <cell r="B155" t="str">
            <v>1.1.5.1.11/13</v>
          </cell>
          <cell r="C155" t="str">
            <v>3.1.70</v>
          </cell>
          <cell r="D155" t="str">
            <v>Монтаж оборудования в РУ-10 кВ ПП-3 для, монтаж узла учета в РУ-10 кВ ПП-3 электроснабжения здания трансформаторной подстанции по адресу: Липецкая обл., Грязинский район, Плехановское лесничество, Ленинский лесхоз, квартал 78, 90</v>
          </cell>
          <cell r="E155" t="str">
            <v>П+С
(тех присоед.)</v>
          </cell>
          <cell r="F155" t="str">
            <v>-</v>
          </cell>
          <cell r="G155">
            <v>2013</v>
          </cell>
          <cell r="H155">
            <v>2019</v>
          </cell>
        </row>
        <row r="156">
          <cell r="B156" t="str">
            <v>1.1.5.1.14/13</v>
          </cell>
          <cell r="C156" t="str">
            <v>3.1.71</v>
          </cell>
          <cell r="D156" t="str">
            <v>Строительство новой КТП (взамен КТП-558), КЛ-6 кВ от ТП-712 до новой КТП, реконструкция оборудования РУ-6 кВ ТП-712 для электроснабжения объекта: "Здание автосалона и станции технического обслуживания по ул. Краснозаводская, стр. 2В, запитанного от новой КТП; 333 кВт, 6 кВ, III категория</v>
          </cell>
          <cell r="E156" t="str">
            <v>П+С
(тех присоед.)</v>
          </cell>
          <cell r="F156" t="str">
            <v xml:space="preserve">1,45 км                      </v>
          </cell>
          <cell r="G156">
            <v>2014</v>
          </cell>
          <cell r="H156">
            <v>2017</v>
          </cell>
        </row>
        <row r="157">
          <cell r="B157" t="str">
            <v>1.1.5.1.15/13</v>
          </cell>
          <cell r="C157" t="str">
            <v>3.1.72</v>
          </cell>
          <cell r="D157" t="str">
            <v>I этап: монтаж оборудования в РУ-10 кВ ТП-593 для электроснабжения здания магазина по адресу: г. Липецк, ул. Моршанская, д. 9; II этап: Монтаж трансформатора № 1 в ТП-593 взамен существующего (инв. № 41889 А), монтаж трансформатора № 2 в ТП-593 взамен существующего (инв. № 41890 А), монтаж оборудования в РУ-0,4 кВ ТП-593, строительство КВЛ-10 кВ от ВЛ-10 кВ "ПС "Казинка", яч. № 2 "Юшино" до ТП-593 для электроснабжения здания магазина по адресу: г. Липецк, ул. Моршанская, д. 9</v>
          </cell>
          <cell r="E157" t="str">
            <v>П+С
(тех присоед.)</v>
          </cell>
          <cell r="F157" t="str">
            <v>0,01 км
1,26 МВА</v>
          </cell>
          <cell r="G157">
            <v>2013</v>
          </cell>
          <cell r="H157">
            <v>2018</v>
          </cell>
        </row>
        <row r="158">
          <cell r="B158" t="str">
            <v>1.1.5.1.16/13</v>
          </cell>
          <cell r="C158" t="str">
            <v>3.1.73</v>
          </cell>
          <cell r="D158" t="str">
            <v>I этап: Монтаж разъединителя на опоре ВЛ-6 кВ "КТП-465 - КТП-135 А" II этап: Монтаж оборудования в РУ-6 кВ РП-28, строительство КЛ-6 кВ от РП-28 до опоры ВЛ-6 кВ "КТП-465 - КТП-135 А" для электроснабжения производственной базы по адресу: г. Липецк, ул. Дружбы, д. 3 "а"</v>
          </cell>
          <cell r="E158" t="str">
            <v>П+С
(тех присоед.)</v>
          </cell>
          <cell r="F158" t="str">
            <v>-</v>
          </cell>
          <cell r="G158">
            <v>2013</v>
          </cell>
          <cell r="H158">
            <v>2018</v>
          </cell>
        </row>
        <row r="159">
          <cell r="B159" t="str">
            <v>1.1.5.1.17/13</v>
          </cell>
          <cell r="C159" t="str">
            <v>3.1.74</v>
          </cell>
          <cell r="D159" t="str">
            <v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</v>
          </cell>
          <cell r="E159" t="str">
            <v>П+С
(тех присоед.)</v>
          </cell>
          <cell r="F159" t="str">
            <v>-</v>
          </cell>
          <cell r="G159">
            <v>2014</v>
          </cell>
          <cell r="H159">
            <v>2016</v>
          </cell>
        </row>
        <row r="160">
          <cell r="B160" t="str">
            <v>1.1.5.1.18/13</v>
          </cell>
          <cell r="C160" t="str">
            <v>3.1.75</v>
          </cell>
          <cell r="D160" t="str">
            <v>Монтаж трансформатора № 1 в РП-38 взамен существующего (инв. № 42142 А), монтаж трансформатора № 2 в РП-38 взамен существующего (инв. № 42143 А), монтаж оборудования в РУ-10 кВ РП-38 для электроснабжения хлебозавода № 5 по адресу: г. Липецк, ул. Катукова, 40</v>
          </cell>
          <cell r="E160" t="str">
            <v>П+С
(тех присоед.)</v>
          </cell>
          <cell r="F160" t="str">
            <v>3,2 МВА</v>
          </cell>
          <cell r="G160">
            <v>2013</v>
          </cell>
          <cell r="H160">
            <v>2017</v>
          </cell>
        </row>
        <row r="161">
          <cell r="B161" t="str">
            <v>1.1.5.1.20/13</v>
          </cell>
          <cell r="C161" t="str">
            <v>3.1.77</v>
          </cell>
          <cell r="D161" t="str">
            <v>Монтаж трансформаторов в ТП-51, монтаж оборудования в ТП-51, строительство нового РП-1 (взамен старого РП-1) для электроснабжения объекта: "Реконструкция ДОУ № 119 по ул. Айвазовского", запитанного от ТП-51; 95 кВт (в том числе существующая 40 кВт), 380 В, II категория</v>
          </cell>
          <cell r="E161" t="str">
            <v>П+С
(тех присоед.)</v>
          </cell>
          <cell r="F161" t="str">
            <v>3 км
2 МВА</v>
          </cell>
          <cell r="G161">
            <v>2013</v>
          </cell>
          <cell r="H161">
            <v>2017</v>
          </cell>
        </row>
        <row r="162">
          <cell r="B162" t="str">
            <v>1.1.5.1.21/13</v>
          </cell>
          <cell r="C162" t="str">
            <v>3.1.78</v>
          </cell>
          <cell r="D162" t="str">
            <v>Замена силовых трансформаторов в ТП-273 (без увеличения мощности), реконструкция РУ-0,4 кВт ТП-273 для электроснабжения нежилого помещения и нежилого помещения (цоколь) по адресу: г. Липецк, проезд Сержанта Кувшинова, д. 5 а</v>
          </cell>
          <cell r="E162" t="str">
            <v>П+С
(тех присоед.)</v>
          </cell>
          <cell r="F162" t="str">
            <v>1,26 МВА</v>
          </cell>
          <cell r="G162">
            <v>2013</v>
          </cell>
          <cell r="H162">
            <v>2017</v>
          </cell>
        </row>
        <row r="163">
          <cell r="B163" t="str">
            <v>1.1.5.1.22/13</v>
          </cell>
          <cell r="C163" t="str">
            <v>3.1.79</v>
          </cell>
          <cell r="D163" t="str">
            <v>Реконструкция РУ-0,4 кВ ТП-61 для электроснабжения помещения № 1 по адресу: г. Липецк, ул. Зегеля, д. 11</v>
          </cell>
          <cell r="E163" t="str">
            <v>П+С
(тех присоед.)</v>
          </cell>
          <cell r="F163" t="str">
            <v>-</v>
          </cell>
          <cell r="G163">
            <v>2013</v>
          </cell>
          <cell r="H163">
            <v>2017</v>
          </cell>
        </row>
        <row r="164">
          <cell r="B164" t="str">
            <v>1.1.5.1.23/13</v>
          </cell>
          <cell r="C164" t="str">
            <v>3.1.80</v>
          </cell>
          <cell r="D164" t="str">
            <v>Монтаж коммутационных аппаратов в РУ-0,4 кВ ТП-11 для электроснабжения многоквартирного жилого дома по адресу: г. Липецк, ул. Мичурина, кадастровый № 48:20:0045703:231</v>
          </cell>
          <cell r="E164" t="str">
            <v>П+С
(тех присоед.)</v>
          </cell>
          <cell r="F164" t="str">
            <v>-</v>
          </cell>
          <cell r="G164">
            <v>2013</v>
          </cell>
          <cell r="H164">
            <v>2015</v>
          </cell>
        </row>
        <row r="165">
          <cell r="B165" t="str">
            <v>1.1.5.1.24/13</v>
          </cell>
          <cell r="C165" t="str">
            <v>3.1.81</v>
          </cell>
          <cell r="D165" t="str">
            <v>Реконструкция РУ-0,4 кВ ТП-67 для электроснабжения встроенного нежилого помещения № 2 по адресу: г. Липецк, ул. Плеханова, д. 34</v>
          </cell>
          <cell r="E165" t="str">
            <v>П+С
(тех присоед.)</v>
          </cell>
          <cell r="F165" t="str">
            <v>-</v>
          </cell>
          <cell r="G165">
            <v>2013</v>
          </cell>
          <cell r="H165">
            <v>2018</v>
          </cell>
        </row>
        <row r="166">
          <cell r="B166" t="str">
            <v>1.1.5.1.25/13</v>
          </cell>
          <cell r="C166" t="str">
            <v>3.1.82</v>
          </cell>
          <cell r="D166" t="str">
            <v>Реконструкция РУ-10 кВ ТП-539, монтаж в/в прибора учета в РУ-10 кВ ТП-539 для электроснабжения станции технического обслуживания автомобилей с автостоянкой по адресу: г. Липецк, ул. Ферросплавная, владение 21</v>
          </cell>
          <cell r="E166" t="str">
            <v>П+С
(тех присоед.)</v>
          </cell>
          <cell r="F166" t="str">
            <v>-</v>
          </cell>
          <cell r="G166">
            <v>2013</v>
          </cell>
          <cell r="H166">
            <v>2016</v>
          </cell>
        </row>
        <row r="167">
          <cell r="B167" t="str">
            <v>1.1.5.1.26/13</v>
          </cell>
          <cell r="C167" t="str">
            <v>3.1.83</v>
          </cell>
          <cell r="D167" t="str">
            <v>Монтаж коммутационных аппаратов в РУ-0,4 кВ ТП-280 для электроснабжения административно-бытового корпуса по адресу: г. Липецк, ул. Московская, д. 83</v>
          </cell>
          <cell r="E167" t="str">
            <v>П+С
(тех присоед.)</v>
          </cell>
          <cell r="F167" t="str">
            <v>-</v>
          </cell>
          <cell r="G167">
            <v>2014</v>
          </cell>
          <cell r="H167">
            <v>2018</v>
          </cell>
        </row>
        <row r="168">
          <cell r="B168" t="str">
            <v>1.1.5.1.27/13</v>
          </cell>
          <cell r="C168" t="str">
            <v>3.1.84</v>
          </cell>
          <cell r="D168" t="str">
            <v>Электроснабжение комплекса зданий и сооружений по адресу: г. Липецк, Универсальный проезд № 12</v>
          </cell>
          <cell r="E168" t="str">
            <v>С</v>
          </cell>
          <cell r="F168" t="str">
            <v>-</v>
          </cell>
          <cell r="G168">
            <v>2013</v>
          </cell>
          <cell r="H168">
            <v>2016</v>
          </cell>
        </row>
        <row r="169">
          <cell r="B169" t="str">
            <v>1.1.5.1.30/13</v>
          </cell>
          <cell r="C169" t="str">
            <v>3.1.85</v>
          </cell>
          <cell r="D169" t="str">
            <v>Монтаж 3 в/в ячеек в РУ-10 кВ РП-50 для электроснабжения объекта: "Электроснабжение 7-го жилого района в Октябрьском округе г. Липецка"</v>
          </cell>
          <cell r="E169" t="str">
            <v>П+С
(тех присоед.)</v>
          </cell>
          <cell r="F169" t="str">
            <v>-</v>
          </cell>
          <cell r="G169">
            <v>2014</v>
          </cell>
          <cell r="H169">
            <v>2018</v>
          </cell>
        </row>
        <row r="170">
          <cell r="B170" t="str">
            <v>1.1.5.1.34/13</v>
          </cell>
          <cell r="C170" t="str">
            <v>3.1.88</v>
          </cell>
          <cell r="D170" t="str">
            <v>Электроснабжение строительства основания футбольного поля с подогревом для детско-юношеских школ на территории МУ СК "Сокол" по адресу: г. Липецк, ул. Ушинского, 5</v>
          </cell>
          <cell r="E170" t="str">
            <v>П+С
(тех присоед.)</v>
          </cell>
          <cell r="F170" t="str">
            <v>-</v>
          </cell>
          <cell r="G170">
            <v>2014</v>
          </cell>
          <cell r="H170">
            <v>2016</v>
          </cell>
        </row>
        <row r="171">
          <cell r="B171" t="str">
            <v>1.1.5.1.36/13</v>
          </cell>
          <cell r="C171" t="str">
            <v>3.1.89</v>
          </cell>
          <cell r="D171" t="str">
            <v>Реконструкция ВЛ-6 кВ "ТП-175-ТП-189", монтаж в/в ПКУ для электроснабжения стройплощадки туристического центра по адресу: г. Липецк, ул. Маяковского</v>
          </cell>
          <cell r="E171" t="str">
            <v>П+С
(тех присоед.)</v>
          </cell>
          <cell r="F171" t="str">
            <v xml:space="preserve">2,1 км                      </v>
          </cell>
          <cell r="G171">
            <v>2014</v>
          </cell>
          <cell r="H171">
            <v>2016</v>
          </cell>
        </row>
        <row r="172">
          <cell r="B172" t="str">
            <v>1.1.5.1.37/13</v>
          </cell>
          <cell r="C172" t="str">
            <v>3.1.90</v>
          </cell>
          <cell r="D172" t="str">
            <v>Реконструкция КЛ-6 кВ "ПС Привокзальная - ТП-79" для электроснабжения долей зданий склада (деревообрабатывающего цеха) по адресу: г. Липецк, пр. Поперечный, 1</v>
          </cell>
          <cell r="E172" t="str">
            <v>П+С
(тех присоед.)</v>
          </cell>
          <cell r="F172" t="str">
            <v>1,2 км
1,26 МВА</v>
          </cell>
          <cell r="G172">
            <v>2014</v>
          </cell>
          <cell r="H172">
            <v>2017</v>
          </cell>
        </row>
        <row r="173">
          <cell r="B173" t="str">
            <v>1.1.5.1.38/13</v>
          </cell>
          <cell r="C173" t="str">
            <v>3.1.91</v>
          </cell>
          <cell r="D173" t="str">
            <v>Замена трансформаторов тока в РУ-0,4 кВ ТП-309 для электроснабжения нежилых помещений по адресу: г. Липецк, ул. Базарная, строения 3 "В", 3 "Г"</v>
          </cell>
          <cell r="E173" t="str">
            <v>П+С
(тех присоед.)</v>
          </cell>
          <cell r="F173" t="str">
            <v>-</v>
          </cell>
          <cell r="G173">
            <v>2014</v>
          </cell>
          <cell r="H173">
            <v>2015</v>
          </cell>
        </row>
        <row r="174">
          <cell r="B174" t="str">
            <v>1.1.5.1.39/13</v>
          </cell>
          <cell r="C174" t="str">
            <v>3.1.92</v>
          </cell>
          <cell r="D174" t="str">
            <v>Реконструкция РУ-10 кВ РП-17 для электроснабжения здания автомойки, магазина и кафе по адресу: г. Липецк, ул. им. Генерала Меркулова в районе водозабора № 5</v>
          </cell>
          <cell r="E174" t="str">
            <v>П+С
(тех присоед.)</v>
          </cell>
          <cell r="F174" t="str">
            <v>-</v>
          </cell>
          <cell r="G174">
            <v>2014</v>
          </cell>
          <cell r="H174">
            <v>2017</v>
          </cell>
        </row>
        <row r="175">
          <cell r="B175" t="str">
            <v>1.1.5.1.40/13</v>
          </cell>
          <cell r="C175" t="str">
            <v>3.1.93</v>
          </cell>
          <cell r="D175" t="str">
            <v>Замена трансформатора 400 кВА на 630 кВА в ТП-280, реконструкция оборудования РУ-0,4 кВ ТП-280, для электроснабжения объекта: "Коммутатор по ул. Московская, вл. 83а, запитанного от РУ-0,4 кВ ТП-280, 100 кВт, II категория"</v>
          </cell>
          <cell r="E175" t="str">
            <v>П+С
(тех присоед.)</v>
          </cell>
          <cell r="F175" t="str">
            <v>0,63 МВА</v>
          </cell>
          <cell r="G175">
            <v>2014</v>
          </cell>
          <cell r="H175">
            <v>2018</v>
          </cell>
        </row>
        <row r="176">
          <cell r="B176" t="str">
            <v>1.1.5.1.41/13</v>
          </cell>
          <cell r="C176" t="str">
            <v>3.1.94</v>
          </cell>
          <cell r="D176" t="str">
            <v>Замена трансформаторов 630 на 1000 кВА и реконструкция РУ-0,4 кВ ТП-890а для электроснабжение жилых домов строительные № 1а,1б,1в,1г со встроенно-пристроенными помещениями соцкультбыта строительные № 24,25,26 по адресу: г. Липецк, 28 микрорайон</v>
          </cell>
          <cell r="E176" t="str">
            <v>П+С
(тех присоед.)</v>
          </cell>
          <cell r="F176" t="str">
            <v>2,0 МВА</v>
          </cell>
          <cell r="G176">
            <v>2014</v>
          </cell>
          <cell r="H176">
            <v>2018</v>
          </cell>
        </row>
        <row r="177">
          <cell r="B177" t="str">
            <v>1.1.5.1.42/13</v>
          </cell>
          <cell r="C177" t="str">
            <v>3.1.95</v>
          </cell>
          <cell r="D177" t="str">
            <v>Реконструкция РУ-0,4 кВ ТП-346 для электроснабжения многоквартирного жилого дома с объектами соцкультбыта по адресу: г. Липецк, ул. 50 лет НЛМК, кадастровый № 48:20:0000000:72</v>
          </cell>
          <cell r="E177" t="str">
            <v>П+С
(тех присоед.)</v>
          </cell>
          <cell r="F177" t="str">
            <v>-</v>
          </cell>
          <cell r="G177">
            <v>2015</v>
          </cell>
          <cell r="H177">
            <v>2016</v>
          </cell>
        </row>
        <row r="178">
          <cell r="B178" t="str">
            <v>1.1.5.1.43/13</v>
          </cell>
          <cell r="C178" t="str">
            <v>3.1.96</v>
          </cell>
          <cell r="D178" t="str">
            <v>Замена 2 трансформаторов 400 кВА на 630 кВА в ТП-324 и реконструкция РУ-0,4 кВ ТП-324 для электроснабжения жилого здания со встроенными объектами соцкультбыта по адресу: г. Липецк, ул. Водопьянова-Берзина</v>
          </cell>
          <cell r="E178" t="str">
            <v>П+С
(тех присоед.)</v>
          </cell>
          <cell r="F178" t="str">
            <v>1,26 МВА</v>
          </cell>
          <cell r="G178">
            <v>2014</v>
          </cell>
          <cell r="H178">
            <v>2015</v>
          </cell>
        </row>
        <row r="179">
          <cell r="B179" t="str">
            <v>1.1.5.1.44/13</v>
          </cell>
          <cell r="C179" t="str">
            <v>3.1.97</v>
          </cell>
          <cell r="D179" t="str">
            <v>Реконструкция ВЛ-6 кВ от ПС "Трубная" до ТП-396 с отпайками для электроснабжения стройплощадки объекта "Комплексное освоение в целях индивидуального и малоэтажного жилищного строительства" по адресу: г. Липецк, Лебедянское шоссе</v>
          </cell>
          <cell r="E179" t="str">
            <v>П+С
(тех присоед.)</v>
          </cell>
          <cell r="F179" t="str">
            <v xml:space="preserve">2,7 км                      </v>
          </cell>
          <cell r="G179">
            <v>2014</v>
          </cell>
          <cell r="H179">
            <v>2018</v>
          </cell>
        </row>
        <row r="180">
          <cell r="B180" t="str">
            <v>1.1.5.1.46/13</v>
          </cell>
          <cell r="C180" t="str">
            <v>3.1.99</v>
          </cell>
          <cell r="D180" t="str">
            <v>Реконструкция РУ-0,4 кВ ТП-575 для электроснабжения здания склада по адресу: г. Липецк, ул. Металлургов, владение 1</v>
          </cell>
          <cell r="E180" t="str">
            <v>П+С
(тех присоед.)</v>
          </cell>
          <cell r="F180" t="str">
            <v>-</v>
          </cell>
          <cell r="G180">
            <v>2014</v>
          </cell>
          <cell r="H180">
            <v>2018</v>
          </cell>
        </row>
        <row r="181">
          <cell r="B181" t="str">
            <v>1.1.5.1.47/13</v>
          </cell>
          <cell r="C181" t="str">
            <v>3.1.100</v>
          </cell>
          <cell r="D181" t="str">
            <v xml:space="preserve">Монтаж в/в ячеек в РУ-6 кВ ТП-191 для электроснабжения комплекса зданий автоцентров по адресу: г. Липецк, ул. Ю. Натуралистов, д. 18, 18 А </v>
          </cell>
          <cell r="E181" t="str">
            <v>П+С
(тех присоед.)</v>
          </cell>
          <cell r="F181" t="str">
            <v>-</v>
          </cell>
          <cell r="G181">
            <v>2014</v>
          </cell>
          <cell r="H181">
            <v>2016</v>
          </cell>
        </row>
        <row r="182">
          <cell r="B182" t="str">
            <v>1.1.5.1.49/13</v>
          </cell>
          <cell r="C182" t="str">
            <v>3.1.101</v>
          </cell>
          <cell r="D182" t="str">
            <v>Монтаж вводно-линейной панели в РУ-0,4 кВ ТП-33, Монтаж ошиновки тр-ра, Монтаж прибора учета для электроснабжения отеля по адресу: г. Липецк, ул. Верхняя, д. 2</v>
          </cell>
          <cell r="E182" t="str">
            <v>П+С
(тех присоед.)</v>
          </cell>
          <cell r="F182" t="str">
            <v>-</v>
          </cell>
          <cell r="G182">
            <v>2014</v>
          </cell>
          <cell r="H182">
            <v>2016</v>
          </cell>
        </row>
        <row r="183">
          <cell r="B183" t="str">
            <v>1.1.5.1.50/13</v>
          </cell>
          <cell r="C183" t="str">
            <v>3.1.102</v>
          </cell>
          <cell r="D183" t="str">
            <v>Замена 2 трансформаторов с 630 на 1000 кВА, реконструкция РУ-0,4 кВ ТП-182 для электроснабжения помещение № 4 по адресу: г. Липецк, пр. Победы, д. 21</v>
          </cell>
          <cell r="E183" t="str">
            <v>П+С
(тех присоед.)</v>
          </cell>
          <cell r="F183" t="str">
            <v>2 МВА</v>
          </cell>
          <cell r="G183">
            <v>2014</v>
          </cell>
          <cell r="H183">
            <v>2016</v>
          </cell>
        </row>
        <row r="184">
          <cell r="B184" t="str">
            <v>4.1.57/09</v>
          </cell>
          <cell r="C184" t="str">
            <v>3.1.104</v>
          </cell>
          <cell r="D184" t="str">
            <v>Монтаж новой ТП взамен существующей ТП-219, монтаж устройства передачи данных (УСПД) по учету электрической энергии в РУ-0,4 кВ вновь смонтированной ТП, строительство КЛ-6 кВ от ПС "Привокзальная" до ТП-219, строительство КЛ-6 кВ от ТП-219 до ТП-228, реконструкция КЛ-6 кВ ПС "Привокзальная", яч. № 13 -
ТП-219 (инв. № 340031), монтаж оборудования в РУ-6 кВ вновь смонтированной ТП, монтаж оборудования в РУ-0,4 кВ вновь смонтированной ТП, монтаж трансформатора № 1 во вновь смонтированной ТП, монтаж трансформатора № 2 во вновь смонтированной ТП для электроснабжения жилого здания (1 этап строительства) по ул. Гагарина, запитанного от ТП-219; 145 кВт, 380В, 2 категория</v>
          </cell>
          <cell r="E184" t="str">
            <v>П+С
(тех присоед.)</v>
          </cell>
          <cell r="F184" t="str">
            <v>1,26 МВА</v>
          </cell>
          <cell r="G184">
            <v>2010</v>
          </cell>
          <cell r="H184">
            <v>2016</v>
          </cell>
        </row>
        <row r="185">
          <cell r="B185" t="str">
            <v>1.1.6.4.47/10</v>
          </cell>
          <cell r="C185" t="str">
            <v>3.1.105</v>
          </cell>
          <cell r="D185" t="str">
            <v>Монтаж новой ТП взамен существующей ТП-121, строительство КЛ-10 кВ от РП-Интернациональная до вновь смонтированной ТП, реконструкция КЛ-6 кВ "ТП-39 - ТП-121" (инв.№345671) и "ТП-41 - ТП-121" (инв.№345696), строительство КЛ-6 кВ от ТП-62 до ТП-25, монтаж узла учета во вновь смонтированной ТП, монтаж пожарно-охранной сигнализации во вновь смонтированной ТП, монтаж оборудования в РУ-10 кВ
вновь смонтированной ТП, монтаж оборудования в РУ-0,4 кВ
вновь смонтированной ТП, реконструкция участка водопровода к дому № 47 по ул. Интернациональная (инв. № 311651А) для электроснабжения жилого дома со встроено-пристроенными объектами соцкультбыта по ул. Интернациональная (Строительство ТП-121 и КЛ-10 кВ к ней от РП-52</v>
          </cell>
          <cell r="E185" t="str">
            <v>П+С
(тех присоед.)</v>
          </cell>
          <cell r="F185" t="str">
            <v>2 км
1,2 МВА</v>
          </cell>
          <cell r="G185">
            <v>2013</v>
          </cell>
          <cell r="H185">
            <v>2017</v>
          </cell>
        </row>
        <row r="186">
          <cell r="B186" t="str">
            <v>4.1.69/09</v>
          </cell>
          <cell r="C186" t="str">
            <v>3.1.106</v>
          </cell>
          <cell r="D186" t="str">
            <v>Монтаж оборудования РУ-0,4кВ ТП-178 взамен существующего (инв. №410100А), монтаж оборудования РУ-6кВ ТП-178 взамен существующего (инв. №410100А), монтаж трансформаторов в ТП-178 взамен существующих (инв. №41132А), монтаж ячеек в РУ-10кВ РП-Центр, строительство КЛ-10кВ от РП-Центр до ТП-178,реконструкция КЛ-6кВ "ТП-128 - ТП-178" (инв. №345449) и "ТП-176 - ТП-178" (инв. №345448), реконструкция КЛ-6кВ "ТП-128 - ТП-178" (инв. №345449) и "ТП-11 - ТП-178" (инв. №345354) для электроснабжения жилого здания с объектами соцкультбыта и подземной автостоянкой по ул. Неделина, запитанного от РУ-0,4 кВ ТП-178; 404,09 кВт, 380В, 2 категория</v>
          </cell>
          <cell r="E186" t="str">
            <v>П+С
(тех присоед.)</v>
          </cell>
          <cell r="F186" t="str">
            <v>1 км
2 МВА</v>
          </cell>
          <cell r="G186">
            <v>2013</v>
          </cell>
          <cell r="H186">
            <v>2017</v>
          </cell>
        </row>
        <row r="187">
          <cell r="B187" t="str">
            <v>1.1.6.4.35/10</v>
          </cell>
          <cell r="C187" t="str">
            <v>3.1.107</v>
          </cell>
          <cell r="D187" t="str">
            <v>Монтаж оборудования в РУ-0,4 кВ ТП-176 взамен существующего (инв. № 410098А), монтаж оборудования в РУ-6 кВ ТП-176 взамен существующего (инв.№410098А), монтаж трансформаторов в ТП-176 взамен существующих (инв. №41128А, 41127А), строительство КЛ-10кВ от РП-Центр до ТП-176, монтаж ячеек в РУ-10кВ РП-Центр, реконструкция КЛ-6 кВ "ТП-380 - ТП-176" (инв.№345664) и "ТП-176 - ТП-11" (инв.№345353), реконструкция КЛ-6 кВ "ТП-178 - ТП-176" (инв.№345448) и "ТП-176 - ТП-16" (инв.№345422) для электроснабжения жилого дома по ул. Котовского, 12</v>
          </cell>
          <cell r="E187" t="str">
            <v>П+С
(тех присоед.)</v>
          </cell>
          <cell r="F187" t="str">
            <v>1 км
2 МВА</v>
          </cell>
          <cell r="G187">
            <v>2013</v>
          </cell>
          <cell r="H187">
            <v>2016</v>
          </cell>
        </row>
        <row r="188">
          <cell r="B188" t="str">
            <v>1.1.6.1.18/12</v>
          </cell>
          <cell r="C188" t="str">
            <v>3.1.108</v>
          </cell>
          <cell r="D188" t="str">
            <v xml:space="preserve">Монтаж оборудования РУ-0,4 кВ в ТП-34, монтаж оборудования РУ-10 кВ РП-Интернациональная, монтаж оборудования РУ-6 кВ в ТП-34, Монтаж трансформаторов в ТП-34 взамен существующих (инв. №42291А, 42292А), строительство КЛ-10 кВ от РП-Интернациональная до ТП-34, реконструкция КЛ-6 кВ ТП-34 - РП-29 (инв. №340946), реконструкция КЛ-6 кВ ТП-34 - РП-12 (инв. №340850), монтаж УСПД в ТП-34 для электроснабжения здания гостиницы, здания кафе и благоустройство территории по адресу: г. Липецк, ул. Кузнечная </v>
          </cell>
          <cell r="E188" t="str">
            <v>П+С
(тех присоед.)</v>
          </cell>
          <cell r="F188" t="str">
            <v>1,41 км
1,26 МВА</v>
          </cell>
          <cell r="G188">
            <v>2013</v>
          </cell>
          <cell r="H188">
            <v>2019</v>
          </cell>
        </row>
        <row r="189">
          <cell r="B189" t="str">
            <v>1.1.6.4.40/10</v>
          </cell>
          <cell r="C189" t="str">
            <v>3.1.109</v>
          </cell>
          <cell r="D189" t="str">
            <v>Реконструкция ТП-115, строительство КЛ-10 кВ от ЦРП "Город" до ТП-115 для электроснабжения жилого здания по ул. Зегеля, 21 а, запитанного от РУ-0,4 кВ ТП-115; 531,2 кВт, 380 В, 2 категория</v>
          </cell>
          <cell r="E189" t="str">
            <v>П+С
(тех присоед.)</v>
          </cell>
          <cell r="F189" t="str">
            <v>1,116 км
2 МВА</v>
          </cell>
          <cell r="G189">
            <v>2010</v>
          </cell>
          <cell r="H189">
            <v>2017</v>
          </cell>
        </row>
        <row r="190">
          <cell r="B190" t="str">
            <v>1.1.6.4.38/10</v>
          </cell>
          <cell r="C190" t="str">
            <v>3.1.110</v>
          </cell>
          <cell r="D190" t="str">
            <v>Монтаж оборудования РУ-6 кВ (с целью перевода на 10 кВ) и РУ-0,4 кВ в ТП-155, монтаж трансформаторов 2х1000 (взамен 2х630), строительство КЛ-10 кВ от РП-Интернациональная до ТП-155 для электроснабжения трехэтажного здания банка с подвалом (лит. А, под А) по адресу: г. Липецк, ул. Интернациональная, 8, запитанного от РУ-0,4 кВ ТП-155; 200 кВт (дополнительно к существующей 100 кВт), 380 В, II категория</v>
          </cell>
          <cell r="E190" t="str">
            <v>П+С
(тех присоед.)</v>
          </cell>
          <cell r="F190" t="str">
            <v>2 км
2 МВА</v>
          </cell>
          <cell r="G190">
            <v>2010</v>
          </cell>
          <cell r="H190">
            <v>2017</v>
          </cell>
        </row>
        <row r="191">
          <cell r="B191" t="str">
            <v>1.1.5.1.4/14</v>
          </cell>
          <cell r="C191" t="str">
            <v>3.1.114</v>
          </cell>
          <cell r="D191" t="str">
            <v>Монтаж новой ячейки в РУ-6 кВ ТП-460, реконструкция КЛ-6 кВ, монтаж новой КЛ-6 кВ от ТП-431 до ТП-460, Замена трансформаторов 2*250 на 2*630 кВА в ТП-431, реконструкция оборудования РУ-0,4 кВ ТП-431 для электроснабжения многоэтажного жилого дома в ПОПиИ "Сокол-1", уч. 794,975,796, 821, 822, 831, 832.</v>
          </cell>
          <cell r="E191" t="str">
            <v>П+С
(тех присоед.)</v>
          </cell>
          <cell r="F191" t="str">
            <v>1,26 МВА</v>
          </cell>
          <cell r="G191">
            <v>2014</v>
          </cell>
          <cell r="H191">
            <v>2017</v>
          </cell>
        </row>
        <row r="192">
          <cell r="B192" t="str">
            <v>1.1.5.1.24/14</v>
          </cell>
          <cell r="C192" t="str">
            <v>3.1.115</v>
          </cell>
          <cell r="D192" t="str">
            <v>Замена трансформаторов 2*630 на 2*1000 кВА в ТП-357, реконструкция оборудования РУ-0,4 кВ ТП-357 для электроснабжения 15-этажного жилого дома с объектами соцкультбыта и пристроенным плавательным бассейном по б-ру Шубина</v>
          </cell>
          <cell r="E192" t="str">
            <v>П+С
(тех присоед.)</v>
          </cell>
          <cell r="F192" t="str">
            <v>2 МВА</v>
          </cell>
          <cell r="G192">
            <v>2014</v>
          </cell>
          <cell r="H192">
            <v>2016</v>
          </cell>
        </row>
        <row r="193">
          <cell r="B193" t="str">
            <v>1.1.5.1.8/14</v>
          </cell>
          <cell r="C193" t="str">
            <v>3.1.116</v>
          </cell>
          <cell r="D193" t="str">
            <v>Замена трансформаторов 2*400 на 2*630 кВА в ТП-515, реконструкция оборудования РУ-0,4 кВ ТП-515 для электроснабжения медицинского центра (диализного центра) по ул.М.Расковой</v>
          </cell>
          <cell r="E193" t="str">
            <v>П+С
(тех присоед.)</v>
          </cell>
          <cell r="F193" t="str">
            <v>1,26 МВА</v>
          </cell>
          <cell r="G193">
            <v>2014</v>
          </cell>
          <cell r="H193">
            <v>2017</v>
          </cell>
        </row>
        <row r="194">
          <cell r="B194" t="str">
            <v>1.1.5.1.49/14</v>
          </cell>
          <cell r="C194" t="str">
            <v>3.1.117</v>
          </cell>
          <cell r="D194" t="str">
            <v>Замена трансформаторов 2*400 на 2*630 кВА в ТП-187, реконструкция оборудования РУ-0,4 кВ ТП-187 для электроснабжения многоквартирного жилого дома по ул. Литаврина, д.8</v>
          </cell>
          <cell r="E194" t="str">
            <v>П+С
(тех присоед.)</v>
          </cell>
          <cell r="F194" t="str">
            <v>1,26 МВА</v>
          </cell>
          <cell r="G194">
            <v>2014</v>
          </cell>
          <cell r="H194">
            <v>2019</v>
          </cell>
        </row>
        <row r="195">
          <cell r="B195" t="str">
            <v>1.1.5.1.27/14</v>
          </cell>
          <cell r="C195" t="str">
            <v>3.1.118</v>
          </cell>
          <cell r="D195" t="str">
            <v>Монтаж ячеек в РУ-10 кВ РП Центр, строительство КЛ-10 кВ от РП Центр до новой ТП, строительство новой ТП для электроснабжения объектов: многоэтажное жилое здание со встроенными объектами соцкультбыта по ул. Неделина, 10а, и многоэтажное жилое здание со встроенными торгово-административными помещениями и автостоянкой закрытого типа по ул. Неделина - Фрунзе</v>
          </cell>
          <cell r="E195" t="str">
            <v>П+С
(тех присоед.)</v>
          </cell>
          <cell r="F195" t="str">
            <v>0,5 км
2,5 МВА</v>
          </cell>
          <cell r="G195">
            <v>2014</v>
          </cell>
          <cell r="H195">
            <v>2016</v>
          </cell>
        </row>
        <row r="196">
          <cell r="B196" t="str">
            <v>1.1.5.1.7/15</v>
          </cell>
          <cell r="C196" t="str">
            <v>3.1.119</v>
          </cell>
          <cell r="D196" t="str">
            <v>Реконструкция оборудования в РУ-6 кВ ТП - 251 с монтажом 2-х дополнительных высоковольтных ячеек., перезавод КЛ-6 кВ для электроснабжения строительства лабораторного корпуса областного туберкулезного диспансера в г. Липецке по адресу: г. Липецк, ул. Космонавтов, д. 35/1</v>
          </cell>
          <cell r="E196" t="str">
            <v>П+С
(тех присоед.)</v>
          </cell>
          <cell r="F196" t="str">
            <v>0,1 км</v>
          </cell>
          <cell r="G196">
            <v>2015</v>
          </cell>
          <cell r="H196">
            <v>2017</v>
          </cell>
        </row>
        <row r="197">
          <cell r="B197" t="str">
            <v>1.1.5.1.23/14</v>
          </cell>
          <cell r="C197" t="str">
            <v>3.1.120</v>
          </cell>
          <cell r="D197" t="str">
            <v>Монтаж 4 КЛ-6 кВ врезки в существующие КЛ-6 кВ ТП-278-ТП-279 для электроснабжения нового корпуса Липецкого областного перинатального центра по адресу: г. Липецк, ул. Московская, д. 6 а</v>
          </cell>
          <cell r="E197" t="str">
            <v>П+С
(тех присоед.)</v>
          </cell>
          <cell r="F197" t="str">
            <v>0,4 км</v>
          </cell>
          <cell r="G197">
            <v>2015</v>
          </cell>
          <cell r="H197">
            <v>2016</v>
          </cell>
        </row>
        <row r="198">
          <cell r="B198" t="str">
            <v>1.1.5.1.2/15</v>
          </cell>
          <cell r="C198" t="str">
            <v>3.1.121</v>
          </cell>
          <cell r="D198" t="str">
            <v>Замена панелей в РУ-0,4 кВ ТП-402 для электроснабжения реконструкции объекта незавершенного строительства по адресу: г. Липецк, пл. Аксакова, под диспансерное отделение Липецкой областной психоневрологической больницы</v>
          </cell>
          <cell r="E198" t="str">
            <v>П+С
(тех присоед.)</v>
          </cell>
          <cell r="F198" t="str">
            <v>-</v>
          </cell>
          <cell r="G198">
            <v>2015</v>
          </cell>
          <cell r="H198">
            <v>2017</v>
          </cell>
        </row>
        <row r="199">
          <cell r="B199" t="str">
            <v>1.1.5.1.4/15</v>
          </cell>
          <cell r="C199" t="str">
            <v>3.1.122</v>
          </cell>
          <cell r="D199" t="str">
            <v>Замена сил. тр-ров в ТП-317 на нов. 1000 кВА ; Реконструкция оборудования в РУ-0,4 кВ ТП-317; Реконструкция обор-я в РУ-6 кВ ТП-317 - 8 яч.; Монтаж ячейки в РУ-6 кВ ТП-317 ; Монтаж ошиновки в РУ-6/0,4 кВ ТП-317; Монтаж КЛ-6 кВ - 3 000 м. для электроснабжения многоэтажного жилого дома по адресу: г. Липецк, ул. Пришвина в Правобережном округе</v>
          </cell>
          <cell r="E199" t="str">
            <v>П+С
(тех присоед.)</v>
          </cell>
          <cell r="F199" t="str">
            <v>3 км
0,97 МВА</v>
          </cell>
          <cell r="G199">
            <v>2015</v>
          </cell>
          <cell r="H199">
            <v>2017</v>
          </cell>
        </row>
        <row r="200">
          <cell r="B200" t="str">
            <v>1.1.5.1.6/14</v>
          </cell>
          <cell r="C200" t="str">
            <v>3.1.123</v>
          </cell>
          <cell r="D200" t="str">
            <v>Замена т-ра № 1 в ТП-312; Реконструкция оборудования в РУ-0,4 кВ ТП-312; Монтаж ошиновки т-ров и с.ш.; для электроснабжения объекта реконструкции здания МУ "Дом культуры "Рудничный" по адресу: г. Липецк, ул. Ударников, 13</v>
          </cell>
          <cell r="E200" t="str">
            <v>П+С
(тех присоед.)</v>
          </cell>
          <cell r="F200" t="str">
            <v>0,23 МВА</v>
          </cell>
          <cell r="G200">
            <v>2015</v>
          </cell>
          <cell r="H200">
            <v>2016</v>
          </cell>
        </row>
        <row r="201">
          <cell r="B201" t="str">
            <v>1.1.5.1.11/14</v>
          </cell>
          <cell r="C201" t="str">
            <v>3.1.124</v>
          </cell>
          <cell r="D201" t="str">
            <v>Монтаж выключателей нагрузки -2 шт в РУ-10 кВ ТП-642 для электроснабжения детского сада в поселке Сырский Рудник по адресу: г. Липецк, ул. Ударников</v>
          </cell>
          <cell r="E201" t="str">
            <v>П+С
(тех присоед.)</v>
          </cell>
          <cell r="F201" t="str">
            <v>-</v>
          </cell>
          <cell r="G201">
            <v>2015</v>
          </cell>
          <cell r="H201">
            <v>2016</v>
          </cell>
        </row>
        <row r="202">
          <cell r="B202" t="str">
            <v>1.1.5.1.17/14</v>
          </cell>
          <cell r="C202" t="str">
            <v>3.1.125</v>
          </cell>
          <cell r="D202" t="str">
            <v>Монтаж лин. панели в РУ-0,4 кВ ТП-515 для электроснабжения жилого здания № 2 по ул. Осипенко в г. Липецке</v>
          </cell>
          <cell r="E202" t="str">
            <v>П+С
(тех присоед.)</v>
          </cell>
          <cell r="F202" t="str">
            <v>-</v>
          </cell>
          <cell r="G202">
            <v>2015</v>
          </cell>
          <cell r="H202">
            <v>2017</v>
          </cell>
        </row>
        <row r="203">
          <cell r="B203" t="str">
            <v>1.1.5.1.18/14</v>
          </cell>
          <cell r="C203" t="str">
            <v>3.1.126</v>
          </cell>
          <cell r="D203" t="str">
            <v>Монтаж ком. аппарата в РУ-0,4 кВ РП-8; Монтаж УСПД для электроснабжения жилого здания № 2 по ул. Газина в г. Липецке</v>
          </cell>
          <cell r="E203" t="str">
            <v>П+С
(тех присоед.)</v>
          </cell>
          <cell r="F203" t="str">
            <v>-</v>
          </cell>
          <cell r="G203">
            <v>2015</v>
          </cell>
          <cell r="H203">
            <v>2017</v>
          </cell>
        </row>
        <row r="204">
          <cell r="B204" t="str">
            <v>1.1.5.1.19/14</v>
          </cell>
          <cell r="C204" t="str">
            <v>3.1.127</v>
          </cell>
          <cell r="D204" t="str">
            <v>Монтаж ком. аппаратов в РУ-0,4 кВ ТП-397 для электроснабжения жилого здания по проезду Боевому в г. Липецке</v>
          </cell>
          <cell r="E204" t="str">
            <v>П+С
(тех присоед.)</v>
          </cell>
          <cell r="F204" t="str">
            <v>-</v>
          </cell>
          <cell r="G204">
            <v>2015</v>
          </cell>
          <cell r="H204">
            <v>2015</v>
          </cell>
        </row>
        <row r="205">
          <cell r="B205" t="str">
            <v>1.1.5.1.44/14</v>
          </cell>
          <cell r="C205" t="str">
            <v>3.1.128</v>
          </cell>
          <cell r="D205" t="str">
            <v xml:space="preserve"> Монтаж панелей в РУ-0,4 кВ РП-55 - 2 шт для электроснабжения "Жилого здания (стр. № 26) по ул. 6-й Гвардейской дивизии в г. Липецке</v>
          </cell>
          <cell r="E205" t="str">
            <v>П+С
(тех присоед.)</v>
          </cell>
          <cell r="F205" t="str">
            <v>-</v>
          </cell>
          <cell r="G205">
            <v>2015</v>
          </cell>
          <cell r="H205">
            <v>2017</v>
          </cell>
        </row>
        <row r="206">
          <cell r="B206" t="str">
            <v>1.1.5.1.10/14</v>
          </cell>
          <cell r="C206" t="str">
            <v>3.1.129</v>
          </cell>
          <cell r="D206" t="str">
            <v>Монтаж линейных панелей - 2 шт. в РУ-0,4 кВ ТП-350 для электроснабжения помещения по адресу: г. Липецк, ул. Катукова, строение 18 а</v>
          </cell>
          <cell r="E206" t="str">
            <v>П+С
(тех присоед.)</v>
          </cell>
          <cell r="F206" t="str">
            <v>-</v>
          </cell>
          <cell r="G206">
            <v>2015</v>
          </cell>
          <cell r="H206">
            <v>2017</v>
          </cell>
        </row>
        <row r="207">
          <cell r="B207" t="str">
            <v>1.1.5.1.21/14</v>
          </cell>
          <cell r="C207" t="str">
            <v>3.1.130</v>
          </cell>
          <cell r="D207" t="str">
            <v xml:space="preserve">Замена тр-ра на 630 кВА в ТП-207;
Реконструкция в РУ-0,4 кВ ТП-207 для электроснабжения магазина по адресу: г. Липецк, ул. Космонавтов, д. 50 "а" </v>
          </cell>
          <cell r="E207" t="str">
            <v>П+С
(тех присоед.)</v>
          </cell>
          <cell r="F207" t="str">
            <v>0,23 МВА</v>
          </cell>
          <cell r="G207">
            <v>2015</v>
          </cell>
          <cell r="H207">
            <v>2016</v>
          </cell>
        </row>
        <row r="208">
          <cell r="B208" t="str">
            <v>1.1.5.1.7/14</v>
          </cell>
          <cell r="C208" t="str">
            <v>3.1.131</v>
          </cell>
          <cell r="D208" t="str">
            <v>Реконструкция оборудования в РУ-0,4 кВ ТП-737 для электроснабжения здания профилактория со служебными постройками по адресу: г. Липецк, ул. Волгоградская, 2 "а"</v>
          </cell>
          <cell r="E208" t="str">
            <v>П+С
(тех присоед.)</v>
          </cell>
          <cell r="F208" t="str">
            <v>-</v>
          </cell>
          <cell r="G208">
            <v>2015</v>
          </cell>
          <cell r="H208">
            <v>2016</v>
          </cell>
        </row>
        <row r="209">
          <cell r="B209" t="str">
            <v>1.1.5.1.16/14</v>
          </cell>
          <cell r="C209" t="str">
            <v>3.1.133</v>
          </cell>
          <cell r="D209" t="str">
            <v>Монтаж в/в ячейки в РУ-10 кВ ТП-532 - 1 шт.; Реконструкция оборудования РУ-10 кВ ТП-583; Монтаж в/в ячеек в РУ-10 кВ ТП-583 - 2 шт.; Монтаж  приборов учета  - 2 шт. для электроснабжения магазина по адресу: г. Липецк, ул. Зои Космодемьянской, д.8</v>
          </cell>
          <cell r="E209" t="str">
            <v>П+С
(тех присоед.)</v>
          </cell>
          <cell r="F209" t="str">
            <v>-</v>
          </cell>
          <cell r="G209">
            <v>2015</v>
          </cell>
          <cell r="H209">
            <v>2017</v>
          </cell>
        </row>
        <row r="210">
          <cell r="B210" t="str">
            <v>1.1.5.1.55/14</v>
          </cell>
          <cell r="C210" t="str">
            <v>3.1.134</v>
          </cell>
          <cell r="D210" t="str">
            <v xml:space="preserve">Монтаж 2 в/в ячейки в РУ-10 кВ ТП-810;  Монтаж приборов учета для электроснабжения торгового центра по адресу: г. Липецк, ул. Неделина </v>
          </cell>
          <cell r="E210" t="str">
            <v>П+С
(тех присоед.)</v>
          </cell>
          <cell r="F210" t="str">
            <v>-</v>
          </cell>
          <cell r="G210">
            <v>2015</v>
          </cell>
          <cell r="H210">
            <v>2017</v>
          </cell>
        </row>
        <row r="211">
          <cell r="B211" t="str">
            <v>1.1.5.1.52/14</v>
          </cell>
          <cell r="C211" t="str">
            <v>3.1.135</v>
          </cell>
          <cell r="D211" t="str">
            <v>Замена 2-х трансформаторов на 1000 кВА, Реконструкция оборудования в РУ-0,4 кВ ТП-339;
Перезавод КЛ-0,4 кВ для электроснабжения жилого здания по адресу: г. Липецк, ул. 50 лет НЛМК, кадастровый № 48:20:0045902:51</v>
          </cell>
          <cell r="E211" t="str">
            <v>П+С
(тех присоед.)</v>
          </cell>
          <cell r="F211" t="str">
            <v>0,05 км
0,74 МВА</v>
          </cell>
          <cell r="G211">
            <v>2015</v>
          </cell>
          <cell r="H211">
            <v>2017</v>
          </cell>
        </row>
        <row r="212">
          <cell r="B212" t="str">
            <v>1.1.5.1.63/14</v>
          </cell>
          <cell r="C212" t="str">
            <v>3.1.136</v>
          </cell>
          <cell r="D212" t="str">
            <v>Замена в/в ячейки в РУ-6 кВ ТП-82.;
Монтаж в/в ячейки в РУ-6 кВ ТП-195;
 Монтаж КЛ-6 кВ;
Монтаж панелей в РУ-0,4 кВ ТП-82 для электроснабжения 54 квартирного жилого дома по адресу: г. Липецк, ул. Механизаторов</v>
          </cell>
          <cell r="E212" t="str">
            <v>П+С
(тех присоед.)</v>
          </cell>
          <cell r="F212" t="str">
            <v>-</v>
          </cell>
          <cell r="G212">
            <v>2017</v>
          </cell>
          <cell r="H212">
            <v>2018</v>
          </cell>
        </row>
        <row r="213">
          <cell r="B213" t="str">
            <v>1.1.5.1.15/14</v>
          </cell>
          <cell r="C213" t="str">
            <v>3.1.137</v>
          </cell>
          <cell r="D213" t="str">
            <v>Монтаж ком. аппаратов в ТП-279 для электроснабжения КНС для хозбытовой канализации по объекту: "Новый корпус Липецкого областного перинатального центра" по адресу: г. Липецк, ул. Московская, д. 6 а</v>
          </cell>
          <cell r="E213" t="str">
            <v>П+С
(тех присоед.)</v>
          </cell>
          <cell r="F213" t="str">
            <v>-</v>
          </cell>
          <cell r="G213">
            <v>2016</v>
          </cell>
          <cell r="H213">
            <v>2017</v>
          </cell>
        </row>
        <row r="214">
          <cell r="B214" t="str">
            <v>1.1.5.1.1/14</v>
          </cell>
          <cell r="C214" t="str">
            <v>3.1.138</v>
          </cell>
          <cell r="D214" t="str">
            <v>Монтаж двух ячеек в РУ-10 кВ ТП-176 для электроснабжения реконструкции поликлиники на 500 посещений в смену с дневным стационаром областного онкологического центра под административное здание с объектами торговли, общественного питания, бытового обслуживания по адресу: г. Липецк, ул. М.И. Неделина, в районе сооружения № 5 в Октябрьском округе</v>
          </cell>
          <cell r="E214" t="str">
            <v>П+С
(тех присоед.)</v>
          </cell>
          <cell r="F214" t="str">
            <v>-</v>
          </cell>
          <cell r="G214">
            <v>2017</v>
          </cell>
          <cell r="H214">
            <v>2018</v>
          </cell>
        </row>
        <row r="215">
          <cell r="B215" t="str">
            <v>1.1.5.1.22/14</v>
          </cell>
          <cell r="C215" t="str">
            <v>3.1.139</v>
          </cell>
          <cell r="D215" t="str">
            <v>Монтаж ВЛ-0,4 кВ - 400 м. - 600 000 руб.; Монтаж прибора учета для электроснабжения здания автостоянки закрытого типа на 4 машино-места по адресу: г. Липецк, район ул. Краснозаводская и СНТ "Дружба"</v>
          </cell>
          <cell r="E215" t="str">
            <v>П+С
(тех присоед.)</v>
          </cell>
          <cell r="F215" t="str">
            <v>0,4 км</v>
          </cell>
          <cell r="G215">
            <v>2015</v>
          </cell>
          <cell r="H215">
            <v>2017</v>
          </cell>
        </row>
        <row r="216">
          <cell r="B216" t="str">
            <v>1.1.5.1.43/14</v>
          </cell>
          <cell r="C216" t="str">
            <v>3.1.140</v>
          </cell>
          <cell r="D216" t="str">
            <v>Монтаж ком. аппаратов в ТП-366 - 2 шт. ; Монтаж приборов учета - 2 шт.  для электроснабжения основной пристройки к лит. А по адресу: г. Липецк, ул. П. Смородина, д. 13 а</v>
          </cell>
          <cell r="E216" t="str">
            <v>П+С
(тех присоед.)</v>
          </cell>
          <cell r="F216" t="str">
            <v>-</v>
          </cell>
          <cell r="G216">
            <v>2015</v>
          </cell>
          <cell r="H216">
            <v>2017</v>
          </cell>
        </row>
        <row r="217">
          <cell r="B217" t="str">
            <v>1.1.5.1.13/14</v>
          </cell>
          <cell r="C217" t="str">
            <v>3.1.141</v>
          </cell>
          <cell r="D217" t="str">
            <v>Монтаж ком. ап. в РУ-0,4 кВ ТП-51 -  1 шт.;
Монтаж прибора учета - 1 шт. для  электроснабжение магазина по адресу: г. Липецк, ул. Доватора, д. 7, корп. А</v>
          </cell>
          <cell r="E217" t="str">
            <v>П+С
(тех присоед.)</v>
          </cell>
          <cell r="F217" t="str">
            <v>-</v>
          </cell>
          <cell r="G217">
            <v>2018</v>
          </cell>
          <cell r="H217">
            <v>2019</v>
          </cell>
        </row>
        <row r="218">
          <cell r="B218" t="str">
            <v>1.1.6.1.30/11</v>
          </cell>
          <cell r="C218" t="str">
            <v>3.1.142</v>
          </cell>
          <cell r="D218" t="str">
            <v xml:space="preserve"> Реконструкция РУ-0,4кВ ТП-807 - 3 яч. Замена ошиновки РУ-0,4 кВ ТП-807 для электроснабжения многоквартирного жилого дома стр. № 2 с объектами соцкультбыта по адресу: г. Липецк, ул. Стаханова, МЖК</v>
          </cell>
          <cell r="E218" t="str">
            <v>С</v>
          </cell>
          <cell r="F218" t="str">
            <v xml:space="preserve">0,3 км                      </v>
          </cell>
          <cell r="G218">
            <v>2011</v>
          </cell>
          <cell r="H218">
            <v>2017</v>
          </cell>
        </row>
        <row r="219">
          <cell r="B219" t="str">
            <v>1.1.6.1.3/11</v>
          </cell>
          <cell r="C219" t="str">
            <v>3.1.143</v>
          </cell>
          <cell r="D219" t="str">
            <v>Электроснабжение жилого здания с административными помещениями по ул. Энергостроителей, запитанного от ТП-625; 105кВт, 380В, 2 и 3 категории.</v>
          </cell>
          <cell r="E219" t="str">
            <v>С</v>
          </cell>
          <cell r="F219" t="str">
            <v xml:space="preserve">0,25 км                      </v>
          </cell>
          <cell r="G219">
            <v>2011</v>
          </cell>
          <cell r="H219">
            <v>2019</v>
          </cell>
        </row>
        <row r="220">
          <cell r="B220" t="str">
            <v>1.1.6.4.26/10</v>
          </cell>
          <cell r="C220" t="str">
            <v>3.1.144</v>
          </cell>
          <cell r="D220" t="str">
            <v>Электроснабжение встроенного нежилого помещения № 2 по ул. Коммунистическая, д. 11, запитанного от ТП-713; 50 кВт, 380 В, 3 категория.</v>
          </cell>
          <cell r="E220" t="str">
            <v>С</v>
          </cell>
          <cell r="F220" t="str">
            <v>0,3 км
0,05 МВА</v>
          </cell>
          <cell r="G220">
            <v>2010</v>
          </cell>
          <cell r="H220">
            <v>2015</v>
          </cell>
        </row>
        <row r="221">
          <cell r="B221" t="str">
            <v>1.1.6.1.65/11</v>
          </cell>
          <cell r="C221" t="str">
            <v>3.1.145</v>
          </cell>
          <cell r="D221" t="str">
            <v>Электроснабжение здания кирпичного цеха (сопряжение стен с лит. А10, А2, А6) по адресу: г. Липецк, ул. Подгоренская, вл.4</v>
          </cell>
          <cell r="E221" t="str">
            <v>С</v>
          </cell>
          <cell r="F221" t="str">
            <v xml:space="preserve">0,25 км                      </v>
          </cell>
          <cell r="G221">
            <v>2011</v>
          </cell>
          <cell r="H221">
            <v>2019</v>
          </cell>
        </row>
        <row r="222">
          <cell r="B222" t="str">
            <v>1.1.6.1.66/11</v>
          </cell>
          <cell r="C222" t="str">
            <v>3.1.146</v>
          </cell>
          <cell r="D222" t="str">
            <v>Электроснабжение жилого здания по адресу: г. Липецк, ул. Новокарьерная</v>
          </cell>
          <cell r="E222" t="str">
            <v>С</v>
          </cell>
          <cell r="F222" t="str">
            <v xml:space="preserve">0,7 км                      </v>
          </cell>
          <cell r="G222">
            <v>2011</v>
          </cell>
          <cell r="H222">
            <v>2017</v>
          </cell>
        </row>
        <row r="223">
          <cell r="B223" t="str">
            <v>1.1.6.1.56/12</v>
          </cell>
          <cell r="C223" t="str">
            <v>3.1.147</v>
          </cell>
          <cell r="D223" t="str">
            <v>Электроснабжение объекта культурного наследия регионального значения по адресу: г. Липецк, ул. К. Маркса, д. 2</v>
          </cell>
          <cell r="E223" t="str">
            <v>С</v>
          </cell>
          <cell r="F223" t="str">
            <v xml:space="preserve">0,06 км                      </v>
          </cell>
          <cell r="G223">
            <v>2012</v>
          </cell>
          <cell r="H223">
            <v>2019</v>
          </cell>
        </row>
        <row r="224">
          <cell r="B224" t="str">
            <v>1.1.6.4.55/10</v>
          </cell>
          <cell r="C224" t="str">
            <v>3.1.148</v>
          </cell>
          <cell r="D224" t="str">
            <v>Электроснабжение прачечной по ул. Ковалева, вл. 119В</v>
          </cell>
          <cell r="E224" t="str">
            <v>С</v>
          </cell>
          <cell r="F224" t="str">
            <v xml:space="preserve">0,2 км                      </v>
          </cell>
          <cell r="G224">
            <v>2010</v>
          </cell>
          <cell r="H224">
            <v>2017</v>
          </cell>
        </row>
        <row r="225">
          <cell r="B225" t="str">
            <v>1.1.6.1.63/11</v>
          </cell>
          <cell r="C225" t="str">
            <v>3.1.149</v>
          </cell>
          <cell r="D225" t="str">
            <v>Электроснабжение СНТ "Дружба" по адресу: г. Липецк, ул. Краснозаводская, вл.1д</v>
          </cell>
          <cell r="E225" t="str">
            <v>С</v>
          </cell>
          <cell r="F225" t="str">
            <v xml:space="preserve">0,15 км                      </v>
          </cell>
          <cell r="G225">
            <v>2011</v>
          </cell>
          <cell r="H225">
            <v>2017</v>
          </cell>
        </row>
        <row r="226">
          <cell r="B226" t="str">
            <v>1.1.6.1.51/12</v>
          </cell>
          <cell r="C226" t="str">
            <v>3.1.150</v>
          </cell>
          <cell r="D226" t="str">
            <v>Электроснабжение здания АУП и столовой с пристройкой (лит. Б) по адресу: г. Липецк, ул. Прудная, 1.</v>
          </cell>
          <cell r="E226" t="str">
            <v>С</v>
          </cell>
          <cell r="F226" t="str">
            <v xml:space="preserve">0,25 км                      </v>
          </cell>
          <cell r="G226">
            <v>2012</v>
          </cell>
          <cell r="H226">
            <v>2019</v>
          </cell>
        </row>
        <row r="227">
          <cell r="B227" t="str">
            <v>3.1.129/07</v>
          </cell>
          <cell r="C227" t="str">
            <v>3.1.151</v>
          </cell>
          <cell r="D227" t="str">
            <v>Замена трансформаторов в ТП-377 для электроснабжения жилого здания № 2 по ул. Фрунзе, запитанного от ТП-377, 200 кВт, 380 В, 2 категория</v>
          </cell>
          <cell r="E227" t="str">
            <v>С</v>
          </cell>
          <cell r="F227" t="str">
            <v>1,26 МВА</v>
          </cell>
          <cell r="G227">
            <v>2007</v>
          </cell>
          <cell r="H227">
            <v>2017</v>
          </cell>
        </row>
        <row r="228">
          <cell r="B228" t="str">
            <v>1.1.5.1.37/14</v>
          </cell>
          <cell r="C228" t="str">
            <v>3.1.152</v>
          </cell>
          <cell r="D228" t="str">
            <v>Монтаж 2-х в/в ячеек в РУ-6 кВ ТП-826 для электроснабжения здания коммунально-бытового назначения по адресу: г. Липецк, ул. Депутатская, кадастровый № 48:20:0046006:702</v>
          </cell>
          <cell r="E228" t="str">
            <v>П+С
(тех присоед.)</v>
          </cell>
          <cell r="F228" t="str">
            <v>-</v>
          </cell>
          <cell r="G228">
            <v>2018</v>
          </cell>
          <cell r="H228">
            <v>2019</v>
          </cell>
        </row>
        <row r="229">
          <cell r="B229" t="str">
            <v>1.1.5.1.2/14</v>
          </cell>
          <cell r="C229" t="str">
            <v>3.1.153</v>
          </cell>
          <cell r="D229" t="str">
            <v>Монтаж ком. аппарата в пан. № 4 РУ-0,4 кВ ТП-44 - 1 шт. Монтаж панели в РУ-0,4 кВ ТП-44 для электроснабжения многоэтажного жилого дома по адресу: г. Липецк, ул. Калинина, д. 54, 56</v>
          </cell>
          <cell r="E229" t="str">
            <v>П+С
(тех присоед.)</v>
          </cell>
          <cell r="F229" t="str">
            <v>-</v>
          </cell>
          <cell r="G229">
            <v>2015</v>
          </cell>
          <cell r="H229">
            <v>2016</v>
          </cell>
        </row>
        <row r="230">
          <cell r="B230" t="str">
            <v>1.1.5.1.9/14</v>
          </cell>
          <cell r="C230" t="str">
            <v>3.1.154</v>
          </cell>
          <cell r="D230" t="str">
            <v>Замена т/т на 2х630 кВА в ТП-208;
Замена панелей в РУ-0,4 кВ ТП-208 - 6 шт.; 
Замена ошиновки 6/0,4 кВ для электроснабжения объекта "Реконструкция нежилых помещений под магазин непродовольственных товаров" по адресу: г. Липецк, ул. Космонавтов, д. 42/1</v>
          </cell>
          <cell r="E230" t="str">
            <v>П+С
(тех присоед.)</v>
          </cell>
          <cell r="F230" t="str">
            <v>0,46 МВА</v>
          </cell>
          <cell r="G230">
            <v>2017</v>
          </cell>
          <cell r="H230">
            <v>2018</v>
          </cell>
        </row>
        <row r="231">
          <cell r="B231" t="str">
            <v>1.1.5.1.29/14</v>
          </cell>
          <cell r="C231" t="str">
            <v>3.1.155</v>
          </cell>
          <cell r="D231" t="str">
            <v xml:space="preserve"> Замена 2-х сил. т-ров с 250 кВА на 400 кВА в ТП- для электроснабжения стройплощадки производственной базы с установкой бетонорастворного узла по адресу: г. Липецк, ул. Московская, владение 171 б</v>
          </cell>
          <cell r="E231" t="str">
            <v>П+С
(тех присоед.)</v>
          </cell>
          <cell r="F231" t="str">
            <v>0,3 МВА</v>
          </cell>
          <cell r="G231">
            <v>2015</v>
          </cell>
          <cell r="H231">
            <v>2016</v>
          </cell>
        </row>
        <row r="232">
          <cell r="B232" t="str">
            <v>1.1.5.1.26/14</v>
          </cell>
          <cell r="C232" t="str">
            <v>3.1.156</v>
          </cell>
          <cell r="D232" t="str">
            <v>Монтаж панели в РУ-0,4 кВ ТП-525 для электроснабжения центра временного размещения граждан, подлежащих административному выдворению за пределы РФ по адресу: г. Липецк, ул. Гришина, 12</v>
          </cell>
          <cell r="E232" t="str">
            <v>П+С
(тех присоед.)</v>
          </cell>
          <cell r="F232" t="str">
            <v>-</v>
          </cell>
          <cell r="G232">
            <v>2016</v>
          </cell>
          <cell r="H232">
            <v>2017</v>
          </cell>
        </row>
        <row r="233">
          <cell r="B233" t="str">
            <v>1.1.5.1.12/14</v>
          </cell>
          <cell r="C233" t="str">
            <v>3.1.157</v>
          </cell>
          <cell r="D233" t="str">
            <v>Наладка релейной защиты в ТП-575 для электроснабжения склада по адресу: г. Липецк, ул. Металлургов, строение 1д</v>
          </cell>
          <cell r="E233" t="str">
            <v>П+С
(тех присоед.)</v>
          </cell>
          <cell r="F233" t="str">
            <v>-</v>
          </cell>
          <cell r="G233">
            <v>2015</v>
          </cell>
          <cell r="H233">
            <v>2016</v>
          </cell>
        </row>
        <row r="234">
          <cell r="B234" t="str">
            <v>1.1.5.1.14/14</v>
          </cell>
          <cell r="C234" t="str">
            <v>3.1.158</v>
          </cell>
          <cell r="D234" t="str">
            <v>Монтаж линейной панели в РУ-0,4 кВ ТП-331; 
Замена панели № 9 на лин. панель в РУ-0,4 кВ ТП-331для электроснабжения кафе с сауной по адресу: г. Липецк, б. Есенина</v>
          </cell>
          <cell r="E234" t="str">
            <v>П+С
(тех присоед.)</v>
          </cell>
          <cell r="F234" t="str">
            <v>-</v>
          </cell>
          <cell r="G234">
            <v>2018</v>
          </cell>
          <cell r="H234">
            <v>2019</v>
          </cell>
        </row>
        <row r="235">
          <cell r="B235" t="str">
            <v>1.1.5.1.20/14</v>
          </cell>
          <cell r="C235" t="str">
            <v>3.1.159</v>
          </cell>
          <cell r="D235" t="str">
            <v xml:space="preserve"> Замена панелей в РУ-0,4 кВ ТП-132 для электроснабжения многоквартирного жилого здания с подземной автостоянкой по адресу: г. Липецк, ул. Гоголя, д. 35</v>
          </cell>
          <cell r="E235" t="str">
            <v>П+С
(тех присоед.)</v>
          </cell>
          <cell r="F235" t="str">
            <v>-</v>
          </cell>
          <cell r="G235">
            <v>2015</v>
          </cell>
          <cell r="H235">
            <v>2016</v>
          </cell>
        </row>
        <row r="236">
          <cell r="B236" t="str">
            <v>1.1.6.1.47/11</v>
          </cell>
          <cell r="C236" t="str">
            <v>3.1.160</v>
          </cell>
          <cell r="D236" t="str">
            <v>Монтаж водно-линейной панели в ТП для электроснабжения братского корпуса по адресу: г. Липецк, ул. Салтыкова-Щедрина</v>
          </cell>
          <cell r="E236" t="str">
            <v>с</v>
          </cell>
          <cell r="F236" t="str">
            <v xml:space="preserve">0,15 км                      </v>
          </cell>
          <cell r="G236">
            <v>2011</v>
          </cell>
          <cell r="H236">
            <v>2017</v>
          </cell>
        </row>
        <row r="237">
          <cell r="B237" t="str">
            <v>1.1.6.1.59/11</v>
          </cell>
          <cell r="C237" t="str">
            <v>3.1.161</v>
          </cell>
          <cell r="D237" t="str">
            <v xml:space="preserve">Монтаж коммутационного аппарата - 1 шт.; Замена тр-ров - 2 шт; Замена ошиновки РУ-0,4кВ ТП-166 ;                                                                                                                                                             Замена 2 вводных и секционной панели и 7 линейных панелей для электроснабжения нежилых помещений № 4 и № 5 по адресу: г. Липецк, 15 микрорайон, д. 17 </v>
          </cell>
          <cell r="E237" t="str">
            <v>С
(тех присоед.)</v>
          </cell>
          <cell r="F237" t="str">
            <v>-</v>
          </cell>
          <cell r="G237">
            <v>2011</v>
          </cell>
          <cell r="H237">
            <v>2017</v>
          </cell>
        </row>
        <row r="238">
          <cell r="B238" t="str">
            <v>1.1.5.1.28/14</v>
          </cell>
          <cell r="C238" t="str">
            <v>3.1.162</v>
          </cell>
          <cell r="D238" t="str">
            <v>Замена т/т на 630 кВА в ТП-818 для электроснабжения помещений № 1, № 2, № 3, № 4, № 5 по адресу: г. Липецк, ул. имени Шуминского С.Л., дом № 16</v>
          </cell>
          <cell r="E238" t="str">
            <v>П+С
(тех присоед.)</v>
          </cell>
          <cell r="F238" t="str">
            <v>0,63 МВА</v>
          </cell>
          <cell r="G238">
            <v>2014</v>
          </cell>
          <cell r="H238">
            <v>2016</v>
          </cell>
        </row>
        <row r="239">
          <cell r="B239" t="str">
            <v>1.1.5.1.30/14</v>
          </cell>
          <cell r="C239" t="str">
            <v>3.1.163</v>
          </cell>
          <cell r="D239" t="str">
            <v>Замена т-ра 400 кВА на 630 кВА в РУ-0,4 кВ ТП-76; Монтаж панели в РУ-0,4 кВ ТП-76 - 1 шт.; Замена ошиновки 6/0,4 кВ для электроснабжения административно-складского нежилого помещения по адресу: г. Липецк, ул. Гагарина, владение 102 В</v>
          </cell>
          <cell r="E239" t="str">
            <v>П+С
(тех присоед.)</v>
          </cell>
          <cell r="F239" t="str">
            <v>0,63 МВА</v>
          </cell>
          <cell r="G239">
            <v>2014</v>
          </cell>
          <cell r="H239">
            <v>2017</v>
          </cell>
        </row>
        <row r="240">
          <cell r="B240" t="str">
            <v>1.1.5.1.31/14</v>
          </cell>
          <cell r="C240" t="str">
            <v>3.1.164</v>
          </cell>
          <cell r="D240" t="str">
            <v>Замена тр-ров в ТП-649 - 2 шт.; Замена панелей 5 шт для электроснабжения гостиничного комплекса по адресу: почтовый адрес ориентира: г. Липецк, ул. Монтажников, д. 6</v>
          </cell>
          <cell r="E240" t="str">
            <v>П+С
(тех присоед.)</v>
          </cell>
          <cell r="F240" t="str">
            <v>1,26 МВА</v>
          </cell>
          <cell r="G240">
            <v>2017</v>
          </cell>
          <cell r="H240">
            <v>2018</v>
          </cell>
        </row>
        <row r="241">
          <cell r="B241" t="str">
            <v>1.1.5.1.32/14</v>
          </cell>
          <cell r="C241" t="str">
            <v>3.1.165</v>
          </cell>
          <cell r="D241" t="str">
            <v>Реконструкция РУ-0,4 кВ ТП-703; Реконструкция РУ-0,4 кВ ТП-717 для электроснабжения многоэтажного жилого дома по адресу: г. Липецк, ул. Ильича, 15</v>
          </cell>
          <cell r="E241" t="str">
            <v>П+С
(тех присоед.)</v>
          </cell>
          <cell r="F241" t="str">
            <v>-</v>
          </cell>
          <cell r="G241">
            <v>2014</v>
          </cell>
          <cell r="H241">
            <v>2018</v>
          </cell>
        </row>
        <row r="242">
          <cell r="B242" t="str">
            <v>1.1.5.1.33/14</v>
          </cell>
          <cell r="C242" t="str">
            <v>3.1.166</v>
          </cell>
          <cell r="D242" t="str">
            <v>Замена ком. аппарата в КТП-73 - 1 шт. для электроснабжения административного здания по адресу: г. Липецк, проезд Петровский, дом № 1</v>
          </cell>
          <cell r="E242" t="str">
            <v>П+С
(тех присоед.)</v>
          </cell>
          <cell r="F242" t="str">
            <v>-</v>
          </cell>
          <cell r="G242">
            <v>2015</v>
          </cell>
          <cell r="H242">
            <v>2017</v>
          </cell>
        </row>
        <row r="243">
          <cell r="B243" t="str">
            <v>1.1.5.1.34/14</v>
          </cell>
          <cell r="C243" t="str">
            <v>3.1.167</v>
          </cell>
          <cell r="D243" t="str">
            <v>Монтаж панели в РУ-0,4 кВ ТП-876 - 1 шт.  для электроснабжения многоярусной автостоянки открытого типа на 300 мест по адресу: г. Липецк, ул. Катукова</v>
          </cell>
          <cell r="E243" t="str">
            <v>П+С
(тех присоед.)</v>
          </cell>
          <cell r="F243" t="str">
            <v>-</v>
          </cell>
          <cell r="G243">
            <v>2015</v>
          </cell>
          <cell r="H243">
            <v>2017</v>
          </cell>
        </row>
        <row r="244">
          <cell r="B244" t="str">
            <v>1.1.5.1.35/14</v>
          </cell>
          <cell r="C244" t="str">
            <v>3.1.168</v>
          </cell>
          <cell r="D244" t="str">
            <v>Реконструкция ВЛ-0,4 кВ для электроснабжения здания выставочного центра по адресу: г. Липецк, ул. Ударников, районе д. № 92 (кадастровый № 48:20:0011808:164)</v>
          </cell>
          <cell r="E244" t="str">
            <v>П+С
(тех присоед.)</v>
          </cell>
          <cell r="F244" t="str">
            <v>-</v>
          </cell>
          <cell r="G244">
            <v>2015</v>
          </cell>
          <cell r="H244">
            <v>2016</v>
          </cell>
        </row>
        <row r="245">
          <cell r="B245" t="str">
            <v>1.1.5.1.36/14</v>
          </cell>
          <cell r="C245" t="str">
            <v>3.1.169</v>
          </cell>
          <cell r="D245" t="str">
            <v>Монтаж ком. аппарата в РУ-0,4 кВ ТП-539, Монтаж ошиновки т-ра  для электроснабжения административного здания по адресу: г. Липецк, район пересечения ул. Ферросплавной и переулка Бестужева в Левобережном округе, кадастровый № 48:20:0035102:12629</v>
          </cell>
          <cell r="E245" t="str">
            <v>П+С
(тех присоед.)</v>
          </cell>
          <cell r="F245" t="str">
            <v>-</v>
          </cell>
          <cell r="G245">
            <v>2015</v>
          </cell>
          <cell r="H245">
            <v>2016</v>
          </cell>
        </row>
        <row r="246">
          <cell r="B246" t="str">
            <v>1.1.5.1.39/14</v>
          </cell>
          <cell r="C246" t="str">
            <v>3.1.170</v>
          </cell>
          <cell r="D246" t="str">
            <v>Монтаж ком. ап. в РУ-0,4 кВ ТП-539 для электроснабжения автоматической блочной мини-АЗС по адресу: г. Липецк, ул. Ферросплавная, в районе вл. № 21 в Левобережном округе, кадастровый № 48:02:0035102:12802</v>
          </cell>
          <cell r="E246" t="str">
            <v>П+С
(тех присоед.)</v>
          </cell>
          <cell r="F246" t="str">
            <v>-</v>
          </cell>
          <cell r="G246">
            <v>2017</v>
          </cell>
          <cell r="H246">
            <v>2018</v>
          </cell>
        </row>
        <row r="247">
          <cell r="B247" t="str">
            <v>1.1.5.1.40/14</v>
          </cell>
          <cell r="C247" t="str">
            <v>3.1.171</v>
          </cell>
          <cell r="D247" t="str">
            <v>Монтаж ПКУ - 1 шт.; Монтаж прибора учета для электроснабжения базы отдыха "Липчанка" по адресу: Липецкая обл., Грязинский р-он, Плехановское лесничество, Ленинский лесхоз</v>
          </cell>
          <cell r="E247" t="str">
            <v>П+С
(тех присоед.)</v>
          </cell>
          <cell r="F247" t="str">
            <v>-</v>
          </cell>
          <cell r="G247">
            <v>2015</v>
          </cell>
          <cell r="H247">
            <v>2017</v>
          </cell>
        </row>
        <row r="248">
          <cell r="B248" t="str">
            <v>1.1.5.1.41/14</v>
          </cell>
          <cell r="C248" t="str">
            <v>3.1.172</v>
          </cell>
          <cell r="D248" t="str">
            <v>Монтаж КЛ-10кВ от ТП-114а и ТП-163а до ТП-541, Реконструкция РУ-10 кВ 5 яч.; Реконструкция РУ-0,4 кВ 6 пан. Монтаж трансформатора 400 кВА для электроснабжения нежилого помещения № 1 по адресу: г. Липецк, ул. М. Расковой, 2а</v>
          </cell>
          <cell r="E248" t="str">
            <v>П+С
(тех присоед.)</v>
          </cell>
          <cell r="F248" t="str">
            <v>0,7 км
0,4 МВА</v>
          </cell>
          <cell r="G248">
            <v>2015</v>
          </cell>
          <cell r="H248">
            <v>2016</v>
          </cell>
        </row>
        <row r="249">
          <cell r="B249" t="str">
            <v>1.1.5.1.42/14</v>
          </cell>
          <cell r="C249" t="str">
            <v>3.1.173</v>
          </cell>
          <cell r="D249" t="str">
            <v>Реконструкция ВЛ-0,4 кВ для электроснабжения садового домика по адресу: г. Липецк, СТ "Тракторостроитель-1", зем. уч. № 29</v>
          </cell>
          <cell r="E249" t="str">
            <v>П+С
(тех присоед.)</v>
          </cell>
          <cell r="F249" t="str">
            <v>0,2 км</v>
          </cell>
          <cell r="G249">
            <v>2015</v>
          </cell>
          <cell r="H249">
            <v>2016</v>
          </cell>
        </row>
        <row r="250">
          <cell r="B250" t="str">
            <v>1.1.5.1.45/14</v>
          </cell>
          <cell r="C250" t="str">
            <v>3.1.174</v>
          </cell>
          <cell r="D250" t="str">
            <v>Реконструкция ВЛ-6 кВ; 
Монтаж ПКУ - 1 шт. ;
Монтаж прибора учета - 1 шт. для электроснабжения здания склада по адресу: г. Липецк, ул. Ковалева, кадастровый № 48:20:0027503:86</v>
          </cell>
          <cell r="E250" t="str">
            <v>П+С
(тех присоед.)</v>
          </cell>
          <cell r="F250" t="str">
            <v>0,02 км</v>
          </cell>
          <cell r="G250">
            <v>2015</v>
          </cell>
          <cell r="H250">
            <v>2017</v>
          </cell>
        </row>
        <row r="251">
          <cell r="B251" t="str">
            <v>1.1.5.1.46/14</v>
          </cell>
          <cell r="C251" t="str">
            <v>3.1.175</v>
          </cell>
          <cell r="D251" t="str">
            <v>Монтаж в/в ячейки в РУ-10 кВ РП-51;
2. Монтаж прибора учета в яч. РУ-10 кВ РП-51 для электроснабжения стройплощадки зданий гостиниц с парковками по ул. 50 лет НЛМК (в прибрежной зоне реки Воронеж) по адресу: г. Липецк, ул. 50 лет НЛМК (в прибрежной зоне реки Воронеж), кадастровый № 48:20:0045905:35</v>
          </cell>
          <cell r="E251" t="str">
            <v>П+С
(тех присоед.)</v>
          </cell>
          <cell r="F251" t="str">
            <v>-</v>
          </cell>
          <cell r="G251">
            <v>2015</v>
          </cell>
          <cell r="H251">
            <v>2016</v>
          </cell>
        </row>
        <row r="252">
          <cell r="B252" t="str">
            <v>1.1.5.1.47/14</v>
          </cell>
          <cell r="C252" t="str">
            <v>3.1.176</v>
          </cell>
          <cell r="D252" t="str">
            <v>Замена ячейки в ТП-739 -  1 шт; 
Монтаж прибора учета для электроснабжения производственного здания по адресу: г. Липецк, ул. Тимирязева, владение 4</v>
          </cell>
          <cell r="E252" t="str">
            <v>П+С
(тех присоед.)</v>
          </cell>
          <cell r="F252" t="str">
            <v>-</v>
          </cell>
          <cell r="G252">
            <v>2017</v>
          </cell>
          <cell r="H252">
            <v>2018</v>
          </cell>
        </row>
        <row r="253">
          <cell r="B253" t="str">
            <v>1.1.5.1.48/14</v>
          </cell>
          <cell r="C253" t="str">
            <v>3.1.177</v>
          </cell>
          <cell r="D253" t="str">
            <v>Монтаж ТП взамен КТП-644 и КТП-611 для электроснабжения 17-ти этажного жилого здания по адресу: г. Липецк, ул. Ударников, д. № 24</v>
          </cell>
          <cell r="E253" t="str">
            <v>П+С
(тех присоед.)</v>
          </cell>
          <cell r="F253" t="str">
            <v>1,26 МВА</v>
          </cell>
          <cell r="G253">
            <v>2017</v>
          </cell>
          <cell r="H253">
            <v>2018</v>
          </cell>
        </row>
        <row r="254">
          <cell r="B254" t="str">
            <v>1.1.5.1.50/14</v>
          </cell>
          <cell r="C254" t="str">
            <v>3.1.178</v>
          </cell>
          <cell r="D254" t="str">
            <v>Реконструкция РУ-0,4 кВ ТП-337 для электроснабжение многоквартирного многоэтажного жилого дома 5-10 этажей по адресу: г. Липецк, ул. Индустриальная, д. 68</v>
          </cell>
          <cell r="E254" t="str">
            <v>П+С
(тех присоед.)</v>
          </cell>
          <cell r="F254" t="str">
            <v>-</v>
          </cell>
          <cell r="G254">
            <v>2017</v>
          </cell>
          <cell r="H254">
            <v>2018</v>
          </cell>
        </row>
        <row r="255">
          <cell r="B255" t="str">
            <v>1.1.5.1.51/14</v>
          </cell>
          <cell r="C255" t="str">
            <v>3.1.179</v>
          </cell>
          <cell r="D255" t="str">
            <v>Замена трансформатора в РУ-6 кВ ТП-201- 1 шт.; Реконструкция в РУ-0,4 кВ ТП-201 для электроснабжения нежилого помещения № 2 по адресу: г. Липецк, ул. Гагарина, 133 (Лит. А)</v>
          </cell>
          <cell r="E255" t="str">
            <v>П+С
(тех присоед.)</v>
          </cell>
          <cell r="F255" t="str">
            <v>0,63 МВА</v>
          </cell>
          <cell r="G255">
            <v>2015</v>
          </cell>
          <cell r="H255">
            <v>2016</v>
          </cell>
        </row>
        <row r="256">
          <cell r="B256" t="str">
            <v>1.1.5.1.53/14</v>
          </cell>
          <cell r="C256" t="str">
            <v>3.1.180</v>
          </cell>
          <cell r="D256" t="str">
            <v>Реконструкция ТП-891 для электроснабжения строительства жилых домов строительные №№ 5,16 с объектами торговли и соцкультбыта строительные №№ 28,38,39,40,41. Жилое здание № 16 со встроенно-пристроенными помещениями № 38. по адресу: г. Липецк, 28 микрорайон</v>
          </cell>
          <cell r="E256" t="str">
            <v>П+С
(тех присоед.)</v>
          </cell>
          <cell r="F256" t="str">
            <v>-</v>
          </cell>
          <cell r="G256">
            <v>2015</v>
          </cell>
          <cell r="H256">
            <v>2017</v>
          </cell>
        </row>
        <row r="257">
          <cell r="B257" t="str">
            <v>1.1.5.1.54/14</v>
          </cell>
          <cell r="C257" t="str">
            <v>3.1.181</v>
          </cell>
          <cell r="D257" t="str">
            <v xml:space="preserve"> Монтаж коммутационного аппарата - 1 шт для электроснабжения АЗС по адресу: г. Липецк, ул. 50 лет НЛМК, в районе подстанции "Манежная", в Октябрьском округе, кадастровый № 48:20:0046105:23</v>
          </cell>
          <cell r="E257" t="str">
            <v>П+С
(тех присоед.)</v>
          </cell>
          <cell r="F257" t="str">
            <v>-</v>
          </cell>
          <cell r="G257">
            <v>2017</v>
          </cell>
          <cell r="H257">
            <v>2018</v>
          </cell>
        </row>
        <row r="258">
          <cell r="B258" t="str">
            <v>1.1.5.2.28/14</v>
          </cell>
          <cell r="C258" t="str">
            <v>3.1.182</v>
          </cell>
          <cell r="D258" t="str">
            <v>Монтаж ком. аппаратов в РУ-0,4 кВ ТП-280 ; Монтаж приборов учета для электроснабжения здания инженерного корпуса и столовой по адресу: г. Липецк, ул. Московская, д. 83</v>
          </cell>
          <cell r="E258" t="str">
            <v>П+С
(тех присоед.)</v>
          </cell>
          <cell r="F258" t="str">
            <v>-</v>
          </cell>
          <cell r="G258">
            <v>2015</v>
          </cell>
          <cell r="H258">
            <v>2016</v>
          </cell>
        </row>
        <row r="259">
          <cell r="B259" t="str">
            <v>1.1.5.2.12/14</v>
          </cell>
          <cell r="C259" t="str">
            <v>3.1.183</v>
          </cell>
          <cell r="D259" t="str">
            <v xml:space="preserve">Реконструкция РУ-0,4 кВ ТП-380 для электроснабжения помещения № 1 по адресу: г. Липецк, ул. Коммунальная, д. 14 </v>
          </cell>
          <cell r="E259" t="str">
            <v>П+С
(тех присоед.)</v>
          </cell>
          <cell r="F259" t="str">
            <v>-</v>
          </cell>
          <cell r="G259">
            <v>2017</v>
          </cell>
          <cell r="H259">
            <v>2018</v>
          </cell>
        </row>
        <row r="260">
          <cell r="B260" t="str">
            <v>1.1.5.1.56/14</v>
          </cell>
          <cell r="C260" t="str">
            <v>3.1.184</v>
          </cell>
          <cell r="D260" t="str">
            <v xml:space="preserve">Монтаж 4-х в/в ячеек в РП-Новая Гагарина и РП-44 для электроснабжения жилой застройки на 708 квартир по адресу: г. Липецк, военный городок № 1 </v>
          </cell>
          <cell r="E260" t="str">
            <v>П+С
(тех присоед.)</v>
          </cell>
          <cell r="F260" t="str">
            <v>-</v>
          </cell>
          <cell r="G260">
            <v>2015</v>
          </cell>
          <cell r="H260">
            <v>2020</v>
          </cell>
        </row>
        <row r="261">
          <cell r="B261" t="str">
            <v>1.1.5.1.57/14</v>
          </cell>
          <cell r="C261" t="str">
            <v>3.1.185</v>
          </cell>
          <cell r="D261" t="str">
            <v xml:space="preserve">Монтаж прибора учета - 1 шт для электроснабжения многоэтажной автостоянки по адресу: г. Липецк, ул. Космонавтов в Советском округе, кадастровый № 48:20:0012901:43 </v>
          </cell>
          <cell r="E261" t="str">
            <v>П+С
(тех присоед.)</v>
          </cell>
          <cell r="F261" t="str">
            <v>-</v>
          </cell>
          <cell r="G261">
            <v>2015</v>
          </cell>
          <cell r="H261">
            <v>2016</v>
          </cell>
        </row>
        <row r="262">
          <cell r="B262" t="str">
            <v>1.1.5.1.58/14</v>
          </cell>
          <cell r="C262" t="str">
            <v>3.1.186</v>
          </cell>
          <cell r="D262" t="str">
            <v>Монтаж ком. аппаратов в РУ-0,4 кВ ТП-293  для электроснабжения здания по адресу: г. Липецк, ул. П.И. Смородина, в районе дома № 12 а, кадастровый № 48:20:0044402:2044</v>
          </cell>
          <cell r="E262" t="str">
            <v>П+С
(тех присоед.)</v>
          </cell>
          <cell r="F262" t="str">
            <v>-</v>
          </cell>
          <cell r="G262">
            <v>2015</v>
          </cell>
          <cell r="H262">
            <v>2016</v>
          </cell>
        </row>
        <row r="263">
          <cell r="B263" t="str">
            <v>1.1.5.1.59/14</v>
          </cell>
          <cell r="C263" t="str">
            <v>3.1.187</v>
          </cell>
          <cell r="D263" t="str">
            <v xml:space="preserve"> Монтаж в/в ячеек в РУ-10 кВ РП-51 - 2 шт.;
Монтаж приборов учета в яч. РУ-10 кВ РП-51  для электроснабжения строительства по адресу: г. Липецк по ул. 50 лет НЛМК в прибрежной зоне реки Воронеж в Октябрьском округе </v>
          </cell>
          <cell r="E263" t="str">
            <v>П+С
(тех присоед.)</v>
          </cell>
          <cell r="F263" t="str">
            <v>-</v>
          </cell>
          <cell r="G263">
            <v>2015</v>
          </cell>
          <cell r="H263">
            <v>2016</v>
          </cell>
        </row>
        <row r="264">
          <cell r="B264" t="str">
            <v>1.1.5.1.60/14</v>
          </cell>
          <cell r="C264" t="str">
            <v>3.1.188</v>
          </cell>
          <cell r="D264" t="str">
            <v xml:space="preserve"> Монтаж ком. ап. в ТП-354 - 1 шт. ;
Монтаж прибора уч. - 1 шт. для электроснабжения магазина по адресу: г. Липецк, бульвар Шубина, кадастровый № 48:20:0044007:13</v>
          </cell>
          <cell r="E264" t="str">
            <v>П+С
(тех присоед.)</v>
          </cell>
          <cell r="F264" t="str">
            <v>-</v>
          </cell>
          <cell r="G264">
            <v>2017</v>
          </cell>
          <cell r="H264">
            <v>2018</v>
          </cell>
        </row>
        <row r="265">
          <cell r="B265" t="str">
            <v>1.1.5.1.61/14</v>
          </cell>
          <cell r="C265" t="str">
            <v>3.1.189</v>
          </cell>
          <cell r="D265" t="str">
            <v>Монтаж коммутационного аппарата для электроснабжения стройплощадки жилого дома по адресу: г. Липецк, ул. Пришвина, кадастровый № 48:20:0028302:19</v>
          </cell>
          <cell r="E265" t="str">
            <v>П+С
(тех присоед.)</v>
          </cell>
          <cell r="F265" t="str">
            <v>-</v>
          </cell>
          <cell r="G265">
            <v>2015</v>
          </cell>
          <cell r="H265">
            <v>2017</v>
          </cell>
        </row>
        <row r="266">
          <cell r="B266" t="str">
            <v>1.1.5.1.62/14</v>
          </cell>
          <cell r="C266" t="str">
            <v>3.1.190</v>
          </cell>
          <cell r="D266" t="str">
            <v>Замена панелей в РУ-0,4 кВ ТП-94 для электроснабжения здания по адресу: г. Липецк, ул. Студеновская, д. 109</v>
          </cell>
          <cell r="E266" t="str">
            <v>П+С
(тех присоед.)</v>
          </cell>
          <cell r="F266" t="str">
            <v>-</v>
          </cell>
          <cell r="G266">
            <v>2015</v>
          </cell>
          <cell r="H266">
            <v>2016</v>
          </cell>
        </row>
        <row r="267">
          <cell r="B267" t="str">
            <v>1.1.5.1.64/14</v>
          </cell>
          <cell r="C267" t="str">
            <v>3.1.191</v>
          </cell>
          <cell r="D267" t="str">
            <v>Монтаж ком. ап. в РУ-0,4 кВ ТП-709 - 2 шт.;  Монтаж панелей в РУ-0,4 кВ ТП-709 - 3 шт.  для электроснабжения здания по адресу: г. Липецк, район пересечения ул. Жуковского и ул. Коммунистическая в Октябрьском округе</v>
          </cell>
          <cell r="E267" t="str">
            <v>П+С
(тех присоед.)</v>
          </cell>
          <cell r="F267" t="str">
            <v>-</v>
          </cell>
          <cell r="G267">
            <v>2017</v>
          </cell>
          <cell r="H267">
            <v>2018</v>
          </cell>
        </row>
        <row r="268">
          <cell r="B268" t="str">
            <v>1.1.5.1.65/14</v>
          </cell>
          <cell r="C268" t="str">
            <v>3.1.192</v>
          </cell>
          <cell r="D268" t="str">
            <v>Монтаж новой ТП взамен ТП-532;
Монтаж приборов учета для электроснабжения помещения № 5 по адресу: г. Липецк, проспект Мира, д. 11</v>
          </cell>
          <cell r="E268" t="str">
            <v>П+С
(тех присоед.)</v>
          </cell>
          <cell r="F268" t="str">
            <v>1,26 МВА</v>
          </cell>
          <cell r="G268">
            <v>2015</v>
          </cell>
          <cell r="H268">
            <v>2016</v>
          </cell>
        </row>
        <row r="269">
          <cell r="B269" t="str">
            <v>1.1.5.1.66/14</v>
          </cell>
          <cell r="C269" t="str">
            <v>3.1.193</v>
          </cell>
          <cell r="D269" t="str">
            <v>Монтаж авт. вык. в РУ-0,4 кВ КТП-673 для электроснабжения павильона П-4828 по адресу: г. Липецк, шоссе Воронежское, строение 6</v>
          </cell>
          <cell r="E269" t="str">
            <v>П+С
(тех присоед.)</v>
          </cell>
          <cell r="F269" t="str">
            <v>-</v>
          </cell>
          <cell r="G269">
            <v>2015</v>
          </cell>
          <cell r="H269">
            <v>2016</v>
          </cell>
        </row>
        <row r="270">
          <cell r="B270" t="str">
            <v>1.1.5.1.67/14</v>
          </cell>
          <cell r="C270" t="str">
            <v>3.1.194</v>
          </cell>
          <cell r="D270" t="str">
            <v>Замена ТМ 2*400 на ТМГ 2*630 кВА в ТП-281
Монтаж приборов учета 3 шт.
Монтаж 3 ком. аппарата
Замена 2 вводных и 1 секционной панели РУ-0,4 кВ
Замена ошиновки тр-ров и секций шин в РУ-0,4 кВ для электроснабжения торгово-развлекательного центра по адресу: г. Липецк, ул. Космонавтов, д. № 110</v>
          </cell>
          <cell r="E270" t="str">
            <v>П+С
(тех присоед.)</v>
          </cell>
          <cell r="F270" t="str">
            <v>0,46 МВА</v>
          </cell>
          <cell r="G270">
            <v>2015</v>
          </cell>
          <cell r="H270">
            <v>2016</v>
          </cell>
        </row>
        <row r="271">
          <cell r="B271" t="str">
            <v>1.1.5.1.68/14</v>
          </cell>
          <cell r="C271" t="str">
            <v>3.1.195</v>
          </cell>
          <cell r="D271" t="str">
            <v>Монтаж двух в/в ячеек в РУ-6 кВ РП Новая Гагарина для электроснабжения строительства зданий по адресу: г. Липецк, ул. Игнатова, в/г-1, в/ч 62632 А</v>
          </cell>
          <cell r="E271" t="str">
            <v>П+С
(тех присоед.)</v>
          </cell>
          <cell r="F271" t="str">
            <v>-</v>
          </cell>
          <cell r="G271">
            <v>2015</v>
          </cell>
          <cell r="H271">
            <v>2020</v>
          </cell>
        </row>
        <row r="272">
          <cell r="B272" t="str">
            <v>1.1.5.1.69/14</v>
          </cell>
          <cell r="C272" t="str">
            <v>3.1.196</v>
          </cell>
          <cell r="D272" t="str">
            <v>Монтаж ком. ап. в ТП-562 - 2 шт. для электроснабжения здания спортивного клуба "Ринг" по адресу: г. Липецк, ул. Островского, 4а</v>
          </cell>
          <cell r="E272" t="str">
            <v>П+С
(тех присоед.)</v>
          </cell>
          <cell r="F272" t="str">
            <v>-</v>
          </cell>
          <cell r="G272">
            <v>2015</v>
          </cell>
          <cell r="H272">
            <v>2016</v>
          </cell>
        </row>
        <row r="273">
          <cell r="B273" t="str">
            <v>1.1.5.1.70/14</v>
          </cell>
          <cell r="C273" t="str">
            <v>3.1.197</v>
          </cell>
          <cell r="D273" t="str">
            <v>Монтаж УСПД в ТП-832 для электроснабжения жилого дома по адресу: Липецкая обл., Липецкий р-он, с. Косыревка, ул. Новая</v>
          </cell>
          <cell r="E273" t="str">
            <v>П+С
(тех присоед.)</v>
          </cell>
          <cell r="F273" t="str">
            <v>-</v>
          </cell>
          <cell r="G273">
            <v>2015</v>
          </cell>
          <cell r="H273">
            <v>2017</v>
          </cell>
        </row>
        <row r="274">
          <cell r="B274" t="str">
            <v>1.1.5.1.5/14</v>
          </cell>
          <cell r="C274" t="str">
            <v>3.1.198</v>
          </cell>
          <cell r="D274" t="str">
            <v>Реконструкция РУ-10 кВ ТП-556  - 4 яч.; Монтаж прибора учета - 1 шт.  для электроснабжения административного здания по адресу: г. Липецк, пер. Трамвайный, д. 4</v>
          </cell>
          <cell r="E274" t="str">
            <v>П+С
(тех присоед.)</v>
          </cell>
          <cell r="F274" t="str">
            <v>-</v>
          </cell>
          <cell r="G274">
            <v>2015</v>
          </cell>
          <cell r="H274">
            <v>2015</v>
          </cell>
        </row>
        <row r="275">
          <cell r="B275" t="str">
            <v>1.1.2.4.182.0</v>
          </cell>
          <cell r="C275" t="str">
            <v>3.1.199</v>
          </cell>
          <cell r="D275" t="str">
            <v>Электроснабжение магазина продовольственных товаров по адресу: г. Липецк, ул. Суворова, д.18 от ТП-552</v>
          </cell>
          <cell r="E275" t="str">
            <v>С</v>
          </cell>
          <cell r="F275" t="str">
            <v>-</v>
          </cell>
          <cell r="G275">
            <v>2007</v>
          </cell>
          <cell r="H275">
            <v>2019</v>
          </cell>
        </row>
        <row r="276">
          <cell r="B276" t="str">
            <v>1.1.6.1.1/11</v>
          </cell>
          <cell r="C276" t="str">
            <v>3.1.200</v>
          </cell>
          <cell r="D276" t="str">
            <v>Монтаж устройства передачи данных (УСПД) по учету электрической энергии для объекта технологического присоединения "Электроснабжение лодочной станции (в комплексе с административным зданием и наблюдательным постом спасателей) в Грязинском районе, районе Матырского водохранилища".</v>
          </cell>
          <cell r="E276" t="str">
            <v>С</v>
          </cell>
          <cell r="F276" t="str">
            <v>-</v>
          </cell>
          <cell r="G276">
            <v>2011</v>
          </cell>
          <cell r="H276">
            <v>2019</v>
          </cell>
        </row>
        <row r="277">
          <cell r="B277" t="str">
            <v>1.1.6.1.19/11</v>
          </cell>
          <cell r="C277" t="str">
            <v>3.1.201</v>
          </cell>
          <cell r="D277" t="str">
            <v>Электроснабжение жилого дома с объектами соцкультбыта по ул. Теперика, д.1</v>
          </cell>
          <cell r="E277" t="str">
            <v>С</v>
          </cell>
          <cell r="F277" t="str">
            <v>-</v>
          </cell>
          <cell r="G277">
            <v>2011</v>
          </cell>
          <cell r="H277">
            <v>2019</v>
          </cell>
        </row>
        <row r="278">
          <cell r="B278" t="str">
            <v>1.1.6.1.21/11</v>
          </cell>
          <cell r="C278" t="str">
            <v>3.1.202</v>
          </cell>
          <cell r="D278" t="str">
            <v>Электроснабжение 17-ти этажного жилого дома со встроенно-пристроенными помещениями соцкультбыта стр.№25 в 26 микр.</v>
          </cell>
          <cell r="E278" t="str">
            <v>С</v>
          </cell>
          <cell r="F278" t="str">
            <v>-</v>
          </cell>
          <cell r="G278">
            <v>2011</v>
          </cell>
          <cell r="H278">
            <v>2019</v>
          </cell>
        </row>
        <row r="279">
          <cell r="B279" t="str">
            <v>1.1.6.1.22/11</v>
          </cell>
          <cell r="C279" t="str">
            <v>3.1.203</v>
          </cell>
          <cell r="D279" t="str">
            <v>Электроснабжение 10-ти этажного жилого дома стр. №22 с объектами  соцкультбыта в            26 микр.</v>
          </cell>
          <cell r="E279" t="str">
            <v>С</v>
          </cell>
          <cell r="F279" t="str">
            <v>-</v>
          </cell>
          <cell r="G279">
            <v>2011</v>
          </cell>
          <cell r="H279">
            <v>2019</v>
          </cell>
        </row>
        <row r="280">
          <cell r="B280" t="str">
            <v>1.1.6.4.10/10</v>
          </cell>
          <cell r="C280" t="str">
            <v>3.1.204</v>
          </cell>
          <cell r="D280" t="str">
            <v>Электроснабжение индивидуального жилого дома по ул. Котовского, д. 23, запитанного от КТП-373; 26 кВт, 380 В, 3 категория</v>
          </cell>
          <cell r="E280" t="str">
            <v>С</v>
          </cell>
          <cell r="F280" t="str">
            <v>-</v>
          </cell>
          <cell r="G280">
            <v>2010</v>
          </cell>
          <cell r="H280">
            <v>2019</v>
          </cell>
        </row>
        <row r="281">
          <cell r="B281" t="str">
            <v>1.1.6.4.21/10</v>
          </cell>
          <cell r="C281" t="str">
            <v>3.1.205</v>
          </cell>
          <cell r="D281" t="str">
            <v>Электроснабжение жилого дома по ул. Кольцевая, д. 2 а, запитанного от ТП-162; 30 кВт, 380 В, 3 категория</v>
          </cell>
          <cell r="E281" t="str">
            <v>С</v>
          </cell>
          <cell r="F281" t="str">
            <v>-</v>
          </cell>
          <cell r="G281">
            <v>2010</v>
          </cell>
          <cell r="H281">
            <v>2019</v>
          </cell>
        </row>
        <row r="282">
          <cell r="B282" t="str">
            <v>1.1.6.4.23/10</v>
          </cell>
          <cell r="C282" t="str">
            <v>3.1.206</v>
          </cell>
          <cell r="D282" t="str">
            <v>Ремонт оборудования в РУ-0,4 кВ ТП-49;
Монтаж в РУ-0,4 кВ ТП-49 устройства передачи данных (УСПД) по учету электрической энергии для электроснабжения индивидуального жилого дома усадебного типа и хозяйственных построек по ул. Индустриальная</v>
          </cell>
          <cell r="E282" t="str">
            <v>С</v>
          </cell>
          <cell r="F282" t="str">
            <v>-</v>
          </cell>
          <cell r="G282">
            <v>2010</v>
          </cell>
          <cell r="H282">
            <v>2015</v>
          </cell>
        </row>
        <row r="283">
          <cell r="B283" t="str">
            <v>1.1.6.4.34/10</v>
          </cell>
          <cell r="C283" t="str">
            <v>3.1.207</v>
          </cell>
          <cell r="D283" t="str">
            <v>Электроснабжение здания плавательного бассейна по ул. А.Г. Стаханова в районе МЖК, запитанного от ТП-808(1 этап)</v>
          </cell>
          <cell r="E283" t="str">
            <v>С</v>
          </cell>
          <cell r="F283" t="str">
            <v>-</v>
          </cell>
          <cell r="G283">
            <v>2010</v>
          </cell>
          <cell r="H283">
            <v>2019</v>
          </cell>
        </row>
        <row r="284">
          <cell r="B284" t="str">
            <v>1.1.6.4.48/10</v>
          </cell>
          <cell r="C284" t="str">
            <v>3.1.208</v>
          </cell>
          <cell r="D284" t="str">
            <v>Электроснабжение автосалона по ул. Студеновская</v>
          </cell>
          <cell r="E284" t="str">
            <v>С</v>
          </cell>
          <cell r="F284" t="str">
            <v>-</v>
          </cell>
          <cell r="G284">
            <v>2010</v>
          </cell>
          <cell r="H284">
            <v>2019</v>
          </cell>
        </row>
        <row r="285">
          <cell r="B285" t="str">
            <v>1.1.6.4.56/10</v>
          </cell>
          <cell r="C285" t="str">
            <v>3.1.209</v>
          </cell>
          <cell r="D285" t="str">
            <v>Электроснабжение здания склада продовольственных товаров с административными помещениями по пр. Осенний, вл.1А, запитанного от РУ-10кВ ТП-519, 50кВт, 10кВ, 3 категория</v>
          </cell>
          <cell r="E285" t="str">
            <v>С</v>
          </cell>
          <cell r="F285" t="str">
            <v>-</v>
          </cell>
          <cell r="G285">
            <v>2010</v>
          </cell>
          <cell r="H285">
            <v>2019</v>
          </cell>
        </row>
        <row r="286">
          <cell r="B286" t="str">
            <v>2.1.17/08</v>
          </cell>
          <cell r="C286" t="str">
            <v>3.1.210</v>
          </cell>
          <cell r="D286" t="str">
            <v>Электроснабжение многоквартирного жилого дома с магазином и спортивным залом по ул. Юношеская, 11 от ТП-649, 160 кВт, 380В, 2 категория</v>
          </cell>
          <cell r="E286" t="str">
            <v>С</v>
          </cell>
          <cell r="F286" t="str">
            <v>-</v>
          </cell>
          <cell r="G286">
            <v>2008</v>
          </cell>
          <cell r="H286">
            <v>2019</v>
          </cell>
        </row>
        <row r="287">
          <cell r="B287" t="str">
            <v>2.1.2/08</v>
          </cell>
          <cell r="C287" t="str">
            <v>3.1.211</v>
          </cell>
          <cell r="D287" t="str">
            <v>Электроснабжение жилого дома по ул. Луговая, д.20, запитанного от ТП-250; 40 кВт, 280В, 3 категория</v>
          </cell>
          <cell r="E287" t="str">
            <v>С</v>
          </cell>
          <cell r="F287" t="str">
            <v xml:space="preserve">0,19 км                      </v>
          </cell>
          <cell r="G287">
            <v>2008</v>
          </cell>
          <cell r="H287">
            <v>2019</v>
          </cell>
        </row>
        <row r="288">
          <cell r="B288" t="str">
            <v>2.1.25/08</v>
          </cell>
          <cell r="C288" t="str">
            <v>3.1.212</v>
          </cell>
          <cell r="D288" t="str">
            <v>Электроснабжение фонтана на пл. Франценюка, запитанного от ТП-508; 30кВт, 380 В, 3 категория</v>
          </cell>
          <cell r="E288" t="str">
            <v>С</v>
          </cell>
          <cell r="F288" t="str">
            <v>-</v>
          </cell>
          <cell r="G288">
            <v>2008</v>
          </cell>
          <cell r="H288">
            <v>2019</v>
          </cell>
        </row>
        <row r="289">
          <cell r="B289" t="str">
            <v>2.1.28/08</v>
          </cell>
          <cell r="C289" t="str">
            <v>3.1.213</v>
          </cell>
          <cell r="D289" t="str">
            <v>Электроснабжение нежилого помещения №3 по ул. Советская, д.28, запитанного от ТП-141; 12,2 кВт, 380В, 3 категория</v>
          </cell>
          <cell r="E289" t="str">
            <v>С</v>
          </cell>
          <cell r="F289" t="str">
            <v>-</v>
          </cell>
          <cell r="G289">
            <v>2008</v>
          </cell>
          <cell r="H289">
            <v>2019</v>
          </cell>
        </row>
        <row r="290">
          <cell r="B290" t="str">
            <v>2.1.33(08)</v>
          </cell>
          <cell r="C290" t="str">
            <v>3.1.214</v>
          </cell>
          <cell r="D290" t="str">
            <v>Электроснабжение 28 микр. в г. Липецке, запитанного от РУ-10кВ РП-49; 4000кВт, 10кВ, 2 категория</v>
          </cell>
          <cell r="E290" t="str">
            <v>С</v>
          </cell>
          <cell r="F290" t="str">
            <v>-</v>
          </cell>
          <cell r="G290">
            <v>2008</v>
          </cell>
          <cell r="H290">
            <v>2019</v>
          </cell>
        </row>
        <row r="291">
          <cell r="B291" t="str">
            <v>2.1.45/08</v>
          </cell>
          <cell r="C291" t="str">
            <v>3.1.215</v>
          </cell>
          <cell r="D291" t="str">
            <v>Электроснабжение встроенной подстанции общежития на 800 мест с блоком обслуживания в составе комплекса зданий ЛГТУ по ул. Московская, 30, запитанной от РУ-10кВ ТП-348; 150 кВт, 10 кВт, 2 категория</v>
          </cell>
          <cell r="E291" t="str">
            <v>С</v>
          </cell>
          <cell r="F291" t="str">
            <v>-</v>
          </cell>
          <cell r="G291">
            <v>2008</v>
          </cell>
          <cell r="H291">
            <v>2019</v>
          </cell>
        </row>
        <row r="292">
          <cell r="B292" t="str">
            <v>2.1.50/08</v>
          </cell>
          <cell r="C292" t="str">
            <v>3.1.216</v>
          </cell>
          <cell r="D292" t="str">
            <v>Электроснабжение помещения № 3 по ул. Юношеская 13, запитанного от ТП-607; 11 кВт, 380В, 3 категория</v>
          </cell>
          <cell r="E292" t="str">
            <v>С</v>
          </cell>
          <cell r="F292" t="str">
            <v>-</v>
          </cell>
          <cell r="G292">
            <v>2008</v>
          </cell>
          <cell r="H292">
            <v>2019</v>
          </cell>
        </row>
        <row r="293">
          <cell r="B293" t="str">
            <v>2.1.53(08)</v>
          </cell>
          <cell r="C293" t="str">
            <v>3.1.217</v>
          </cell>
          <cell r="D293" t="str">
            <v>Электроснабжение индивидуального жилого дома усадебного типа по ул. Луговая, д.3, запитанного от ТП-87; 40 кВт, 380В, 2 категория</v>
          </cell>
          <cell r="E293" t="str">
            <v>С</v>
          </cell>
          <cell r="F293" t="str">
            <v xml:space="preserve">0,56 км </v>
          </cell>
          <cell r="G293">
            <v>2008</v>
          </cell>
          <cell r="H293">
            <v>2019</v>
          </cell>
        </row>
        <row r="294">
          <cell r="B294" t="str">
            <v>1.1.6.1.18/11</v>
          </cell>
          <cell r="C294" t="str">
            <v>3.1.218</v>
          </cell>
          <cell r="D294" t="str">
            <v xml:space="preserve">Электроснабжение помещения №1 по адресу г. Липецк , пл. Соборная, д.1 </v>
          </cell>
          <cell r="E294" t="str">
            <v>С</v>
          </cell>
          <cell r="F294" t="str">
            <v>-</v>
          </cell>
          <cell r="G294">
            <v>2011</v>
          </cell>
          <cell r="H294">
            <v>2019</v>
          </cell>
        </row>
        <row r="295">
          <cell r="B295" t="str">
            <v>1.1.6.1.25/12</v>
          </cell>
          <cell r="C295" t="str">
            <v>3.1.219</v>
          </cell>
          <cell r="D295" t="str">
            <v xml:space="preserve">Электроснабжение здания магазина продовольственных и непродовольственных товаров с кафе-баром по адресу: г. Липецк, ул. Баумана </v>
          </cell>
          <cell r="E295" t="str">
            <v>С</v>
          </cell>
          <cell r="F295" t="str">
            <v>-</v>
          </cell>
          <cell r="G295">
            <v>2012</v>
          </cell>
          <cell r="H295">
            <v>2019</v>
          </cell>
        </row>
        <row r="296">
          <cell r="B296" t="str">
            <v>1.1.6.1.27/12</v>
          </cell>
          <cell r="C296" t="str">
            <v>3.1.220</v>
          </cell>
          <cell r="D296" t="str">
            <v>Монтаж оборудования РУ-0,4кВ ТП-549 для электроснабжения комплекса зданий религиозного и благотворительного назначения   по адресу: г. Липецк, район пос. Дачный</v>
          </cell>
          <cell r="E296" t="str">
            <v>С</v>
          </cell>
          <cell r="F296" t="str">
            <v>-</v>
          </cell>
          <cell r="G296">
            <v>2012</v>
          </cell>
          <cell r="H296">
            <v>2019</v>
          </cell>
        </row>
        <row r="297">
          <cell r="B297" t="str">
            <v>1.1.6.4.32/10</v>
          </cell>
          <cell r="C297" t="str">
            <v>3.1.221</v>
          </cell>
          <cell r="D297" t="str">
            <v>Модернизация оборудования РУ-0,4 кВ РП-19 (инв.№400655) по объекту технологического присоединения "Электроснабжение надземной автостоянки закрытого типа (индивидуальных капитальных гаражей) в районе ул. Калинина, д. 1, запитанной от РП-19; 50 кВт, 380 В, 3 категория"</v>
          </cell>
          <cell r="E297" t="str">
            <v>С</v>
          </cell>
          <cell r="F297" t="str">
            <v>-</v>
          </cell>
          <cell r="G297">
            <v>2010</v>
          </cell>
          <cell r="H297">
            <v>2019</v>
          </cell>
        </row>
        <row r="298">
          <cell r="B298" t="str">
            <v>1.1.6.4.33/10</v>
          </cell>
          <cell r="C298" t="str">
            <v>3.1.222</v>
          </cell>
          <cell r="D298" t="str">
            <v>Электроснабжение объекта: "Реконструкция филиала  МОУ СОШ №62 под детский сад по адресу: ул. Ибаррури, 6а"</v>
          </cell>
          <cell r="E298" t="str">
            <v>С</v>
          </cell>
          <cell r="F298" t="str">
            <v>-</v>
          </cell>
          <cell r="G298">
            <v>2010</v>
          </cell>
          <cell r="H298">
            <v>2019</v>
          </cell>
        </row>
        <row r="299">
          <cell r="B299" t="str">
            <v>3.1.117/07</v>
          </cell>
          <cell r="C299" t="str">
            <v>3.1.223</v>
          </cell>
          <cell r="D299" t="str">
            <v>Электроснабжение МУ "Городская больница № 5" по ул. Невского, д.25, запитанного от ТП-563; 220кВт, 380В, 2 категория</v>
          </cell>
          <cell r="E299" t="str">
            <v>С</v>
          </cell>
          <cell r="F299" t="str">
            <v>0,8 МВА</v>
          </cell>
          <cell r="G299">
            <v>2007</v>
          </cell>
          <cell r="H299">
            <v>2019</v>
          </cell>
        </row>
        <row r="300">
          <cell r="B300" t="str">
            <v>3.1.142/07</v>
          </cell>
          <cell r="C300" t="str">
            <v>3.1.224</v>
          </cell>
          <cell r="D300" t="str">
            <v>Электроснабжение автосервиса по ул. З. Космодемьянской, запитанного от ВЛ-10 кВ КТП-545-ТП-554; 55 кВт, 10 кВ, 3 категория</v>
          </cell>
          <cell r="E300" t="str">
            <v>С</v>
          </cell>
          <cell r="F300" t="str">
            <v>-</v>
          </cell>
          <cell r="G300">
            <v>2007</v>
          </cell>
          <cell r="H300">
            <v>2019</v>
          </cell>
        </row>
        <row r="301">
          <cell r="B301" t="str">
            <v>4.1.31/09</v>
          </cell>
          <cell r="C301" t="str">
            <v>3.1.225</v>
          </cell>
          <cell r="D301" t="str">
            <v>Электроснабжение нежилых помещений №1, №2, №3, №4 по ул. Римского-Корсакова, стр.10б, запитанных от ТП-425; 90 кВт (дополнительно к существующей 10 кВт), 380В, 3 категория</v>
          </cell>
          <cell r="E301" t="str">
            <v>С</v>
          </cell>
          <cell r="F301" t="str">
            <v>-</v>
          </cell>
          <cell r="G301">
            <v>2009</v>
          </cell>
          <cell r="H301">
            <v>2019</v>
          </cell>
        </row>
        <row r="302">
          <cell r="B302" t="str">
            <v>1.1.6.1.22/12</v>
          </cell>
          <cell r="C302" t="str">
            <v>3.1.226</v>
          </cell>
          <cell r="D302" t="str">
            <v xml:space="preserve">Электроснабжение офисно-торгового здания по адресу: 
г. Липецк, пл. Победы, д. 6 </v>
          </cell>
          <cell r="E302" t="str">
            <v>С</v>
          </cell>
          <cell r="F302" t="str">
            <v xml:space="preserve">0,28 км                      </v>
          </cell>
          <cell r="G302">
            <v>2012</v>
          </cell>
          <cell r="H302">
            <v>2019</v>
          </cell>
        </row>
        <row r="303">
          <cell r="B303" t="str">
            <v>1.1.6.1.25/11</v>
          </cell>
          <cell r="C303" t="str">
            <v>3.1.227</v>
          </cell>
          <cell r="D303" t="str">
            <v xml:space="preserve">Электроснабжение  автозаправочной станции по адресу: г. Липецк, пр. Универсальный, стр.1 </v>
          </cell>
          <cell r="E303" t="str">
            <v>С</v>
          </cell>
          <cell r="F303" t="str">
            <v>-</v>
          </cell>
          <cell r="G303">
            <v>2011</v>
          </cell>
          <cell r="H303">
            <v>2019</v>
          </cell>
        </row>
        <row r="304">
          <cell r="B304" t="str">
            <v>1.1.6.1.4/11</v>
          </cell>
          <cell r="C304" t="str">
            <v>3.1.228</v>
          </cell>
          <cell r="D304" t="str">
            <v>Электроснабжение административно-бытового корпуса (лит. А) по ул. Союзная, д.6.</v>
          </cell>
          <cell r="E304" t="str">
            <v>С</v>
          </cell>
          <cell r="F304" t="str">
            <v>-</v>
          </cell>
          <cell r="G304">
            <v>2011</v>
          </cell>
          <cell r="H304">
            <v>2017</v>
          </cell>
        </row>
        <row r="305">
          <cell r="B305" t="str">
            <v>1.1.6.4.45/10</v>
          </cell>
          <cell r="C305" t="str">
            <v>3.1.229</v>
          </cell>
          <cell r="D305" t="str">
            <v>Монтаж устройства сбора-передачи данных (УСПД) по учету электрической энергии для электроснабжения здания магазина по ул. Пришвина, д. 5, д. 9б</v>
          </cell>
          <cell r="E305" t="str">
            <v>С</v>
          </cell>
          <cell r="F305" t="str">
            <v>-</v>
          </cell>
          <cell r="G305">
            <v>2010</v>
          </cell>
          <cell r="H305">
            <v>2015</v>
          </cell>
        </row>
        <row r="306">
          <cell r="B306" t="str">
            <v>1.1.6.4.9/10</v>
          </cell>
          <cell r="C306" t="str">
            <v>3.1.230</v>
          </cell>
          <cell r="D306" t="str">
            <v>Электроснабжение нежилых помещений № 2, № 3 по пр. Победы, д. 110, запитанных от ТП-287; 40 кВт, 380 В, 3 категория</v>
          </cell>
          <cell r="E306" t="str">
            <v>С</v>
          </cell>
          <cell r="F306" t="str">
            <v>-</v>
          </cell>
          <cell r="G306">
            <v>2010</v>
          </cell>
          <cell r="H306">
            <v>2019</v>
          </cell>
        </row>
        <row r="307">
          <cell r="B307" t="str">
            <v>2.1.60/08</v>
          </cell>
          <cell r="C307" t="str">
            <v>3.1.231</v>
          </cell>
          <cell r="D307" t="str">
            <v>Электроснабжение индивидуального жилого дома усадебного типа и хозяйственных построек в с. Сселки, ул. Космонавтов, №4 (по схеме), запитанного от КТП-474; 15 кВт, 380В, 3 категория</v>
          </cell>
          <cell r="E307" t="str">
            <v>С</v>
          </cell>
          <cell r="F307" t="str">
            <v>-</v>
          </cell>
          <cell r="G307">
            <v>2008</v>
          </cell>
          <cell r="H307">
            <v>2019</v>
          </cell>
        </row>
        <row r="308">
          <cell r="B308" t="str">
            <v>2.1.68/08</v>
          </cell>
          <cell r="C308" t="str">
            <v>3.1.232</v>
          </cell>
          <cell r="D308" t="str">
            <v>Электроснабжение городской больницы № 2, в пос. Дачный по ул. Писарева, д. 2а, запитанной от ВЛ-10 кВ "ПС "Матыра" яч. № 1 - ТП-549" и ВЛ-10 кВ "ТП-549-КТП-550"; 176 кВт, 10 кВ, 2 категория</v>
          </cell>
          <cell r="E308" t="str">
            <v>С</v>
          </cell>
          <cell r="F308" t="str">
            <v>-</v>
          </cell>
          <cell r="G308">
            <v>2008</v>
          </cell>
          <cell r="H308">
            <v>2019</v>
          </cell>
        </row>
        <row r="309">
          <cell r="B309" t="str">
            <v>2.1.7/08</v>
          </cell>
          <cell r="C309" t="str">
            <v>3.1.233</v>
          </cell>
          <cell r="D309" t="str">
            <v>Электроснабжение группы 10-ти этажных жилых домов со встроенными помещениями объектов соцкультбыта на 1 этаже по ул. Гоголя, запитанных от ТП-132; 150 кВт, 380В, 2 категория</v>
          </cell>
          <cell r="E309" t="str">
            <v>С</v>
          </cell>
          <cell r="F309" t="str">
            <v>-</v>
          </cell>
          <cell r="G309">
            <v>2008</v>
          </cell>
          <cell r="H309">
            <v>2019</v>
          </cell>
        </row>
        <row r="310">
          <cell r="B310" t="str">
            <v>3.1.122</v>
          </cell>
          <cell r="C310" t="str">
            <v>3.1.234</v>
          </cell>
          <cell r="D310" t="str">
            <v>Электроснабжение многоквартирного жилого дома с магазином и спортивным зало по ул. Юношеская, 11, запитанного от ТП-649; 160 кВт, 380В, 2 категория</v>
          </cell>
          <cell r="E310" t="str">
            <v>С</v>
          </cell>
          <cell r="F310" t="str">
            <v>-</v>
          </cell>
          <cell r="G310">
            <v>2007</v>
          </cell>
          <cell r="H310">
            <v>2019</v>
          </cell>
        </row>
        <row r="311">
          <cell r="B311" t="str">
            <v>3.1.138</v>
          </cell>
          <cell r="C311" t="str">
            <v>3.1.235</v>
          </cell>
          <cell r="D311" t="str">
            <v>Электроснабжение нежилого помещения по ул. Октябрьская, 3, запитанного от ТП-376, 70 кВт, 380В, 2 категория</v>
          </cell>
          <cell r="E311" t="str">
            <v>С</v>
          </cell>
          <cell r="F311" t="str">
            <v>-</v>
          </cell>
          <cell r="G311">
            <v>2007</v>
          </cell>
          <cell r="H311">
            <v>2019</v>
          </cell>
        </row>
        <row r="312">
          <cell r="B312" t="str">
            <v>3.1.144/07</v>
          </cell>
          <cell r="C312" t="str">
            <v>3.1.236</v>
          </cell>
          <cell r="D312" t="str">
            <v>Строительство КЛ-6 кВ от РП-14 до ТП-358, замена трансформаторов в ТП-358 для электроснабжения 8-ми этажного жилого дома со встроено-пристроенными помещениями соцкультбыта по ул. Космонавтов, д.92, запитанного от ТП-358, 250 кВт, 380, 2 категория</v>
          </cell>
          <cell r="E312" t="str">
            <v>С</v>
          </cell>
          <cell r="F312" t="str">
            <v>1,5 км
2 МВА</v>
          </cell>
          <cell r="G312">
            <v>2008</v>
          </cell>
          <cell r="H312">
            <v>2016</v>
          </cell>
        </row>
        <row r="313">
          <cell r="B313" t="str">
            <v>3.1.18/07</v>
          </cell>
          <cell r="C313" t="str">
            <v>3.1.237</v>
          </cell>
          <cell r="D313" t="str">
            <v>Электроснабжение местной религиозной организации Церкви "Сурб Арутюн" по пл. Заводская, запитанной от РП-8; 10 кВт, 380В, 2 категория</v>
          </cell>
          <cell r="E313" t="str">
            <v>С</v>
          </cell>
          <cell r="F313" t="str">
            <v>-</v>
          </cell>
          <cell r="G313">
            <v>2007</v>
          </cell>
          <cell r="H313">
            <v>2019</v>
          </cell>
        </row>
        <row r="314">
          <cell r="B314" t="str">
            <v>3.1.96/07</v>
          </cell>
          <cell r="C314" t="str">
            <v>3.1.238</v>
          </cell>
          <cell r="D314" t="str">
            <v>Электроснабжение строительной площадки и подстанции 110кВ Манежная по ул. 50 лет НЛМК, напротив дома №5</v>
          </cell>
          <cell r="E314" t="str">
            <v>С</v>
          </cell>
          <cell r="F314" t="str">
            <v>-</v>
          </cell>
          <cell r="G314">
            <v>2007</v>
          </cell>
          <cell r="H314">
            <v>2019</v>
          </cell>
        </row>
        <row r="315">
          <cell r="B315" t="str">
            <v>4.1.48/09</v>
          </cell>
          <cell r="C315" t="str">
            <v>3.1.239</v>
          </cell>
          <cell r="D315" t="str">
            <v>Электроснабжение двухэтажного здания с пристройкой по ул. Гагарина, стр.76а, запитанного от ТП-46</v>
          </cell>
          <cell r="E315" t="str">
            <v>С</v>
          </cell>
          <cell r="F315" t="str">
            <v>-</v>
          </cell>
          <cell r="G315">
            <v>2009</v>
          </cell>
          <cell r="H315">
            <v>2019</v>
          </cell>
        </row>
        <row r="316">
          <cell r="B316" t="str">
            <v>4.1.50/09</v>
          </cell>
          <cell r="C316" t="str">
            <v>3.1.240</v>
          </cell>
          <cell r="D316" t="str">
            <v>Электроснабжение комплекса автосервиса с АЗС в районе Елецкого шоссе, запитанного от КТП-314; 40 кВт, 380В, 3 категория</v>
          </cell>
          <cell r="E316" t="str">
            <v>С</v>
          </cell>
          <cell r="F316" t="str">
            <v>-</v>
          </cell>
          <cell r="G316">
            <v>2009</v>
          </cell>
          <cell r="H316">
            <v>2019</v>
          </cell>
        </row>
        <row r="317">
          <cell r="B317" t="str">
            <v>4.1.51/09</v>
          </cell>
          <cell r="C317" t="str">
            <v>3.1.241</v>
          </cell>
          <cell r="D317" t="str">
            <v>Электроснабжение автотехцентра с автомойкой по ул. Московская, стр.30А, запитанного от ВЛ-10кВ ПС "Юго-Западная", яч. № 5 - РП-34; 100 кВт, 10кВ, 3 категория</v>
          </cell>
          <cell r="E317" t="str">
            <v>С</v>
          </cell>
          <cell r="F317" t="str">
            <v>-</v>
          </cell>
          <cell r="G317">
            <v>2009</v>
          </cell>
          <cell r="H317">
            <v>2019</v>
          </cell>
        </row>
        <row r="318">
          <cell r="B318" t="str">
            <v>4.1.54/09</v>
          </cell>
          <cell r="C318" t="str">
            <v>3.1.242</v>
          </cell>
          <cell r="D318" t="str">
            <v>Электроснабжение стройплощадки жилого дома по ул. Энергостроителей, пос. Матырский, запитанного от ТП-625; 70 кВт, 380 В, 3 категория</v>
          </cell>
          <cell r="E318" t="str">
            <v>С</v>
          </cell>
          <cell r="F318" t="str">
            <v>-</v>
          </cell>
          <cell r="G318">
            <v>2009</v>
          </cell>
          <cell r="H318">
            <v>2019</v>
          </cell>
        </row>
        <row r="319">
          <cell r="B319" t="str">
            <v>4.1.62/09</v>
          </cell>
          <cell r="C319" t="str">
            <v>3.1.243</v>
          </cell>
          <cell r="D319" t="str">
            <v>Электроснабжение кирпичных гаражей по пр. Поперечный, 1, запитанных от ТП-89; 9 кВт, 220 В, 3 категория</v>
          </cell>
          <cell r="E319" t="str">
            <v>С</v>
          </cell>
          <cell r="F319" t="str">
            <v>-</v>
          </cell>
          <cell r="G319">
            <v>2009</v>
          </cell>
          <cell r="H319">
            <v>2019</v>
          </cell>
        </row>
        <row r="320">
          <cell r="B320" t="str">
            <v>4.1.8/09</v>
          </cell>
          <cell r="C320" t="str">
            <v>3.1.244</v>
          </cell>
          <cell r="D320" t="str">
            <v>Электроснабжение здания оздоровительного центра в комплексе с автомойкой и магазином автозапчастей по ул. 50 лет НЛМК, запитанного от ТП-339; 150 кВт, 380В, 2 категория</v>
          </cell>
          <cell r="E320" t="str">
            <v>С</v>
          </cell>
          <cell r="F320" t="str">
            <v>-</v>
          </cell>
          <cell r="G320">
            <v>2009</v>
          </cell>
          <cell r="H320">
            <v>2019</v>
          </cell>
        </row>
        <row r="321">
          <cell r="B321" t="str">
            <v>4.1.9/09</v>
          </cell>
          <cell r="C321" t="str">
            <v>3.1.245</v>
          </cell>
          <cell r="D321" t="str">
            <v>Электроснабжение канализационной насосной станции в районе ул. Кривенкова - ул. Катукова, запитанной от ТП-818; 61 кВт, 380В, 3 категория</v>
          </cell>
          <cell r="E321" t="str">
            <v>С</v>
          </cell>
          <cell r="F321" t="str">
            <v>-</v>
          </cell>
          <cell r="G321">
            <v>2009</v>
          </cell>
          <cell r="H321">
            <v>2019</v>
          </cell>
        </row>
        <row r="322">
          <cell r="B322" t="str">
            <v>1.1.6.2.14/12</v>
          </cell>
          <cell r="C322" t="str">
            <v>3.1.246</v>
          </cell>
          <cell r="D322" t="str">
            <v>Электроснабжение садового домика по адресу: г. Липецк, ул. п/о пенсионеров и инвалидов "Сокол-1", зем. уч. № 8</v>
          </cell>
          <cell r="E322" t="str">
            <v>С</v>
          </cell>
          <cell r="F322" t="str">
            <v>-</v>
          </cell>
          <cell r="G322">
            <v>2012</v>
          </cell>
          <cell r="H322">
            <v>2019</v>
          </cell>
        </row>
        <row r="323">
          <cell r="B323" t="str">
            <v>1.1.6.2.25/11</v>
          </cell>
          <cell r="C323" t="str">
            <v>3.1.247</v>
          </cell>
          <cell r="D323" t="str">
            <v xml:space="preserve">Электроснабжение нежилого помещения № 1 по адресу: пр. Героя Советского Союза Е. Потапова, вл.18                                    </v>
          </cell>
          <cell r="E323" t="str">
            <v>С</v>
          </cell>
          <cell r="F323" t="str">
            <v>-</v>
          </cell>
          <cell r="G323">
            <v>2011</v>
          </cell>
          <cell r="H323">
            <v>2019</v>
          </cell>
        </row>
        <row r="324">
          <cell r="B324" t="str">
            <v>1.1.6.2.3/12</v>
          </cell>
          <cell r="C324" t="str">
            <v>3.1.248</v>
          </cell>
          <cell r="D324" t="str">
            <v xml:space="preserve">Электроснабжение жилого дома по адресу: г. Липецк, район ул. Карбышева                                         </v>
          </cell>
          <cell r="E324" t="str">
            <v>С</v>
          </cell>
          <cell r="F324" t="str">
            <v>0,08 км
0,21 МВА</v>
          </cell>
          <cell r="G324">
            <v>2012</v>
          </cell>
          <cell r="H324">
            <v>2015</v>
          </cell>
        </row>
        <row r="325">
          <cell r="B325" t="str">
            <v>1.1.6.2.32/12</v>
          </cell>
          <cell r="C325" t="str">
            <v>3.1.249</v>
          </cell>
          <cell r="D325" t="str">
            <v xml:space="preserve">Электроснабжение садового домика по адресу: г. Липецк, СПО Металлург-1, квартал I, зем. уч. №1                                    </v>
          </cell>
          <cell r="E325" t="str">
            <v>С</v>
          </cell>
          <cell r="F325" t="str">
            <v>-</v>
          </cell>
          <cell r="G325">
            <v>2012</v>
          </cell>
          <cell r="H325">
            <v>2019</v>
          </cell>
        </row>
        <row r="326">
          <cell r="B326" t="str">
            <v>1.1.6.3.70(10)</v>
          </cell>
          <cell r="C326" t="str">
            <v>3.1.250</v>
          </cell>
          <cell r="D326" t="str">
            <v>Монтаж силового трансформатора в ТП-507 вместо существующего (инв. № 41759А) для объекта технологического присоединения "Электроснабжение магазина непродовольственных товаров по ул. З. Космодемьянской, д. 3, кв. 19"</v>
          </cell>
          <cell r="E326" t="str">
            <v>С</v>
          </cell>
          <cell r="F326" t="str">
            <v>0,63 МВА</v>
          </cell>
          <cell r="G326">
            <v>2010</v>
          </cell>
          <cell r="H326">
            <v>2019</v>
          </cell>
        </row>
        <row r="327">
          <cell r="B327" t="str">
            <v>1.1.6.3.19/10</v>
          </cell>
          <cell r="C327" t="str">
            <v>3.1.251</v>
          </cell>
          <cell r="D327" t="str">
            <v xml:space="preserve">Электроснабжение стройплощадки административного здания - наблюдательного поста спасателей на Матырском водохранилище, в районе лодочной станции, запитанной от ТП-658, 15 кВт, 380 В, 3 категория                                    </v>
          </cell>
          <cell r="E327" t="str">
            <v>С</v>
          </cell>
          <cell r="F327" t="str">
            <v>-</v>
          </cell>
          <cell r="G327">
            <v>2010</v>
          </cell>
          <cell r="H327">
            <v>2019</v>
          </cell>
        </row>
        <row r="328">
          <cell r="B328" t="str">
            <v>1.1.6.3.60(10)</v>
          </cell>
          <cell r="C328" t="str">
            <v>3.1.252</v>
          </cell>
          <cell r="D328" t="str">
            <v xml:space="preserve">Электроснабжение гаража по ул. Зегеля, стр. № 15А/7 </v>
          </cell>
          <cell r="E328" t="str">
            <v>С</v>
          </cell>
          <cell r="F328" t="str">
            <v>-</v>
          </cell>
          <cell r="G328">
            <v>2010</v>
          </cell>
          <cell r="H328">
            <v>2019</v>
          </cell>
        </row>
        <row r="329">
          <cell r="B329" t="str">
            <v>1.1.6.3.62/10</v>
          </cell>
          <cell r="C329" t="str">
            <v>3.1.253</v>
          </cell>
          <cell r="D329" t="str">
            <v xml:space="preserve">Строительство КЛ-0,4 кВ от ТП-52 до опоры № 7 по ул. Орловская взамен существующей (инв. (инв. 34622) для объе                              </v>
          </cell>
          <cell r="E329" t="str">
            <v>С</v>
          </cell>
          <cell r="F329" t="str">
            <v>-</v>
          </cell>
          <cell r="G329">
            <v>2010</v>
          </cell>
          <cell r="H329">
            <v>2019</v>
          </cell>
        </row>
        <row r="330">
          <cell r="B330" t="str">
            <v>1.1.6.3.64/10</v>
          </cell>
          <cell r="C330" t="str">
            <v>3.1.254</v>
          </cell>
          <cell r="D330" t="str">
            <v xml:space="preserve">Строительство ВЛ-0,4 кВ от ТП-451 до строения № 1д по ул. Римского-Корсакого для объекта технологического                                  </v>
          </cell>
          <cell r="E330" t="str">
            <v>С</v>
          </cell>
          <cell r="F330" t="str">
            <v>-</v>
          </cell>
          <cell r="G330">
            <v>2010</v>
          </cell>
          <cell r="H330">
            <v>2019</v>
          </cell>
        </row>
        <row r="331">
          <cell r="B331" t="str">
            <v>1.1.6.3.68/10</v>
          </cell>
          <cell r="C331" t="str">
            <v>3.1.255</v>
          </cell>
          <cell r="D331" t="str">
            <v xml:space="preserve">Строительство ВЛ-0,4 кВ от опоры № 78 ВЛ-0,4 кВ от КТП-859 по ул. В. Высоцкого до  участка № 43 в                             </v>
          </cell>
          <cell r="E331" t="str">
            <v>С</v>
          </cell>
          <cell r="F331" t="str">
            <v>-</v>
          </cell>
          <cell r="G331">
            <v>2010</v>
          </cell>
          <cell r="H331">
            <v>2019</v>
          </cell>
        </row>
        <row r="332">
          <cell r="B332" t="str">
            <v>1.1.6.3.69/10</v>
          </cell>
          <cell r="C332" t="str">
            <v>3.1.256</v>
          </cell>
          <cell r="D332" t="str">
            <v xml:space="preserve">Реконструкция ВЛ-0,4 кВ от КТП-399 по ул. Садовая (инв. № 346279) для объекта технологического присоединен                                  </v>
          </cell>
          <cell r="E332" t="str">
            <v>С</v>
          </cell>
          <cell r="F332" t="str">
            <v>-</v>
          </cell>
          <cell r="G332">
            <v>2010</v>
          </cell>
          <cell r="H332">
            <v>2019</v>
          </cell>
        </row>
        <row r="333">
          <cell r="B333" t="str">
            <v>1.1.6.3.8/10</v>
          </cell>
          <cell r="C333" t="str">
            <v>3.1.257</v>
          </cell>
          <cell r="D333" t="str">
            <v xml:space="preserve">Электроснабжение блочного гаража в районе ул. Баумана, у д. № 333/14, запитанного от ТП-480, 8 8 380 В,                               </v>
          </cell>
          <cell r="E333" t="str">
            <v>С</v>
          </cell>
          <cell r="F333" t="str">
            <v>0,11 км
0,8 МВА</v>
          </cell>
          <cell r="G333">
            <v>2010</v>
          </cell>
          <cell r="H333">
            <v>2015</v>
          </cell>
        </row>
        <row r="334">
          <cell r="B334" t="str">
            <v>1.1.6.4.54/10</v>
          </cell>
          <cell r="C334" t="str">
            <v>3.1.258</v>
          </cell>
          <cell r="D334" t="str">
            <v xml:space="preserve">Монтаж второго трансформатора в ТП-451 для электроснабжения предприятий пластиковых изделий по ул. Римского-Корсакова, стр. 1д                                        </v>
          </cell>
          <cell r="E334" t="str">
            <v>С</v>
          </cell>
          <cell r="F334" t="str">
            <v>0,4 МВА</v>
          </cell>
          <cell r="G334">
            <v>2010</v>
          </cell>
          <cell r="H334">
            <v>2019</v>
          </cell>
        </row>
        <row r="335">
          <cell r="B335" t="str">
            <v>3.1.51</v>
          </cell>
          <cell r="C335" t="str">
            <v>3.1.259</v>
          </cell>
          <cell r="D335" t="str">
            <v xml:space="preserve">Э/сн узла учета теплосети по ул. Надежды, запитанного от ТП-630; 2 кВт, 380 В, 3 категория                                  </v>
          </cell>
          <cell r="E335" t="str">
            <v>С</v>
          </cell>
          <cell r="F335" t="str">
            <v>-</v>
          </cell>
          <cell r="G335">
            <v>2007</v>
          </cell>
          <cell r="H335">
            <v>2019</v>
          </cell>
        </row>
        <row r="336">
          <cell r="B336" t="str">
            <v>3.1.6/07</v>
          </cell>
          <cell r="C336" t="str">
            <v>3.1.260</v>
          </cell>
          <cell r="D336" t="str">
            <v xml:space="preserve">Электроснабжение частного жилого дома по ул. Кольцевая, д. 1 запитанного от ТП-162; 15 кВт, 380/220 380/220 III кат                               </v>
          </cell>
          <cell r="E336" t="str">
            <v>С</v>
          </cell>
          <cell r="F336" t="str">
            <v>-</v>
          </cell>
          <cell r="G336">
            <v>2007</v>
          </cell>
          <cell r="H336">
            <v>2019</v>
          </cell>
        </row>
        <row r="337">
          <cell r="B337" t="str">
            <v>3.1.62/07</v>
          </cell>
          <cell r="C337" t="str">
            <v>3.1.261</v>
          </cell>
          <cell r="D337" t="str">
            <v xml:space="preserve">Электроснабжение частного жилого дома по ул. Совхозная, д. 116 запитанного от ТП-305; 6 кВт, 380 380 III катег                               </v>
          </cell>
          <cell r="E337" t="str">
            <v>С</v>
          </cell>
          <cell r="F337" t="str">
            <v>-</v>
          </cell>
          <cell r="G337">
            <v>2007</v>
          </cell>
          <cell r="H337">
            <v>2019</v>
          </cell>
        </row>
        <row r="338">
          <cell r="B338" t="str">
            <v>4.1.41(09)</v>
          </cell>
          <cell r="C338" t="str">
            <v>3.1.262</v>
          </cell>
          <cell r="D338" t="str">
            <v xml:space="preserve">Электроснабжение индивидуальных жилых домов по ул. Красная, № 3 № 4 (по схеме), запитанных от  </v>
          </cell>
          <cell r="E338" t="str">
            <v>С</v>
          </cell>
          <cell r="F338" t="str">
            <v>-</v>
          </cell>
          <cell r="G338">
            <v>2009</v>
          </cell>
          <cell r="H338">
            <v>2019</v>
          </cell>
        </row>
        <row r="339">
          <cell r="B339" t="str">
            <v>4.1.49/09</v>
          </cell>
          <cell r="C339" t="str">
            <v>3.1.263</v>
          </cell>
          <cell r="D339" t="str">
            <v xml:space="preserve">Электроснабжение жилых домов в с. Сселки, запитанных от КТП-474; 10 кВт, 220 В, 3 категория                                  </v>
          </cell>
          <cell r="E339" t="str">
            <v>С</v>
          </cell>
          <cell r="F339" t="str">
            <v>-</v>
          </cell>
          <cell r="G339">
            <v>2009</v>
          </cell>
          <cell r="H339">
            <v>2019</v>
          </cell>
        </row>
        <row r="340">
          <cell r="B340" t="str">
            <v>1.1.5.1.1/15</v>
          </cell>
          <cell r="C340" t="str">
            <v>3.1.264</v>
          </cell>
          <cell r="D340" t="str">
            <v>Монтаж прибора учета для электроснабжения здания административно-бытового корпуса по адресу: г. Липецк, проезд Осенний, владение 1 г</v>
          </cell>
          <cell r="E340" t="str">
            <v>П+С
(тех присоед.)</v>
          </cell>
          <cell r="F340" t="str">
            <v>-</v>
          </cell>
          <cell r="G340">
            <v>2017</v>
          </cell>
          <cell r="H340">
            <v>2018</v>
          </cell>
        </row>
        <row r="341">
          <cell r="B341" t="str">
            <v>1.1.5.1.3/15</v>
          </cell>
          <cell r="C341" t="str">
            <v>3.1.265</v>
          </cell>
          <cell r="D341" t="str">
            <v>Монтаж выкл. нагрузки в РУ-10 кВ ТП-340
Монтаж сил. т-ра в ТП-340 
Монтаж ошиновки тр-ра 0,4 кВ, 10 кВ 
Реконструкция РУ-0,4 кВ ТП-340 Монтаж ком. ап. в ТП-340 для электроснабжения здания детского кафе по адресу: г. Липецк, ул. Базарная в районе дома № 8 по пер. Сырскому в Советском округе, кадастровый № 48:20:0011208:324</v>
          </cell>
          <cell r="E341" t="str">
            <v>П+С
(тех присоед.)</v>
          </cell>
          <cell r="F341" t="str">
            <v>0,63 МВА</v>
          </cell>
          <cell r="G341">
            <v>2017</v>
          </cell>
          <cell r="H341">
            <v>2018</v>
          </cell>
        </row>
        <row r="342">
          <cell r="B342" t="str">
            <v>1.1.5.1.5/15</v>
          </cell>
          <cell r="C342" t="str">
            <v>3.1.266</v>
          </cell>
          <cell r="D342" t="str">
            <v>Монтаж УСПД в РУ-0,4 кВ КТП-428 для электроснабжения базы отдыха "Сосновый бор" по адресу: Липецкая область, Грязинский район, Плехановское лесничество, Ленинский лесхоз, кв. 54</v>
          </cell>
          <cell r="E342" t="str">
            <v>П+С
(тех присоед.)</v>
          </cell>
          <cell r="F342" t="str">
            <v>-</v>
          </cell>
          <cell r="G342">
            <v>2017</v>
          </cell>
          <cell r="H342">
            <v>2018</v>
          </cell>
        </row>
        <row r="343">
          <cell r="B343" t="str">
            <v>1.1.5.1.6/15</v>
          </cell>
          <cell r="C343" t="str">
            <v>3.1.267</v>
          </cell>
          <cell r="D343" t="str">
            <v>Замена панели в РУ-0,4 кВ ТП-281,
Монтаж прибора учета для электроснабжения 1/3 доли магазина по адресу: г. Липецк, 9 микрорайон, д. 11 "а"</v>
          </cell>
          <cell r="E343" t="str">
            <v>П+С
(тех присоед.)</v>
          </cell>
          <cell r="F343" t="str">
            <v>-</v>
          </cell>
          <cell r="G343">
            <v>2015</v>
          </cell>
          <cell r="H343">
            <v>2016</v>
          </cell>
        </row>
        <row r="344">
          <cell r="B344" t="str">
            <v>1.1.6.1.57/12</v>
          </cell>
          <cell r="C344" t="str">
            <v>3.1.268</v>
          </cell>
          <cell r="D344" t="str">
            <v>Реконструкция узла учета в ТП-630 (инв. № 414063) для электроснабжения здания магазина продовольственных товаров по адресу: г. Липецк, пос. Матырский, в районе пересечения ул. Надежды и пер. Каштанового</v>
          </cell>
          <cell r="E344" t="str">
            <v>С</v>
          </cell>
          <cell r="F344" t="str">
            <v>-</v>
          </cell>
          <cell r="G344">
            <v>2012</v>
          </cell>
          <cell r="H344">
            <v>2015</v>
          </cell>
        </row>
        <row r="345">
          <cell r="B345" t="str">
            <v>1.1.5.1.19/15</v>
          </cell>
          <cell r="C345" t="str">
            <v>3.1.269</v>
          </cell>
          <cell r="D345" t="str">
            <v>Монтаж трансформатора №1 в КТП-402 взамен существующего (инв. № 431849);
Монтаж трансформатора №2 в КТП-402 взамен существующего (инв. № 431850);
Реконструкция оборудования в РУ-0,4 кВ КТП-402 (инв. № 431847);
Реконструкция КЛ-6 кВ «от РП25-ТП402» (инв. № 340929);
Реконструкция КЛ-6 кВ «П/ст N2"СВ. СОКОЛ"-ТП 5Г» (инв. № 340497) для электроснабжения жилого дома со встроенными магазинами по адресу: г. Липецк, ул. Пожарского, д. 1 б</v>
          </cell>
          <cell r="E345" t="str">
            <v>П+С
(тех присоед.)</v>
          </cell>
          <cell r="F345" t="str">
            <v>1,26 МВА</v>
          </cell>
          <cell r="G345">
            <v>2015</v>
          </cell>
          <cell r="H345">
            <v>2017</v>
          </cell>
        </row>
        <row r="346">
          <cell r="B346" t="str">
            <v>1.1.5.2.110/13</v>
          </cell>
          <cell r="C346" t="str">
            <v>3.1.270</v>
          </cell>
          <cell r="D346" t="str">
            <v>Монтаж оборудования в РУ-0,4 кВ ТП-307 для электроснабжения здания хранилища по адресу: г. Липецк, ул. Базарная, строение № 3/7</v>
          </cell>
          <cell r="E346" t="str">
            <v>П+С
(тех присоед.)</v>
          </cell>
          <cell r="F346" t="str">
            <v xml:space="preserve">0,3 км                      </v>
          </cell>
          <cell r="G346">
            <v>2013</v>
          </cell>
          <cell r="H346">
            <v>2018</v>
          </cell>
        </row>
        <row r="347">
          <cell r="B347" t="str">
            <v>1.1.6.4.3ПМ/10</v>
          </cell>
          <cell r="C347" t="str">
            <v>3.1.271</v>
          </cell>
          <cell r="D347" t="str">
            <v>Монтаж коммутационного аппарата в панели № 2 РУ-0,4 кВ ТП-78 для электроснабжения нежилого помещения № 5 по ул. Плеханова, 35, запитанного от ТП-78; 35 кВт, 380 В, 3 категория</v>
          </cell>
          <cell r="E347" t="str">
            <v>П+С
(тех присоед.)</v>
          </cell>
          <cell r="F347" t="str">
            <v>-</v>
          </cell>
          <cell r="G347">
            <v>2010</v>
          </cell>
          <cell r="H347">
            <v>2015</v>
          </cell>
        </row>
        <row r="348">
          <cell r="B348" t="str">
            <v>4.1.1.23ПМ/14</v>
          </cell>
          <cell r="C348" t="str">
            <v>3.1.272</v>
          </cell>
          <cell r="D348" t="str">
            <v>Реконструкция КЛ-6 кВ от ЦРП яч. 1 - тяг. 2 (инв. № 340134) для электроснабжения блока административных помещений по адресу: г. Липецк, ул. Кузнечная, д. 10 а</v>
          </cell>
          <cell r="E348" t="str">
            <v>П+С
(тех присоед.)</v>
          </cell>
          <cell r="F348" t="str">
            <v>-</v>
          </cell>
          <cell r="G348">
            <v>2015</v>
          </cell>
          <cell r="H348">
            <v>2016</v>
          </cell>
        </row>
        <row r="349">
          <cell r="B349" t="str">
            <v>1.1.5.2.313/14</v>
          </cell>
          <cell r="C349" t="str">
            <v>3.1.273</v>
          </cell>
          <cell r="D349" t="str">
            <v>Монтаж прибора учета на опоре ВЛ-0,4 кВ от СТП-961 в СО "Сокол-3" для электроснабжения садового домика по адресу: СО "Сокол-3", массив 1, уч. № 380</v>
          </cell>
          <cell r="E349" t="str">
            <v>П+С
(тех присоед.)</v>
          </cell>
          <cell r="F349" t="str">
            <v>-</v>
          </cell>
          <cell r="G349">
            <v>2014</v>
          </cell>
          <cell r="H349">
            <v>2019</v>
          </cell>
        </row>
        <row r="350">
          <cell r="B350" t="str">
            <v>1.1.5.2.163/14</v>
          </cell>
          <cell r="C350" t="str">
            <v>3.1.274</v>
          </cell>
          <cell r="D350" t="str">
            <v>Монтаж прибора учета на опоре ВЛ-0,4 кВ от КТП-678 в СНТ "Дачный-3" для электроснабжения садового домика по адресу: г. Липецк, СНТ "Дачный-3", земельный участок № 108</v>
          </cell>
          <cell r="E350" t="str">
            <v>П+С
(тех присоед.)</v>
          </cell>
          <cell r="F350" t="str">
            <v>-</v>
          </cell>
          <cell r="G350">
            <v>2014</v>
          </cell>
          <cell r="H350">
            <v>2019</v>
          </cell>
        </row>
        <row r="351">
          <cell r="B351" t="str">
            <v>1.1.5.2.164/14</v>
          </cell>
          <cell r="C351" t="str">
            <v>3.1.275</v>
          </cell>
          <cell r="D351" t="str">
            <v>Электроснабжение базовой станции сотовой связи по адресу: г. Липецк, ул. Катукова, в районе торгового центра "Карусель", участок с кадастровым № 48:20:0043601:19482</v>
          </cell>
          <cell r="E351" t="str">
            <v>П+С
(тех присоед.)</v>
          </cell>
          <cell r="F351" t="str">
            <v>-</v>
          </cell>
          <cell r="G351">
            <v>2014</v>
          </cell>
          <cell r="H351">
            <v>2016</v>
          </cell>
        </row>
        <row r="352">
          <cell r="B352" t="str">
            <v>1.1.5.2.166/14</v>
          </cell>
          <cell r="C352" t="str">
            <v>3.1.276</v>
          </cell>
          <cell r="D352" t="str">
            <v xml:space="preserve">Электроснабжение светофорных объектов в составе объекта "Улица Стаханова от ул. Водопьянова до пр. 60 лет СССР и от пр. 60 лет СССР </v>
          </cell>
          <cell r="E352" t="str">
            <v>П+С
(тех присоед.)</v>
          </cell>
          <cell r="F352" t="str">
            <v>-</v>
          </cell>
          <cell r="G352">
            <v>2015</v>
          </cell>
          <cell r="H352">
            <v>2019</v>
          </cell>
        </row>
        <row r="353">
          <cell r="B353" t="str">
            <v>1.1.5.2.183/14</v>
          </cell>
          <cell r="C353" t="str">
            <v>3.1.277</v>
          </cell>
          <cell r="D353" t="str">
            <v>Строительство новой КТП 100 кВА 6/0,4 кВ по ул. Юных Натуралистов, г. Липецк;
Монтаж трансформатора в новой КТП;
Монтаж оборудования в РУ-6 кВ новой КТП;
Монтаж оборудования в РУ-0,4 кВ новой КТП;
Монтаж узла учета в РУ-0,4 кВ новой КТП;
Монтаж ОПС в новой КТП;
Реконструкция КЛ-6 кВ от ТП28-ТП191 ( АСБ 3*95 св) (инв. № 345577) для электроснабжения гаража по адресу: г. Липецк, ул. Юных Натуралистов, владение 20, гараж № 135</v>
          </cell>
          <cell r="E353" t="str">
            <v>П+С
(тех присоед.)</v>
          </cell>
          <cell r="F353" t="str">
            <v>-</v>
          </cell>
          <cell r="G353">
            <v>2014</v>
          </cell>
          <cell r="H353">
            <v>2017</v>
          </cell>
        </row>
        <row r="354">
          <cell r="B354" t="str">
            <v>1.1.5.2.213/14</v>
          </cell>
          <cell r="C354" t="str">
            <v>3.1.278</v>
          </cell>
          <cell r="D354" t="str">
            <v>Монтаж прибора учета на опоре ВЛ-0,4 кВ от МТП-955 в СО "Сокол-3" для электроснабжения садового домика по адресу: г. Липецк, СО "Сокол-3", массив № I, земельный участок № 114</v>
          </cell>
          <cell r="E354" t="str">
            <v>П+С
(тех присоед.)</v>
          </cell>
          <cell r="F354" t="str">
            <v>-</v>
          </cell>
          <cell r="G354">
            <v>2014</v>
          </cell>
          <cell r="H354">
            <v>2016</v>
          </cell>
        </row>
        <row r="355">
          <cell r="B355" t="str">
            <v>1.1.5.2.144/14</v>
          </cell>
          <cell r="C355" t="str">
            <v>3.1.279</v>
          </cell>
          <cell r="D355" t="str">
            <v>Монтаж оборудования в РУ-0,4 кВ ТП-864 для электроснабжения базовой станции сотовой связи № 35174 "Ниженка" по адресу: г. Липецк, ул. 20 Партсъезда, 10 Б, соор. 1</v>
          </cell>
          <cell r="E355" t="str">
            <v>П+С
(тех присоед.)</v>
          </cell>
          <cell r="F355" t="str">
            <v>-</v>
          </cell>
          <cell r="G355">
            <v>2014</v>
          </cell>
          <cell r="H355">
            <v>2019</v>
          </cell>
        </row>
        <row r="356">
          <cell r="B356" t="str">
            <v>1.1.5.1.38/14</v>
          </cell>
          <cell r="C356" t="str">
            <v>3.1.280</v>
          </cell>
          <cell r="D356" t="str">
            <v>Электроснабжение здания магазина по адресу: г. Липецк, ул. Московская, д. 101 "а"</v>
          </cell>
          <cell r="E356" t="str">
            <v>С</v>
          </cell>
          <cell r="F356" t="str">
            <v>-</v>
          </cell>
          <cell r="G356">
            <v>2014</v>
          </cell>
          <cell r="H356">
            <v>2016</v>
          </cell>
        </row>
        <row r="357">
          <cell r="B357" t="str">
            <v>1.1.5.1.31/13</v>
          </cell>
          <cell r="C357" t="str">
            <v>3.1.281</v>
          </cell>
          <cell r="D357" t="str">
            <v>Электроснабжение гаража с подвалом по адресу: г. Липецк, гаражно-строительный кооператив "Сырский", ряд 41, гараж 524/1-524/2</v>
          </cell>
          <cell r="E357" t="str">
            <v>П+С
(тех присоед.)</v>
          </cell>
          <cell r="F357" t="str">
            <v>-</v>
          </cell>
          <cell r="G357">
            <v>2014</v>
          </cell>
          <cell r="H357">
            <v>2016</v>
          </cell>
        </row>
        <row r="358">
          <cell r="B358" t="str">
            <v>1.1.5.1.8/15</v>
          </cell>
          <cell r="C358" t="str">
            <v>3.1.282</v>
          </cell>
          <cell r="D358" t="str">
            <v>Электроснабжение многоэтажного многоквартирного жилого дома по адресу: г. Липецк, ул. Калинина, д. 38</v>
          </cell>
          <cell r="E358" t="str">
            <v>П+С
(тех присоед.)</v>
          </cell>
          <cell r="F358" t="str">
            <v>-</v>
          </cell>
          <cell r="G358">
            <v>2017</v>
          </cell>
          <cell r="H358">
            <v>2018</v>
          </cell>
        </row>
        <row r="359">
          <cell r="B359" t="str">
            <v>1.1.5.1.9/15</v>
          </cell>
          <cell r="C359" t="str">
            <v>3.1.283</v>
          </cell>
          <cell r="D359" t="str">
            <v>Электроснабжение общественно-торгового центра по адресу: г. Липецк, ул. Стаханова, д. 36</v>
          </cell>
          <cell r="E359" t="str">
            <v>П+С
(тех присоед.)</v>
          </cell>
          <cell r="F359" t="str">
            <v>-</v>
          </cell>
          <cell r="G359">
            <v>2015</v>
          </cell>
          <cell r="H359">
            <v>2016</v>
          </cell>
        </row>
        <row r="360">
          <cell r="B360" t="str">
            <v>1.1.5.1.10/15</v>
          </cell>
          <cell r="C360" t="str">
            <v>3.1.284</v>
          </cell>
          <cell r="D360" t="str">
            <v>Электроснабжение административного здания с лабораторией и проектно-конструкторским бюро по адресу: г. Липецк, ул. К. Шаталовой, д. 8</v>
          </cell>
          <cell r="E360" t="str">
            <v>П+С
(тех присоед.)</v>
          </cell>
          <cell r="F360" t="str">
            <v>0,63 МВА</v>
          </cell>
          <cell r="G360">
            <v>2015</v>
          </cell>
          <cell r="H360">
            <v>2016</v>
          </cell>
        </row>
        <row r="361">
          <cell r="B361" t="str">
            <v>1.1.5.1.11/15</v>
          </cell>
          <cell r="C361" t="str">
            <v>3.1.285</v>
          </cell>
          <cell r="D361" t="str">
            <v>Электроснабжение помещения № 15 по адресу: г. Липецк, ул. Московская, д. 117</v>
          </cell>
          <cell r="E361" t="str">
            <v>П+С
(тех присоед.)</v>
          </cell>
          <cell r="F361" t="str">
            <v>-</v>
          </cell>
          <cell r="G361">
            <v>2015</v>
          </cell>
          <cell r="H361">
            <v>2016</v>
          </cell>
        </row>
        <row r="362">
          <cell r="B362" t="str">
            <v>1.1.5.1.12/15</v>
          </cell>
          <cell r="C362" t="str">
            <v>3.1.286</v>
          </cell>
          <cell r="D362" t="str">
            <v>Электроснабжение торгового центра с трансформаторной подстанцией по адресу: г. Липецк, пр. 60 лет СССР, д. 34</v>
          </cell>
          <cell r="E362" t="str">
            <v>П+С
(тех присоед.)</v>
          </cell>
          <cell r="F362" t="str">
            <v>10,16 км</v>
          </cell>
          <cell r="G362">
            <v>2015</v>
          </cell>
          <cell r="H362">
            <v>2017</v>
          </cell>
        </row>
        <row r="363">
          <cell r="B363" t="str">
            <v>1.1.5.1.13/15</v>
          </cell>
          <cell r="C363" t="str">
            <v>3.1.287</v>
          </cell>
          <cell r="D363" t="str">
            <v>Электроснабжение  комплексного жилищного строительства по адресу: г. Липецк, район ул. М.И. Неделина и ул. Валентина Скороходова в Советском округе г. Липецка</v>
          </cell>
          <cell r="E363" t="str">
            <v>П+С
(тех присоед.)</v>
          </cell>
          <cell r="F363" t="str">
            <v>-</v>
          </cell>
          <cell r="G363">
            <v>2015</v>
          </cell>
          <cell r="H363">
            <v>2017</v>
          </cell>
        </row>
        <row r="364">
          <cell r="B364" t="str">
            <v>1.1.5.1.15/15</v>
          </cell>
          <cell r="C364" t="str">
            <v>3.1.288</v>
          </cell>
          <cell r="D364" t="str">
            <v>Электроснабжение магазина с кафе по адресу: г. Липецк, пр. Победы в районе жилого дома № 132</v>
          </cell>
          <cell r="E364" t="str">
            <v>П+С
(тех присоед.)</v>
          </cell>
          <cell r="F364" t="str">
            <v>-</v>
          </cell>
          <cell r="G364">
            <v>2015</v>
          </cell>
          <cell r="H364">
            <v>2017</v>
          </cell>
        </row>
        <row r="365">
          <cell r="B365" t="str">
            <v>1.1.5.1.16/15</v>
          </cell>
          <cell r="C365" t="str">
            <v>3.1.289</v>
          </cell>
          <cell r="D365" t="str">
            <v>Электроснабжение здания автосалона по адресу: г. Липецк, ул. Неделина в Советском округе</v>
          </cell>
          <cell r="E365" t="str">
            <v>П+С
(тех присоед.)</v>
          </cell>
          <cell r="F365" t="str">
            <v>-</v>
          </cell>
          <cell r="G365">
            <v>2015</v>
          </cell>
          <cell r="H365">
            <v>2016</v>
          </cell>
        </row>
        <row r="366">
          <cell r="B366" t="str">
            <v>1.1.5.1.17/15</v>
          </cell>
          <cell r="C366" t="str">
            <v>3.1.290</v>
          </cell>
          <cell r="D366" t="str">
            <v>Электроснабжение здания котельной по адресу: г. Липецк, ул. Невского, д. 27</v>
          </cell>
          <cell r="E366" t="str">
            <v>П+С
(тех присоед.)</v>
          </cell>
          <cell r="F366" t="str">
            <v>-</v>
          </cell>
          <cell r="G366">
            <v>2015</v>
          </cell>
          <cell r="H366">
            <v>2016</v>
          </cell>
        </row>
        <row r="367">
          <cell r="B367" t="str">
            <v>1.1.5.1.18/15</v>
          </cell>
          <cell r="C367" t="str">
            <v>3.1.291</v>
          </cell>
          <cell r="D367" t="str">
            <v>Электроснабжение стройплощадки здания социального назначения с парковкой и благоустройством прилегающей территории по адресу: г. Липецк, ул. Механизаторов в районе д. 4 в Октябрьском округе, кадастровый № 48:20:0044802:1174</v>
          </cell>
          <cell r="E367" t="str">
            <v>П+С
(тех присоед.)</v>
          </cell>
          <cell r="F367" t="str">
            <v>-</v>
          </cell>
          <cell r="G367">
            <v>2015</v>
          </cell>
          <cell r="H367">
            <v>2016</v>
          </cell>
        </row>
        <row r="368">
          <cell r="B368" t="str">
            <v>1.1.5.1.20/15</v>
          </cell>
          <cell r="C368" t="str">
            <v>3.1.292</v>
          </cell>
          <cell r="D368" t="str">
            <v>Электроснабжение спортивно-оздоровительного центра по адресу: г. Липецк, 28 микр., стр. №44</v>
          </cell>
          <cell r="E368" t="str">
            <v>П+С
(тех присоед.)</v>
          </cell>
          <cell r="F368" t="str">
            <v>-</v>
          </cell>
          <cell r="G368">
            <v>2015</v>
          </cell>
          <cell r="H368">
            <v>2017</v>
          </cell>
        </row>
        <row r="369">
          <cell r="B369" t="str">
            <v>1.1.5.1.21/15</v>
          </cell>
          <cell r="C369" t="str">
            <v>3.1.293</v>
          </cell>
          <cell r="D369" t="str">
            <v>Электроснабжение здания магазина непродовольственных товаров по адресу: г. Липецк, ул. Первомайская, в районе д. 119, кадастровый № 48:20:0013802:711</v>
          </cell>
          <cell r="E369" t="str">
            <v>П+С
(тех присоед.)</v>
          </cell>
          <cell r="F369" t="str">
            <v>-</v>
          </cell>
          <cell r="G369">
            <v>2015</v>
          </cell>
          <cell r="H369">
            <v>2017</v>
          </cell>
        </row>
        <row r="370">
          <cell r="B370" t="str">
            <v>1.1.5.1.22/15</v>
          </cell>
          <cell r="C370" t="str">
            <v>3.1.294</v>
          </cell>
          <cell r="D370" t="str">
            <v>Электроснабжение помещения по адресу: г. Липецк, ул. Папина, д. 13, помещение 1</v>
          </cell>
          <cell r="E370" t="str">
            <v>П+С
(тех присоед.)</v>
          </cell>
          <cell r="F370" t="str">
            <v>-</v>
          </cell>
          <cell r="G370">
            <v>2017</v>
          </cell>
          <cell r="H370">
            <v>2018</v>
          </cell>
        </row>
        <row r="371">
          <cell r="B371" t="str">
            <v>1.1.5.1.23/15</v>
          </cell>
          <cell r="C371" t="str">
            <v>3.1.295</v>
          </cell>
          <cell r="D371" t="str">
            <v>Электроснабжение многоэтажного многоквартирного жилого здание с подземной автостоянкой, магазинами по адресу: г. Липецк, ул. Шевченко, д. 23, 25, 27, 29, 31, Вавилова, д. 22</v>
          </cell>
          <cell r="E371" t="str">
            <v>П+С
(тех присоед.)</v>
          </cell>
          <cell r="F371" t="str">
            <v>-</v>
          </cell>
          <cell r="G371">
            <v>2015</v>
          </cell>
          <cell r="H371">
            <v>2016</v>
          </cell>
        </row>
        <row r="372">
          <cell r="B372" t="str">
            <v>1.1.5.1.24/15</v>
          </cell>
          <cell r="C372" t="str">
            <v>3.1.296</v>
          </cell>
          <cell r="D372" t="str">
            <v>Электроснабжение складских помещений (лит. А, Б, 1) по адресу: г. Липецк, ул. Фадеева, 2</v>
          </cell>
          <cell r="E372" t="str">
            <v>П+С
(тех присоед.)</v>
          </cell>
          <cell r="F372" t="str">
            <v>-</v>
          </cell>
          <cell r="G372">
            <v>2015</v>
          </cell>
          <cell r="H372">
            <v>2017</v>
          </cell>
        </row>
        <row r="373">
          <cell r="B373" t="str">
            <v>1.1.5.1.25/15</v>
          </cell>
          <cell r="C373" t="str">
            <v>3.1.297</v>
          </cell>
          <cell r="D373" t="str">
            <v>Электроснабжение здания магазина продовольственных и непродовольственных товаров по адресу: г. Липецк, ул. Доватора в районе дома № 57</v>
          </cell>
          <cell r="E373" t="str">
            <v>П+С
(тех присоед.)</v>
          </cell>
          <cell r="F373" t="str">
            <v>-</v>
          </cell>
          <cell r="G373">
            <v>2015</v>
          </cell>
          <cell r="H373">
            <v>2017</v>
          </cell>
        </row>
        <row r="374">
          <cell r="B374" t="str">
            <v>1.1.5.1.26/15</v>
          </cell>
          <cell r="C374" t="str">
            <v>3.1.298</v>
          </cell>
          <cell r="D374" t="str">
            <v>Электроснабжение здания магазина по адресу: г. Липецк, в районе ул. Московская, в районе дома № 45 в Советском округе, кадастровый №  48:20:0012102:1263</v>
          </cell>
          <cell r="E374" t="str">
            <v>П+С
(тех присоед.)</v>
          </cell>
          <cell r="F374" t="str">
            <v>-</v>
          </cell>
          <cell r="G374">
            <v>2015</v>
          </cell>
          <cell r="H374">
            <v>2017</v>
          </cell>
        </row>
        <row r="375">
          <cell r="B375" t="str">
            <v>1.1.5.1.27/15</v>
          </cell>
          <cell r="C375" t="str">
            <v>3.1.299</v>
          </cell>
          <cell r="D375" t="str">
            <v>Электроснабжение индивидуального жилого дома усадебного типа с хозяйственными постройками по почтовому адресу ориентира: г. Липецк, ул. Студеновская, д. 122 (кад. № 48:20:0020608:55)</v>
          </cell>
          <cell r="E375" t="str">
            <v>П+С
(тех присоед.)</v>
          </cell>
          <cell r="F375" t="str">
            <v>2 МВА</v>
          </cell>
          <cell r="G375">
            <v>2018</v>
          </cell>
          <cell r="H375">
            <v>2019</v>
          </cell>
        </row>
        <row r="376">
          <cell r="B376" t="str">
            <v>1.1.5.1.28/15</v>
          </cell>
          <cell r="C376" t="str">
            <v>3.1.300</v>
          </cell>
          <cell r="D376" t="str">
            <v>Электроснабжение реконструкции незавершенного строительства объекта - здания бассейна под по адресу: г. Липецк, ул. Гагарина, д. 70а</v>
          </cell>
          <cell r="E376" t="str">
            <v>П+С
(тех присоед.)</v>
          </cell>
          <cell r="F376" t="str">
            <v>-</v>
          </cell>
          <cell r="G376">
            <v>2018</v>
          </cell>
          <cell r="H376">
            <v>2019</v>
          </cell>
        </row>
        <row r="377">
          <cell r="B377" t="str">
            <v>1.1.5.1.29/15</v>
          </cell>
          <cell r="C377" t="str">
            <v>3.1.301</v>
          </cell>
          <cell r="D377" t="str">
            <v>Электроснабжение Консультативно-диагностического центра по адресу: г. Липецк, ул. Московская,  6 а, кадастровый № 48:20:0029309:202</v>
          </cell>
          <cell r="E377" t="str">
            <v>П+С
(тех присоед.)</v>
          </cell>
          <cell r="F377" t="str">
            <v>-</v>
          </cell>
          <cell r="G377">
            <v>2018</v>
          </cell>
          <cell r="H377">
            <v>2019</v>
          </cell>
        </row>
        <row r="378">
          <cell r="C378" t="str">
            <v>3.1.302</v>
          </cell>
          <cell r="D378" t="str">
            <v>Иные объекты</v>
          </cell>
          <cell r="E378" t="str">
            <v>П+С
(тех присоед.)</v>
          </cell>
          <cell r="F378" t="str">
            <v/>
          </cell>
          <cell r="G378">
            <v>2018</v>
          </cell>
          <cell r="H378">
            <v>2020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Q467"/>
  <sheetViews>
    <sheetView tabSelected="1" view="pageBreakPreview" zoomScale="80" zoomScaleSheetLayoutView="80" workbookViewId="0">
      <selection activeCell="G31" sqref="G31"/>
    </sheetView>
  </sheetViews>
  <sheetFormatPr defaultColWidth="10.28515625" defaultRowHeight="15.75" x14ac:dyDescent="0.25"/>
  <cols>
    <col min="1" max="1" width="12.140625" style="660" customWidth="1"/>
    <col min="2" max="2" width="85.28515625" style="661" customWidth="1"/>
    <col min="3" max="3" width="12.28515625" style="686" customWidth="1"/>
    <col min="4" max="4" width="14.140625" style="686" customWidth="1"/>
    <col min="5" max="5" width="18.140625" style="686" customWidth="1"/>
    <col min="6" max="7" width="18.140625" style="687" customWidth="1"/>
    <col min="8" max="14" width="18.140625" style="688" customWidth="1"/>
    <col min="15" max="15" width="19.5703125" style="688" customWidth="1"/>
    <col min="16" max="16384" width="10.28515625" style="662"/>
  </cols>
  <sheetData>
    <row r="1" spans="1:15" ht="18.75" x14ac:dyDescent="0.25">
      <c r="O1" s="689" t="s">
        <v>2981</v>
      </c>
    </row>
    <row r="2" spans="1:15" ht="18.75" x14ac:dyDescent="0.25">
      <c r="O2" s="689" t="s">
        <v>2982</v>
      </c>
    </row>
    <row r="3" spans="1:15" ht="18.75" x14ac:dyDescent="0.25">
      <c r="O3" s="689" t="s">
        <v>3594</v>
      </c>
    </row>
    <row r="4" spans="1:15" ht="18.75" x14ac:dyDescent="0.25">
      <c r="O4" s="689" t="s">
        <v>3595</v>
      </c>
    </row>
    <row r="5" spans="1:15" ht="18.75" x14ac:dyDescent="0.25">
      <c r="O5" s="689"/>
    </row>
    <row r="6" spans="1:15" x14ac:dyDescent="0.25">
      <c r="A6" s="788" t="s">
        <v>2983</v>
      </c>
      <c r="B6" s="788"/>
      <c r="C6" s="788"/>
      <c r="D6" s="788"/>
      <c r="E6" s="788"/>
      <c r="F6" s="788"/>
      <c r="G6" s="788"/>
      <c r="H6" s="788"/>
      <c r="I6" s="788"/>
      <c r="J6" s="788"/>
      <c r="K6" s="788"/>
      <c r="L6" s="788"/>
      <c r="M6" s="788"/>
      <c r="N6" s="788"/>
      <c r="O6" s="788"/>
    </row>
    <row r="7" spans="1:15" x14ac:dyDescent="0.25">
      <c r="A7" s="789"/>
      <c r="B7" s="789"/>
      <c r="C7" s="789"/>
      <c r="D7" s="789"/>
      <c r="E7" s="789"/>
      <c r="F7" s="789"/>
      <c r="G7" s="789"/>
      <c r="H7" s="789"/>
      <c r="I7" s="789"/>
      <c r="J7" s="789"/>
      <c r="K7" s="789"/>
      <c r="L7" s="789"/>
      <c r="M7" s="789"/>
      <c r="N7" s="789"/>
      <c r="O7" s="789"/>
    </row>
    <row r="9" spans="1:15" ht="50.45" customHeight="1" x14ac:dyDescent="0.25">
      <c r="A9" s="790" t="s">
        <v>3589</v>
      </c>
      <c r="B9" s="790"/>
    </row>
    <row r="10" spans="1:15" x14ac:dyDescent="0.25">
      <c r="B10" s="663" t="s">
        <v>2984</v>
      </c>
    </row>
    <row r="11" spans="1:15" ht="18.75" x14ac:dyDescent="0.25">
      <c r="B11" s="664" t="s">
        <v>2985</v>
      </c>
    </row>
    <row r="12" spans="1:15" ht="15.75" customHeight="1" x14ac:dyDescent="0.25">
      <c r="A12" s="791" t="s">
        <v>3598</v>
      </c>
      <c r="B12" s="791"/>
    </row>
    <row r="13" spans="1:15" ht="18.75" x14ac:dyDescent="0.25">
      <c r="B13" s="664"/>
    </row>
    <row r="14" spans="1:15" ht="40.700000000000003" customHeight="1" x14ac:dyDescent="0.25">
      <c r="A14" s="790" t="s">
        <v>3597</v>
      </c>
      <c r="B14" s="790"/>
    </row>
    <row r="15" spans="1:15" x14ac:dyDescent="0.25">
      <c r="A15" s="792" t="s">
        <v>2986</v>
      </c>
      <c r="B15" s="792"/>
    </row>
    <row r="16" spans="1:15" x14ac:dyDescent="0.25">
      <c r="A16" s="662"/>
      <c r="B16" s="662"/>
      <c r="C16" s="688"/>
      <c r="D16" s="688"/>
      <c r="E16" s="688"/>
      <c r="F16" s="688"/>
      <c r="G16" s="688"/>
    </row>
    <row r="17" spans="1:15" x14ac:dyDescent="0.25">
      <c r="A17" s="662"/>
      <c r="B17" s="662"/>
      <c r="C17" s="688"/>
      <c r="D17" s="688"/>
      <c r="E17" s="688"/>
      <c r="F17" s="688"/>
      <c r="G17" s="688"/>
    </row>
    <row r="18" spans="1:15" ht="18.95" customHeight="1" thickBot="1" x14ac:dyDescent="0.3">
      <c r="A18" s="793" t="s">
        <v>2987</v>
      </c>
      <c r="B18" s="793"/>
      <c r="C18" s="793"/>
      <c r="D18" s="793"/>
      <c r="E18" s="793"/>
      <c r="F18" s="793"/>
      <c r="G18" s="793"/>
      <c r="H18" s="793"/>
      <c r="I18" s="793"/>
      <c r="J18" s="793"/>
      <c r="K18" s="793"/>
      <c r="L18" s="793"/>
      <c r="M18" s="793"/>
      <c r="N18" s="793"/>
      <c r="O18" s="793"/>
    </row>
    <row r="19" spans="1:15" ht="35.25" customHeight="1" x14ac:dyDescent="0.25">
      <c r="A19" s="794" t="s">
        <v>2942</v>
      </c>
      <c r="B19" s="796" t="s">
        <v>2988</v>
      </c>
      <c r="C19" s="798" t="s">
        <v>2989</v>
      </c>
      <c r="D19" s="798">
        <v>2020</v>
      </c>
      <c r="E19" s="798"/>
      <c r="F19" s="798">
        <v>2021</v>
      </c>
      <c r="G19" s="798"/>
      <c r="H19" s="798">
        <v>2022</v>
      </c>
      <c r="I19" s="798"/>
      <c r="J19" s="798">
        <v>2023</v>
      </c>
      <c r="K19" s="798"/>
      <c r="L19" s="798">
        <v>2024</v>
      </c>
      <c r="M19" s="798"/>
      <c r="N19" s="800" t="s">
        <v>2990</v>
      </c>
      <c r="O19" s="801"/>
    </row>
    <row r="20" spans="1:15" ht="53.25" customHeight="1" x14ac:dyDescent="0.25">
      <c r="A20" s="795"/>
      <c r="B20" s="797"/>
      <c r="C20" s="799"/>
      <c r="D20" s="695" t="s">
        <v>2991</v>
      </c>
      <c r="E20" s="695" t="s">
        <v>2992</v>
      </c>
      <c r="F20" s="695" t="s">
        <v>2991</v>
      </c>
      <c r="G20" s="695" t="s">
        <v>2992</v>
      </c>
      <c r="H20" s="695" t="s">
        <v>2991</v>
      </c>
      <c r="I20" s="695" t="s">
        <v>2992</v>
      </c>
      <c r="J20" s="695" t="s">
        <v>2991</v>
      </c>
      <c r="K20" s="695" t="s">
        <v>2992</v>
      </c>
      <c r="L20" s="695" t="s">
        <v>2991</v>
      </c>
      <c r="M20" s="695" t="s">
        <v>2992</v>
      </c>
      <c r="N20" s="695" t="s">
        <v>2991</v>
      </c>
      <c r="O20" s="680" t="s">
        <v>2992</v>
      </c>
    </row>
    <row r="21" spans="1:15" s="665" customFormat="1" ht="16.5" thickBot="1" x14ac:dyDescent="0.25">
      <c r="A21" s="672">
        <v>1</v>
      </c>
      <c r="B21" s="673">
        <v>2</v>
      </c>
      <c r="C21" s="691">
        <v>3</v>
      </c>
      <c r="D21" s="691">
        <v>4</v>
      </c>
      <c r="E21" s="691">
        <v>5</v>
      </c>
      <c r="F21" s="696" t="s">
        <v>1474</v>
      </c>
      <c r="G21" s="696" t="s">
        <v>1475</v>
      </c>
      <c r="H21" s="691">
        <v>8</v>
      </c>
      <c r="I21" s="691">
        <v>9</v>
      </c>
      <c r="J21" s="691">
        <v>10</v>
      </c>
      <c r="K21" s="691">
        <v>11</v>
      </c>
      <c r="L21" s="691">
        <v>12</v>
      </c>
      <c r="M21" s="691">
        <v>13</v>
      </c>
      <c r="N21" s="696" t="s">
        <v>1482</v>
      </c>
      <c r="O21" s="681">
        <v>15</v>
      </c>
    </row>
    <row r="22" spans="1:15" s="665" customFormat="1" ht="19.5" thickBot="1" x14ac:dyDescent="0.25">
      <c r="A22" s="802" t="s">
        <v>2993</v>
      </c>
      <c r="B22" s="803"/>
      <c r="C22" s="803"/>
      <c r="D22" s="803"/>
      <c r="E22" s="803"/>
      <c r="F22" s="803"/>
      <c r="G22" s="803"/>
      <c r="H22" s="803"/>
      <c r="I22" s="803"/>
      <c r="J22" s="803"/>
      <c r="K22" s="803"/>
      <c r="L22" s="803"/>
      <c r="M22" s="803"/>
      <c r="N22" s="803"/>
      <c r="O22" s="804"/>
    </row>
    <row r="23" spans="1:15" s="665" customFormat="1" x14ac:dyDescent="0.2">
      <c r="A23" s="697" t="s">
        <v>2765</v>
      </c>
      <c r="B23" s="698" t="s">
        <v>2994</v>
      </c>
      <c r="C23" s="699" t="s">
        <v>2995</v>
      </c>
      <c r="D23" s="700">
        <f>D29+D31+D37</f>
        <v>1758.9834698019686</v>
      </c>
      <c r="E23" s="700">
        <f>E29+E31+E37</f>
        <v>1779.0383467906934</v>
      </c>
      <c r="F23" s="700">
        <f>F29+F31+F37</f>
        <v>1813.4261074265582</v>
      </c>
      <c r="G23" s="700" t="s">
        <v>212</v>
      </c>
      <c r="H23" s="700">
        <f>H29+H31+H37</f>
        <v>1869.0106866532051</v>
      </c>
      <c r="I23" s="700" t="s">
        <v>212</v>
      </c>
      <c r="J23" s="700">
        <f>J29+J31+J37</f>
        <v>1927.1040591475214</v>
      </c>
      <c r="K23" s="700" t="s">
        <v>212</v>
      </c>
      <c r="L23" s="700">
        <f>L29+L31+L37</f>
        <v>1987.0191318405614</v>
      </c>
      <c r="M23" s="700" t="s">
        <v>212</v>
      </c>
      <c r="N23" s="701">
        <f>D23+F23+H23+J23+L23</f>
        <v>9355.543454869814</v>
      </c>
      <c r="O23" s="700">
        <f>O29+O31+O37</f>
        <v>1779.0383467906934</v>
      </c>
    </row>
    <row r="24" spans="1:15" s="665" customFormat="1" x14ac:dyDescent="0.2">
      <c r="A24" s="702" t="s">
        <v>131</v>
      </c>
      <c r="B24" s="703" t="s">
        <v>2996</v>
      </c>
      <c r="C24" s="704" t="s">
        <v>2995</v>
      </c>
      <c r="D24" s="705" t="s">
        <v>212</v>
      </c>
      <c r="E24" s="705" t="s">
        <v>212</v>
      </c>
      <c r="F24" s="705" t="s">
        <v>212</v>
      </c>
      <c r="G24" s="705" t="s">
        <v>212</v>
      </c>
      <c r="H24" s="705" t="s">
        <v>212</v>
      </c>
      <c r="I24" s="705" t="s">
        <v>212</v>
      </c>
      <c r="J24" s="705" t="s">
        <v>212</v>
      </c>
      <c r="K24" s="705" t="s">
        <v>212</v>
      </c>
      <c r="L24" s="705" t="s">
        <v>212</v>
      </c>
      <c r="M24" s="705" t="s">
        <v>212</v>
      </c>
      <c r="N24" s="705" t="s">
        <v>212</v>
      </c>
      <c r="O24" s="705" t="s">
        <v>212</v>
      </c>
    </row>
    <row r="25" spans="1:15" s="665" customFormat="1" ht="31.5" x14ac:dyDescent="0.2">
      <c r="A25" s="702" t="s">
        <v>133</v>
      </c>
      <c r="B25" s="706" t="s">
        <v>2997</v>
      </c>
      <c r="C25" s="704" t="s">
        <v>2995</v>
      </c>
      <c r="D25" s="705" t="s">
        <v>212</v>
      </c>
      <c r="E25" s="705" t="s">
        <v>212</v>
      </c>
      <c r="F25" s="705" t="s">
        <v>212</v>
      </c>
      <c r="G25" s="705" t="s">
        <v>212</v>
      </c>
      <c r="H25" s="705" t="s">
        <v>212</v>
      </c>
      <c r="I25" s="705" t="s">
        <v>212</v>
      </c>
      <c r="J25" s="705" t="s">
        <v>212</v>
      </c>
      <c r="K25" s="705" t="s">
        <v>212</v>
      </c>
      <c r="L25" s="705" t="s">
        <v>212</v>
      </c>
      <c r="M25" s="705" t="s">
        <v>212</v>
      </c>
      <c r="N25" s="705" t="s">
        <v>212</v>
      </c>
      <c r="O25" s="705" t="s">
        <v>212</v>
      </c>
    </row>
    <row r="26" spans="1:15" s="665" customFormat="1" ht="31.5" x14ac:dyDescent="0.2">
      <c r="A26" s="702" t="s">
        <v>139</v>
      </c>
      <c r="B26" s="706" t="s">
        <v>2998</v>
      </c>
      <c r="C26" s="704" t="s">
        <v>2995</v>
      </c>
      <c r="D26" s="705" t="s">
        <v>212</v>
      </c>
      <c r="E26" s="705" t="s">
        <v>212</v>
      </c>
      <c r="F26" s="705" t="s">
        <v>212</v>
      </c>
      <c r="G26" s="705" t="s">
        <v>212</v>
      </c>
      <c r="H26" s="705" t="s">
        <v>212</v>
      </c>
      <c r="I26" s="705" t="s">
        <v>212</v>
      </c>
      <c r="J26" s="705" t="s">
        <v>212</v>
      </c>
      <c r="K26" s="705" t="s">
        <v>212</v>
      </c>
      <c r="L26" s="705" t="s">
        <v>212</v>
      </c>
      <c r="M26" s="705" t="s">
        <v>212</v>
      </c>
      <c r="N26" s="705" t="s">
        <v>212</v>
      </c>
      <c r="O26" s="705" t="s">
        <v>212</v>
      </c>
    </row>
    <row r="27" spans="1:15" s="665" customFormat="1" ht="31.5" x14ac:dyDescent="0.2">
      <c r="A27" s="702" t="s">
        <v>141</v>
      </c>
      <c r="B27" s="706" t="s">
        <v>2999</v>
      </c>
      <c r="C27" s="704" t="s">
        <v>2995</v>
      </c>
      <c r="D27" s="705" t="s">
        <v>212</v>
      </c>
      <c r="E27" s="705" t="s">
        <v>212</v>
      </c>
      <c r="F27" s="705" t="s">
        <v>212</v>
      </c>
      <c r="G27" s="705" t="s">
        <v>212</v>
      </c>
      <c r="H27" s="705" t="s">
        <v>212</v>
      </c>
      <c r="I27" s="705" t="s">
        <v>212</v>
      </c>
      <c r="J27" s="705" t="s">
        <v>212</v>
      </c>
      <c r="K27" s="705" t="s">
        <v>212</v>
      </c>
      <c r="L27" s="705" t="s">
        <v>212</v>
      </c>
      <c r="M27" s="705" t="s">
        <v>212</v>
      </c>
      <c r="N27" s="705" t="s">
        <v>212</v>
      </c>
      <c r="O27" s="705" t="s">
        <v>212</v>
      </c>
    </row>
    <row r="28" spans="1:15" s="665" customFormat="1" x14ac:dyDescent="0.2">
      <c r="A28" s="702" t="s">
        <v>149</v>
      </c>
      <c r="B28" s="703" t="s">
        <v>3000</v>
      </c>
      <c r="C28" s="704" t="s">
        <v>2995</v>
      </c>
      <c r="D28" s="705" t="s">
        <v>212</v>
      </c>
      <c r="E28" s="705" t="s">
        <v>212</v>
      </c>
      <c r="F28" s="705" t="s">
        <v>212</v>
      </c>
      <c r="G28" s="705" t="s">
        <v>212</v>
      </c>
      <c r="H28" s="705" t="s">
        <v>212</v>
      </c>
      <c r="I28" s="705" t="s">
        <v>212</v>
      </c>
      <c r="J28" s="705" t="s">
        <v>212</v>
      </c>
      <c r="K28" s="705" t="s">
        <v>212</v>
      </c>
      <c r="L28" s="705" t="s">
        <v>212</v>
      </c>
      <c r="M28" s="705" t="s">
        <v>212</v>
      </c>
      <c r="N28" s="705" t="s">
        <v>212</v>
      </c>
      <c r="O28" s="705" t="s">
        <v>212</v>
      </c>
    </row>
    <row r="29" spans="1:15" s="665" customFormat="1" x14ac:dyDescent="0.2">
      <c r="A29" s="702" t="s">
        <v>153</v>
      </c>
      <c r="B29" s="703" t="s">
        <v>3001</v>
      </c>
      <c r="C29" s="704" t="s">
        <v>2995</v>
      </c>
      <c r="D29" s="705">
        <f>1504.70075581128*1.03</f>
        <v>1549.8417784856185</v>
      </c>
      <c r="E29" s="705">
        <f>1688122.37675736/1000</f>
        <v>1688.1223767573601</v>
      </c>
      <c r="F29" s="705">
        <f>D29*1.03</f>
        <v>1596.3370318401871</v>
      </c>
      <c r="G29" s="705" t="s">
        <v>212</v>
      </c>
      <c r="H29" s="705">
        <f>F29*1.03</f>
        <v>1644.2271427953929</v>
      </c>
      <c r="I29" s="705" t="s">
        <v>212</v>
      </c>
      <c r="J29" s="705">
        <f>H29*1.03</f>
        <v>1693.5539570792546</v>
      </c>
      <c r="K29" s="705" t="s">
        <v>212</v>
      </c>
      <c r="L29" s="705">
        <f>J29*1.03</f>
        <v>1744.3605757916323</v>
      </c>
      <c r="M29" s="705" t="s">
        <v>212</v>
      </c>
      <c r="N29" s="707">
        <f>D29+F29+H29+J29+L29</f>
        <v>8228.3204859920861</v>
      </c>
      <c r="O29" s="705">
        <f>1688122.37675736/1000</f>
        <v>1688.1223767573601</v>
      </c>
    </row>
    <row r="30" spans="1:15" s="665" customFormat="1" x14ac:dyDescent="0.2">
      <c r="A30" s="702" t="s">
        <v>2786</v>
      </c>
      <c r="B30" s="703" t="s">
        <v>3002</v>
      </c>
      <c r="C30" s="704" t="s">
        <v>2995</v>
      </c>
      <c r="D30" s="705" t="s">
        <v>212</v>
      </c>
      <c r="E30" s="705" t="s">
        <v>212</v>
      </c>
      <c r="F30" s="705" t="s">
        <v>212</v>
      </c>
      <c r="G30" s="705" t="s">
        <v>212</v>
      </c>
      <c r="H30" s="705" t="s">
        <v>212</v>
      </c>
      <c r="I30" s="705" t="s">
        <v>212</v>
      </c>
      <c r="J30" s="705" t="s">
        <v>212</v>
      </c>
      <c r="K30" s="705" t="s">
        <v>212</v>
      </c>
      <c r="L30" s="705" t="s">
        <v>212</v>
      </c>
      <c r="M30" s="705" t="s">
        <v>212</v>
      </c>
      <c r="N30" s="705" t="s">
        <v>212</v>
      </c>
      <c r="O30" s="705" t="s">
        <v>212</v>
      </c>
    </row>
    <row r="31" spans="1:15" s="665" customFormat="1" x14ac:dyDescent="0.2">
      <c r="A31" s="702" t="s">
        <v>2885</v>
      </c>
      <c r="B31" s="703" t="s">
        <v>3003</v>
      </c>
      <c r="C31" s="704" t="s">
        <v>2995</v>
      </c>
      <c r="D31" s="705">
        <f>74.07534085*1.031</f>
        <v>76.371676416349999</v>
      </c>
      <c r="E31" s="705">
        <f>80961.9700333333/1000</f>
        <v>80.961970033333301</v>
      </c>
      <c r="F31" s="705">
        <f>D31*1.038</f>
        <v>79.273800120171302</v>
      </c>
      <c r="G31" s="705" t="s">
        <v>212</v>
      </c>
      <c r="H31" s="705">
        <f>F31*1.031</f>
        <v>81.731287923896602</v>
      </c>
      <c r="I31" s="705" t="s">
        <v>212</v>
      </c>
      <c r="J31" s="705">
        <f>H31*1.039</f>
        <v>84.918808152928563</v>
      </c>
      <c r="K31" s="705" t="s">
        <v>212</v>
      </c>
      <c r="L31" s="705">
        <f>J31*1.039</f>
        <v>88.230641670892766</v>
      </c>
      <c r="M31" s="705" t="s">
        <v>212</v>
      </c>
      <c r="N31" s="707">
        <f>D31+F31+H31+J31+L31</f>
        <v>410.52621428423924</v>
      </c>
      <c r="O31" s="705">
        <f>80961.9700333333/1000</f>
        <v>80.961970033333301</v>
      </c>
    </row>
    <row r="32" spans="1:15" s="665" customFormat="1" x14ac:dyDescent="0.2">
      <c r="A32" s="702" t="s">
        <v>3004</v>
      </c>
      <c r="B32" s="703" t="s">
        <v>3005</v>
      </c>
      <c r="C32" s="704" t="s">
        <v>2995</v>
      </c>
      <c r="D32" s="705" t="s">
        <v>212</v>
      </c>
      <c r="E32" s="705" t="s">
        <v>212</v>
      </c>
      <c r="F32" s="705" t="s">
        <v>212</v>
      </c>
      <c r="G32" s="705" t="s">
        <v>212</v>
      </c>
      <c r="H32" s="705" t="s">
        <v>212</v>
      </c>
      <c r="I32" s="705" t="s">
        <v>212</v>
      </c>
      <c r="J32" s="705" t="s">
        <v>212</v>
      </c>
      <c r="K32" s="705" t="s">
        <v>212</v>
      </c>
      <c r="L32" s="705" t="s">
        <v>212</v>
      </c>
      <c r="M32" s="705" t="s">
        <v>212</v>
      </c>
      <c r="N32" s="705" t="s">
        <v>212</v>
      </c>
      <c r="O32" s="705" t="s">
        <v>212</v>
      </c>
    </row>
    <row r="33" spans="1:17" s="665" customFormat="1" x14ac:dyDescent="0.2">
      <c r="A33" s="702" t="s">
        <v>3006</v>
      </c>
      <c r="B33" s="703" t="s">
        <v>3007</v>
      </c>
      <c r="C33" s="704" t="s">
        <v>2995</v>
      </c>
      <c r="D33" s="705" t="s">
        <v>212</v>
      </c>
      <c r="E33" s="705" t="s">
        <v>212</v>
      </c>
      <c r="F33" s="705" t="s">
        <v>212</v>
      </c>
      <c r="G33" s="705" t="s">
        <v>212</v>
      </c>
      <c r="H33" s="705" t="s">
        <v>212</v>
      </c>
      <c r="I33" s="705" t="s">
        <v>212</v>
      </c>
      <c r="J33" s="705" t="s">
        <v>212</v>
      </c>
      <c r="K33" s="705" t="s">
        <v>212</v>
      </c>
      <c r="L33" s="705" t="s">
        <v>212</v>
      </c>
      <c r="M33" s="705" t="s">
        <v>212</v>
      </c>
      <c r="N33" s="705" t="s">
        <v>212</v>
      </c>
      <c r="O33" s="705" t="s">
        <v>212</v>
      </c>
    </row>
    <row r="34" spans="1:17" s="665" customFormat="1" ht="31.5" x14ac:dyDescent="0.2">
      <c r="A34" s="702" t="s">
        <v>3008</v>
      </c>
      <c r="B34" s="706" t="s">
        <v>3009</v>
      </c>
      <c r="C34" s="704" t="s">
        <v>2995</v>
      </c>
      <c r="D34" s="705" t="s">
        <v>212</v>
      </c>
      <c r="E34" s="705" t="s">
        <v>212</v>
      </c>
      <c r="F34" s="705" t="s">
        <v>212</v>
      </c>
      <c r="G34" s="705" t="s">
        <v>212</v>
      </c>
      <c r="H34" s="705" t="s">
        <v>212</v>
      </c>
      <c r="I34" s="705" t="s">
        <v>212</v>
      </c>
      <c r="J34" s="705" t="s">
        <v>212</v>
      </c>
      <c r="K34" s="705" t="s">
        <v>212</v>
      </c>
      <c r="L34" s="705" t="s">
        <v>212</v>
      </c>
      <c r="M34" s="705" t="s">
        <v>212</v>
      </c>
      <c r="N34" s="705" t="s">
        <v>212</v>
      </c>
      <c r="O34" s="705" t="s">
        <v>212</v>
      </c>
    </row>
    <row r="35" spans="1:17" s="665" customFormat="1" x14ac:dyDescent="0.2">
      <c r="A35" s="702" t="s">
        <v>3010</v>
      </c>
      <c r="B35" s="708" t="s">
        <v>3011</v>
      </c>
      <c r="C35" s="704" t="s">
        <v>2995</v>
      </c>
      <c r="D35" s="705" t="s">
        <v>212</v>
      </c>
      <c r="E35" s="705" t="s">
        <v>212</v>
      </c>
      <c r="F35" s="705" t="s">
        <v>212</v>
      </c>
      <c r="G35" s="705" t="s">
        <v>212</v>
      </c>
      <c r="H35" s="705" t="s">
        <v>212</v>
      </c>
      <c r="I35" s="705" t="s">
        <v>212</v>
      </c>
      <c r="J35" s="705" t="s">
        <v>212</v>
      </c>
      <c r="K35" s="705" t="s">
        <v>212</v>
      </c>
      <c r="L35" s="705" t="s">
        <v>212</v>
      </c>
      <c r="M35" s="705" t="s">
        <v>212</v>
      </c>
      <c r="N35" s="705" t="s">
        <v>212</v>
      </c>
      <c r="O35" s="705" t="s">
        <v>212</v>
      </c>
    </row>
    <row r="36" spans="1:17" s="665" customFormat="1" x14ac:dyDescent="0.2">
      <c r="A36" s="709" t="s">
        <v>3012</v>
      </c>
      <c r="B36" s="710" t="s">
        <v>3013</v>
      </c>
      <c r="C36" s="711" t="s">
        <v>2995</v>
      </c>
      <c r="D36" s="705" t="s">
        <v>212</v>
      </c>
      <c r="E36" s="705" t="s">
        <v>212</v>
      </c>
      <c r="F36" s="705" t="s">
        <v>212</v>
      </c>
      <c r="G36" s="705" t="s">
        <v>212</v>
      </c>
      <c r="H36" s="705" t="s">
        <v>212</v>
      </c>
      <c r="I36" s="705" t="s">
        <v>212</v>
      </c>
      <c r="J36" s="705" t="s">
        <v>212</v>
      </c>
      <c r="K36" s="705" t="s">
        <v>212</v>
      </c>
      <c r="L36" s="705" t="s">
        <v>212</v>
      </c>
      <c r="M36" s="705" t="s">
        <v>212</v>
      </c>
      <c r="N36" s="705" t="s">
        <v>212</v>
      </c>
      <c r="O36" s="705" t="s">
        <v>212</v>
      </c>
    </row>
    <row r="37" spans="1:17" s="665" customFormat="1" x14ac:dyDescent="0.2">
      <c r="A37" s="702" t="s">
        <v>3014</v>
      </c>
      <c r="B37" s="703" t="s">
        <v>3015</v>
      </c>
      <c r="C37" s="705" t="s">
        <v>2995</v>
      </c>
      <c r="D37" s="705">
        <f>128.7779*1.031</f>
        <v>132.77001489999998</v>
      </c>
      <c r="E37" s="705">
        <f>9954/1000</f>
        <v>9.9540000000000006</v>
      </c>
      <c r="F37" s="705">
        <f>D37*1.038</f>
        <v>137.81527546619998</v>
      </c>
      <c r="G37" s="705" t="s">
        <v>212</v>
      </c>
      <c r="H37" s="705">
        <f>F37*1.038</f>
        <v>143.05225593391557</v>
      </c>
      <c r="I37" s="705" t="s">
        <v>212</v>
      </c>
      <c r="J37" s="705">
        <f>H37*1.039</f>
        <v>148.63129391533826</v>
      </c>
      <c r="K37" s="705" t="s">
        <v>212</v>
      </c>
      <c r="L37" s="705">
        <f>J37*1.039</f>
        <v>154.42791437803643</v>
      </c>
      <c r="M37" s="705" t="s">
        <v>212</v>
      </c>
      <c r="N37" s="707">
        <f>D37+F37+H37+J37+L37</f>
        <v>716.69675459349025</v>
      </c>
      <c r="O37" s="705">
        <f>9954/1000</f>
        <v>9.9540000000000006</v>
      </c>
    </row>
    <row r="38" spans="1:17" s="665" customFormat="1" ht="31.5" x14ac:dyDescent="0.2">
      <c r="A38" s="712" t="s">
        <v>2780</v>
      </c>
      <c r="B38" s="713" t="s">
        <v>3016</v>
      </c>
      <c r="C38" s="714" t="s">
        <v>2995</v>
      </c>
      <c r="D38" s="705">
        <f>D44+D46+D52</f>
        <v>1562.9564952451699</v>
      </c>
      <c r="E38" s="705">
        <f>E44+E46+E52</f>
        <v>1679.530869681887</v>
      </c>
      <c r="F38" s="705">
        <f>F44+F46+F52</f>
        <v>1622.3488420644862</v>
      </c>
      <c r="G38" s="705" t="s">
        <v>212</v>
      </c>
      <c r="H38" s="705">
        <f>H44+H46+H52</f>
        <v>1683.9980980629368</v>
      </c>
      <c r="I38" s="705" t="s">
        <v>212</v>
      </c>
      <c r="J38" s="705">
        <f>J44+J46+J52</f>
        <v>1749.6740238873913</v>
      </c>
      <c r="K38" s="705" t="s">
        <v>212</v>
      </c>
      <c r="L38" s="705">
        <f>L44+L46+L52</f>
        <v>1817.9113108189993</v>
      </c>
      <c r="M38" s="705" t="s">
        <v>212</v>
      </c>
      <c r="N38" s="707">
        <f>D38+F38+H38+J38+L38</f>
        <v>8436.8887700789837</v>
      </c>
      <c r="O38" s="705">
        <f>O44+O46+O52</f>
        <v>1679.530869681887</v>
      </c>
      <c r="P38" s="671"/>
      <c r="Q38" s="671"/>
    </row>
    <row r="39" spans="1:17" s="665" customFormat="1" x14ac:dyDescent="0.2">
      <c r="A39" s="702" t="s">
        <v>162</v>
      </c>
      <c r="B39" s="703" t="s">
        <v>2996</v>
      </c>
      <c r="C39" s="704" t="s">
        <v>2995</v>
      </c>
      <c r="D39" s="705" t="s">
        <v>212</v>
      </c>
      <c r="E39" s="705" t="s">
        <v>212</v>
      </c>
      <c r="F39" s="705" t="s">
        <v>212</v>
      </c>
      <c r="G39" s="705" t="s">
        <v>212</v>
      </c>
      <c r="H39" s="705" t="s">
        <v>212</v>
      </c>
      <c r="I39" s="705" t="s">
        <v>212</v>
      </c>
      <c r="J39" s="705" t="s">
        <v>212</v>
      </c>
      <c r="K39" s="705" t="s">
        <v>212</v>
      </c>
      <c r="L39" s="705" t="s">
        <v>212</v>
      </c>
      <c r="M39" s="705" t="s">
        <v>212</v>
      </c>
      <c r="N39" s="705" t="s">
        <v>212</v>
      </c>
      <c r="O39" s="705" t="s">
        <v>212</v>
      </c>
    </row>
    <row r="40" spans="1:17" s="665" customFormat="1" ht="31.5" x14ac:dyDescent="0.2">
      <c r="A40" s="702" t="s">
        <v>163</v>
      </c>
      <c r="B40" s="715" t="s">
        <v>2997</v>
      </c>
      <c r="C40" s="704" t="s">
        <v>2995</v>
      </c>
      <c r="D40" s="705" t="s">
        <v>212</v>
      </c>
      <c r="E40" s="705" t="s">
        <v>212</v>
      </c>
      <c r="F40" s="705" t="s">
        <v>212</v>
      </c>
      <c r="G40" s="705" t="s">
        <v>212</v>
      </c>
      <c r="H40" s="705" t="s">
        <v>212</v>
      </c>
      <c r="I40" s="705" t="s">
        <v>212</v>
      </c>
      <c r="J40" s="705" t="s">
        <v>212</v>
      </c>
      <c r="K40" s="705" t="s">
        <v>212</v>
      </c>
      <c r="L40" s="705" t="s">
        <v>212</v>
      </c>
      <c r="M40" s="705" t="s">
        <v>212</v>
      </c>
      <c r="N40" s="705" t="s">
        <v>212</v>
      </c>
      <c r="O40" s="705" t="s">
        <v>212</v>
      </c>
    </row>
    <row r="41" spans="1:17" s="665" customFormat="1" ht="31.5" x14ac:dyDescent="0.2">
      <c r="A41" s="702" t="s">
        <v>1199</v>
      </c>
      <c r="B41" s="715" t="s">
        <v>2998</v>
      </c>
      <c r="C41" s="704" t="s">
        <v>2995</v>
      </c>
      <c r="D41" s="705" t="s">
        <v>212</v>
      </c>
      <c r="E41" s="705" t="s">
        <v>212</v>
      </c>
      <c r="F41" s="705" t="s">
        <v>212</v>
      </c>
      <c r="G41" s="705" t="s">
        <v>212</v>
      </c>
      <c r="H41" s="705" t="s">
        <v>212</v>
      </c>
      <c r="I41" s="705" t="s">
        <v>212</v>
      </c>
      <c r="J41" s="705" t="s">
        <v>212</v>
      </c>
      <c r="K41" s="705" t="s">
        <v>212</v>
      </c>
      <c r="L41" s="705" t="s">
        <v>212</v>
      </c>
      <c r="M41" s="705" t="s">
        <v>212</v>
      </c>
      <c r="N41" s="705" t="s">
        <v>212</v>
      </c>
      <c r="O41" s="705" t="s">
        <v>212</v>
      </c>
    </row>
    <row r="42" spans="1:17" s="665" customFormat="1" ht="31.5" x14ac:dyDescent="0.2">
      <c r="A42" s="702" t="s">
        <v>1207</v>
      </c>
      <c r="B42" s="715" t="s">
        <v>2999</v>
      </c>
      <c r="C42" s="704" t="s">
        <v>2995</v>
      </c>
      <c r="D42" s="705" t="s">
        <v>212</v>
      </c>
      <c r="E42" s="705" t="s">
        <v>212</v>
      </c>
      <c r="F42" s="705" t="s">
        <v>212</v>
      </c>
      <c r="G42" s="705" t="s">
        <v>212</v>
      </c>
      <c r="H42" s="705" t="s">
        <v>212</v>
      </c>
      <c r="I42" s="705" t="s">
        <v>212</v>
      </c>
      <c r="J42" s="705" t="s">
        <v>212</v>
      </c>
      <c r="K42" s="705" t="s">
        <v>212</v>
      </c>
      <c r="L42" s="705" t="s">
        <v>212</v>
      </c>
      <c r="M42" s="705" t="s">
        <v>212</v>
      </c>
      <c r="N42" s="705" t="s">
        <v>212</v>
      </c>
      <c r="O42" s="705" t="s">
        <v>212</v>
      </c>
    </row>
    <row r="43" spans="1:17" s="665" customFormat="1" x14ac:dyDescent="0.2">
      <c r="A43" s="702" t="s">
        <v>1211</v>
      </c>
      <c r="B43" s="703" t="s">
        <v>3000</v>
      </c>
      <c r="C43" s="704" t="s">
        <v>2995</v>
      </c>
      <c r="D43" s="705" t="s">
        <v>212</v>
      </c>
      <c r="E43" s="705" t="s">
        <v>212</v>
      </c>
      <c r="F43" s="705" t="s">
        <v>212</v>
      </c>
      <c r="G43" s="705" t="s">
        <v>212</v>
      </c>
      <c r="H43" s="705" t="s">
        <v>212</v>
      </c>
      <c r="I43" s="705" t="s">
        <v>212</v>
      </c>
      <c r="J43" s="705" t="s">
        <v>212</v>
      </c>
      <c r="K43" s="705" t="s">
        <v>212</v>
      </c>
      <c r="L43" s="705" t="s">
        <v>212</v>
      </c>
      <c r="M43" s="705" t="s">
        <v>212</v>
      </c>
      <c r="N43" s="705" t="s">
        <v>212</v>
      </c>
      <c r="O43" s="705" t="s">
        <v>212</v>
      </c>
    </row>
    <row r="44" spans="1:17" s="665" customFormat="1" x14ac:dyDescent="0.2">
      <c r="A44" s="702" t="s">
        <v>1214</v>
      </c>
      <c r="B44" s="703" t="s">
        <v>3001</v>
      </c>
      <c r="C44" s="704" t="s">
        <v>2995</v>
      </c>
      <c r="D44" s="705">
        <f>1486.96816161*1.031</f>
        <v>1533.0641746199099</v>
      </c>
      <c r="E44" s="705">
        <f>1661378.52977138/1000</f>
        <v>1661.3785297713798</v>
      </c>
      <c r="F44" s="705">
        <f>D44*1.038</f>
        <v>1591.3206132554665</v>
      </c>
      <c r="G44" s="705" t="s">
        <v>212</v>
      </c>
      <c r="H44" s="705">
        <f>F44*1.038</f>
        <v>1651.7907965591742</v>
      </c>
      <c r="I44" s="705" t="s">
        <v>212</v>
      </c>
      <c r="J44" s="705">
        <f>H44*1.039</f>
        <v>1716.2106376249819</v>
      </c>
      <c r="K44" s="705" t="s">
        <v>212</v>
      </c>
      <c r="L44" s="705">
        <f>J44*1.039</f>
        <v>1783.142852492356</v>
      </c>
      <c r="M44" s="705" t="s">
        <v>212</v>
      </c>
      <c r="N44" s="707">
        <f>D44+F44+H44+J44+L44</f>
        <v>8275.5290745518887</v>
      </c>
      <c r="O44" s="705">
        <f>1661378.52977138/1000</f>
        <v>1661.3785297713798</v>
      </c>
    </row>
    <row r="45" spans="1:17" s="665" customFormat="1" x14ac:dyDescent="0.2">
      <c r="A45" s="702" t="s">
        <v>1217</v>
      </c>
      <c r="B45" s="703" t="s">
        <v>3002</v>
      </c>
      <c r="C45" s="704" t="s">
        <v>2995</v>
      </c>
      <c r="D45" s="705" t="s">
        <v>212</v>
      </c>
      <c r="E45" s="705" t="s">
        <v>212</v>
      </c>
      <c r="F45" s="705" t="s">
        <v>212</v>
      </c>
      <c r="G45" s="705" t="s">
        <v>212</v>
      </c>
      <c r="H45" s="705" t="s">
        <v>212</v>
      </c>
      <c r="I45" s="705" t="s">
        <v>212</v>
      </c>
      <c r="J45" s="705" t="s">
        <v>212</v>
      </c>
      <c r="K45" s="705" t="s">
        <v>212</v>
      </c>
      <c r="L45" s="705" t="s">
        <v>212</v>
      </c>
      <c r="M45" s="705" t="s">
        <v>212</v>
      </c>
      <c r="N45" s="705" t="s">
        <v>212</v>
      </c>
      <c r="O45" s="705" t="s">
        <v>212</v>
      </c>
    </row>
    <row r="46" spans="1:17" s="665" customFormat="1" x14ac:dyDescent="0.2">
      <c r="A46" s="702" t="s">
        <v>403</v>
      </c>
      <c r="B46" s="703" t="s">
        <v>3003</v>
      </c>
      <c r="C46" s="704" t="s">
        <v>2995</v>
      </c>
      <c r="D46" s="705">
        <f>13.03760684*1.031</f>
        <v>13.441772652039999</v>
      </c>
      <c r="E46" s="705">
        <f>13848.0613255695/1000</f>
        <v>13.848061325569502</v>
      </c>
      <c r="F46" s="705">
        <f>D46*1.038</f>
        <v>13.95256001281752</v>
      </c>
      <c r="G46" s="705" t="s">
        <v>212</v>
      </c>
      <c r="H46" s="705">
        <f>F46*1.038</f>
        <v>14.482757293304585</v>
      </c>
      <c r="I46" s="705" t="s">
        <v>212</v>
      </c>
      <c r="J46" s="705">
        <f>H46*1.039</f>
        <v>15.047584827743464</v>
      </c>
      <c r="K46" s="705" t="s">
        <v>212</v>
      </c>
      <c r="L46" s="705">
        <f>J46*1.039</f>
        <v>15.634440636025458</v>
      </c>
      <c r="M46" s="705" t="s">
        <v>212</v>
      </c>
      <c r="N46" s="707">
        <f>D46+F46+H46+J46+L46</f>
        <v>72.559115421931025</v>
      </c>
      <c r="O46" s="705">
        <f>13848.0613255695/1000</f>
        <v>13.848061325569502</v>
      </c>
    </row>
    <row r="47" spans="1:17" s="665" customFormat="1" x14ac:dyDescent="0.2">
      <c r="A47" s="702" t="s">
        <v>2893</v>
      </c>
      <c r="B47" s="703" t="s">
        <v>3005</v>
      </c>
      <c r="C47" s="704" t="s">
        <v>2995</v>
      </c>
      <c r="D47" s="705" t="s">
        <v>212</v>
      </c>
      <c r="E47" s="705" t="s">
        <v>212</v>
      </c>
      <c r="F47" s="705" t="s">
        <v>212</v>
      </c>
      <c r="G47" s="705" t="s">
        <v>212</v>
      </c>
      <c r="H47" s="705" t="s">
        <v>212</v>
      </c>
      <c r="I47" s="705" t="s">
        <v>212</v>
      </c>
      <c r="J47" s="705" t="s">
        <v>212</v>
      </c>
      <c r="K47" s="705" t="s">
        <v>212</v>
      </c>
      <c r="L47" s="705" t="s">
        <v>212</v>
      </c>
      <c r="M47" s="705" t="s">
        <v>212</v>
      </c>
      <c r="N47" s="705" t="s">
        <v>212</v>
      </c>
      <c r="O47" s="705" t="s">
        <v>212</v>
      </c>
    </row>
    <row r="48" spans="1:17" s="665" customFormat="1" x14ac:dyDescent="0.2">
      <c r="A48" s="702" t="s">
        <v>2895</v>
      </c>
      <c r="B48" s="703" t="s">
        <v>3007</v>
      </c>
      <c r="C48" s="704" t="s">
        <v>2995</v>
      </c>
      <c r="D48" s="705" t="s">
        <v>212</v>
      </c>
      <c r="E48" s="705" t="s">
        <v>212</v>
      </c>
      <c r="F48" s="705" t="s">
        <v>212</v>
      </c>
      <c r="G48" s="705" t="s">
        <v>212</v>
      </c>
      <c r="H48" s="705" t="s">
        <v>212</v>
      </c>
      <c r="I48" s="705" t="s">
        <v>212</v>
      </c>
      <c r="J48" s="705" t="s">
        <v>212</v>
      </c>
      <c r="K48" s="705" t="s">
        <v>212</v>
      </c>
      <c r="L48" s="705" t="s">
        <v>212</v>
      </c>
      <c r="M48" s="705" t="s">
        <v>212</v>
      </c>
      <c r="N48" s="705" t="s">
        <v>212</v>
      </c>
      <c r="O48" s="705" t="s">
        <v>212</v>
      </c>
    </row>
    <row r="49" spans="1:15" s="665" customFormat="1" ht="31.5" x14ac:dyDescent="0.2">
      <c r="A49" s="702" t="s">
        <v>3017</v>
      </c>
      <c r="B49" s="706" t="s">
        <v>3009</v>
      </c>
      <c r="C49" s="704" t="s">
        <v>2995</v>
      </c>
      <c r="D49" s="705" t="s">
        <v>212</v>
      </c>
      <c r="E49" s="705" t="s">
        <v>212</v>
      </c>
      <c r="F49" s="705" t="s">
        <v>212</v>
      </c>
      <c r="G49" s="705" t="s">
        <v>212</v>
      </c>
      <c r="H49" s="705" t="s">
        <v>212</v>
      </c>
      <c r="I49" s="705" t="s">
        <v>212</v>
      </c>
      <c r="J49" s="705" t="s">
        <v>212</v>
      </c>
      <c r="K49" s="705" t="s">
        <v>212</v>
      </c>
      <c r="L49" s="705" t="s">
        <v>212</v>
      </c>
      <c r="M49" s="705" t="s">
        <v>212</v>
      </c>
      <c r="N49" s="705" t="s">
        <v>212</v>
      </c>
      <c r="O49" s="705" t="s">
        <v>212</v>
      </c>
    </row>
    <row r="50" spans="1:15" s="665" customFormat="1" x14ac:dyDescent="0.2">
      <c r="A50" s="702" t="s">
        <v>3018</v>
      </c>
      <c r="B50" s="715" t="s">
        <v>3011</v>
      </c>
      <c r="C50" s="704" t="s">
        <v>2995</v>
      </c>
      <c r="D50" s="705" t="s">
        <v>212</v>
      </c>
      <c r="E50" s="705" t="s">
        <v>212</v>
      </c>
      <c r="F50" s="705" t="s">
        <v>212</v>
      </c>
      <c r="G50" s="705" t="s">
        <v>212</v>
      </c>
      <c r="H50" s="705" t="s">
        <v>212</v>
      </c>
      <c r="I50" s="705" t="s">
        <v>212</v>
      </c>
      <c r="J50" s="705" t="s">
        <v>212</v>
      </c>
      <c r="K50" s="705" t="s">
        <v>212</v>
      </c>
      <c r="L50" s="705" t="s">
        <v>212</v>
      </c>
      <c r="M50" s="705" t="s">
        <v>212</v>
      </c>
      <c r="N50" s="705" t="s">
        <v>212</v>
      </c>
      <c r="O50" s="705" t="s">
        <v>212</v>
      </c>
    </row>
    <row r="51" spans="1:15" s="665" customFormat="1" x14ac:dyDescent="0.2">
      <c r="A51" s="702" t="s">
        <v>3019</v>
      </c>
      <c r="B51" s="715" t="s">
        <v>3013</v>
      </c>
      <c r="C51" s="704" t="s">
        <v>2995</v>
      </c>
      <c r="D51" s="705" t="s">
        <v>212</v>
      </c>
      <c r="E51" s="705" t="s">
        <v>212</v>
      </c>
      <c r="F51" s="705" t="s">
        <v>212</v>
      </c>
      <c r="G51" s="705" t="s">
        <v>212</v>
      </c>
      <c r="H51" s="705" t="s">
        <v>212</v>
      </c>
      <c r="I51" s="705" t="s">
        <v>212</v>
      </c>
      <c r="J51" s="705" t="s">
        <v>212</v>
      </c>
      <c r="K51" s="705" t="s">
        <v>212</v>
      </c>
      <c r="L51" s="705" t="s">
        <v>212</v>
      </c>
      <c r="M51" s="705" t="s">
        <v>212</v>
      </c>
      <c r="N51" s="705" t="s">
        <v>212</v>
      </c>
      <c r="O51" s="705" t="s">
        <v>212</v>
      </c>
    </row>
    <row r="52" spans="1:15" s="665" customFormat="1" x14ac:dyDescent="0.2">
      <c r="A52" s="702" t="s">
        <v>3020</v>
      </c>
      <c r="B52" s="703" t="s">
        <v>3015</v>
      </c>
      <c r="C52" s="704" t="s">
        <v>2995</v>
      </c>
      <c r="D52" s="705">
        <f>15.95591462*1.031</f>
        <v>16.450547973219997</v>
      </c>
      <c r="E52" s="705">
        <f>4304.2785849377/1000</f>
        <v>4.3042785849376992</v>
      </c>
      <c r="F52" s="705">
        <f>D52*1.038</f>
        <v>17.075668796202358</v>
      </c>
      <c r="G52" s="705" t="s">
        <v>212</v>
      </c>
      <c r="H52" s="705">
        <f>F52*1.038</f>
        <v>17.724544210458049</v>
      </c>
      <c r="I52" s="705" t="s">
        <v>212</v>
      </c>
      <c r="J52" s="705">
        <f>H52*1.039</f>
        <v>18.415801434665912</v>
      </c>
      <c r="K52" s="705" t="s">
        <v>212</v>
      </c>
      <c r="L52" s="705">
        <f>J52*1.039</f>
        <v>19.134017690617881</v>
      </c>
      <c r="M52" s="705" t="s">
        <v>212</v>
      </c>
      <c r="N52" s="707">
        <f t="shared" ref="N52:N57" si="0">D52+F52+H52+J52+L52</f>
        <v>88.800580105164201</v>
      </c>
      <c r="O52" s="705">
        <f>4304.2785849377/1000</f>
        <v>4.3042785849376992</v>
      </c>
    </row>
    <row r="53" spans="1:15" s="665" customFormat="1" x14ac:dyDescent="0.2">
      <c r="A53" s="702" t="s">
        <v>3021</v>
      </c>
      <c r="B53" s="716" t="s">
        <v>3022</v>
      </c>
      <c r="C53" s="704" t="s">
        <v>2995</v>
      </c>
      <c r="D53" s="705">
        <f>D54+D55+D60+D61</f>
        <v>860.18455921999987</v>
      </c>
      <c r="E53" s="705">
        <f>E54+E55+E60+E61</f>
        <v>853.05473104916132</v>
      </c>
      <c r="F53" s="705">
        <f>F54+F55+F60+F61</f>
        <v>892.87157247035987</v>
      </c>
      <c r="G53" s="705" t="s">
        <v>212</v>
      </c>
      <c r="H53" s="705">
        <f>H54+H55+H60+H61</f>
        <v>926.80069222423356</v>
      </c>
      <c r="I53" s="705" t="s">
        <v>212</v>
      </c>
      <c r="J53" s="705">
        <f>J54+J55+J60+J61</f>
        <v>962.94591922097857</v>
      </c>
      <c r="K53" s="705" t="s">
        <v>212</v>
      </c>
      <c r="L53" s="705">
        <f>L54+L55+L60+L61</f>
        <v>1000.5008100705967</v>
      </c>
      <c r="M53" s="705" t="s">
        <v>212</v>
      </c>
      <c r="N53" s="707">
        <f t="shared" si="0"/>
        <v>4643.3035532061685</v>
      </c>
      <c r="O53" s="705">
        <f>O54+O55+O60+O61</f>
        <v>853.05473104916132</v>
      </c>
    </row>
    <row r="54" spans="1:15" s="665" customFormat="1" x14ac:dyDescent="0.2">
      <c r="A54" s="702" t="s">
        <v>163</v>
      </c>
      <c r="B54" s="715" t="s">
        <v>3023</v>
      </c>
      <c r="C54" s="704" t="s">
        <v>2995</v>
      </c>
      <c r="D54" s="705">
        <f>13.65316664*1.031</f>
        <v>14.076414805839999</v>
      </c>
      <c r="E54" s="705">
        <f>12119.5422726/1000</f>
        <v>12.1195422726</v>
      </c>
      <c r="F54" s="705">
        <f>D54*1.038</f>
        <v>14.61131856846192</v>
      </c>
      <c r="G54" s="705" t="s">
        <v>212</v>
      </c>
      <c r="H54" s="705">
        <f>F54*1.038</f>
        <v>15.166548674063474</v>
      </c>
      <c r="I54" s="705" t="s">
        <v>212</v>
      </c>
      <c r="J54" s="705">
        <f>H54*1.039</f>
        <v>15.758044072351948</v>
      </c>
      <c r="K54" s="705" t="s">
        <v>212</v>
      </c>
      <c r="L54" s="705">
        <f>J54*1.039</f>
        <v>16.372607791173674</v>
      </c>
      <c r="M54" s="705" t="s">
        <v>212</v>
      </c>
      <c r="N54" s="707">
        <f t="shared" si="0"/>
        <v>75.984933911891019</v>
      </c>
      <c r="O54" s="705">
        <f>12119.5422726/1000</f>
        <v>12.1195422726</v>
      </c>
    </row>
    <row r="55" spans="1:15" s="665" customFormat="1" x14ac:dyDescent="0.2">
      <c r="A55" s="702" t="s">
        <v>1199</v>
      </c>
      <c r="B55" s="708" t="s">
        <v>3024</v>
      </c>
      <c r="C55" s="704" t="s">
        <v>2995</v>
      </c>
      <c r="D55" s="705">
        <f>D56</f>
        <v>794.21233268326</v>
      </c>
      <c r="E55" s="705">
        <f>E56</f>
        <v>797.73893695999993</v>
      </c>
      <c r="F55" s="705">
        <f>D55*1.038</f>
        <v>824.39240132522389</v>
      </c>
      <c r="G55" s="705" t="s">
        <v>212</v>
      </c>
      <c r="H55" s="705">
        <f>F55*1.038</f>
        <v>855.71931257558242</v>
      </c>
      <c r="I55" s="705" t="s">
        <v>212</v>
      </c>
      <c r="J55" s="705">
        <f>H55*1.039</f>
        <v>889.09236576603007</v>
      </c>
      <c r="K55" s="705" t="s">
        <v>212</v>
      </c>
      <c r="L55" s="705">
        <f>J55*1.039</f>
        <v>923.76696803090522</v>
      </c>
      <c r="M55" s="705" t="s">
        <v>212</v>
      </c>
      <c r="N55" s="707">
        <f t="shared" si="0"/>
        <v>4287.1833803810014</v>
      </c>
      <c r="O55" s="705">
        <f>O56</f>
        <v>797.73893695999993</v>
      </c>
    </row>
    <row r="56" spans="1:15" s="665" customFormat="1" x14ac:dyDescent="0.2">
      <c r="A56" s="702" t="s">
        <v>1200</v>
      </c>
      <c r="B56" s="717" t="s">
        <v>3025</v>
      </c>
      <c r="C56" s="704" t="s">
        <v>2995</v>
      </c>
      <c r="D56" s="705">
        <f>D57</f>
        <v>794.21233268326</v>
      </c>
      <c r="E56" s="705">
        <f>E57</f>
        <v>797.73893695999993</v>
      </c>
      <c r="F56" s="705">
        <f>D56*1.038</f>
        <v>824.39240132522389</v>
      </c>
      <c r="G56" s="705" t="s">
        <v>212</v>
      </c>
      <c r="H56" s="705">
        <f>F56*1.038</f>
        <v>855.71931257558242</v>
      </c>
      <c r="I56" s="705" t="s">
        <v>212</v>
      </c>
      <c r="J56" s="705">
        <f>H56*1.039</f>
        <v>889.09236576603007</v>
      </c>
      <c r="K56" s="705" t="s">
        <v>212</v>
      </c>
      <c r="L56" s="705">
        <f>J56*1.039</f>
        <v>923.76696803090522</v>
      </c>
      <c r="M56" s="705" t="s">
        <v>212</v>
      </c>
      <c r="N56" s="707">
        <f t="shared" si="0"/>
        <v>4287.1833803810014</v>
      </c>
      <c r="O56" s="705">
        <f>O57</f>
        <v>797.73893695999993</v>
      </c>
    </row>
    <row r="57" spans="1:15" s="665" customFormat="1" ht="31.5" x14ac:dyDescent="0.2">
      <c r="A57" s="702" t="s">
        <v>3026</v>
      </c>
      <c r="B57" s="718" t="s">
        <v>3027</v>
      </c>
      <c r="C57" s="704" t="s">
        <v>2995</v>
      </c>
      <c r="D57" s="705">
        <f>770.33203946*1.031</f>
        <v>794.21233268326</v>
      </c>
      <c r="E57" s="705">
        <f>797738.93696/1000</f>
        <v>797.73893695999993</v>
      </c>
      <c r="F57" s="705">
        <f>D57*1.038</f>
        <v>824.39240132522389</v>
      </c>
      <c r="G57" s="705" t="s">
        <v>212</v>
      </c>
      <c r="H57" s="705">
        <f>F57*1.038</f>
        <v>855.71931257558242</v>
      </c>
      <c r="I57" s="705" t="s">
        <v>212</v>
      </c>
      <c r="J57" s="705">
        <f>H57*1.039</f>
        <v>889.09236576603007</v>
      </c>
      <c r="K57" s="705" t="s">
        <v>212</v>
      </c>
      <c r="L57" s="705">
        <f>J57*1.039</f>
        <v>923.76696803090522</v>
      </c>
      <c r="M57" s="705" t="s">
        <v>212</v>
      </c>
      <c r="N57" s="707">
        <f t="shared" si="0"/>
        <v>4287.1833803810014</v>
      </c>
      <c r="O57" s="705">
        <f>797738.93696/1000</f>
        <v>797.73893695999993</v>
      </c>
    </row>
    <row r="58" spans="1:15" s="665" customFormat="1" x14ac:dyDescent="0.2">
      <c r="A58" s="702" t="s">
        <v>3028</v>
      </c>
      <c r="B58" s="718" t="s">
        <v>3029</v>
      </c>
      <c r="C58" s="704" t="s">
        <v>2995</v>
      </c>
      <c r="D58" s="705" t="s">
        <v>212</v>
      </c>
      <c r="E58" s="705" t="s">
        <v>212</v>
      </c>
      <c r="F58" s="705" t="s">
        <v>212</v>
      </c>
      <c r="G58" s="705" t="s">
        <v>212</v>
      </c>
      <c r="H58" s="705" t="s">
        <v>212</v>
      </c>
      <c r="I58" s="705" t="s">
        <v>212</v>
      </c>
      <c r="J58" s="705" t="s">
        <v>212</v>
      </c>
      <c r="K58" s="705" t="s">
        <v>212</v>
      </c>
      <c r="L58" s="705" t="s">
        <v>212</v>
      </c>
      <c r="M58" s="705" t="s">
        <v>212</v>
      </c>
      <c r="N58" s="705" t="s">
        <v>212</v>
      </c>
      <c r="O58" s="705" t="s">
        <v>212</v>
      </c>
    </row>
    <row r="59" spans="1:15" s="665" customFormat="1" x14ac:dyDescent="0.2">
      <c r="A59" s="702" t="s">
        <v>1202</v>
      </c>
      <c r="B59" s="717" t="s">
        <v>3030</v>
      </c>
      <c r="C59" s="704" t="s">
        <v>2995</v>
      </c>
      <c r="D59" s="705" t="s">
        <v>212</v>
      </c>
      <c r="E59" s="705" t="s">
        <v>212</v>
      </c>
      <c r="F59" s="705" t="s">
        <v>212</v>
      </c>
      <c r="G59" s="705" t="s">
        <v>212</v>
      </c>
      <c r="H59" s="705" t="s">
        <v>212</v>
      </c>
      <c r="I59" s="705" t="s">
        <v>212</v>
      </c>
      <c r="J59" s="705" t="s">
        <v>212</v>
      </c>
      <c r="K59" s="705" t="s">
        <v>212</v>
      </c>
      <c r="L59" s="705" t="s">
        <v>212</v>
      </c>
      <c r="M59" s="705" t="s">
        <v>212</v>
      </c>
      <c r="N59" s="705" t="s">
        <v>212</v>
      </c>
      <c r="O59" s="705" t="s">
        <v>212</v>
      </c>
    </row>
    <row r="60" spans="1:15" s="665" customFormat="1" x14ac:dyDescent="0.2">
      <c r="A60" s="702" t="s">
        <v>1207</v>
      </c>
      <c r="B60" s="708" t="s">
        <v>3031</v>
      </c>
      <c r="C60" s="704" t="s">
        <v>2995</v>
      </c>
      <c r="D60" s="705">
        <f>3.25317843*1.031</f>
        <v>3.3540269613299998</v>
      </c>
      <c r="E60" s="705">
        <f>32327.0418390296/1000</f>
        <v>32.327041839029597</v>
      </c>
      <c r="F60" s="705">
        <f>D60*1.038</f>
        <v>3.4814799858605401</v>
      </c>
      <c r="G60" s="705" t="s">
        <v>212</v>
      </c>
      <c r="H60" s="705">
        <f>F60*1.038</f>
        <v>3.6137762253232406</v>
      </c>
      <c r="I60" s="705" t="s">
        <v>212</v>
      </c>
      <c r="J60" s="705">
        <f>H60*1.039</f>
        <v>3.7547134981108465</v>
      </c>
      <c r="K60" s="705" t="s">
        <v>212</v>
      </c>
      <c r="L60" s="705">
        <f>J60*1.039</f>
        <v>3.9011473245371691</v>
      </c>
      <c r="M60" s="705" t="s">
        <v>212</v>
      </c>
      <c r="N60" s="707">
        <f>D60+F60+H60+J60+L60</f>
        <v>18.105143995161797</v>
      </c>
      <c r="O60" s="705">
        <f>32327.0418390296/1000</f>
        <v>32.327041839029597</v>
      </c>
    </row>
    <row r="61" spans="1:15" s="665" customFormat="1" x14ac:dyDescent="0.2">
      <c r="A61" s="702" t="s">
        <v>1210</v>
      </c>
      <c r="B61" s="708" t="s">
        <v>3032</v>
      </c>
      <c r="C61" s="704" t="s">
        <v>2995</v>
      </c>
      <c r="D61" s="705">
        <f>(834.32062*1.031)-D54-D55-D60</f>
        <v>48.541784769569823</v>
      </c>
      <c r="E61" s="705">
        <f>10869.2099775318/1000</f>
        <v>10.869209977531801</v>
      </c>
      <c r="F61" s="705">
        <f>D61*1.038</f>
        <v>50.38637259081348</v>
      </c>
      <c r="G61" s="705" t="s">
        <v>212</v>
      </c>
      <c r="H61" s="705">
        <f>F61*1.038</f>
        <v>52.301054749264395</v>
      </c>
      <c r="I61" s="705" t="s">
        <v>212</v>
      </c>
      <c r="J61" s="705">
        <f>H61*1.039</f>
        <v>54.340795884485701</v>
      </c>
      <c r="K61" s="705" t="s">
        <v>212</v>
      </c>
      <c r="L61" s="705">
        <f>J61*1.039</f>
        <v>56.46008692398064</v>
      </c>
      <c r="M61" s="705" t="s">
        <v>212</v>
      </c>
      <c r="N61" s="707">
        <f>D61+F61+H61+J61+L61</f>
        <v>262.03009491811406</v>
      </c>
      <c r="O61" s="705">
        <f>10869.2099775318/1000</f>
        <v>10.869209977531801</v>
      </c>
    </row>
    <row r="62" spans="1:15" s="665" customFormat="1" x14ac:dyDescent="0.2">
      <c r="A62" s="702" t="s">
        <v>3033</v>
      </c>
      <c r="B62" s="716" t="s">
        <v>3034</v>
      </c>
      <c r="C62" s="704" t="s">
        <v>2995</v>
      </c>
      <c r="D62" s="705">
        <f>D67</f>
        <v>3.0768948417899997</v>
      </c>
      <c r="E62" s="705">
        <f>E67</f>
        <v>24.8793562245143</v>
      </c>
      <c r="F62" s="705">
        <f>F67</f>
        <v>3.1938168457780196</v>
      </c>
      <c r="G62" s="705" t="s">
        <v>212</v>
      </c>
      <c r="H62" s="705">
        <f>H67</f>
        <v>3.3151818859175846</v>
      </c>
      <c r="I62" s="705" t="s">
        <v>212</v>
      </c>
      <c r="J62" s="705">
        <f>J67</f>
        <v>3.4444739794683703</v>
      </c>
      <c r="K62" s="705" t="s">
        <v>212</v>
      </c>
      <c r="L62" s="705">
        <f>L67</f>
        <v>3.5788084646676364</v>
      </c>
      <c r="M62" s="705" t="s">
        <v>212</v>
      </c>
      <c r="N62" s="707">
        <f>D62+F62+H62+J62+L62</f>
        <v>16.609176017621607</v>
      </c>
      <c r="O62" s="705">
        <f>O67</f>
        <v>24.8793562245143</v>
      </c>
    </row>
    <row r="63" spans="1:15" s="665" customFormat="1" ht="31.5" x14ac:dyDescent="0.2">
      <c r="A63" s="702" t="s">
        <v>2973</v>
      </c>
      <c r="B63" s="715" t="s">
        <v>3035</v>
      </c>
      <c r="C63" s="704" t="s">
        <v>2995</v>
      </c>
      <c r="D63" s="705" t="s">
        <v>212</v>
      </c>
      <c r="E63" s="705" t="s">
        <v>212</v>
      </c>
      <c r="F63" s="705" t="s">
        <v>212</v>
      </c>
      <c r="G63" s="705" t="s">
        <v>212</v>
      </c>
      <c r="H63" s="705" t="s">
        <v>212</v>
      </c>
      <c r="I63" s="705" t="s">
        <v>212</v>
      </c>
      <c r="J63" s="705" t="s">
        <v>212</v>
      </c>
      <c r="K63" s="705" t="s">
        <v>212</v>
      </c>
      <c r="L63" s="705" t="s">
        <v>212</v>
      </c>
      <c r="M63" s="705" t="s">
        <v>212</v>
      </c>
      <c r="N63" s="705" t="s">
        <v>212</v>
      </c>
      <c r="O63" s="705" t="s">
        <v>212</v>
      </c>
    </row>
    <row r="64" spans="1:15" s="665" customFormat="1" ht="31.5" x14ac:dyDescent="0.2">
      <c r="A64" s="702" t="s">
        <v>2974</v>
      </c>
      <c r="B64" s="715" t="s">
        <v>3036</v>
      </c>
      <c r="C64" s="704" t="s">
        <v>2995</v>
      </c>
      <c r="D64" s="705" t="s">
        <v>212</v>
      </c>
      <c r="E64" s="705" t="s">
        <v>212</v>
      </c>
      <c r="F64" s="705" t="s">
        <v>212</v>
      </c>
      <c r="G64" s="705" t="s">
        <v>212</v>
      </c>
      <c r="H64" s="705" t="s">
        <v>212</v>
      </c>
      <c r="I64" s="705" t="s">
        <v>212</v>
      </c>
      <c r="J64" s="705" t="s">
        <v>212</v>
      </c>
      <c r="K64" s="705" t="s">
        <v>212</v>
      </c>
      <c r="L64" s="705" t="s">
        <v>212</v>
      </c>
      <c r="M64" s="705" t="s">
        <v>212</v>
      </c>
      <c r="N64" s="705" t="s">
        <v>212</v>
      </c>
      <c r="O64" s="705" t="s">
        <v>212</v>
      </c>
    </row>
    <row r="65" spans="1:15" s="665" customFormat="1" x14ac:dyDescent="0.2">
      <c r="A65" s="702" t="s">
        <v>2975</v>
      </c>
      <c r="B65" s="708" t="s">
        <v>3037</v>
      </c>
      <c r="C65" s="704" t="s">
        <v>2995</v>
      </c>
      <c r="D65" s="705" t="s">
        <v>212</v>
      </c>
      <c r="E65" s="705" t="s">
        <v>212</v>
      </c>
      <c r="F65" s="705" t="s">
        <v>212</v>
      </c>
      <c r="G65" s="705" t="s">
        <v>212</v>
      </c>
      <c r="H65" s="705" t="s">
        <v>212</v>
      </c>
      <c r="I65" s="705" t="s">
        <v>212</v>
      </c>
      <c r="J65" s="705" t="s">
        <v>212</v>
      </c>
      <c r="K65" s="705" t="s">
        <v>212</v>
      </c>
      <c r="L65" s="705" t="s">
        <v>212</v>
      </c>
      <c r="M65" s="705" t="s">
        <v>212</v>
      </c>
      <c r="N65" s="705" t="s">
        <v>212</v>
      </c>
      <c r="O65" s="705" t="s">
        <v>212</v>
      </c>
    </row>
    <row r="66" spans="1:15" s="665" customFormat="1" x14ac:dyDescent="0.2">
      <c r="A66" s="702" t="s">
        <v>2976</v>
      </c>
      <c r="B66" s="708" t="s">
        <v>3038</v>
      </c>
      <c r="C66" s="704" t="s">
        <v>2995</v>
      </c>
      <c r="D66" s="705" t="s">
        <v>212</v>
      </c>
      <c r="E66" s="705" t="s">
        <v>212</v>
      </c>
      <c r="F66" s="705" t="s">
        <v>212</v>
      </c>
      <c r="G66" s="705" t="s">
        <v>212</v>
      </c>
      <c r="H66" s="705" t="s">
        <v>212</v>
      </c>
      <c r="I66" s="705" t="s">
        <v>212</v>
      </c>
      <c r="J66" s="705" t="s">
        <v>212</v>
      </c>
      <c r="K66" s="705" t="s">
        <v>212</v>
      </c>
      <c r="L66" s="705" t="s">
        <v>212</v>
      </c>
      <c r="M66" s="705" t="s">
        <v>212</v>
      </c>
      <c r="N66" s="705" t="s">
        <v>212</v>
      </c>
      <c r="O66" s="705" t="s">
        <v>212</v>
      </c>
    </row>
    <row r="67" spans="1:15" s="665" customFormat="1" x14ac:dyDescent="0.2">
      <c r="A67" s="702" t="s">
        <v>2977</v>
      </c>
      <c r="B67" s="708" t="s">
        <v>3039</v>
      </c>
      <c r="C67" s="704" t="s">
        <v>2995</v>
      </c>
      <c r="D67" s="705">
        <f>2.98437909*1.031</f>
        <v>3.0768948417899997</v>
      </c>
      <c r="E67" s="705">
        <f>24879.3562245143/1000</f>
        <v>24.8793562245143</v>
      </c>
      <c r="F67" s="705">
        <f>D67*1.038</f>
        <v>3.1938168457780196</v>
      </c>
      <c r="G67" s="705" t="s">
        <v>212</v>
      </c>
      <c r="H67" s="705">
        <f>F67*1.038</f>
        <v>3.3151818859175846</v>
      </c>
      <c r="I67" s="705" t="s">
        <v>212</v>
      </c>
      <c r="J67" s="705">
        <f>H67*1.039</f>
        <v>3.4444739794683703</v>
      </c>
      <c r="K67" s="705" t="s">
        <v>212</v>
      </c>
      <c r="L67" s="705">
        <f>J67*1.039</f>
        <v>3.5788084646676364</v>
      </c>
      <c r="M67" s="705" t="s">
        <v>212</v>
      </c>
      <c r="N67" s="707">
        <f t="shared" ref="N67:N73" si="1">D67+F67+H67+J67+L67</f>
        <v>16.609176017621607</v>
      </c>
      <c r="O67" s="705">
        <f>24879.3562245143/1000</f>
        <v>24.8793562245143</v>
      </c>
    </row>
    <row r="68" spans="1:15" s="665" customFormat="1" x14ac:dyDescent="0.2">
      <c r="A68" s="702" t="s">
        <v>3040</v>
      </c>
      <c r="B68" s="716" t="s">
        <v>3041</v>
      </c>
      <c r="C68" s="704" t="s">
        <v>2995</v>
      </c>
      <c r="D68" s="705">
        <f>382.54681*1.08</f>
        <v>413.15055480000001</v>
      </c>
      <c r="E68" s="705">
        <f>465946.500877107/1000</f>
        <v>465.94650087710704</v>
      </c>
      <c r="F68" s="705">
        <f>D68*1.08</f>
        <v>446.20259918400006</v>
      </c>
      <c r="G68" s="705" t="s">
        <v>212</v>
      </c>
      <c r="H68" s="705">
        <f>F68*1.08</f>
        <v>481.89880711872013</v>
      </c>
      <c r="I68" s="705" t="s">
        <v>212</v>
      </c>
      <c r="J68" s="705">
        <f>H68*1.08</f>
        <v>520.45071168821778</v>
      </c>
      <c r="K68" s="705" t="s">
        <v>212</v>
      </c>
      <c r="L68" s="705">
        <f>J68*1.08</f>
        <v>562.08676862327525</v>
      </c>
      <c r="M68" s="705" t="s">
        <v>212</v>
      </c>
      <c r="N68" s="707">
        <f t="shared" si="1"/>
        <v>2423.7894414142129</v>
      </c>
      <c r="O68" s="705">
        <f>465946.500877107/1000</f>
        <v>465.94650087710704</v>
      </c>
    </row>
    <row r="69" spans="1:15" s="665" customFormat="1" x14ac:dyDescent="0.2">
      <c r="A69" s="719" t="s">
        <v>3042</v>
      </c>
      <c r="B69" s="720" t="s">
        <v>3043</v>
      </c>
      <c r="C69" s="704" t="s">
        <v>2995</v>
      </c>
      <c r="D69" s="705">
        <f>193.13786901*1.031</f>
        <v>199.12514294930997</v>
      </c>
      <c r="E69" s="705">
        <f>262822.483256287/1000</f>
        <v>262.822483256287</v>
      </c>
      <c r="F69" s="705">
        <f>D69*1.038</f>
        <v>206.69189838138377</v>
      </c>
      <c r="G69" s="705" t="s">
        <v>212</v>
      </c>
      <c r="H69" s="705">
        <f>F69*1.038</f>
        <v>214.54619051987635</v>
      </c>
      <c r="I69" s="705" t="s">
        <v>212</v>
      </c>
      <c r="J69" s="705">
        <f>H69*1.039</f>
        <v>222.9134919501515</v>
      </c>
      <c r="K69" s="705" t="s">
        <v>212</v>
      </c>
      <c r="L69" s="705">
        <f>J69*1.039</f>
        <v>231.60711813620739</v>
      </c>
      <c r="M69" s="705" t="s">
        <v>212</v>
      </c>
      <c r="N69" s="707">
        <f t="shared" si="1"/>
        <v>1074.883841936929</v>
      </c>
      <c r="O69" s="705">
        <f>262822.483256287/1000</f>
        <v>262.822483256287</v>
      </c>
    </row>
    <row r="70" spans="1:15" s="665" customFormat="1" x14ac:dyDescent="0.2">
      <c r="A70" s="702" t="s">
        <v>3044</v>
      </c>
      <c r="B70" s="716" t="s">
        <v>3045</v>
      </c>
      <c r="C70" s="704" t="s">
        <v>2995</v>
      </c>
      <c r="D70" s="705">
        <f>D71+D72</f>
        <v>52.927776829380001</v>
      </c>
      <c r="E70" s="705">
        <f>E71+E72</f>
        <v>19.000580448199152</v>
      </c>
      <c r="F70" s="705">
        <f>F71+F72</f>
        <v>54.93903234889644</v>
      </c>
      <c r="G70" s="705" t="s">
        <v>212</v>
      </c>
      <c r="H70" s="705">
        <f>H71+H72</f>
        <v>57.026715578154501</v>
      </c>
      <c r="I70" s="705" t="s">
        <v>212</v>
      </c>
      <c r="J70" s="705">
        <f>J71+J72</f>
        <v>59.250757485702522</v>
      </c>
      <c r="K70" s="705" t="s">
        <v>212</v>
      </c>
      <c r="L70" s="705">
        <f>L71+L72</f>
        <v>61.561537027644917</v>
      </c>
      <c r="M70" s="705" t="s">
        <v>212</v>
      </c>
      <c r="N70" s="707">
        <f t="shared" si="1"/>
        <v>285.70581926977837</v>
      </c>
      <c r="O70" s="705">
        <f>O71+O72</f>
        <v>19.000580448199152</v>
      </c>
    </row>
    <row r="71" spans="1:15" s="665" customFormat="1" x14ac:dyDescent="0.2">
      <c r="A71" s="702" t="s">
        <v>405</v>
      </c>
      <c r="B71" s="708" t="s">
        <v>3046</v>
      </c>
      <c r="C71" s="704" t="s">
        <v>2995</v>
      </c>
      <c r="D71" s="705">
        <f>46.31420998*1.031</f>
        <v>47.749950489379998</v>
      </c>
      <c r="E71" s="705">
        <f>13998.5839705158/1000</f>
        <v>13.998583970515799</v>
      </c>
      <c r="F71" s="705">
        <f>D71*1.038</f>
        <v>49.564448607976438</v>
      </c>
      <c r="G71" s="705" t="s">
        <v>212</v>
      </c>
      <c r="H71" s="705">
        <f>F71*1.038</f>
        <v>51.447897655079544</v>
      </c>
      <c r="I71" s="705" t="s">
        <v>212</v>
      </c>
      <c r="J71" s="705">
        <f>H71*1.039</f>
        <v>53.454365663627641</v>
      </c>
      <c r="K71" s="705" t="s">
        <v>212</v>
      </c>
      <c r="L71" s="705">
        <f>J71*1.039</f>
        <v>55.539085924509116</v>
      </c>
      <c r="M71" s="705" t="s">
        <v>212</v>
      </c>
      <c r="N71" s="707">
        <f t="shared" si="1"/>
        <v>257.75574834057272</v>
      </c>
      <c r="O71" s="705">
        <f>13998.5839705158/1000</f>
        <v>13.998583970515799</v>
      </c>
    </row>
    <row r="72" spans="1:15" s="665" customFormat="1" x14ac:dyDescent="0.2">
      <c r="A72" s="702" t="s">
        <v>407</v>
      </c>
      <c r="B72" s="708" t="s">
        <v>3047</v>
      </c>
      <c r="C72" s="704" t="s">
        <v>2995</v>
      </c>
      <c r="D72" s="705">
        <f>5.02214*1.031</f>
        <v>5.1778263400000002</v>
      </c>
      <c r="E72" s="705">
        <f>5001.99647768335/1000</f>
        <v>5.0019964776833508</v>
      </c>
      <c r="F72" s="705">
        <f>D72*1.038</f>
        <v>5.3745837409200004</v>
      </c>
      <c r="G72" s="705" t="s">
        <v>212</v>
      </c>
      <c r="H72" s="705">
        <f>F72*1.038</f>
        <v>5.5788179230749604</v>
      </c>
      <c r="I72" s="705" t="s">
        <v>212</v>
      </c>
      <c r="J72" s="705">
        <f>H72*1.039</f>
        <v>5.7963918220748836</v>
      </c>
      <c r="K72" s="705" t="s">
        <v>212</v>
      </c>
      <c r="L72" s="705">
        <f>J72*1.039</f>
        <v>6.0224511031358032</v>
      </c>
      <c r="M72" s="705" t="s">
        <v>212</v>
      </c>
      <c r="N72" s="707">
        <f t="shared" si="1"/>
        <v>27.950070929205651</v>
      </c>
      <c r="O72" s="705">
        <f>5001.99647768335/1000</f>
        <v>5.0019964776833508</v>
      </c>
    </row>
    <row r="73" spans="1:15" s="665" customFormat="1" x14ac:dyDescent="0.2">
      <c r="A73" s="702" t="s">
        <v>3048</v>
      </c>
      <c r="B73" s="716" t="s">
        <v>3049</v>
      </c>
      <c r="C73" s="704" t="s">
        <v>2995</v>
      </c>
      <c r="D73" s="705">
        <f>D75</f>
        <v>0.15380458</v>
      </c>
      <c r="E73" s="705">
        <f>E75</f>
        <v>5.4538603000000005E-2</v>
      </c>
      <c r="F73" s="705">
        <f>F75</f>
        <v>0.15964915403999999</v>
      </c>
      <c r="G73" s="705" t="s">
        <v>212</v>
      </c>
      <c r="H73" s="705">
        <f>H75</f>
        <v>0.16571582189351999</v>
      </c>
      <c r="I73" s="705" t="s">
        <v>212</v>
      </c>
      <c r="J73" s="705">
        <f>J75</f>
        <v>0.17217873894736727</v>
      </c>
      <c r="K73" s="705" t="s">
        <v>212</v>
      </c>
      <c r="L73" s="705">
        <f>L75</f>
        <v>0.17889370976631458</v>
      </c>
      <c r="M73" s="705" t="s">
        <v>212</v>
      </c>
      <c r="N73" s="707">
        <f t="shared" si="1"/>
        <v>0.83024200464720177</v>
      </c>
      <c r="O73" s="705">
        <f>O75</f>
        <v>5.4538603000000005E-2</v>
      </c>
    </row>
    <row r="74" spans="1:15" s="665" customFormat="1" x14ac:dyDescent="0.2">
      <c r="A74" s="702" t="s">
        <v>3050</v>
      </c>
      <c r="B74" s="708" t="s">
        <v>3051</v>
      </c>
      <c r="C74" s="704" t="s">
        <v>2995</v>
      </c>
      <c r="D74" s="705" t="s">
        <v>212</v>
      </c>
      <c r="E74" s="705" t="s">
        <v>212</v>
      </c>
      <c r="F74" s="705" t="s">
        <v>212</v>
      </c>
      <c r="G74" s="705" t="s">
        <v>212</v>
      </c>
      <c r="H74" s="705" t="s">
        <v>212</v>
      </c>
      <c r="I74" s="705" t="s">
        <v>212</v>
      </c>
      <c r="J74" s="705" t="s">
        <v>212</v>
      </c>
      <c r="K74" s="705" t="s">
        <v>212</v>
      </c>
      <c r="L74" s="705" t="s">
        <v>212</v>
      </c>
      <c r="M74" s="705" t="s">
        <v>212</v>
      </c>
      <c r="N74" s="705" t="s">
        <v>212</v>
      </c>
      <c r="O74" s="705" t="s">
        <v>212</v>
      </c>
    </row>
    <row r="75" spans="1:15" s="665" customFormat="1" ht="15.75" customHeight="1" x14ac:dyDescent="0.2">
      <c r="A75" s="702" t="s">
        <v>3052</v>
      </c>
      <c r="B75" s="708" t="s">
        <v>3053</v>
      </c>
      <c r="C75" s="704" t="s">
        <v>2995</v>
      </c>
      <c r="D75" s="705">
        <f>0.14918*1.031</f>
        <v>0.15380458</v>
      </c>
      <c r="E75" s="705">
        <f>54.538603/1000</f>
        <v>5.4538603000000005E-2</v>
      </c>
      <c r="F75" s="705">
        <f>D75*1.038</f>
        <v>0.15964915403999999</v>
      </c>
      <c r="G75" s="705" t="s">
        <v>212</v>
      </c>
      <c r="H75" s="705">
        <f>F75*1.038</f>
        <v>0.16571582189351999</v>
      </c>
      <c r="I75" s="705" t="s">
        <v>212</v>
      </c>
      <c r="J75" s="705">
        <f>H75*1.039</f>
        <v>0.17217873894736727</v>
      </c>
      <c r="K75" s="705" t="s">
        <v>212</v>
      </c>
      <c r="L75" s="705">
        <f>J75*1.039</f>
        <v>0.17889370976631458</v>
      </c>
      <c r="M75" s="705" t="s">
        <v>212</v>
      </c>
      <c r="N75" s="707">
        <f>D75+F75+H75+J75+L75</f>
        <v>0.83024200464720177</v>
      </c>
      <c r="O75" s="705">
        <f>54.538603/1000</f>
        <v>5.4538603000000005E-2</v>
      </c>
    </row>
    <row r="76" spans="1:15" s="665" customFormat="1" ht="16.5" thickBot="1" x14ac:dyDescent="0.25">
      <c r="A76" s="709" t="s">
        <v>3054</v>
      </c>
      <c r="B76" s="710" t="s">
        <v>3055</v>
      </c>
      <c r="C76" s="711" t="s">
        <v>2995</v>
      </c>
      <c r="D76" s="721" t="s">
        <v>212</v>
      </c>
      <c r="E76" s="721" t="s">
        <v>212</v>
      </c>
      <c r="F76" s="721" t="s">
        <v>212</v>
      </c>
      <c r="G76" s="721" t="s">
        <v>212</v>
      </c>
      <c r="H76" s="721" t="s">
        <v>212</v>
      </c>
      <c r="I76" s="721" t="s">
        <v>212</v>
      </c>
      <c r="J76" s="721" t="s">
        <v>212</v>
      </c>
      <c r="K76" s="721" t="s">
        <v>212</v>
      </c>
      <c r="L76" s="721" t="s">
        <v>212</v>
      </c>
      <c r="M76" s="721" t="s">
        <v>212</v>
      </c>
      <c r="N76" s="721" t="s">
        <v>212</v>
      </c>
      <c r="O76" s="721" t="s">
        <v>212</v>
      </c>
    </row>
    <row r="77" spans="1:15" s="665" customFormat="1" x14ac:dyDescent="0.2">
      <c r="A77" s="697" t="s">
        <v>3056</v>
      </c>
      <c r="B77" s="722" t="s">
        <v>3057</v>
      </c>
      <c r="C77" s="699" t="s">
        <v>2995</v>
      </c>
      <c r="D77" s="700" t="s">
        <v>212</v>
      </c>
      <c r="E77" s="700" t="s">
        <v>212</v>
      </c>
      <c r="F77" s="700" t="s">
        <v>212</v>
      </c>
      <c r="G77" s="700" t="s">
        <v>212</v>
      </c>
      <c r="H77" s="700" t="s">
        <v>212</v>
      </c>
      <c r="I77" s="700" t="s">
        <v>212</v>
      </c>
      <c r="J77" s="700" t="s">
        <v>212</v>
      </c>
      <c r="K77" s="700" t="s">
        <v>212</v>
      </c>
      <c r="L77" s="700" t="s">
        <v>212</v>
      </c>
      <c r="M77" s="700" t="s">
        <v>212</v>
      </c>
      <c r="N77" s="701" t="s">
        <v>212</v>
      </c>
      <c r="O77" s="700" t="s">
        <v>212</v>
      </c>
    </row>
    <row r="78" spans="1:15" s="665" customFormat="1" x14ac:dyDescent="0.2">
      <c r="A78" s="702" t="s">
        <v>3058</v>
      </c>
      <c r="B78" s="708" t="s">
        <v>3059</v>
      </c>
      <c r="C78" s="704" t="s">
        <v>2995</v>
      </c>
      <c r="D78" s="705" t="s">
        <v>212</v>
      </c>
      <c r="E78" s="705" t="s">
        <v>212</v>
      </c>
      <c r="F78" s="705" t="s">
        <v>212</v>
      </c>
      <c r="G78" s="705" t="s">
        <v>212</v>
      </c>
      <c r="H78" s="705" t="s">
        <v>212</v>
      </c>
      <c r="I78" s="705" t="s">
        <v>212</v>
      </c>
      <c r="J78" s="705" t="s">
        <v>212</v>
      </c>
      <c r="K78" s="705" t="s">
        <v>212</v>
      </c>
      <c r="L78" s="705" t="s">
        <v>212</v>
      </c>
      <c r="M78" s="705" t="s">
        <v>212</v>
      </c>
      <c r="N78" s="705" t="s">
        <v>212</v>
      </c>
      <c r="O78" s="705" t="s">
        <v>212</v>
      </c>
    </row>
    <row r="79" spans="1:15" s="665" customFormat="1" x14ac:dyDescent="0.2">
      <c r="A79" s="702" t="s">
        <v>3060</v>
      </c>
      <c r="B79" s="708" t="s">
        <v>3061</v>
      </c>
      <c r="C79" s="704" t="s">
        <v>2995</v>
      </c>
      <c r="D79" s="705" t="s">
        <v>212</v>
      </c>
      <c r="E79" s="705" t="s">
        <v>212</v>
      </c>
      <c r="F79" s="705" t="s">
        <v>212</v>
      </c>
      <c r="G79" s="705" t="s">
        <v>212</v>
      </c>
      <c r="H79" s="705" t="s">
        <v>212</v>
      </c>
      <c r="I79" s="705" t="s">
        <v>212</v>
      </c>
      <c r="J79" s="705" t="s">
        <v>212</v>
      </c>
      <c r="K79" s="705" t="s">
        <v>212</v>
      </c>
      <c r="L79" s="705" t="s">
        <v>212</v>
      </c>
      <c r="M79" s="705" t="s">
        <v>212</v>
      </c>
      <c r="N79" s="705" t="s">
        <v>212</v>
      </c>
      <c r="O79" s="705" t="s">
        <v>212</v>
      </c>
    </row>
    <row r="80" spans="1:15" s="665" customFormat="1" ht="16.5" thickBot="1" x14ac:dyDescent="0.25">
      <c r="A80" s="723" t="s">
        <v>3062</v>
      </c>
      <c r="B80" s="724" t="s">
        <v>3063</v>
      </c>
      <c r="C80" s="725" t="s">
        <v>2995</v>
      </c>
      <c r="D80" s="726" t="s">
        <v>212</v>
      </c>
      <c r="E80" s="726" t="s">
        <v>212</v>
      </c>
      <c r="F80" s="726" t="s">
        <v>212</v>
      </c>
      <c r="G80" s="726" t="s">
        <v>212</v>
      </c>
      <c r="H80" s="726" t="s">
        <v>212</v>
      </c>
      <c r="I80" s="726" t="s">
        <v>212</v>
      </c>
      <c r="J80" s="726" t="s">
        <v>212</v>
      </c>
      <c r="K80" s="726" t="s">
        <v>212</v>
      </c>
      <c r="L80" s="726" t="s">
        <v>212</v>
      </c>
      <c r="M80" s="726" t="s">
        <v>212</v>
      </c>
      <c r="N80" s="727" t="s">
        <v>212</v>
      </c>
      <c r="O80" s="726" t="s">
        <v>212</v>
      </c>
    </row>
    <row r="81" spans="1:15" s="665" customFormat="1" x14ac:dyDescent="0.2">
      <c r="A81" s="712" t="s">
        <v>2798</v>
      </c>
      <c r="B81" s="713" t="s">
        <v>3064</v>
      </c>
      <c r="C81" s="714" t="s">
        <v>2995</v>
      </c>
      <c r="D81" s="728">
        <f>D23-D38</f>
        <v>196.02697455679868</v>
      </c>
      <c r="E81" s="728">
        <f>E23-E38</f>
        <v>99.50747710880637</v>
      </c>
      <c r="F81" s="728">
        <f>F23-F38</f>
        <v>191.07726536207201</v>
      </c>
      <c r="G81" s="728" t="s">
        <v>212</v>
      </c>
      <c r="H81" s="728">
        <f>H23-H38</f>
        <v>185.01258859026825</v>
      </c>
      <c r="I81" s="728" t="s">
        <v>212</v>
      </c>
      <c r="J81" s="728">
        <f>J23-J38</f>
        <v>177.43003526013013</v>
      </c>
      <c r="K81" s="728" t="s">
        <v>212</v>
      </c>
      <c r="L81" s="728">
        <f>L23-L38</f>
        <v>169.10782102156213</v>
      </c>
      <c r="M81" s="728" t="s">
        <v>212</v>
      </c>
      <c r="N81" s="707">
        <f>D81+F81+H81+J81+L81</f>
        <v>918.6546847908312</v>
      </c>
      <c r="O81" s="728">
        <f>O23-O38</f>
        <v>99.50747710880637</v>
      </c>
    </row>
    <row r="82" spans="1:15" s="665" customFormat="1" x14ac:dyDescent="0.2">
      <c r="A82" s="702" t="s">
        <v>428</v>
      </c>
      <c r="B82" s="703" t="s">
        <v>2996</v>
      </c>
      <c r="C82" s="704" t="s">
        <v>2995</v>
      </c>
      <c r="D82" s="705" t="s">
        <v>212</v>
      </c>
      <c r="E82" s="705" t="s">
        <v>212</v>
      </c>
      <c r="F82" s="705" t="s">
        <v>212</v>
      </c>
      <c r="G82" s="705" t="s">
        <v>212</v>
      </c>
      <c r="H82" s="705" t="s">
        <v>212</v>
      </c>
      <c r="I82" s="705" t="s">
        <v>212</v>
      </c>
      <c r="J82" s="705" t="s">
        <v>212</v>
      </c>
      <c r="K82" s="705" t="s">
        <v>212</v>
      </c>
      <c r="L82" s="705" t="s">
        <v>212</v>
      </c>
      <c r="M82" s="705" t="s">
        <v>212</v>
      </c>
      <c r="N82" s="705" t="s">
        <v>212</v>
      </c>
      <c r="O82" s="705" t="s">
        <v>212</v>
      </c>
    </row>
    <row r="83" spans="1:15" s="665" customFormat="1" ht="31.5" x14ac:dyDescent="0.2">
      <c r="A83" s="702" t="s">
        <v>2162</v>
      </c>
      <c r="B83" s="715" t="s">
        <v>2997</v>
      </c>
      <c r="C83" s="704" t="s">
        <v>2995</v>
      </c>
      <c r="D83" s="705" t="s">
        <v>212</v>
      </c>
      <c r="E83" s="705" t="s">
        <v>212</v>
      </c>
      <c r="F83" s="705" t="s">
        <v>212</v>
      </c>
      <c r="G83" s="705" t="s">
        <v>212</v>
      </c>
      <c r="H83" s="705" t="s">
        <v>212</v>
      </c>
      <c r="I83" s="705" t="s">
        <v>212</v>
      </c>
      <c r="J83" s="705" t="s">
        <v>212</v>
      </c>
      <c r="K83" s="705" t="s">
        <v>212</v>
      </c>
      <c r="L83" s="705" t="s">
        <v>212</v>
      </c>
      <c r="M83" s="705" t="s">
        <v>212</v>
      </c>
      <c r="N83" s="705" t="s">
        <v>212</v>
      </c>
      <c r="O83" s="705" t="s">
        <v>212</v>
      </c>
    </row>
    <row r="84" spans="1:15" s="665" customFormat="1" ht="31.5" x14ac:dyDescent="0.2">
      <c r="A84" s="702" t="s">
        <v>2163</v>
      </c>
      <c r="B84" s="715" t="s">
        <v>2998</v>
      </c>
      <c r="C84" s="704" t="s">
        <v>2995</v>
      </c>
      <c r="D84" s="705" t="s">
        <v>212</v>
      </c>
      <c r="E84" s="705" t="s">
        <v>212</v>
      </c>
      <c r="F84" s="705" t="s">
        <v>212</v>
      </c>
      <c r="G84" s="705" t="s">
        <v>212</v>
      </c>
      <c r="H84" s="705" t="s">
        <v>212</v>
      </c>
      <c r="I84" s="705" t="s">
        <v>212</v>
      </c>
      <c r="J84" s="705" t="s">
        <v>212</v>
      </c>
      <c r="K84" s="705" t="s">
        <v>212</v>
      </c>
      <c r="L84" s="705" t="s">
        <v>212</v>
      </c>
      <c r="M84" s="705" t="s">
        <v>212</v>
      </c>
      <c r="N84" s="705" t="s">
        <v>212</v>
      </c>
      <c r="O84" s="705" t="s">
        <v>212</v>
      </c>
    </row>
    <row r="85" spans="1:15" s="665" customFormat="1" ht="31.5" x14ac:dyDescent="0.2">
      <c r="A85" s="702" t="s">
        <v>1929</v>
      </c>
      <c r="B85" s="715" t="s">
        <v>2999</v>
      </c>
      <c r="C85" s="704" t="s">
        <v>2995</v>
      </c>
      <c r="D85" s="705" t="s">
        <v>212</v>
      </c>
      <c r="E85" s="705" t="s">
        <v>212</v>
      </c>
      <c r="F85" s="705" t="s">
        <v>212</v>
      </c>
      <c r="G85" s="705" t="s">
        <v>212</v>
      </c>
      <c r="H85" s="705" t="s">
        <v>212</v>
      </c>
      <c r="I85" s="705" t="s">
        <v>212</v>
      </c>
      <c r="J85" s="705" t="s">
        <v>212</v>
      </c>
      <c r="K85" s="705" t="s">
        <v>212</v>
      </c>
      <c r="L85" s="705" t="s">
        <v>212</v>
      </c>
      <c r="M85" s="705" t="s">
        <v>212</v>
      </c>
      <c r="N85" s="705" t="s">
        <v>212</v>
      </c>
      <c r="O85" s="705" t="s">
        <v>212</v>
      </c>
    </row>
    <row r="86" spans="1:15" s="665" customFormat="1" x14ac:dyDescent="0.2">
      <c r="A86" s="702" t="s">
        <v>461</v>
      </c>
      <c r="B86" s="703" t="s">
        <v>3000</v>
      </c>
      <c r="C86" s="704" t="s">
        <v>2995</v>
      </c>
      <c r="D86" s="705" t="s">
        <v>212</v>
      </c>
      <c r="E86" s="705" t="s">
        <v>212</v>
      </c>
      <c r="F86" s="705" t="s">
        <v>212</v>
      </c>
      <c r="G86" s="705" t="s">
        <v>212</v>
      </c>
      <c r="H86" s="705" t="s">
        <v>212</v>
      </c>
      <c r="I86" s="705" t="s">
        <v>212</v>
      </c>
      <c r="J86" s="705" t="s">
        <v>212</v>
      </c>
      <c r="K86" s="705" t="s">
        <v>212</v>
      </c>
      <c r="L86" s="705" t="s">
        <v>212</v>
      </c>
      <c r="M86" s="705" t="s">
        <v>212</v>
      </c>
      <c r="N86" s="705" t="s">
        <v>212</v>
      </c>
      <c r="O86" s="705" t="s">
        <v>212</v>
      </c>
    </row>
    <row r="87" spans="1:15" s="665" customFormat="1" x14ac:dyDescent="0.2">
      <c r="A87" s="702" t="s">
        <v>442</v>
      </c>
      <c r="B87" s="703" t="s">
        <v>3001</v>
      </c>
      <c r="C87" s="704" t="s">
        <v>2995</v>
      </c>
      <c r="D87" s="705">
        <f>D29-D44</f>
        <v>16.77760386570867</v>
      </c>
      <c r="E87" s="705">
        <f>E29-E44</f>
        <v>26.743846985980326</v>
      </c>
      <c r="F87" s="705">
        <f>F29-F44</f>
        <v>5.0164185847206682</v>
      </c>
      <c r="G87" s="705" t="s">
        <v>212</v>
      </c>
      <c r="H87" s="705">
        <f>H29-H44</f>
        <v>-7.5636537637813035</v>
      </c>
      <c r="I87" s="705" t="s">
        <v>212</v>
      </c>
      <c r="J87" s="705">
        <f>J29-J44</f>
        <v>-22.65668054572734</v>
      </c>
      <c r="K87" s="705" t="s">
        <v>212</v>
      </c>
      <c r="L87" s="705">
        <f>L29-L44</f>
        <v>-38.782276700723742</v>
      </c>
      <c r="M87" s="705" t="s">
        <v>212</v>
      </c>
      <c r="N87" s="707">
        <f>D87+F87+H87+J87+L87</f>
        <v>-47.208588559803047</v>
      </c>
      <c r="O87" s="705">
        <f>O29-O44</f>
        <v>26.743846985980326</v>
      </c>
    </row>
    <row r="88" spans="1:15" s="665" customFormat="1" x14ac:dyDescent="0.2">
      <c r="A88" s="702" t="s">
        <v>3065</v>
      </c>
      <c r="B88" s="703" t="s">
        <v>3002</v>
      </c>
      <c r="C88" s="704" t="s">
        <v>2995</v>
      </c>
      <c r="D88" s="705" t="s">
        <v>212</v>
      </c>
      <c r="E88" s="705" t="s">
        <v>212</v>
      </c>
      <c r="F88" s="705" t="s">
        <v>212</v>
      </c>
      <c r="G88" s="705" t="s">
        <v>212</v>
      </c>
      <c r="H88" s="705" t="s">
        <v>212</v>
      </c>
      <c r="I88" s="705" t="s">
        <v>212</v>
      </c>
      <c r="J88" s="705" t="s">
        <v>212</v>
      </c>
      <c r="K88" s="705" t="s">
        <v>212</v>
      </c>
      <c r="L88" s="705" t="s">
        <v>212</v>
      </c>
      <c r="M88" s="705" t="s">
        <v>212</v>
      </c>
      <c r="N88" s="705" t="s">
        <v>212</v>
      </c>
      <c r="O88" s="705" t="s">
        <v>212</v>
      </c>
    </row>
    <row r="89" spans="1:15" s="665" customFormat="1" x14ac:dyDescent="0.2">
      <c r="A89" s="702" t="s">
        <v>3066</v>
      </c>
      <c r="B89" s="703" t="s">
        <v>3003</v>
      </c>
      <c r="C89" s="704" t="s">
        <v>2995</v>
      </c>
      <c r="D89" s="705">
        <f>D31-D46</f>
        <v>62.929903764309998</v>
      </c>
      <c r="E89" s="705">
        <f>E31-E46</f>
        <v>67.113908707763798</v>
      </c>
      <c r="F89" s="705">
        <f>F31-F46</f>
        <v>65.321240107353788</v>
      </c>
      <c r="G89" s="705" t="s">
        <v>212</v>
      </c>
      <c r="H89" s="705">
        <f>H31-H46</f>
        <v>67.248530630592015</v>
      </c>
      <c r="I89" s="705" t="s">
        <v>212</v>
      </c>
      <c r="J89" s="705">
        <f>J31-J46</f>
        <v>69.871223325185099</v>
      </c>
      <c r="K89" s="705" t="s">
        <v>212</v>
      </c>
      <c r="L89" s="705">
        <f>L31-L46</f>
        <v>72.596201034867306</v>
      </c>
      <c r="M89" s="705" t="s">
        <v>212</v>
      </c>
      <c r="N89" s="707">
        <f>D89+F89+H89+J89+L89</f>
        <v>337.96709886230821</v>
      </c>
      <c r="O89" s="705">
        <f>O31-O46</f>
        <v>67.113908707763798</v>
      </c>
    </row>
    <row r="90" spans="1:15" s="665" customFormat="1" x14ac:dyDescent="0.2">
      <c r="A90" s="702" t="s">
        <v>3067</v>
      </c>
      <c r="B90" s="703" t="s">
        <v>3005</v>
      </c>
      <c r="C90" s="704" t="s">
        <v>2995</v>
      </c>
      <c r="D90" s="705" t="s">
        <v>212</v>
      </c>
      <c r="E90" s="705" t="s">
        <v>212</v>
      </c>
      <c r="F90" s="705" t="s">
        <v>212</v>
      </c>
      <c r="G90" s="705" t="s">
        <v>212</v>
      </c>
      <c r="H90" s="705" t="s">
        <v>212</v>
      </c>
      <c r="I90" s="705" t="s">
        <v>212</v>
      </c>
      <c r="J90" s="705" t="s">
        <v>212</v>
      </c>
      <c r="K90" s="705" t="s">
        <v>212</v>
      </c>
      <c r="L90" s="705" t="s">
        <v>212</v>
      </c>
      <c r="M90" s="705" t="s">
        <v>212</v>
      </c>
      <c r="N90" s="705" t="s">
        <v>212</v>
      </c>
      <c r="O90" s="705" t="s">
        <v>212</v>
      </c>
    </row>
    <row r="91" spans="1:15" s="665" customFormat="1" x14ac:dyDescent="0.2">
      <c r="A91" s="702" t="s">
        <v>3068</v>
      </c>
      <c r="B91" s="703" t="s">
        <v>3007</v>
      </c>
      <c r="C91" s="704" t="s">
        <v>2995</v>
      </c>
      <c r="D91" s="705" t="s">
        <v>212</v>
      </c>
      <c r="E91" s="705" t="s">
        <v>212</v>
      </c>
      <c r="F91" s="705" t="s">
        <v>212</v>
      </c>
      <c r="G91" s="705" t="s">
        <v>212</v>
      </c>
      <c r="H91" s="705" t="s">
        <v>212</v>
      </c>
      <c r="I91" s="705" t="s">
        <v>212</v>
      </c>
      <c r="J91" s="705" t="s">
        <v>212</v>
      </c>
      <c r="K91" s="705" t="s">
        <v>212</v>
      </c>
      <c r="L91" s="705" t="s">
        <v>212</v>
      </c>
      <c r="M91" s="705" t="s">
        <v>212</v>
      </c>
      <c r="N91" s="705" t="s">
        <v>212</v>
      </c>
      <c r="O91" s="705" t="s">
        <v>212</v>
      </c>
    </row>
    <row r="92" spans="1:15" s="665" customFormat="1" ht="31.5" x14ac:dyDescent="0.2">
      <c r="A92" s="702" t="s">
        <v>3069</v>
      </c>
      <c r="B92" s="706" t="s">
        <v>3009</v>
      </c>
      <c r="C92" s="704" t="s">
        <v>2995</v>
      </c>
      <c r="D92" s="705" t="s">
        <v>212</v>
      </c>
      <c r="E92" s="705" t="s">
        <v>212</v>
      </c>
      <c r="F92" s="705" t="s">
        <v>212</v>
      </c>
      <c r="G92" s="705" t="s">
        <v>212</v>
      </c>
      <c r="H92" s="705" t="s">
        <v>212</v>
      </c>
      <c r="I92" s="705" t="s">
        <v>212</v>
      </c>
      <c r="J92" s="705" t="s">
        <v>212</v>
      </c>
      <c r="K92" s="705" t="s">
        <v>212</v>
      </c>
      <c r="L92" s="705" t="s">
        <v>212</v>
      </c>
      <c r="M92" s="705" t="s">
        <v>212</v>
      </c>
      <c r="N92" s="705" t="s">
        <v>212</v>
      </c>
      <c r="O92" s="705" t="s">
        <v>212</v>
      </c>
    </row>
    <row r="93" spans="1:15" s="665" customFormat="1" x14ac:dyDescent="0.2">
      <c r="A93" s="702" t="s">
        <v>3070</v>
      </c>
      <c r="B93" s="715" t="s">
        <v>3011</v>
      </c>
      <c r="C93" s="704" t="s">
        <v>2995</v>
      </c>
      <c r="D93" s="705" t="s">
        <v>212</v>
      </c>
      <c r="E93" s="705" t="s">
        <v>212</v>
      </c>
      <c r="F93" s="705" t="s">
        <v>212</v>
      </c>
      <c r="G93" s="705" t="s">
        <v>212</v>
      </c>
      <c r="H93" s="705" t="s">
        <v>212</v>
      </c>
      <c r="I93" s="705" t="s">
        <v>212</v>
      </c>
      <c r="J93" s="705" t="s">
        <v>212</v>
      </c>
      <c r="K93" s="705" t="s">
        <v>212</v>
      </c>
      <c r="L93" s="705" t="s">
        <v>212</v>
      </c>
      <c r="M93" s="705" t="s">
        <v>212</v>
      </c>
      <c r="N93" s="705" t="s">
        <v>212</v>
      </c>
      <c r="O93" s="705" t="s">
        <v>212</v>
      </c>
    </row>
    <row r="94" spans="1:15" s="665" customFormat="1" x14ac:dyDescent="0.2">
      <c r="A94" s="702" t="s">
        <v>3071</v>
      </c>
      <c r="B94" s="708" t="s">
        <v>3013</v>
      </c>
      <c r="C94" s="704" t="s">
        <v>2995</v>
      </c>
      <c r="D94" s="705" t="s">
        <v>212</v>
      </c>
      <c r="E94" s="705" t="s">
        <v>212</v>
      </c>
      <c r="F94" s="705" t="s">
        <v>212</v>
      </c>
      <c r="G94" s="705" t="s">
        <v>212</v>
      </c>
      <c r="H94" s="705" t="s">
        <v>212</v>
      </c>
      <c r="I94" s="705" t="s">
        <v>212</v>
      </c>
      <c r="J94" s="705" t="s">
        <v>212</v>
      </c>
      <c r="K94" s="705" t="s">
        <v>212</v>
      </c>
      <c r="L94" s="705" t="s">
        <v>212</v>
      </c>
      <c r="M94" s="705" t="s">
        <v>212</v>
      </c>
      <c r="N94" s="705" t="s">
        <v>212</v>
      </c>
      <c r="O94" s="705" t="s">
        <v>212</v>
      </c>
    </row>
    <row r="95" spans="1:15" s="665" customFormat="1" x14ac:dyDescent="0.2">
      <c r="A95" s="702" t="s">
        <v>3072</v>
      </c>
      <c r="B95" s="703" t="s">
        <v>3015</v>
      </c>
      <c r="C95" s="704" t="s">
        <v>2995</v>
      </c>
      <c r="D95" s="705">
        <f>D37-D52</f>
        <v>116.31946692677998</v>
      </c>
      <c r="E95" s="705">
        <f>E37-E52</f>
        <v>5.6497214150623014</v>
      </c>
      <c r="F95" s="705">
        <f>F37-F52</f>
        <v>120.73960666999761</v>
      </c>
      <c r="G95" s="705" t="s">
        <v>212</v>
      </c>
      <c r="H95" s="705">
        <f>H37-H52</f>
        <v>125.32771172345753</v>
      </c>
      <c r="I95" s="705" t="s">
        <v>212</v>
      </c>
      <c r="J95" s="705">
        <f>J37-J52</f>
        <v>130.21549248067234</v>
      </c>
      <c r="K95" s="705" t="s">
        <v>212</v>
      </c>
      <c r="L95" s="705">
        <f>L37-L52</f>
        <v>135.29389668741857</v>
      </c>
      <c r="M95" s="705" t="s">
        <v>212</v>
      </c>
      <c r="N95" s="707">
        <f>D95+F95+H95+J95+L95</f>
        <v>627.8961744883261</v>
      </c>
      <c r="O95" s="705">
        <f>O37-O52</f>
        <v>5.6497214150623014</v>
      </c>
    </row>
    <row r="96" spans="1:15" s="665" customFormat="1" x14ac:dyDescent="0.2">
      <c r="A96" s="702" t="s">
        <v>2800</v>
      </c>
      <c r="B96" s="729" t="s">
        <v>3073</v>
      </c>
      <c r="C96" s="704" t="s">
        <v>2995</v>
      </c>
      <c r="D96" s="705">
        <f>D97-D103</f>
        <v>-115.91250561673998</v>
      </c>
      <c r="E96" s="705">
        <f>E97-E103</f>
        <v>133.9026824693</v>
      </c>
      <c r="F96" s="705">
        <f>F97-F103</f>
        <v>-155.99837930831615</v>
      </c>
      <c r="G96" s="705" t="s">
        <v>212</v>
      </c>
      <c r="H96" s="705">
        <f>H97-H103</f>
        <v>-161.67654933268514</v>
      </c>
      <c r="I96" s="705" t="s">
        <v>212</v>
      </c>
      <c r="J96" s="705">
        <f>J97-J103</f>
        <v>-167.98193475665983</v>
      </c>
      <c r="K96" s="705" t="s">
        <v>212</v>
      </c>
      <c r="L96" s="705">
        <f>L97-L103</f>
        <v>-174.22745404464501</v>
      </c>
      <c r="M96" s="705" t="s">
        <v>212</v>
      </c>
      <c r="N96" s="707">
        <f>D96+F96+H96+J96+L96</f>
        <v>-775.79682305904612</v>
      </c>
      <c r="O96" s="705">
        <f>O97-O103</f>
        <v>133.9026824693</v>
      </c>
    </row>
    <row r="97" spans="1:15" s="665" customFormat="1" x14ac:dyDescent="0.2">
      <c r="A97" s="719" t="s">
        <v>3074</v>
      </c>
      <c r="B97" s="882" t="s">
        <v>3075</v>
      </c>
      <c r="C97" s="704" t="s">
        <v>2995</v>
      </c>
      <c r="D97" s="705">
        <f>D99+D102</f>
        <v>79.477727999999999</v>
      </c>
      <c r="E97" s="705">
        <f>E99+E102</f>
        <v>158.37596030890001</v>
      </c>
      <c r="F97" s="705">
        <f>F99+F102</f>
        <v>82.497881663999991</v>
      </c>
      <c r="G97" s="705" t="s">
        <v>212</v>
      </c>
      <c r="H97" s="705">
        <f>H99+H102</f>
        <v>85.632801167232003</v>
      </c>
      <c r="I97" s="705" t="s">
        <v>212</v>
      </c>
      <c r="J97" s="705">
        <f>J99+J102</f>
        <v>88.972480412754052</v>
      </c>
      <c r="K97" s="705" t="s">
        <v>212</v>
      </c>
      <c r="L97" s="705">
        <f>L99+L102</f>
        <v>92.442407148851444</v>
      </c>
      <c r="M97" s="705" t="s">
        <v>212</v>
      </c>
      <c r="N97" s="707">
        <f>D97+F97+H97+J97+L97</f>
        <v>429.02329839283749</v>
      </c>
      <c r="O97" s="705">
        <f>O99+O102</f>
        <v>158.37596030890001</v>
      </c>
    </row>
    <row r="98" spans="1:15" s="665" customFormat="1" x14ac:dyDescent="0.2">
      <c r="A98" s="719" t="s">
        <v>3076</v>
      </c>
      <c r="B98" s="883" t="s">
        <v>3077</v>
      </c>
      <c r="C98" s="704" t="s">
        <v>2995</v>
      </c>
      <c r="D98" s="705" t="s">
        <v>212</v>
      </c>
      <c r="E98" s="705" t="s">
        <v>212</v>
      </c>
      <c r="F98" s="705" t="s">
        <v>212</v>
      </c>
      <c r="G98" s="705" t="s">
        <v>212</v>
      </c>
      <c r="H98" s="705" t="s">
        <v>212</v>
      </c>
      <c r="I98" s="705" t="s">
        <v>212</v>
      </c>
      <c r="J98" s="705" t="s">
        <v>212</v>
      </c>
      <c r="K98" s="705" t="s">
        <v>212</v>
      </c>
      <c r="L98" s="705" t="s">
        <v>212</v>
      </c>
      <c r="M98" s="705" t="s">
        <v>212</v>
      </c>
      <c r="N98" s="705" t="s">
        <v>212</v>
      </c>
      <c r="O98" s="705" t="s">
        <v>212</v>
      </c>
    </row>
    <row r="99" spans="1:15" s="665" customFormat="1" x14ac:dyDescent="0.2">
      <c r="A99" s="719" t="s">
        <v>3078</v>
      </c>
      <c r="B99" s="883" t="s">
        <v>3079</v>
      </c>
      <c r="C99" s="704" t="s">
        <v>2995</v>
      </c>
      <c r="D99" s="705">
        <f>(12.482+0.293)*1.031</f>
        <v>13.171024999999997</v>
      </c>
      <c r="E99" s="705">
        <f>19259.04/1000</f>
        <v>19.259040000000002</v>
      </c>
      <c r="F99" s="705">
        <f>D99*1.038</f>
        <v>13.671523949999997</v>
      </c>
      <c r="G99" s="705" t="s">
        <v>212</v>
      </c>
      <c r="H99" s="705">
        <f>F99*1.038</f>
        <v>14.191041860099999</v>
      </c>
      <c r="I99" s="705" t="s">
        <v>212</v>
      </c>
      <c r="J99" s="705">
        <f>H99*1.039</f>
        <v>14.744492492643898</v>
      </c>
      <c r="K99" s="705" t="s">
        <v>212</v>
      </c>
      <c r="L99" s="705">
        <f>J99*1.039</f>
        <v>15.319527699857009</v>
      </c>
      <c r="M99" s="705" t="s">
        <v>212</v>
      </c>
      <c r="N99" s="707">
        <f>D99+F99+H99+J99+L99</f>
        <v>71.0976110026009</v>
      </c>
      <c r="O99" s="705">
        <f>19259.04/1000</f>
        <v>19.259040000000002</v>
      </c>
    </row>
    <row r="100" spans="1:15" s="665" customFormat="1" x14ac:dyDescent="0.2">
      <c r="A100" s="719" t="s">
        <v>3080</v>
      </c>
      <c r="B100" s="883" t="s">
        <v>3081</v>
      </c>
      <c r="C100" s="704" t="s">
        <v>2995</v>
      </c>
      <c r="D100" s="705" t="s">
        <v>212</v>
      </c>
      <c r="E100" s="705" t="s">
        <v>212</v>
      </c>
      <c r="F100" s="705" t="s">
        <v>212</v>
      </c>
      <c r="G100" s="705" t="s">
        <v>212</v>
      </c>
      <c r="H100" s="705" t="s">
        <v>212</v>
      </c>
      <c r="I100" s="705" t="s">
        <v>212</v>
      </c>
      <c r="J100" s="705" t="s">
        <v>212</v>
      </c>
      <c r="K100" s="705" t="s">
        <v>212</v>
      </c>
      <c r="L100" s="705" t="s">
        <v>212</v>
      </c>
      <c r="M100" s="705" t="s">
        <v>212</v>
      </c>
      <c r="N100" s="705" t="s">
        <v>212</v>
      </c>
      <c r="O100" s="705" t="s">
        <v>212</v>
      </c>
    </row>
    <row r="101" spans="1:15" s="665" customFormat="1" x14ac:dyDescent="0.2">
      <c r="A101" s="719" t="s">
        <v>3082</v>
      </c>
      <c r="B101" s="884" t="s">
        <v>3083</v>
      </c>
      <c r="C101" s="704" t="s">
        <v>2995</v>
      </c>
      <c r="D101" s="705" t="s">
        <v>212</v>
      </c>
      <c r="E101" s="705" t="s">
        <v>212</v>
      </c>
      <c r="F101" s="705" t="s">
        <v>212</v>
      </c>
      <c r="G101" s="705" t="s">
        <v>212</v>
      </c>
      <c r="H101" s="705" t="s">
        <v>212</v>
      </c>
      <c r="I101" s="705" t="s">
        <v>212</v>
      </c>
      <c r="J101" s="705" t="s">
        <v>212</v>
      </c>
      <c r="K101" s="705" t="s">
        <v>212</v>
      </c>
      <c r="L101" s="705" t="s">
        <v>212</v>
      </c>
      <c r="M101" s="705" t="s">
        <v>212</v>
      </c>
      <c r="N101" s="705" t="s">
        <v>212</v>
      </c>
      <c r="O101" s="705" t="s">
        <v>212</v>
      </c>
    </row>
    <row r="102" spans="1:15" s="665" customFormat="1" x14ac:dyDescent="0.2">
      <c r="A102" s="719" t="s">
        <v>3084</v>
      </c>
      <c r="B102" s="885" t="s">
        <v>3085</v>
      </c>
      <c r="C102" s="704" t="s">
        <v>2995</v>
      </c>
      <c r="D102" s="705">
        <f>(52.705+11.608)*1.031</f>
        <v>66.306702999999999</v>
      </c>
      <c r="E102" s="705">
        <f>139116.9203089/1000</f>
        <v>139.11692030890001</v>
      </c>
      <c r="F102" s="705">
        <f>D102*1.038</f>
        <v>68.826357713999997</v>
      </c>
      <c r="G102" s="705" t="s">
        <v>212</v>
      </c>
      <c r="H102" s="705">
        <f>F102*1.038</f>
        <v>71.441759307132003</v>
      </c>
      <c r="I102" s="705" t="s">
        <v>212</v>
      </c>
      <c r="J102" s="705">
        <f>H102*1.039</f>
        <v>74.227987920110152</v>
      </c>
      <c r="K102" s="705" t="s">
        <v>212</v>
      </c>
      <c r="L102" s="705">
        <f>J102*1.039</f>
        <v>77.122879448994439</v>
      </c>
      <c r="M102" s="705" t="s">
        <v>212</v>
      </c>
      <c r="N102" s="707">
        <f t="shared" ref="N102:N109" si="2">D102+F102+H102+J102+L102</f>
        <v>357.92568739023659</v>
      </c>
      <c r="O102" s="705">
        <f>139116.9203089/1000</f>
        <v>139.11692030890001</v>
      </c>
    </row>
    <row r="103" spans="1:15" s="665" customFormat="1" x14ac:dyDescent="0.2">
      <c r="A103" s="719" t="s">
        <v>3086</v>
      </c>
      <c r="B103" s="720" t="s">
        <v>3049</v>
      </c>
      <c r="C103" s="704" t="s">
        <v>2995</v>
      </c>
      <c r="D103" s="705">
        <f>D104+D105+D106+D108</f>
        <v>195.39023361673998</v>
      </c>
      <c r="E103" s="705">
        <f>E104+E105+E106+E108</f>
        <v>24.473277839600001</v>
      </c>
      <c r="F103" s="705">
        <f>F104+F105+F106+F107+F108</f>
        <v>238.49626097231612</v>
      </c>
      <c r="G103" s="705" t="s">
        <v>212</v>
      </c>
      <c r="H103" s="705">
        <f>H104+H105+H106+H107+H108</f>
        <v>247.30935049991714</v>
      </c>
      <c r="I103" s="705" t="s">
        <v>212</v>
      </c>
      <c r="J103" s="705">
        <f>J104+J105+J106+J107+J108</f>
        <v>256.95441516941389</v>
      </c>
      <c r="K103" s="705" t="s">
        <v>212</v>
      </c>
      <c r="L103" s="705">
        <f>L104+L105+L106+L107+L108</f>
        <v>266.66986119349644</v>
      </c>
      <c r="M103" s="705" t="s">
        <v>212</v>
      </c>
      <c r="N103" s="707">
        <f t="shared" si="2"/>
        <v>1204.8201214518836</v>
      </c>
      <c r="O103" s="705">
        <f>O104+O105+O106+O108</f>
        <v>24.473277839600001</v>
      </c>
    </row>
    <row r="104" spans="1:15" s="665" customFormat="1" x14ac:dyDescent="0.2">
      <c r="A104" s="702" t="s">
        <v>3087</v>
      </c>
      <c r="B104" s="708" t="s">
        <v>3088</v>
      </c>
      <c r="C104" s="704" t="s">
        <v>2995</v>
      </c>
      <c r="D104" s="705">
        <f>39.3*1.031</f>
        <v>40.518299999999996</v>
      </c>
      <c r="E104" s="705">
        <f>1701.6478396/1000</f>
        <v>1.7016478396000001</v>
      </c>
      <c r="F104" s="705">
        <f>D104*1.038</f>
        <v>42.057995399999996</v>
      </c>
      <c r="G104" s="705" t="s">
        <v>212</v>
      </c>
      <c r="H104" s="705">
        <f>F104*1.038</f>
        <v>43.656199225199998</v>
      </c>
      <c r="I104" s="705" t="s">
        <v>212</v>
      </c>
      <c r="J104" s="705">
        <f>H104*1.039</f>
        <v>45.358790994982797</v>
      </c>
      <c r="K104" s="705" t="s">
        <v>212</v>
      </c>
      <c r="L104" s="705">
        <f>J104*1.039</f>
        <v>47.127783843787121</v>
      </c>
      <c r="M104" s="705" t="s">
        <v>212</v>
      </c>
      <c r="N104" s="707">
        <f t="shared" si="2"/>
        <v>218.7190694639699</v>
      </c>
      <c r="O104" s="705">
        <f>1701.6478396/1000</f>
        <v>1.7016478396000001</v>
      </c>
    </row>
    <row r="105" spans="1:15" s="665" customFormat="1" x14ac:dyDescent="0.2">
      <c r="A105" s="702" t="s">
        <v>3089</v>
      </c>
      <c r="B105" s="708" t="s">
        <v>3090</v>
      </c>
      <c r="C105" s="704" t="s">
        <v>2995</v>
      </c>
      <c r="D105" s="705">
        <f>0.64852054*1.031</f>
        <v>0.66862467674000003</v>
      </c>
      <c r="E105" s="705">
        <v>0</v>
      </c>
      <c r="F105" s="705">
        <f>D105*1.038</f>
        <v>0.69403241445612007</v>
      </c>
      <c r="G105" s="705" t="s">
        <v>212</v>
      </c>
      <c r="H105" s="705">
        <f>F105*1.038</f>
        <v>0.72040564620545267</v>
      </c>
      <c r="I105" s="705" t="s">
        <v>212</v>
      </c>
      <c r="J105" s="705">
        <f>H105*1.039</f>
        <v>0.74850146640746529</v>
      </c>
      <c r="K105" s="705" t="s">
        <v>212</v>
      </c>
      <c r="L105" s="705">
        <f>J105*1.039</f>
        <v>0.77769302359735637</v>
      </c>
      <c r="M105" s="705" t="s">
        <v>212</v>
      </c>
      <c r="N105" s="707">
        <f t="shared" si="2"/>
        <v>3.6092572274063941</v>
      </c>
      <c r="O105" s="705">
        <v>0</v>
      </c>
    </row>
    <row r="106" spans="1:15" s="665" customFormat="1" x14ac:dyDescent="0.2">
      <c r="A106" s="702" t="s">
        <v>3091</v>
      </c>
      <c r="B106" s="708" t="s">
        <v>3092</v>
      </c>
      <c r="C106" s="704" t="s">
        <v>2995</v>
      </c>
      <c r="D106" s="705">
        <f>D107</f>
        <v>34.60833994</v>
      </c>
      <c r="E106" s="705">
        <f>E107</f>
        <v>5.4279999999999999</v>
      </c>
      <c r="F106" s="705">
        <f>D106*1.031</f>
        <v>35.681198478139997</v>
      </c>
      <c r="G106" s="705" t="s">
        <v>212</v>
      </c>
      <c r="H106" s="705">
        <f>F106*1.031</f>
        <v>36.787315630962333</v>
      </c>
      <c r="I106" s="705" t="s">
        <v>212</v>
      </c>
      <c r="J106" s="705">
        <f>H106*1.039</f>
        <v>38.222020940569863</v>
      </c>
      <c r="K106" s="705" t="s">
        <v>212</v>
      </c>
      <c r="L106" s="705">
        <f t="shared" ref="L106" si="3">J106*1.031</f>
        <v>39.406903589727527</v>
      </c>
      <c r="M106" s="705" t="s">
        <v>212</v>
      </c>
      <c r="N106" s="707">
        <f t="shared" si="2"/>
        <v>184.70577857939972</v>
      </c>
      <c r="O106" s="705">
        <f>O107</f>
        <v>5.4279999999999999</v>
      </c>
    </row>
    <row r="107" spans="1:15" s="665" customFormat="1" x14ac:dyDescent="0.2">
      <c r="A107" s="702" t="s">
        <v>3093</v>
      </c>
      <c r="B107" s="717" t="s">
        <v>3094</v>
      </c>
      <c r="C107" s="704" t="s">
        <v>2995</v>
      </c>
      <c r="D107" s="705">
        <f>33.56774*1.031</f>
        <v>34.60833994</v>
      </c>
      <c r="E107" s="705">
        <v>5.4279999999999999</v>
      </c>
      <c r="F107" s="705">
        <f>D107*1.038</f>
        <v>35.923456857720005</v>
      </c>
      <c r="G107" s="705" t="s">
        <v>212</v>
      </c>
      <c r="H107" s="705">
        <f>F107*1.038</f>
        <v>37.288548218313366</v>
      </c>
      <c r="I107" s="705" t="s">
        <v>212</v>
      </c>
      <c r="J107" s="705">
        <f>H107*1.039</f>
        <v>38.742801598827583</v>
      </c>
      <c r="K107" s="705" t="s">
        <v>212</v>
      </c>
      <c r="L107" s="705">
        <f>J107*1.039</f>
        <v>40.253770861181856</v>
      </c>
      <c r="M107" s="705" t="s">
        <v>212</v>
      </c>
      <c r="N107" s="707">
        <f t="shared" si="2"/>
        <v>186.81691747604282</v>
      </c>
      <c r="O107" s="705">
        <v>5.4279999999999999</v>
      </c>
    </row>
    <row r="108" spans="1:15" s="665" customFormat="1" x14ac:dyDescent="0.2">
      <c r="A108" s="702" t="s">
        <v>3095</v>
      </c>
      <c r="B108" s="708" t="s">
        <v>3096</v>
      </c>
      <c r="C108" s="704" t="s">
        <v>2995</v>
      </c>
      <c r="D108" s="705">
        <f>115.999*1.031</f>
        <v>119.59496899999999</v>
      </c>
      <c r="E108" s="705">
        <f>17343.63/1000</f>
        <v>17.343630000000001</v>
      </c>
      <c r="F108" s="705">
        <f>D108*1.038</f>
        <v>124.13957782199999</v>
      </c>
      <c r="G108" s="705" t="s">
        <v>212</v>
      </c>
      <c r="H108" s="705">
        <f>F108*1.038</f>
        <v>128.85688177923601</v>
      </c>
      <c r="I108" s="705" t="s">
        <v>212</v>
      </c>
      <c r="J108" s="705">
        <f>H108*1.039</f>
        <v>133.88230016862619</v>
      </c>
      <c r="K108" s="705" t="s">
        <v>212</v>
      </c>
      <c r="L108" s="705">
        <f>J108*1.039</f>
        <v>139.10370987520261</v>
      </c>
      <c r="M108" s="705" t="s">
        <v>212</v>
      </c>
      <c r="N108" s="707">
        <f t="shared" si="2"/>
        <v>645.57743864506483</v>
      </c>
      <c r="O108" s="705">
        <f>17343.63/1000</f>
        <v>17.343630000000001</v>
      </c>
    </row>
    <row r="109" spans="1:15" s="665" customFormat="1" x14ac:dyDescent="0.2">
      <c r="A109" s="702" t="s">
        <v>3097</v>
      </c>
      <c r="B109" s="729" t="s">
        <v>3098</v>
      </c>
      <c r="C109" s="704" t="s">
        <v>2995</v>
      </c>
      <c r="D109" s="705">
        <f>D81+D96</f>
        <v>80.1144689400587</v>
      </c>
      <c r="E109" s="705">
        <f>E81+E96</f>
        <v>233.41015957810637</v>
      </c>
      <c r="F109" s="705">
        <f>F81+F96</f>
        <v>35.078886053755866</v>
      </c>
      <c r="G109" s="705" t="s">
        <v>212</v>
      </c>
      <c r="H109" s="705">
        <f>H81+H96</f>
        <v>23.33603925758311</v>
      </c>
      <c r="I109" s="705" t="s">
        <v>212</v>
      </c>
      <c r="J109" s="705">
        <f>J81+J96</f>
        <v>9.4481005034703003</v>
      </c>
      <c r="K109" s="705" t="s">
        <v>212</v>
      </c>
      <c r="L109" s="705">
        <f>L81+L96</f>
        <v>-5.1196330230828835</v>
      </c>
      <c r="M109" s="705" t="s">
        <v>212</v>
      </c>
      <c r="N109" s="707">
        <f t="shared" si="2"/>
        <v>142.85786173178508</v>
      </c>
      <c r="O109" s="705">
        <f>O81+O96</f>
        <v>233.41015957810637</v>
      </c>
    </row>
    <row r="110" spans="1:15" s="665" customFormat="1" x14ac:dyDescent="0.2">
      <c r="A110" s="702" t="s">
        <v>2792</v>
      </c>
      <c r="B110" s="706" t="s">
        <v>2996</v>
      </c>
      <c r="C110" s="704" t="s">
        <v>2995</v>
      </c>
      <c r="D110" s="705" t="s">
        <v>212</v>
      </c>
      <c r="E110" s="705" t="s">
        <v>212</v>
      </c>
      <c r="F110" s="705" t="s">
        <v>212</v>
      </c>
      <c r="G110" s="705" t="s">
        <v>212</v>
      </c>
      <c r="H110" s="705" t="s">
        <v>212</v>
      </c>
      <c r="I110" s="705" t="s">
        <v>212</v>
      </c>
      <c r="J110" s="705" t="s">
        <v>212</v>
      </c>
      <c r="K110" s="705" t="s">
        <v>212</v>
      </c>
      <c r="L110" s="705" t="s">
        <v>212</v>
      </c>
      <c r="M110" s="705" t="s">
        <v>212</v>
      </c>
      <c r="N110" s="705" t="s">
        <v>212</v>
      </c>
      <c r="O110" s="705" t="s">
        <v>212</v>
      </c>
    </row>
    <row r="111" spans="1:15" s="665" customFormat="1" ht="31.5" x14ac:dyDescent="0.2">
      <c r="A111" s="702" t="s">
        <v>3099</v>
      </c>
      <c r="B111" s="715" t="s">
        <v>2997</v>
      </c>
      <c r="C111" s="704" t="s">
        <v>2995</v>
      </c>
      <c r="D111" s="705" t="s">
        <v>212</v>
      </c>
      <c r="E111" s="705" t="s">
        <v>212</v>
      </c>
      <c r="F111" s="705" t="s">
        <v>212</v>
      </c>
      <c r="G111" s="705" t="s">
        <v>212</v>
      </c>
      <c r="H111" s="705" t="s">
        <v>212</v>
      </c>
      <c r="I111" s="705" t="s">
        <v>212</v>
      </c>
      <c r="J111" s="705" t="s">
        <v>212</v>
      </c>
      <c r="K111" s="705" t="s">
        <v>212</v>
      </c>
      <c r="L111" s="705" t="s">
        <v>212</v>
      </c>
      <c r="M111" s="705" t="s">
        <v>212</v>
      </c>
      <c r="N111" s="705" t="s">
        <v>212</v>
      </c>
      <c r="O111" s="705" t="s">
        <v>212</v>
      </c>
    </row>
    <row r="112" spans="1:15" s="665" customFormat="1" ht="31.5" x14ac:dyDescent="0.2">
      <c r="A112" s="702" t="s">
        <v>3100</v>
      </c>
      <c r="B112" s="715" t="s">
        <v>2998</v>
      </c>
      <c r="C112" s="704" t="s">
        <v>2995</v>
      </c>
      <c r="D112" s="705" t="s">
        <v>212</v>
      </c>
      <c r="E112" s="705" t="s">
        <v>212</v>
      </c>
      <c r="F112" s="705" t="s">
        <v>212</v>
      </c>
      <c r="G112" s="705" t="s">
        <v>212</v>
      </c>
      <c r="H112" s="705" t="s">
        <v>212</v>
      </c>
      <c r="I112" s="705" t="s">
        <v>212</v>
      </c>
      <c r="J112" s="705" t="s">
        <v>212</v>
      </c>
      <c r="K112" s="705" t="s">
        <v>212</v>
      </c>
      <c r="L112" s="705" t="s">
        <v>212</v>
      </c>
      <c r="M112" s="705" t="s">
        <v>212</v>
      </c>
      <c r="N112" s="705" t="s">
        <v>212</v>
      </c>
      <c r="O112" s="705" t="s">
        <v>212</v>
      </c>
    </row>
    <row r="113" spans="1:15" s="665" customFormat="1" ht="31.5" x14ac:dyDescent="0.2">
      <c r="A113" s="702" t="s">
        <v>3101</v>
      </c>
      <c r="B113" s="715" t="s">
        <v>2999</v>
      </c>
      <c r="C113" s="704" t="s">
        <v>2995</v>
      </c>
      <c r="D113" s="705" t="s">
        <v>212</v>
      </c>
      <c r="E113" s="705" t="s">
        <v>212</v>
      </c>
      <c r="F113" s="705" t="s">
        <v>212</v>
      </c>
      <c r="G113" s="705" t="s">
        <v>212</v>
      </c>
      <c r="H113" s="705" t="s">
        <v>212</v>
      </c>
      <c r="I113" s="705" t="s">
        <v>212</v>
      </c>
      <c r="J113" s="705" t="s">
        <v>212</v>
      </c>
      <c r="K113" s="705" t="s">
        <v>212</v>
      </c>
      <c r="L113" s="705" t="s">
        <v>212</v>
      </c>
      <c r="M113" s="705" t="s">
        <v>212</v>
      </c>
      <c r="N113" s="705" t="s">
        <v>212</v>
      </c>
      <c r="O113" s="705" t="s">
        <v>212</v>
      </c>
    </row>
    <row r="114" spans="1:15" s="665" customFormat="1" x14ac:dyDescent="0.2">
      <c r="A114" s="702" t="s">
        <v>3102</v>
      </c>
      <c r="B114" s="703" t="s">
        <v>3000</v>
      </c>
      <c r="C114" s="704" t="s">
        <v>2995</v>
      </c>
      <c r="D114" s="705" t="s">
        <v>212</v>
      </c>
      <c r="E114" s="705" t="s">
        <v>212</v>
      </c>
      <c r="F114" s="705" t="s">
        <v>212</v>
      </c>
      <c r="G114" s="705" t="s">
        <v>212</v>
      </c>
      <c r="H114" s="705" t="s">
        <v>212</v>
      </c>
      <c r="I114" s="705" t="s">
        <v>212</v>
      </c>
      <c r="J114" s="705" t="s">
        <v>212</v>
      </c>
      <c r="K114" s="705" t="s">
        <v>212</v>
      </c>
      <c r="L114" s="705" t="s">
        <v>212</v>
      </c>
      <c r="M114" s="705" t="s">
        <v>212</v>
      </c>
      <c r="N114" s="705" t="s">
        <v>212</v>
      </c>
      <c r="O114" s="705" t="s">
        <v>212</v>
      </c>
    </row>
    <row r="115" spans="1:15" s="665" customFormat="1" x14ac:dyDescent="0.2">
      <c r="A115" s="702" t="s">
        <v>2794</v>
      </c>
      <c r="B115" s="703" t="s">
        <v>3001</v>
      </c>
      <c r="C115" s="704" t="s">
        <v>2995</v>
      </c>
      <c r="D115" s="705" t="s">
        <v>212</v>
      </c>
      <c r="E115" s="705" t="s">
        <v>212</v>
      </c>
      <c r="F115" s="705" t="s">
        <v>212</v>
      </c>
      <c r="G115" s="705" t="s">
        <v>212</v>
      </c>
      <c r="H115" s="705" t="s">
        <v>212</v>
      </c>
      <c r="I115" s="705" t="s">
        <v>212</v>
      </c>
      <c r="J115" s="705" t="s">
        <v>212</v>
      </c>
      <c r="K115" s="705" t="s">
        <v>212</v>
      </c>
      <c r="L115" s="705" t="s">
        <v>212</v>
      </c>
      <c r="M115" s="705" t="s">
        <v>212</v>
      </c>
      <c r="N115" s="705" t="s">
        <v>212</v>
      </c>
      <c r="O115" s="705" t="s">
        <v>212</v>
      </c>
    </row>
    <row r="116" spans="1:15" s="665" customFormat="1" x14ac:dyDescent="0.2">
      <c r="A116" s="702" t="s">
        <v>2796</v>
      </c>
      <c r="B116" s="703" t="s">
        <v>3002</v>
      </c>
      <c r="C116" s="704" t="s">
        <v>2995</v>
      </c>
      <c r="D116" s="705" t="s">
        <v>212</v>
      </c>
      <c r="E116" s="705" t="s">
        <v>212</v>
      </c>
      <c r="F116" s="705" t="s">
        <v>212</v>
      </c>
      <c r="G116" s="705" t="s">
        <v>212</v>
      </c>
      <c r="H116" s="705" t="s">
        <v>212</v>
      </c>
      <c r="I116" s="705" t="s">
        <v>212</v>
      </c>
      <c r="J116" s="705" t="s">
        <v>212</v>
      </c>
      <c r="K116" s="705" t="s">
        <v>212</v>
      </c>
      <c r="L116" s="705" t="s">
        <v>212</v>
      </c>
      <c r="M116" s="705" t="s">
        <v>212</v>
      </c>
      <c r="N116" s="705" t="s">
        <v>212</v>
      </c>
      <c r="O116" s="705" t="s">
        <v>212</v>
      </c>
    </row>
    <row r="117" spans="1:15" s="665" customFormat="1" x14ac:dyDescent="0.2">
      <c r="A117" s="702" t="s">
        <v>3103</v>
      </c>
      <c r="B117" s="703" t="s">
        <v>3003</v>
      </c>
      <c r="C117" s="704" t="s">
        <v>2995</v>
      </c>
      <c r="D117" s="705" t="s">
        <v>212</v>
      </c>
      <c r="E117" s="705" t="s">
        <v>212</v>
      </c>
      <c r="F117" s="705" t="s">
        <v>212</v>
      </c>
      <c r="G117" s="705" t="s">
        <v>212</v>
      </c>
      <c r="H117" s="705" t="s">
        <v>212</v>
      </c>
      <c r="I117" s="705" t="s">
        <v>212</v>
      </c>
      <c r="J117" s="705" t="s">
        <v>212</v>
      </c>
      <c r="K117" s="705" t="s">
        <v>212</v>
      </c>
      <c r="L117" s="705" t="s">
        <v>212</v>
      </c>
      <c r="M117" s="705" t="s">
        <v>212</v>
      </c>
      <c r="N117" s="705" t="s">
        <v>212</v>
      </c>
      <c r="O117" s="705" t="s">
        <v>212</v>
      </c>
    </row>
    <row r="118" spans="1:15" s="665" customFormat="1" x14ac:dyDescent="0.2">
      <c r="A118" s="702" t="s">
        <v>3104</v>
      </c>
      <c r="B118" s="703" t="s">
        <v>3005</v>
      </c>
      <c r="C118" s="704" t="s">
        <v>2995</v>
      </c>
      <c r="D118" s="705" t="s">
        <v>212</v>
      </c>
      <c r="E118" s="705" t="s">
        <v>212</v>
      </c>
      <c r="F118" s="705" t="s">
        <v>212</v>
      </c>
      <c r="G118" s="705" t="s">
        <v>212</v>
      </c>
      <c r="H118" s="705" t="s">
        <v>212</v>
      </c>
      <c r="I118" s="705" t="s">
        <v>212</v>
      </c>
      <c r="J118" s="705" t="s">
        <v>212</v>
      </c>
      <c r="K118" s="705" t="s">
        <v>212</v>
      </c>
      <c r="L118" s="705" t="s">
        <v>212</v>
      </c>
      <c r="M118" s="705" t="s">
        <v>212</v>
      </c>
      <c r="N118" s="705" t="s">
        <v>212</v>
      </c>
      <c r="O118" s="705" t="s">
        <v>212</v>
      </c>
    </row>
    <row r="119" spans="1:15" s="665" customFormat="1" x14ac:dyDescent="0.2">
      <c r="A119" s="702" t="s">
        <v>3105</v>
      </c>
      <c r="B119" s="703" t="s">
        <v>3007</v>
      </c>
      <c r="C119" s="704" t="s">
        <v>2995</v>
      </c>
      <c r="D119" s="705" t="s">
        <v>212</v>
      </c>
      <c r="E119" s="705" t="s">
        <v>212</v>
      </c>
      <c r="F119" s="705" t="s">
        <v>212</v>
      </c>
      <c r="G119" s="705" t="s">
        <v>212</v>
      </c>
      <c r="H119" s="705" t="s">
        <v>212</v>
      </c>
      <c r="I119" s="705" t="s">
        <v>212</v>
      </c>
      <c r="J119" s="705" t="s">
        <v>212</v>
      </c>
      <c r="K119" s="705" t="s">
        <v>212</v>
      </c>
      <c r="L119" s="705" t="s">
        <v>212</v>
      </c>
      <c r="M119" s="705" t="s">
        <v>212</v>
      </c>
      <c r="N119" s="705" t="s">
        <v>212</v>
      </c>
      <c r="O119" s="705" t="s">
        <v>212</v>
      </c>
    </row>
    <row r="120" spans="1:15" s="665" customFormat="1" ht="31.5" x14ac:dyDescent="0.2">
      <c r="A120" s="702" t="s">
        <v>3106</v>
      </c>
      <c r="B120" s="706" t="s">
        <v>3009</v>
      </c>
      <c r="C120" s="704" t="s">
        <v>2995</v>
      </c>
      <c r="D120" s="705" t="s">
        <v>212</v>
      </c>
      <c r="E120" s="705" t="s">
        <v>212</v>
      </c>
      <c r="F120" s="705" t="s">
        <v>212</v>
      </c>
      <c r="G120" s="705" t="s">
        <v>212</v>
      </c>
      <c r="H120" s="705" t="s">
        <v>212</v>
      </c>
      <c r="I120" s="705" t="s">
        <v>212</v>
      </c>
      <c r="J120" s="705" t="s">
        <v>212</v>
      </c>
      <c r="K120" s="705" t="s">
        <v>212</v>
      </c>
      <c r="L120" s="705" t="s">
        <v>212</v>
      </c>
      <c r="M120" s="705" t="s">
        <v>212</v>
      </c>
      <c r="N120" s="705" t="s">
        <v>212</v>
      </c>
      <c r="O120" s="705" t="s">
        <v>212</v>
      </c>
    </row>
    <row r="121" spans="1:15" s="665" customFormat="1" x14ac:dyDescent="0.2">
      <c r="A121" s="702" t="s">
        <v>3107</v>
      </c>
      <c r="B121" s="708" t="s">
        <v>3011</v>
      </c>
      <c r="C121" s="704" t="s">
        <v>2995</v>
      </c>
      <c r="D121" s="705" t="s">
        <v>212</v>
      </c>
      <c r="E121" s="705" t="s">
        <v>212</v>
      </c>
      <c r="F121" s="705" t="s">
        <v>212</v>
      </c>
      <c r="G121" s="705" t="s">
        <v>212</v>
      </c>
      <c r="H121" s="705" t="s">
        <v>212</v>
      </c>
      <c r="I121" s="705" t="s">
        <v>212</v>
      </c>
      <c r="J121" s="705" t="s">
        <v>212</v>
      </c>
      <c r="K121" s="705" t="s">
        <v>212</v>
      </c>
      <c r="L121" s="705" t="s">
        <v>212</v>
      </c>
      <c r="M121" s="705" t="s">
        <v>212</v>
      </c>
      <c r="N121" s="705" t="s">
        <v>212</v>
      </c>
      <c r="O121" s="705" t="s">
        <v>212</v>
      </c>
    </row>
    <row r="122" spans="1:15" s="665" customFormat="1" x14ac:dyDescent="0.2">
      <c r="A122" s="702" t="s">
        <v>3108</v>
      </c>
      <c r="B122" s="708" t="s">
        <v>3013</v>
      </c>
      <c r="C122" s="704" t="s">
        <v>2995</v>
      </c>
      <c r="D122" s="705" t="s">
        <v>212</v>
      </c>
      <c r="E122" s="705" t="s">
        <v>212</v>
      </c>
      <c r="F122" s="705" t="s">
        <v>212</v>
      </c>
      <c r="G122" s="705" t="s">
        <v>212</v>
      </c>
      <c r="H122" s="705" t="s">
        <v>212</v>
      </c>
      <c r="I122" s="705" t="s">
        <v>212</v>
      </c>
      <c r="J122" s="705" t="s">
        <v>212</v>
      </c>
      <c r="K122" s="705" t="s">
        <v>212</v>
      </c>
      <c r="L122" s="705" t="s">
        <v>212</v>
      </c>
      <c r="M122" s="705" t="s">
        <v>212</v>
      </c>
      <c r="N122" s="705" t="s">
        <v>212</v>
      </c>
      <c r="O122" s="705" t="s">
        <v>212</v>
      </c>
    </row>
    <row r="123" spans="1:15" s="665" customFormat="1" x14ac:dyDescent="0.2">
      <c r="A123" s="702" t="s">
        <v>3109</v>
      </c>
      <c r="B123" s="703" t="s">
        <v>3015</v>
      </c>
      <c r="C123" s="704" t="s">
        <v>2995</v>
      </c>
      <c r="D123" s="705" t="s">
        <v>212</v>
      </c>
      <c r="E123" s="705" t="s">
        <v>212</v>
      </c>
      <c r="F123" s="705" t="s">
        <v>212</v>
      </c>
      <c r="G123" s="705" t="s">
        <v>212</v>
      </c>
      <c r="H123" s="705" t="s">
        <v>212</v>
      </c>
      <c r="I123" s="705" t="s">
        <v>212</v>
      </c>
      <c r="J123" s="705" t="s">
        <v>212</v>
      </c>
      <c r="K123" s="705" t="s">
        <v>212</v>
      </c>
      <c r="L123" s="705" t="s">
        <v>212</v>
      </c>
      <c r="M123" s="705" t="s">
        <v>212</v>
      </c>
      <c r="N123" s="705" t="s">
        <v>212</v>
      </c>
      <c r="O123" s="705" t="s">
        <v>212</v>
      </c>
    </row>
    <row r="124" spans="1:15" s="665" customFormat="1" x14ac:dyDescent="0.2">
      <c r="A124" s="702" t="s">
        <v>2809</v>
      </c>
      <c r="B124" s="729" t="s">
        <v>3110</v>
      </c>
      <c r="C124" s="704" t="s">
        <v>2995</v>
      </c>
      <c r="D124" s="705">
        <f>31.625*1.031</f>
        <v>32.605374999999995</v>
      </c>
      <c r="E124" s="705">
        <f>58463.5969633818/1000</f>
        <v>58.463596963381804</v>
      </c>
      <c r="F124" s="705">
        <f>D124*1.038</f>
        <v>33.844379249999996</v>
      </c>
      <c r="G124" s="705" t="s">
        <v>212</v>
      </c>
      <c r="H124" s="705">
        <f>F124*1.038</f>
        <v>35.130465661499997</v>
      </c>
      <c r="I124" s="705" t="s">
        <v>212</v>
      </c>
      <c r="J124" s="705">
        <f>H124*1.039</f>
        <v>36.500553822298492</v>
      </c>
      <c r="K124" s="705" t="s">
        <v>212</v>
      </c>
      <c r="L124" s="705">
        <f>J124*1.039</f>
        <v>37.92407542136813</v>
      </c>
      <c r="M124" s="705" t="s">
        <v>212</v>
      </c>
      <c r="N124" s="707">
        <f>D124+F124+H124+J124+L124</f>
        <v>176.0048491551666</v>
      </c>
      <c r="O124" s="705">
        <f>58463.5969633818/1000</f>
        <v>58.463596963381804</v>
      </c>
    </row>
    <row r="125" spans="1:15" s="665" customFormat="1" x14ac:dyDescent="0.2">
      <c r="A125" s="702" t="s">
        <v>3111</v>
      </c>
      <c r="B125" s="703" t="s">
        <v>2996</v>
      </c>
      <c r="C125" s="704" t="s">
        <v>2995</v>
      </c>
      <c r="D125" s="705" t="s">
        <v>212</v>
      </c>
      <c r="E125" s="705" t="s">
        <v>212</v>
      </c>
      <c r="F125" s="705" t="s">
        <v>212</v>
      </c>
      <c r="G125" s="705" t="s">
        <v>212</v>
      </c>
      <c r="H125" s="705" t="s">
        <v>212</v>
      </c>
      <c r="I125" s="705" t="s">
        <v>212</v>
      </c>
      <c r="J125" s="705" t="s">
        <v>212</v>
      </c>
      <c r="K125" s="705" t="s">
        <v>212</v>
      </c>
      <c r="L125" s="705" t="s">
        <v>212</v>
      </c>
      <c r="M125" s="705" t="s">
        <v>212</v>
      </c>
      <c r="N125" s="705" t="s">
        <v>212</v>
      </c>
      <c r="O125" s="705" t="s">
        <v>212</v>
      </c>
    </row>
    <row r="126" spans="1:15" s="665" customFormat="1" ht="31.5" x14ac:dyDescent="0.2">
      <c r="A126" s="702" t="s">
        <v>3112</v>
      </c>
      <c r="B126" s="715" t="s">
        <v>2997</v>
      </c>
      <c r="C126" s="704" t="s">
        <v>2995</v>
      </c>
      <c r="D126" s="705" t="s">
        <v>212</v>
      </c>
      <c r="E126" s="705" t="s">
        <v>212</v>
      </c>
      <c r="F126" s="705" t="s">
        <v>212</v>
      </c>
      <c r="G126" s="705" t="s">
        <v>212</v>
      </c>
      <c r="H126" s="705" t="s">
        <v>212</v>
      </c>
      <c r="I126" s="705" t="s">
        <v>212</v>
      </c>
      <c r="J126" s="705" t="s">
        <v>212</v>
      </c>
      <c r="K126" s="705" t="s">
        <v>212</v>
      </c>
      <c r="L126" s="705" t="s">
        <v>212</v>
      </c>
      <c r="M126" s="705" t="s">
        <v>212</v>
      </c>
      <c r="N126" s="705" t="s">
        <v>212</v>
      </c>
      <c r="O126" s="705" t="s">
        <v>212</v>
      </c>
    </row>
    <row r="127" spans="1:15" s="665" customFormat="1" ht="31.5" x14ac:dyDescent="0.2">
      <c r="A127" s="702" t="s">
        <v>3113</v>
      </c>
      <c r="B127" s="715" t="s">
        <v>2998</v>
      </c>
      <c r="C127" s="704" t="s">
        <v>2995</v>
      </c>
      <c r="D127" s="705" t="s">
        <v>212</v>
      </c>
      <c r="E127" s="705" t="s">
        <v>212</v>
      </c>
      <c r="F127" s="705" t="s">
        <v>212</v>
      </c>
      <c r="G127" s="705" t="s">
        <v>212</v>
      </c>
      <c r="H127" s="705" t="s">
        <v>212</v>
      </c>
      <c r="I127" s="705" t="s">
        <v>212</v>
      </c>
      <c r="J127" s="705" t="s">
        <v>212</v>
      </c>
      <c r="K127" s="705" t="s">
        <v>212</v>
      </c>
      <c r="L127" s="705" t="s">
        <v>212</v>
      </c>
      <c r="M127" s="705" t="s">
        <v>212</v>
      </c>
      <c r="N127" s="705" t="s">
        <v>212</v>
      </c>
      <c r="O127" s="705" t="s">
        <v>212</v>
      </c>
    </row>
    <row r="128" spans="1:15" s="665" customFormat="1" ht="31.5" x14ac:dyDescent="0.2">
      <c r="A128" s="702" t="s">
        <v>3114</v>
      </c>
      <c r="B128" s="715" t="s">
        <v>2999</v>
      </c>
      <c r="C128" s="704" t="s">
        <v>2995</v>
      </c>
      <c r="D128" s="705" t="s">
        <v>212</v>
      </c>
      <c r="E128" s="705" t="s">
        <v>212</v>
      </c>
      <c r="F128" s="705" t="s">
        <v>212</v>
      </c>
      <c r="G128" s="705" t="s">
        <v>212</v>
      </c>
      <c r="H128" s="705" t="s">
        <v>212</v>
      </c>
      <c r="I128" s="705" t="s">
        <v>212</v>
      </c>
      <c r="J128" s="705" t="s">
        <v>212</v>
      </c>
      <c r="K128" s="705" t="s">
        <v>212</v>
      </c>
      <c r="L128" s="705" t="s">
        <v>212</v>
      </c>
      <c r="M128" s="705" t="s">
        <v>212</v>
      </c>
      <c r="N128" s="705" t="s">
        <v>212</v>
      </c>
      <c r="O128" s="705" t="s">
        <v>212</v>
      </c>
    </row>
    <row r="129" spans="1:15" s="665" customFormat="1" x14ac:dyDescent="0.2">
      <c r="A129" s="702" t="s">
        <v>3115</v>
      </c>
      <c r="B129" s="716" t="s">
        <v>3116</v>
      </c>
      <c r="C129" s="704" t="s">
        <v>2995</v>
      </c>
      <c r="D129" s="705" t="s">
        <v>212</v>
      </c>
      <c r="E129" s="705" t="s">
        <v>212</v>
      </c>
      <c r="F129" s="705" t="s">
        <v>212</v>
      </c>
      <c r="G129" s="705" t="s">
        <v>212</v>
      </c>
      <c r="H129" s="705" t="s">
        <v>212</v>
      </c>
      <c r="I129" s="705" t="s">
        <v>212</v>
      </c>
      <c r="J129" s="705" t="s">
        <v>212</v>
      </c>
      <c r="K129" s="705" t="s">
        <v>212</v>
      </c>
      <c r="L129" s="705" t="s">
        <v>212</v>
      </c>
      <c r="M129" s="705" t="s">
        <v>212</v>
      </c>
      <c r="N129" s="705" t="s">
        <v>212</v>
      </c>
      <c r="O129" s="705" t="s">
        <v>212</v>
      </c>
    </row>
    <row r="130" spans="1:15" s="665" customFormat="1" x14ac:dyDescent="0.2">
      <c r="A130" s="702" t="s">
        <v>3117</v>
      </c>
      <c r="B130" s="716" t="s">
        <v>3118</v>
      </c>
      <c r="C130" s="704" t="s">
        <v>2995</v>
      </c>
      <c r="D130" s="705" t="s">
        <v>212</v>
      </c>
      <c r="E130" s="705" t="s">
        <v>212</v>
      </c>
      <c r="F130" s="705" t="s">
        <v>212</v>
      </c>
      <c r="G130" s="705" t="s">
        <v>212</v>
      </c>
      <c r="H130" s="705" t="s">
        <v>212</v>
      </c>
      <c r="I130" s="705" t="s">
        <v>212</v>
      </c>
      <c r="J130" s="705" t="s">
        <v>212</v>
      </c>
      <c r="K130" s="705" t="s">
        <v>212</v>
      </c>
      <c r="L130" s="705" t="s">
        <v>212</v>
      </c>
      <c r="M130" s="705" t="s">
        <v>212</v>
      </c>
      <c r="N130" s="705" t="s">
        <v>212</v>
      </c>
      <c r="O130" s="705" t="s">
        <v>212</v>
      </c>
    </row>
    <row r="131" spans="1:15" s="665" customFormat="1" x14ac:dyDescent="0.2">
      <c r="A131" s="702" t="s">
        <v>3119</v>
      </c>
      <c r="B131" s="716" t="s">
        <v>3120</v>
      </c>
      <c r="C131" s="704" t="s">
        <v>2995</v>
      </c>
      <c r="D131" s="705" t="s">
        <v>212</v>
      </c>
      <c r="E131" s="705" t="s">
        <v>212</v>
      </c>
      <c r="F131" s="705" t="s">
        <v>212</v>
      </c>
      <c r="G131" s="705" t="s">
        <v>212</v>
      </c>
      <c r="H131" s="705" t="s">
        <v>212</v>
      </c>
      <c r="I131" s="705" t="s">
        <v>212</v>
      </c>
      <c r="J131" s="705" t="s">
        <v>212</v>
      </c>
      <c r="K131" s="705" t="s">
        <v>212</v>
      </c>
      <c r="L131" s="705" t="s">
        <v>212</v>
      </c>
      <c r="M131" s="705" t="s">
        <v>212</v>
      </c>
      <c r="N131" s="705" t="s">
        <v>212</v>
      </c>
      <c r="O131" s="705" t="s">
        <v>212</v>
      </c>
    </row>
    <row r="132" spans="1:15" s="665" customFormat="1" x14ac:dyDescent="0.2">
      <c r="A132" s="702" t="s">
        <v>3121</v>
      </c>
      <c r="B132" s="716" t="s">
        <v>3122</v>
      </c>
      <c r="C132" s="704" t="s">
        <v>2995</v>
      </c>
      <c r="D132" s="705" t="s">
        <v>212</v>
      </c>
      <c r="E132" s="705" t="s">
        <v>212</v>
      </c>
      <c r="F132" s="705" t="s">
        <v>212</v>
      </c>
      <c r="G132" s="705" t="s">
        <v>212</v>
      </c>
      <c r="H132" s="705" t="s">
        <v>212</v>
      </c>
      <c r="I132" s="705" t="s">
        <v>212</v>
      </c>
      <c r="J132" s="705" t="s">
        <v>212</v>
      </c>
      <c r="K132" s="705" t="s">
        <v>212</v>
      </c>
      <c r="L132" s="705" t="s">
        <v>212</v>
      </c>
      <c r="M132" s="705" t="s">
        <v>212</v>
      </c>
      <c r="N132" s="705" t="s">
        <v>212</v>
      </c>
      <c r="O132" s="705" t="s">
        <v>212</v>
      </c>
    </row>
    <row r="133" spans="1:15" s="665" customFormat="1" x14ac:dyDescent="0.2">
      <c r="A133" s="702" t="s">
        <v>3123</v>
      </c>
      <c r="B133" s="716" t="s">
        <v>3124</v>
      </c>
      <c r="C133" s="704" t="s">
        <v>2995</v>
      </c>
      <c r="D133" s="705" t="s">
        <v>212</v>
      </c>
      <c r="E133" s="705" t="s">
        <v>212</v>
      </c>
      <c r="F133" s="705" t="s">
        <v>212</v>
      </c>
      <c r="G133" s="705" t="s">
        <v>212</v>
      </c>
      <c r="H133" s="705" t="s">
        <v>212</v>
      </c>
      <c r="I133" s="705" t="s">
        <v>212</v>
      </c>
      <c r="J133" s="705" t="s">
        <v>212</v>
      </c>
      <c r="K133" s="705" t="s">
        <v>212</v>
      </c>
      <c r="L133" s="705" t="s">
        <v>212</v>
      </c>
      <c r="M133" s="705" t="s">
        <v>212</v>
      </c>
      <c r="N133" s="705" t="s">
        <v>212</v>
      </c>
      <c r="O133" s="705" t="s">
        <v>212</v>
      </c>
    </row>
    <row r="134" spans="1:15" s="665" customFormat="1" x14ac:dyDescent="0.2">
      <c r="A134" s="702" t="s">
        <v>3125</v>
      </c>
      <c r="B134" s="716" t="s">
        <v>3126</v>
      </c>
      <c r="C134" s="704" t="s">
        <v>2995</v>
      </c>
      <c r="D134" s="705" t="s">
        <v>212</v>
      </c>
      <c r="E134" s="705" t="s">
        <v>212</v>
      </c>
      <c r="F134" s="705" t="s">
        <v>212</v>
      </c>
      <c r="G134" s="705" t="s">
        <v>212</v>
      </c>
      <c r="H134" s="705" t="s">
        <v>212</v>
      </c>
      <c r="I134" s="705" t="s">
        <v>212</v>
      </c>
      <c r="J134" s="705" t="s">
        <v>212</v>
      </c>
      <c r="K134" s="705" t="s">
        <v>212</v>
      </c>
      <c r="L134" s="705" t="s">
        <v>212</v>
      </c>
      <c r="M134" s="705" t="s">
        <v>212</v>
      </c>
      <c r="N134" s="705" t="s">
        <v>212</v>
      </c>
      <c r="O134" s="705" t="s">
        <v>212</v>
      </c>
    </row>
    <row r="135" spans="1:15" s="665" customFormat="1" ht="31.5" x14ac:dyDescent="0.2">
      <c r="A135" s="702" t="s">
        <v>3127</v>
      </c>
      <c r="B135" s="716" t="s">
        <v>3009</v>
      </c>
      <c r="C135" s="704" t="s">
        <v>2995</v>
      </c>
      <c r="D135" s="705" t="s">
        <v>212</v>
      </c>
      <c r="E135" s="705" t="s">
        <v>212</v>
      </c>
      <c r="F135" s="705" t="s">
        <v>212</v>
      </c>
      <c r="G135" s="705" t="s">
        <v>212</v>
      </c>
      <c r="H135" s="705" t="s">
        <v>212</v>
      </c>
      <c r="I135" s="705" t="s">
        <v>212</v>
      </c>
      <c r="J135" s="705" t="s">
        <v>212</v>
      </c>
      <c r="K135" s="705" t="s">
        <v>212</v>
      </c>
      <c r="L135" s="705" t="s">
        <v>212</v>
      </c>
      <c r="M135" s="705" t="s">
        <v>212</v>
      </c>
      <c r="N135" s="705" t="s">
        <v>212</v>
      </c>
      <c r="O135" s="705" t="s">
        <v>212</v>
      </c>
    </row>
    <row r="136" spans="1:15" s="665" customFormat="1" x14ac:dyDescent="0.2">
      <c r="A136" s="702" t="s">
        <v>3128</v>
      </c>
      <c r="B136" s="708" t="s">
        <v>3129</v>
      </c>
      <c r="C136" s="704" t="s">
        <v>2995</v>
      </c>
      <c r="D136" s="705" t="s">
        <v>212</v>
      </c>
      <c r="E136" s="705" t="s">
        <v>212</v>
      </c>
      <c r="F136" s="705" t="s">
        <v>212</v>
      </c>
      <c r="G136" s="705" t="s">
        <v>212</v>
      </c>
      <c r="H136" s="705" t="s">
        <v>212</v>
      </c>
      <c r="I136" s="705" t="s">
        <v>212</v>
      </c>
      <c r="J136" s="705" t="s">
        <v>212</v>
      </c>
      <c r="K136" s="705" t="s">
        <v>212</v>
      </c>
      <c r="L136" s="705" t="s">
        <v>212</v>
      </c>
      <c r="M136" s="705" t="s">
        <v>212</v>
      </c>
      <c r="N136" s="705" t="s">
        <v>212</v>
      </c>
      <c r="O136" s="705" t="s">
        <v>212</v>
      </c>
    </row>
    <row r="137" spans="1:15" s="665" customFormat="1" x14ac:dyDescent="0.2">
      <c r="A137" s="702" t="s">
        <v>3130</v>
      </c>
      <c r="B137" s="708" t="s">
        <v>3013</v>
      </c>
      <c r="C137" s="704" t="s">
        <v>2995</v>
      </c>
      <c r="D137" s="705" t="s">
        <v>212</v>
      </c>
      <c r="E137" s="705" t="s">
        <v>212</v>
      </c>
      <c r="F137" s="705" t="s">
        <v>212</v>
      </c>
      <c r="G137" s="705" t="s">
        <v>212</v>
      </c>
      <c r="H137" s="705" t="s">
        <v>212</v>
      </c>
      <c r="I137" s="705" t="s">
        <v>212</v>
      </c>
      <c r="J137" s="705" t="s">
        <v>212</v>
      </c>
      <c r="K137" s="705" t="s">
        <v>212</v>
      </c>
      <c r="L137" s="705" t="s">
        <v>212</v>
      </c>
      <c r="M137" s="705" t="s">
        <v>212</v>
      </c>
      <c r="N137" s="705" t="s">
        <v>212</v>
      </c>
      <c r="O137" s="705" t="s">
        <v>212</v>
      </c>
    </row>
    <row r="138" spans="1:15" s="665" customFormat="1" x14ac:dyDescent="0.2">
      <c r="A138" s="702" t="s">
        <v>3131</v>
      </c>
      <c r="B138" s="716" t="s">
        <v>3132</v>
      </c>
      <c r="C138" s="704" t="s">
        <v>2995</v>
      </c>
      <c r="D138" s="705" t="s">
        <v>212</v>
      </c>
      <c r="E138" s="705" t="s">
        <v>212</v>
      </c>
      <c r="F138" s="705" t="s">
        <v>212</v>
      </c>
      <c r="G138" s="705" t="s">
        <v>212</v>
      </c>
      <c r="H138" s="705" t="s">
        <v>212</v>
      </c>
      <c r="I138" s="705" t="s">
        <v>212</v>
      </c>
      <c r="J138" s="705" t="s">
        <v>212</v>
      </c>
      <c r="K138" s="705" t="s">
        <v>212</v>
      </c>
      <c r="L138" s="705" t="s">
        <v>212</v>
      </c>
      <c r="M138" s="705" t="s">
        <v>212</v>
      </c>
      <c r="N138" s="705" t="s">
        <v>212</v>
      </c>
      <c r="O138" s="705" t="s">
        <v>212</v>
      </c>
    </row>
    <row r="139" spans="1:15" s="665" customFormat="1" x14ac:dyDescent="0.2">
      <c r="A139" s="702" t="s">
        <v>2811</v>
      </c>
      <c r="B139" s="729" t="s">
        <v>3133</v>
      </c>
      <c r="C139" s="704" t="s">
        <v>2995</v>
      </c>
      <c r="D139" s="705">
        <f>41.786*1.031</f>
        <v>43.081365999999996</v>
      </c>
      <c r="E139" s="705">
        <f>E109-E124</f>
        <v>174.94656261472457</v>
      </c>
      <c r="F139" s="705">
        <f>D139*1.038</f>
        <v>44.718457907999998</v>
      </c>
      <c r="G139" s="705" t="s">
        <v>212</v>
      </c>
      <c r="H139" s="705">
        <f>F139*1.038</f>
        <v>46.417759308503996</v>
      </c>
      <c r="I139" s="705" t="s">
        <v>212</v>
      </c>
      <c r="J139" s="705">
        <f>H139*1.039</f>
        <v>48.228051921535645</v>
      </c>
      <c r="K139" s="705" t="s">
        <v>212</v>
      </c>
      <c r="L139" s="705">
        <f>J139*1.039</f>
        <v>50.108945946475529</v>
      </c>
      <c r="M139" s="705" t="s">
        <v>212</v>
      </c>
      <c r="N139" s="707">
        <f>D139+F139+H139+J139+L139</f>
        <v>232.55458108451515</v>
      </c>
      <c r="O139" s="705">
        <f>O109-O124</f>
        <v>174.94656261472457</v>
      </c>
    </row>
    <row r="140" spans="1:15" s="665" customFormat="1" x14ac:dyDescent="0.2">
      <c r="A140" s="702" t="s">
        <v>3134</v>
      </c>
      <c r="B140" s="703" t="s">
        <v>2996</v>
      </c>
      <c r="C140" s="704" t="s">
        <v>2995</v>
      </c>
      <c r="D140" s="705" t="s">
        <v>212</v>
      </c>
      <c r="E140" s="705" t="s">
        <v>212</v>
      </c>
      <c r="F140" s="705" t="s">
        <v>212</v>
      </c>
      <c r="G140" s="705" t="s">
        <v>212</v>
      </c>
      <c r="H140" s="705" t="s">
        <v>212</v>
      </c>
      <c r="I140" s="705" t="s">
        <v>212</v>
      </c>
      <c r="J140" s="705" t="s">
        <v>212</v>
      </c>
      <c r="K140" s="705" t="s">
        <v>212</v>
      </c>
      <c r="L140" s="705" t="s">
        <v>212</v>
      </c>
      <c r="M140" s="705" t="s">
        <v>212</v>
      </c>
      <c r="N140" s="705" t="s">
        <v>212</v>
      </c>
      <c r="O140" s="705" t="s">
        <v>212</v>
      </c>
    </row>
    <row r="141" spans="1:15" s="665" customFormat="1" ht="31.5" x14ac:dyDescent="0.2">
      <c r="A141" s="702" t="s">
        <v>3135</v>
      </c>
      <c r="B141" s="715" t="s">
        <v>2997</v>
      </c>
      <c r="C141" s="704" t="s">
        <v>2995</v>
      </c>
      <c r="D141" s="705" t="s">
        <v>212</v>
      </c>
      <c r="E141" s="705" t="s">
        <v>212</v>
      </c>
      <c r="F141" s="705" t="s">
        <v>212</v>
      </c>
      <c r="G141" s="705" t="s">
        <v>212</v>
      </c>
      <c r="H141" s="705" t="s">
        <v>212</v>
      </c>
      <c r="I141" s="705" t="s">
        <v>212</v>
      </c>
      <c r="J141" s="705" t="s">
        <v>212</v>
      </c>
      <c r="K141" s="705" t="s">
        <v>212</v>
      </c>
      <c r="L141" s="705" t="s">
        <v>212</v>
      </c>
      <c r="M141" s="705" t="s">
        <v>212</v>
      </c>
      <c r="N141" s="705" t="s">
        <v>212</v>
      </c>
      <c r="O141" s="705" t="s">
        <v>212</v>
      </c>
    </row>
    <row r="142" spans="1:15" s="665" customFormat="1" ht="31.5" x14ac:dyDescent="0.2">
      <c r="A142" s="702" t="s">
        <v>3136</v>
      </c>
      <c r="B142" s="715" t="s">
        <v>2998</v>
      </c>
      <c r="C142" s="704" t="s">
        <v>2995</v>
      </c>
      <c r="D142" s="705" t="s">
        <v>212</v>
      </c>
      <c r="E142" s="705" t="s">
        <v>212</v>
      </c>
      <c r="F142" s="705" t="s">
        <v>212</v>
      </c>
      <c r="G142" s="705" t="s">
        <v>212</v>
      </c>
      <c r="H142" s="705" t="s">
        <v>212</v>
      </c>
      <c r="I142" s="705" t="s">
        <v>212</v>
      </c>
      <c r="J142" s="705" t="s">
        <v>212</v>
      </c>
      <c r="K142" s="705" t="s">
        <v>212</v>
      </c>
      <c r="L142" s="705" t="s">
        <v>212</v>
      </c>
      <c r="M142" s="705" t="s">
        <v>212</v>
      </c>
      <c r="N142" s="705" t="s">
        <v>212</v>
      </c>
      <c r="O142" s="705" t="s">
        <v>212</v>
      </c>
    </row>
    <row r="143" spans="1:15" s="665" customFormat="1" ht="31.5" x14ac:dyDescent="0.2">
      <c r="A143" s="702" t="s">
        <v>3137</v>
      </c>
      <c r="B143" s="715" t="s">
        <v>2999</v>
      </c>
      <c r="C143" s="704" t="s">
        <v>2995</v>
      </c>
      <c r="D143" s="705" t="s">
        <v>212</v>
      </c>
      <c r="E143" s="705" t="s">
        <v>212</v>
      </c>
      <c r="F143" s="705" t="s">
        <v>212</v>
      </c>
      <c r="G143" s="705" t="s">
        <v>212</v>
      </c>
      <c r="H143" s="705" t="s">
        <v>212</v>
      </c>
      <c r="I143" s="705" t="s">
        <v>212</v>
      </c>
      <c r="J143" s="705" t="s">
        <v>212</v>
      </c>
      <c r="K143" s="705" t="s">
        <v>212</v>
      </c>
      <c r="L143" s="705" t="s">
        <v>212</v>
      </c>
      <c r="M143" s="705" t="s">
        <v>212</v>
      </c>
      <c r="N143" s="705" t="s">
        <v>212</v>
      </c>
      <c r="O143" s="705" t="s">
        <v>212</v>
      </c>
    </row>
    <row r="144" spans="1:15" s="665" customFormat="1" x14ac:dyDescent="0.2">
      <c r="A144" s="702" t="s">
        <v>3138</v>
      </c>
      <c r="B144" s="703" t="s">
        <v>3000</v>
      </c>
      <c r="C144" s="704" t="s">
        <v>2995</v>
      </c>
      <c r="D144" s="705" t="s">
        <v>212</v>
      </c>
      <c r="E144" s="705" t="s">
        <v>212</v>
      </c>
      <c r="F144" s="705" t="s">
        <v>212</v>
      </c>
      <c r="G144" s="705" t="s">
        <v>212</v>
      </c>
      <c r="H144" s="705" t="s">
        <v>212</v>
      </c>
      <c r="I144" s="705" t="s">
        <v>212</v>
      </c>
      <c r="J144" s="705" t="s">
        <v>212</v>
      </c>
      <c r="K144" s="705" t="s">
        <v>212</v>
      </c>
      <c r="L144" s="705" t="s">
        <v>212</v>
      </c>
      <c r="M144" s="705" t="s">
        <v>212</v>
      </c>
      <c r="N144" s="705" t="s">
        <v>212</v>
      </c>
      <c r="O144" s="705" t="s">
        <v>212</v>
      </c>
    </row>
    <row r="145" spans="1:15" s="665" customFormat="1" x14ac:dyDescent="0.2">
      <c r="A145" s="702" t="s">
        <v>3139</v>
      </c>
      <c r="B145" s="703" t="s">
        <v>3001</v>
      </c>
      <c r="C145" s="704" t="s">
        <v>2995</v>
      </c>
      <c r="D145" s="705" t="s">
        <v>212</v>
      </c>
      <c r="E145" s="705" t="s">
        <v>212</v>
      </c>
      <c r="F145" s="705" t="s">
        <v>212</v>
      </c>
      <c r="G145" s="705" t="s">
        <v>212</v>
      </c>
      <c r="H145" s="705" t="s">
        <v>212</v>
      </c>
      <c r="I145" s="705" t="s">
        <v>212</v>
      </c>
      <c r="J145" s="705" t="s">
        <v>212</v>
      </c>
      <c r="K145" s="705" t="s">
        <v>212</v>
      </c>
      <c r="L145" s="705" t="s">
        <v>212</v>
      </c>
      <c r="M145" s="705" t="s">
        <v>212</v>
      </c>
      <c r="N145" s="705" t="s">
        <v>212</v>
      </c>
      <c r="O145" s="705" t="s">
        <v>212</v>
      </c>
    </row>
    <row r="146" spans="1:15" s="665" customFormat="1" x14ac:dyDescent="0.2">
      <c r="A146" s="702" t="s">
        <v>3140</v>
      </c>
      <c r="B146" s="703" t="s">
        <v>3002</v>
      </c>
      <c r="C146" s="704" t="s">
        <v>2995</v>
      </c>
      <c r="D146" s="705" t="s">
        <v>212</v>
      </c>
      <c r="E146" s="705" t="s">
        <v>212</v>
      </c>
      <c r="F146" s="705" t="s">
        <v>212</v>
      </c>
      <c r="G146" s="705" t="s">
        <v>212</v>
      </c>
      <c r="H146" s="705" t="s">
        <v>212</v>
      </c>
      <c r="I146" s="705" t="s">
        <v>212</v>
      </c>
      <c r="J146" s="705" t="s">
        <v>212</v>
      </c>
      <c r="K146" s="705" t="s">
        <v>212</v>
      </c>
      <c r="L146" s="705" t="s">
        <v>212</v>
      </c>
      <c r="M146" s="705" t="s">
        <v>212</v>
      </c>
      <c r="N146" s="705" t="s">
        <v>212</v>
      </c>
      <c r="O146" s="705" t="s">
        <v>212</v>
      </c>
    </row>
    <row r="147" spans="1:15" s="665" customFormat="1" x14ac:dyDescent="0.2">
      <c r="A147" s="702" t="s">
        <v>3141</v>
      </c>
      <c r="B147" s="706" t="s">
        <v>3003</v>
      </c>
      <c r="C147" s="704" t="s">
        <v>2995</v>
      </c>
      <c r="D147" s="705" t="s">
        <v>212</v>
      </c>
      <c r="E147" s="705" t="s">
        <v>212</v>
      </c>
      <c r="F147" s="705" t="s">
        <v>212</v>
      </c>
      <c r="G147" s="705" t="s">
        <v>212</v>
      </c>
      <c r="H147" s="705" t="s">
        <v>212</v>
      </c>
      <c r="I147" s="705" t="s">
        <v>212</v>
      </c>
      <c r="J147" s="705" t="s">
        <v>212</v>
      </c>
      <c r="K147" s="705" t="s">
        <v>212</v>
      </c>
      <c r="L147" s="705" t="s">
        <v>212</v>
      </c>
      <c r="M147" s="705" t="s">
        <v>212</v>
      </c>
      <c r="N147" s="705" t="s">
        <v>212</v>
      </c>
      <c r="O147" s="705" t="s">
        <v>212</v>
      </c>
    </row>
    <row r="148" spans="1:15" s="665" customFormat="1" x14ac:dyDescent="0.2">
      <c r="A148" s="702" t="s">
        <v>3142</v>
      </c>
      <c r="B148" s="703" t="s">
        <v>3005</v>
      </c>
      <c r="C148" s="704" t="s">
        <v>2995</v>
      </c>
      <c r="D148" s="705" t="s">
        <v>212</v>
      </c>
      <c r="E148" s="705" t="s">
        <v>212</v>
      </c>
      <c r="F148" s="705" t="s">
        <v>212</v>
      </c>
      <c r="G148" s="705" t="s">
        <v>212</v>
      </c>
      <c r="H148" s="705" t="s">
        <v>212</v>
      </c>
      <c r="I148" s="705" t="s">
        <v>212</v>
      </c>
      <c r="J148" s="705" t="s">
        <v>212</v>
      </c>
      <c r="K148" s="705" t="s">
        <v>212</v>
      </c>
      <c r="L148" s="705" t="s">
        <v>212</v>
      </c>
      <c r="M148" s="705" t="s">
        <v>212</v>
      </c>
      <c r="N148" s="705" t="s">
        <v>212</v>
      </c>
      <c r="O148" s="705" t="s">
        <v>212</v>
      </c>
    </row>
    <row r="149" spans="1:15" s="665" customFormat="1" x14ac:dyDescent="0.2">
      <c r="A149" s="702" t="s">
        <v>3143</v>
      </c>
      <c r="B149" s="703" t="s">
        <v>3007</v>
      </c>
      <c r="C149" s="704" t="s">
        <v>2995</v>
      </c>
      <c r="D149" s="705" t="s">
        <v>212</v>
      </c>
      <c r="E149" s="705" t="s">
        <v>212</v>
      </c>
      <c r="F149" s="705" t="s">
        <v>212</v>
      </c>
      <c r="G149" s="705" t="s">
        <v>212</v>
      </c>
      <c r="H149" s="705" t="s">
        <v>212</v>
      </c>
      <c r="I149" s="705" t="s">
        <v>212</v>
      </c>
      <c r="J149" s="705" t="s">
        <v>212</v>
      </c>
      <c r="K149" s="705" t="s">
        <v>212</v>
      </c>
      <c r="L149" s="705" t="s">
        <v>212</v>
      </c>
      <c r="M149" s="705" t="s">
        <v>212</v>
      </c>
      <c r="N149" s="705" t="s">
        <v>212</v>
      </c>
      <c r="O149" s="705" t="s">
        <v>212</v>
      </c>
    </row>
    <row r="150" spans="1:15" s="665" customFormat="1" ht="31.5" x14ac:dyDescent="0.2">
      <c r="A150" s="702" t="s">
        <v>3144</v>
      </c>
      <c r="B150" s="706" t="s">
        <v>3009</v>
      </c>
      <c r="C150" s="704" t="s">
        <v>2995</v>
      </c>
      <c r="D150" s="705" t="s">
        <v>212</v>
      </c>
      <c r="E150" s="705" t="s">
        <v>212</v>
      </c>
      <c r="F150" s="705" t="s">
        <v>212</v>
      </c>
      <c r="G150" s="705" t="s">
        <v>212</v>
      </c>
      <c r="H150" s="705" t="s">
        <v>212</v>
      </c>
      <c r="I150" s="705" t="s">
        <v>212</v>
      </c>
      <c r="J150" s="705" t="s">
        <v>212</v>
      </c>
      <c r="K150" s="705" t="s">
        <v>212</v>
      </c>
      <c r="L150" s="705" t="s">
        <v>212</v>
      </c>
      <c r="M150" s="705" t="s">
        <v>212</v>
      </c>
      <c r="N150" s="705" t="s">
        <v>212</v>
      </c>
      <c r="O150" s="705" t="s">
        <v>212</v>
      </c>
    </row>
    <row r="151" spans="1:15" s="665" customFormat="1" x14ac:dyDescent="0.2">
      <c r="A151" s="702" t="s">
        <v>3145</v>
      </c>
      <c r="B151" s="708" t="s">
        <v>3011</v>
      </c>
      <c r="C151" s="704" t="s">
        <v>2995</v>
      </c>
      <c r="D151" s="705" t="s">
        <v>212</v>
      </c>
      <c r="E151" s="705" t="s">
        <v>212</v>
      </c>
      <c r="F151" s="705" t="s">
        <v>212</v>
      </c>
      <c r="G151" s="705" t="s">
        <v>212</v>
      </c>
      <c r="H151" s="705" t="s">
        <v>212</v>
      </c>
      <c r="I151" s="705" t="s">
        <v>212</v>
      </c>
      <c r="J151" s="705" t="s">
        <v>212</v>
      </c>
      <c r="K151" s="705" t="s">
        <v>212</v>
      </c>
      <c r="L151" s="705" t="s">
        <v>212</v>
      </c>
      <c r="M151" s="705" t="s">
        <v>212</v>
      </c>
      <c r="N151" s="705" t="s">
        <v>212</v>
      </c>
      <c r="O151" s="705" t="s">
        <v>212</v>
      </c>
    </row>
    <row r="152" spans="1:15" s="665" customFormat="1" x14ac:dyDescent="0.2">
      <c r="A152" s="702" t="s">
        <v>3146</v>
      </c>
      <c r="B152" s="708" t="s">
        <v>3013</v>
      </c>
      <c r="C152" s="704" t="s">
        <v>2995</v>
      </c>
      <c r="D152" s="705" t="s">
        <v>212</v>
      </c>
      <c r="E152" s="705" t="s">
        <v>212</v>
      </c>
      <c r="F152" s="705" t="s">
        <v>212</v>
      </c>
      <c r="G152" s="705" t="s">
        <v>212</v>
      </c>
      <c r="H152" s="705" t="s">
        <v>212</v>
      </c>
      <c r="I152" s="705" t="s">
        <v>212</v>
      </c>
      <c r="J152" s="705" t="s">
        <v>212</v>
      </c>
      <c r="K152" s="705" t="s">
        <v>212</v>
      </c>
      <c r="L152" s="705" t="s">
        <v>212</v>
      </c>
      <c r="M152" s="705" t="s">
        <v>212</v>
      </c>
      <c r="N152" s="705" t="s">
        <v>212</v>
      </c>
      <c r="O152" s="705" t="s">
        <v>212</v>
      </c>
    </row>
    <row r="153" spans="1:15" s="665" customFormat="1" x14ac:dyDescent="0.2">
      <c r="A153" s="702" t="s">
        <v>3147</v>
      </c>
      <c r="B153" s="703" t="s">
        <v>3015</v>
      </c>
      <c r="C153" s="704" t="s">
        <v>2995</v>
      </c>
      <c r="D153" s="705" t="s">
        <v>212</v>
      </c>
      <c r="E153" s="705" t="s">
        <v>212</v>
      </c>
      <c r="F153" s="705" t="s">
        <v>212</v>
      </c>
      <c r="G153" s="705" t="s">
        <v>212</v>
      </c>
      <c r="H153" s="705" t="s">
        <v>212</v>
      </c>
      <c r="I153" s="705" t="s">
        <v>212</v>
      </c>
      <c r="J153" s="705" t="s">
        <v>212</v>
      </c>
      <c r="K153" s="705" t="s">
        <v>212</v>
      </c>
      <c r="L153" s="705" t="s">
        <v>212</v>
      </c>
      <c r="M153" s="705" t="s">
        <v>212</v>
      </c>
      <c r="N153" s="705" t="s">
        <v>212</v>
      </c>
      <c r="O153" s="705" t="s">
        <v>212</v>
      </c>
    </row>
    <row r="154" spans="1:15" s="665" customFormat="1" x14ac:dyDescent="0.2">
      <c r="A154" s="702" t="s">
        <v>2813</v>
      </c>
      <c r="B154" s="729" t="s">
        <v>2814</v>
      </c>
      <c r="C154" s="704" t="s">
        <v>2995</v>
      </c>
      <c r="D154" s="705" t="s">
        <v>212</v>
      </c>
      <c r="E154" s="705" t="s">
        <v>212</v>
      </c>
      <c r="F154" s="705" t="s">
        <v>212</v>
      </c>
      <c r="G154" s="705" t="s">
        <v>212</v>
      </c>
      <c r="H154" s="705" t="s">
        <v>212</v>
      </c>
      <c r="I154" s="705" t="s">
        <v>212</v>
      </c>
      <c r="J154" s="705" t="s">
        <v>212</v>
      </c>
      <c r="K154" s="705" t="s">
        <v>212</v>
      </c>
      <c r="L154" s="705" t="s">
        <v>212</v>
      </c>
      <c r="M154" s="705" t="s">
        <v>212</v>
      </c>
      <c r="N154" s="705" t="s">
        <v>212</v>
      </c>
      <c r="O154" s="705" t="s">
        <v>212</v>
      </c>
    </row>
    <row r="155" spans="1:15" s="665" customFormat="1" x14ac:dyDescent="0.2">
      <c r="A155" s="702" t="s">
        <v>3148</v>
      </c>
      <c r="B155" s="716" t="s">
        <v>3149</v>
      </c>
      <c r="C155" s="704" t="s">
        <v>2995</v>
      </c>
      <c r="D155" s="705" t="s">
        <v>212</v>
      </c>
      <c r="E155" s="705" t="s">
        <v>212</v>
      </c>
      <c r="F155" s="705" t="s">
        <v>212</v>
      </c>
      <c r="G155" s="705" t="s">
        <v>212</v>
      </c>
      <c r="H155" s="705" t="s">
        <v>212</v>
      </c>
      <c r="I155" s="705" t="s">
        <v>212</v>
      </c>
      <c r="J155" s="705" t="s">
        <v>212</v>
      </c>
      <c r="K155" s="705" t="s">
        <v>212</v>
      </c>
      <c r="L155" s="705" t="s">
        <v>212</v>
      </c>
      <c r="M155" s="705" t="s">
        <v>212</v>
      </c>
      <c r="N155" s="705" t="s">
        <v>212</v>
      </c>
      <c r="O155" s="705" t="s">
        <v>212</v>
      </c>
    </row>
    <row r="156" spans="1:15" s="665" customFormat="1" x14ac:dyDescent="0.2">
      <c r="A156" s="702" t="s">
        <v>3150</v>
      </c>
      <c r="B156" s="716" t="s">
        <v>2816</v>
      </c>
      <c r="C156" s="704" t="s">
        <v>2995</v>
      </c>
      <c r="D156" s="705" t="s">
        <v>212</v>
      </c>
      <c r="E156" s="705" t="s">
        <v>212</v>
      </c>
      <c r="F156" s="705" t="s">
        <v>212</v>
      </c>
      <c r="G156" s="705" t="s">
        <v>212</v>
      </c>
      <c r="H156" s="705" t="s">
        <v>212</v>
      </c>
      <c r="I156" s="705" t="s">
        <v>212</v>
      </c>
      <c r="J156" s="705" t="s">
        <v>212</v>
      </c>
      <c r="K156" s="705" t="s">
        <v>212</v>
      </c>
      <c r="L156" s="705" t="s">
        <v>212</v>
      </c>
      <c r="M156" s="705" t="s">
        <v>212</v>
      </c>
      <c r="N156" s="705" t="s">
        <v>212</v>
      </c>
      <c r="O156" s="705" t="s">
        <v>212</v>
      </c>
    </row>
    <row r="157" spans="1:15" s="665" customFormat="1" x14ac:dyDescent="0.2">
      <c r="A157" s="702" t="s">
        <v>3151</v>
      </c>
      <c r="B157" s="716" t="s">
        <v>2817</v>
      </c>
      <c r="C157" s="704" t="s">
        <v>2995</v>
      </c>
      <c r="D157" s="705" t="s">
        <v>212</v>
      </c>
      <c r="E157" s="705" t="s">
        <v>212</v>
      </c>
      <c r="F157" s="705" t="s">
        <v>212</v>
      </c>
      <c r="G157" s="705" t="s">
        <v>212</v>
      </c>
      <c r="H157" s="705" t="s">
        <v>212</v>
      </c>
      <c r="I157" s="705" t="s">
        <v>212</v>
      </c>
      <c r="J157" s="705" t="s">
        <v>212</v>
      </c>
      <c r="K157" s="705" t="s">
        <v>212</v>
      </c>
      <c r="L157" s="705" t="s">
        <v>212</v>
      </c>
      <c r="M157" s="705" t="s">
        <v>212</v>
      </c>
      <c r="N157" s="705" t="s">
        <v>212</v>
      </c>
      <c r="O157" s="705" t="s">
        <v>212</v>
      </c>
    </row>
    <row r="158" spans="1:15" s="665" customFormat="1" ht="18" customHeight="1" thickBot="1" x14ac:dyDescent="0.25">
      <c r="A158" s="723" t="s">
        <v>3152</v>
      </c>
      <c r="B158" s="730" t="s">
        <v>3153</v>
      </c>
      <c r="C158" s="725" t="s">
        <v>2995</v>
      </c>
      <c r="D158" s="726" t="s">
        <v>212</v>
      </c>
      <c r="E158" s="726" t="s">
        <v>212</v>
      </c>
      <c r="F158" s="726" t="s">
        <v>212</v>
      </c>
      <c r="G158" s="726" t="s">
        <v>212</v>
      </c>
      <c r="H158" s="726" t="s">
        <v>212</v>
      </c>
      <c r="I158" s="726" t="s">
        <v>212</v>
      </c>
      <c r="J158" s="726" t="s">
        <v>212</v>
      </c>
      <c r="K158" s="726" t="s">
        <v>212</v>
      </c>
      <c r="L158" s="726" t="s">
        <v>212</v>
      </c>
      <c r="M158" s="726" t="s">
        <v>212</v>
      </c>
      <c r="N158" s="726" t="s">
        <v>212</v>
      </c>
      <c r="O158" s="726" t="s">
        <v>212</v>
      </c>
    </row>
    <row r="159" spans="1:15" s="665" customFormat="1" ht="18" customHeight="1" x14ac:dyDescent="0.2">
      <c r="A159" s="697" t="s">
        <v>2819</v>
      </c>
      <c r="B159" s="698" t="s">
        <v>3057</v>
      </c>
      <c r="C159" s="699" t="s">
        <v>212</v>
      </c>
      <c r="D159" s="700" t="s">
        <v>212</v>
      </c>
      <c r="E159" s="700" t="s">
        <v>212</v>
      </c>
      <c r="F159" s="700" t="s">
        <v>212</v>
      </c>
      <c r="G159" s="700" t="s">
        <v>212</v>
      </c>
      <c r="H159" s="700" t="s">
        <v>212</v>
      </c>
      <c r="I159" s="700" t="s">
        <v>212</v>
      </c>
      <c r="J159" s="700" t="s">
        <v>212</v>
      </c>
      <c r="K159" s="700" t="s">
        <v>212</v>
      </c>
      <c r="L159" s="700" t="s">
        <v>212</v>
      </c>
      <c r="M159" s="700" t="s">
        <v>212</v>
      </c>
      <c r="N159" s="700" t="s">
        <v>212</v>
      </c>
      <c r="O159" s="700" t="s">
        <v>212</v>
      </c>
    </row>
    <row r="160" spans="1:15" s="665" customFormat="1" ht="37.5" customHeight="1" x14ac:dyDescent="0.2">
      <c r="A160" s="702" t="s">
        <v>3154</v>
      </c>
      <c r="B160" s="716" t="s">
        <v>3155</v>
      </c>
      <c r="C160" s="704" t="s">
        <v>2995</v>
      </c>
      <c r="D160" s="705">
        <f>D109+D105+D69</f>
        <v>279.90823656610866</v>
      </c>
      <c r="E160" s="705">
        <f>E109+E105+E69</f>
        <v>496.23264283439335</v>
      </c>
      <c r="F160" s="705">
        <f>F109+F105+F69</f>
        <v>242.46481684959576</v>
      </c>
      <c r="G160" s="705" t="s">
        <v>212</v>
      </c>
      <c r="H160" s="705">
        <f>H109+H105+H69</f>
        <v>238.60263542366491</v>
      </c>
      <c r="I160" s="705" t="s">
        <v>212</v>
      </c>
      <c r="J160" s="705">
        <f>J109+J105+J69</f>
        <v>233.11009392002927</v>
      </c>
      <c r="K160" s="705" t="s">
        <v>212</v>
      </c>
      <c r="L160" s="705">
        <f>L109+L105+L69</f>
        <v>227.26517813672186</v>
      </c>
      <c r="M160" s="705" t="s">
        <v>212</v>
      </c>
      <c r="N160" s="731">
        <f>D160+F160+H160+J160+L160</f>
        <v>1221.3509608961203</v>
      </c>
      <c r="O160" s="705">
        <f>O109+O105+O69</f>
        <v>496.23264283439335</v>
      </c>
    </row>
    <row r="161" spans="1:15" s="665" customFormat="1" ht="18" customHeight="1" x14ac:dyDescent="0.2">
      <c r="A161" s="702" t="s">
        <v>3156</v>
      </c>
      <c r="B161" s="716" t="s">
        <v>3157</v>
      </c>
      <c r="C161" s="704" t="s">
        <v>2995</v>
      </c>
      <c r="D161" s="705" t="s">
        <v>212</v>
      </c>
      <c r="E161" s="705" t="s">
        <v>212</v>
      </c>
      <c r="F161" s="705" t="s">
        <v>212</v>
      </c>
      <c r="G161" s="705" t="s">
        <v>212</v>
      </c>
      <c r="H161" s="705" t="s">
        <v>212</v>
      </c>
      <c r="I161" s="705" t="s">
        <v>212</v>
      </c>
      <c r="J161" s="705" t="s">
        <v>212</v>
      </c>
      <c r="K161" s="705" t="s">
        <v>212</v>
      </c>
      <c r="L161" s="705" t="s">
        <v>212</v>
      </c>
      <c r="M161" s="705" t="s">
        <v>212</v>
      </c>
      <c r="N161" s="705" t="s">
        <v>212</v>
      </c>
      <c r="O161" s="705" t="s">
        <v>212</v>
      </c>
    </row>
    <row r="162" spans="1:15" s="665" customFormat="1" ht="18" customHeight="1" x14ac:dyDescent="0.2">
      <c r="A162" s="702" t="s">
        <v>3158</v>
      </c>
      <c r="B162" s="715" t="s">
        <v>3159</v>
      </c>
      <c r="C162" s="704" t="s">
        <v>2995</v>
      </c>
      <c r="D162" s="705" t="s">
        <v>212</v>
      </c>
      <c r="E162" s="705" t="s">
        <v>212</v>
      </c>
      <c r="F162" s="705" t="s">
        <v>212</v>
      </c>
      <c r="G162" s="705" t="s">
        <v>212</v>
      </c>
      <c r="H162" s="705" t="s">
        <v>212</v>
      </c>
      <c r="I162" s="705" t="s">
        <v>212</v>
      </c>
      <c r="J162" s="705" t="s">
        <v>212</v>
      </c>
      <c r="K162" s="705" t="s">
        <v>212</v>
      </c>
      <c r="L162" s="705" t="s">
        <v>212</v>
      </c>
      <c r="M162" s="705" t="s">
        <v>212</v>
      </c>
      <c r="N162" s="705" t="s">
        <v>212</v>
      </c>
      <c r="O162" s="705" t="s">
        <v>212</v>
      </c>
    </row>
    <row r="163" spans="1:15" s="665" customFormat="1" ht="18" customHeight="1" x14ac:dyDescent="0.2">
      <c r="A163" s="702" t="s">
        <v>3160</v>
      </c>
      <c r="B163" s="716" t="s">
        <v>3161</v>
      </c>
      <c r="C163" s="704" t="s">
        <v>2995</v>
      </c>
      <c r="D163" s="705" t="s">
        <v>212</v>
      </c>
      <c r="E163" s="705" t="s">
        <v>212</v>
      </c>
      <c r="F163" s="705" t="s">
        <v>212</v>
      </c>
      <c r="G163" s="705" t="s">
        <v>212</v>
      </c>
      <c r="H163" s="705" t="s">
        <v>212</v>
      </c>
      <c r="I163" s="705" t="s">
        <v>212</v>
      </c>
      <c r="J163" s="705" t="s">
        <v>212</v>
      </c>
      <c r="K163" s="705" t="s">
        <v>212</v>
      </c>
      <c r="L163" s="705" t="s">
        <v>212</v>
      </c>
      <c r="M163" s="705" t="s">
        <v>212</v>
      </c>
      <c r="N163" s="705" t="s">
        <v>212</v>
      </c>
      <c r="O163" s="705" t="s">
        <v>212</v>
      </c>
    </row>
    <row r="164" spans="1:15" s="665" customFormat="1" ht="18" customHeight="1" x14ac:dyDescent="0.2">
      <c r="A164" s="709" t="s">
        <v>3162</v>
      </c>
      <c r="B164" s="715" t="s">
        <v>3163</v>
      </c>
      <c r="C164" s="704" t="s">
        <v>2995</v>
      </c>
      <c r="D164" s="705" t="s">
        <v>212</v>
      </c>
      <c r="E164" s="705" t="s">
        <v>212</v>
      </c>
      <c r="F164" s="705" t="s">
        <v>212</v>
      </c>
      <c r="G164" s="705" t="s">
        <v>212</v>
      </c>
      <c r="H164" s="705" t="s">
        <v>212</v>
      </c>
      <c r="I164" s="705" t="s">
        <v>212</v>
      </c>
      <c r="J164" s="705" t="s">
        <v>212</v>
      </c>
      <c r="K164" s="705" t="s">
        <v>212</v>
      </c>
      <c r="L164" s="705" t="s">
        <v>212</v>
      </c>
      <c r="M164" s="705" t="s">
        <v>212</v>
      </c>
      <c r="N164" s="705" t="s">
        <v>212</v>
      </c>
      <c r="O164" s="705" t="s">
        <v>212</v>
      </c>
    </row>
    <row r="165" spans="1:15" s="665" customFormat="1" ht="32.25" thickBot="1" x14ac:dyDescent="0.25">
      <c r="A165" s="723" t="s">
        <v>3164</v>
      </c>
      <c r="B165" s="730" t="s">
        <v>3165</v>
      </c>
      <c r="C165" s="725" t="s">
        <v>212</v>
      </c>
      <c r="D165" s="726" t="s">
        <v>212</v>
      </c>
      <c r="E165" s="726" t="s">
        <v>212</v>
      </c>
      <c r="F165" s="726" t="s">
        <v>212</v>
      </c>
      <c r="G165" s="726" t="s">
        <v>212</v>
      </c>
      <c r="H165" s="726" t="s">
        <v>212</v>
      </c>
      <c r="I165" s="726" t="s">
        <v>212</v>
      </c>
      <c r="J165" s="726" t="s">
        <v>212</v>
      </c>
      <c r="K165" s="726" t="s">
        <v>212</v>
      </c>
      <c r="L165" s="726" t="s">
        <v>212</v>
      </c>
      <c r="M165" s="726" t="s">
        <v>212</v>
      </c>
      <c r="N165" s="726" t="s">
        <v>212</v>
      </c>
      <c r="O165" s="726" t="s">
        <v>212</v>
      </c>
    </row>
    <row r="166" spans="1:15" s="665" customFormat="1" ht="19.5" thickBot="1" x14ac:dyDescent="0.25">
      <c r="A166" s="805" t="s">
        <v>3166</v>
      </c>
      <c r="B166" s="806"/>
      <c r="C166" s="806"/>
      <c r="D166" s="806"/>
      <c r="E166" s="806"/>
      <c r="F166" s="806"/>
      <c r="G166" s="806"/>
      <c r="H166" s="806"/>
      <c r="I166" s="806"/>
      <c r="J166" s="806"/>
      <c r="K166" s="806"/>
      <c r="L166" s="806"/>
      <c r="M166" s="806"/>
      <c r="N166" s="806"/>
      <c r="O166" s="807"/>
    </row>
    <row r="167" spans="1:15" s="665" customFormat="1" ht="31.7" customHeight="1" x14ac:dyDescent="0.2">
      <c r="A167" s="712" t="s">
        <v>2824</v>
      </c>
      <c r="B167" s="713" t="s">
        <v>3167</v>
      </c>
      <c r="C167" s="714" t="s">
        <v>2995</v>
      </c>
      <c r="D167" s="732">
        <v>2021.9928285600001</v>
      </c>
      <c r="E167" s="732">
        <f>E168+E172+E173+E175+E176+E177+E178+E181+E184</f>
        <v>1360.6</v>
      </c>
      <c r="F167" s="733">
        <f>F168+F172+F173+F175+F176+F177+F178+F181+F184</f>
        <v>1393.56</v>
      </c>
      <c r="G167" s="734" t="s">
        <v>212</v>
      </c>
      <c r="H167" s="734">
        <f>H168+H172+H173+H175+H176+H177+H178+H181+H184</f>
        <v>1490.87</v>
      </c>
      <c r="I167" s="734" t="s">
        <v>212</v>
      </c>
      <c r="J167" s="734">
        <f>J168+J172+J173+J175+J176+J177+J178+J181+J184</f>
        <v>1569.3400000000001</v>
      </c>
      <c r="K167" s="734" t="s">
        <v>212</v>
      </c>
      <c r="L167" s="734">
        <f>L168+L172+L173+L175+L176+L177+L178+L181+L184</f>
        <v>1626.2099999999998</v>
      </c>
      <c r="M167" s="734" t="s">
        <v>212</v>
      </c>
      <c r="N167" s="734">
        <v>10914.781467274386</v>
      </c>
      <c r="O167" s="732">
        <f>O168+O172+O173+O175+O176+O177+O178+O181+O184</f>
        <v>1360.6</v>
      </c>
    </row>
    <row r="168" spans="1:15" s="665" customFormat="1" x14ac:dyDescent="0.2">
      <c r="A168" s="702" t="s">
        <v>3168</v>
      </c>
      <c r="B168" s="703" t="s">
        <v>2996</v>
      </c>
      <c r="C168" s="704" t="s">
        <v>2995</v>
      </c>
      <c r="D168" s="733" t="s">
        <v>212</v>
      </c>
      <c r="E168" s="733"/>
      <c r="F168" s="733"/>
      <c r="G168" s="734"/>
      <c r="H168" s="734"/>
      <c r="I168" s="734"/>
      <c r="J168" s="734"/>
      <c r="K168" s="734"/>
      <c r="L168" s="734"/>
      <c r="M168" s="734" t="s">
        <v>212</v>
      </c>
      <c r="N168" s="734" t="s">
        <v>212</v>
      </c>
      <c r="O168" s="733"/>
    </row>
    <row r="169" spans="1:15" s="665" customFormat="1" ht="31.5" x14ac:dyDescent="0.2">
      <c r="A169" s="702" t="s">
        <v>3169</v>
      </c>
      <c r="B169" s="715" t="s">
        <v>2997</v>
      </c>
      <c r="C169" s="704" t="s">
        <v>2995</v>
      </c>
      <c r="D169" s="733" t="s">
        <v>212</v>
      </c>
      <c r="E169" s="733"/>
      <c r="F169" s="733"/>
      <c r="G169" s="734"/>
      <c r="H169" s="734"/>
      <c r="I169" s="734"/>
      <c r="J169" s="734"/>
      <c r="K169" s="734"/>
      <c r="L169" s="734"/>
      <c r="M169" s="734" t="s">
        <v>212</v>
      </c>
      <c r="N169" s="734" t="s">
        <v>212</v>
      </c>
      <c r="O169" s="733"/>
    </row>
    <row r="170" spans="1:15" s="665" customFormat="1" ht="31.5" x14ac:dyDescent="0.2">
      <c r="A170" s="702" t="s">
        <v>3170</v>
      </c>
      <c r="B170" s="715" t="s">
        <v>2998</v>
      </c>
      <c r="C170" s="704" t="s">
        <v>2995</v>
      </c>
      <c r="D170" s="733" t="s">
        <v>212</v>
      </c>
      <c r="E170" s="733"/>
      <c r="F170" s="733"/>
      <c r="G170" s="734"/>
      <c r="H170" s="734"/>
      <c r="I170" s="734"/>
      <c r="J170" s="734"/>
      <c r="K170" s="734"/>
      <c r="L170" s="734"/>
      <c r="M170" s="734" t="s">
        <v>212</v>
      </c>
      <c r="N170" s="734" t="s">
        <v>212</v>
      </c>
      <c r="O170" s="733"/>
    </row>
    <row r="171" spans="1:15" s="665" customFormat="1" ht="31.5" x14ac:dyDescent="0.2">
      <c r="A171" s="702" t="s">
        <v>3171</v>
      </c>
      <c r="B171" s="715" t="s">
        <v>2999</v>
      </c>
      <c r="C171" s="704" t="s">
        <v>2995</v>
      </c>
      <c r="D171" s="733" t="s">
        <v>212</v>
      </c>
      <c r="E171" s="733"/>
      <c r="F171" s="733"/>
      <c r="G171" s="734"/>
      <c r="H171" s="734"/>
      <c r="I171" s="734"/>
      <c r="J171" s="734"/>
      <c r="K171" s="734"/>
      <c r="L171" s="734"/>
      <c r="M171" s="734" t="s">
        <v>212</v>
      </c>
      <c r="N171" s="734" t="s">
        <v>212</v>
      </c>
      <c r="O171" s="733"/>
    </row>
    <row r="172" spans="1:15" s="665" customFormat="1" x14ac:dyDescent="0.2">
      <c r="A172" s="702" t="s">
        <v>3172</v>
      </c>
      <c r="B172" s="703" t="s">
        <v>3000</v>
      </c>
      <c r="C172" s="704" t="s">
        <v>2995</v>
      </c>
      <c r="D172" s="733" t="s">
        <v>212</v>
      </c>
      <c r="E172" s="733"/>
      <c r="F172" s="733"/>
      <c r="G172" s="734" t="s">
        <v>212</v>
      </c>
      <c r="H172" s="734"/>
      <c r="I172" s="734" t="s">
        <v>212</v>
      </c>
      <c r="J172" s="734"/>
      <c r="K172" s="734" t="s">
        <v>212</v>
      </c>
      <c r="L172" s="734"/>
      <c r="M172" s="734" t="s">
        <v>212</v>
      </c>
      <c r="N172" s="734" t="s">
        <v>212</v>
      </c>
      <c r="O172" s="733"/>
    </row>
    <row r="173" spans="1:15" s="665" customFormat="1" x14ac:dyDescent="0.2">
      <c r="A173" s="702" t="s">
        <v>3173</v>
      </c>
      <c r="B173" s="703" t="s">
        <v>3001</v>
      </c>
      <c r="C173" s="704" t="s">
        <v>2995</v>
      </c>
      <c r="D173" s="733">
        <v>1807.1828650800001</v>
      </c>
      <c r="E173" s="733">
        <v>1107.31</v>
      </c>
      <c r="F173" s="733">
        <v>1166.77</v>
      </c>
      <c r="G173" s="734" t="s">
        <v>212</v>
      </c>
      <c r="H173" s="734">
        <v>1258.0999999999999</v>
      </c>
      <c r="I173" s="734" t="s">
        <v>212</v>
      </c>
      <c r="J173" s="734">
        <v>1342.41</v>
      </c>
      <c r="K173" s="734" t="s">
        <v>212</v>
      </c>
      <c r="L173" s="734">
        <v>1411.59</v>
      </c>
      <c r="M173" s="734" t="s">
        <v>212</v>
      </c>
      <c r="N173" s="734">
        <v>9755.2304662715069</v>
      </c>
      <c r="O173" s="733">
        <v>1107.31</v>
      </c>
    </row>
    <row r="174" spans="1:15" s="665" customFormat="1" x14ac:dyDescent="0.2">
      <c r="A174" s="702" t="s">
        <v>3174</v>
      </c>
      <c r="B174" s="703" t="s">
        <v>3002</v>
      </c>
      <c r="C174" s="704" t="s">
        <v>2995</v>
      </c>
      <c r="D174" s="733"/>
      <c r="E174" s="733"/>
      <c r="F174" s="733"/>
      <c r="G174" s="734" t="s">
        <v>212</v>
      </c>
      <c r="H174" s="734"/>
      <c r="I174" s="734" t="s">
        <v>212</v>
      </c>
      <c r="J174" s="734"/>
      <c r="K174" s="734" t="s">
        <v>212</v>
      </c>
      <c r="L174" s="734"/>
      <c r="M174" s="734" t="s">
        <v>212</v>
      </c>
      <c r="N174" s="734"/>
      <c r="O174" s="733"/>
    </row>
    <row r="175" spans="1:15" s="665" customFormat="1" x14ac:dyDescent="0.2">
      <c r="A175" s="702" t="s">
        <v>3175</v>
      </c>
      <c r="B175" s="703" t="s">
        <v>3003</v>
      </c>
      <c r="C175" s="704" t="s">
        <v>2995</v>
      </c>
      <c r="D175" s="733">
        <v>36.273466800000001</v>
      </c>
      <c r="E175" s="733">
        <v>83.84</v>
      </c>
      <c r="F175" s="733">
        <v>73.36</v>
      </c>
      <c r="G175" s="734" t="s">
        <v>212</v>
      </c>
      <c r="H175" s="734">
        <v>78.72</v>
      </c>
      <c r="I175" s="734" t="s">
        <v>212</v>
      </c>
      <c r="J175" s="734">
        <v>72.23</v>
      </c>
      <c r="K175" s="734" t="s">
        <v>212</v>
      </c>
      <c r="L175" s="734">
        <v>59.25</v>
      </c>
      <c r="M175" s="734" t="s">
        <v>212</v>
      </c>
      <c r="N175" s="734">
        <v>195.80532511798884</v>
      </c>
      <c r="O175" s="733">
        <v>83.84</v>
      </c>
    </row>
    <row r="176" spans="1:15" s="665" customFormat="1" x14ac:dyDescent="0.2">
      <c r="A176" s="702" t="s">
        <v>3176</v>
      </c>
      <c r="B176" s="703" t="s">
        <v>3005</v>
      </c>
      <c r="C176" s="704" t="s">
        <v>2995</v>
      </c>
      <c r="D176" s="733">
        <v>144.25430328000002</v>
      </c>
      <c r="E176" s="733">
        <v>147.31</v>
      </c>
      <c r="F176" s="733">
        <v>132.51</v>
      </c>
      <c r="G176" s="734" t="s">
        <v>212</v>
      </c>
      <c r="H176" s="734">
        <v>132.51</v>
      </c>
      <c r="I176" s="734" t="s">
        <v>212</v>
      </c>
      <c r="J176" s="734">
        <v>132.51</v>
      </c>
      <c r="K176" s="734" t="s">
        <v>212</v>
      </c>
      <c r="L176" s="734">
        <v>132.51</v>
      </c>
      <c r="M176" s="734" t="s">
        <v>212</v>
      </c>
      <c r="N176" s="734">
        <v>778.68930778376455</v>
      </c>
      <c r="O176" s="733">
        <v>147.31</v>
      </c>
    </row>
    <row r="177" spans="1:15" s="665" customFormat="1" x14ac:dyDescent="0.2">
      <c r="A177" s="702" t="s">
        <v>3177</v>
      </c>
      <c r="B177" s="703" t="s">
        <v>3007</v>
      </c>
      <c r="C177" s="704" t="s">
        <v>2995</v>
      </c>
      <c r="D177" s="733" t="s">
        <v>212</v>
      </c>
      <c r="E177" s="733"/>
      <c r="F177" s="733"/>
      <c r="G177" s="734" t="s">
        <v>212</v>
      </c>
      <c r="H177" s="734"/>
      <c r="I177" s="734" t="s">
        <v>212</v>
      </c>
      <c r="J177" s="734"/>
      <c r="K177" s="734" t="s">
        <v>212</v>
      </c>
      <c r="L177" s="734"/>
      <c r="M177" s="734" t="s">
        <v>212</v>
      </c>
      <c r="N177" s="734" t="s">
        <v>212</v>
      </c>
      <c r="O177" s="733"/>
    </row>
    <row r="178" spans="1:15" s="665" customFormat="1" ht="31.5" x14ac:dyDescent="0.2">
      <c r="A178" s="702" t="s">
        <v>3178</v>
      </c>
      <c r="B178" s="706" t="s">
        <v>3009</v>
      </c>
      <c r="C178" s="704" t="s">
        <v>2995</v>
      </c>
      <c r="D178" s="733" t="s">
        <v>212</v>
      </c>
      <c r="E178" s="733"/>
      <c r="F178" s="733"/>
      <c r="G178" s="734" t="s">
        <v>212</v>
      </c>
      <c r="H178" s="734"/>
      <c r="I178" s="734" t="s">
        <v>212</v>
      </c>
      <c r="J178" s="734"/>
      <c r="K178" s="734" t="s">
        <v>212</v>
      </c>
      <c r="L178" s="734"/>
      <c r="M178" s="734" t="s">
        <v>212</v>
      </c>
      <c r="N178" s="734" t="s">
        <v>212</v>
      </c>
      <c r="O178" s="733"/>
    </row>
    <row r="179" spans="1:15" s="665" customFormat="1" x14ac:dyDescent="0.2">
      <c r="A179" s="702" t="s">
        <v>3179</v>
      </c>
      <c r="B179" s="708" t="s">
        <v>3011</v>
      </c>
      <c r="C179" s="704" t="s">
        <v>2995</v>
      </c>
      <c r="D179" s="733" t="s">
        <v>212</v>
      </c>
      <c r="E179" s="733"/>
      <c r="F179" s="733"/>
      <c r="G179" s="734" t="s">
        <v>212</v>
      </c>
      <c r="H179" s="734"/>
      <c r="I179" s="734" t="s">
        <v>212</v>
      </c>
      <c r="J179" s="734"/>
      <c r="K179" s="734" t="s">
        <v>212</v>
      </c>
      <c r="L179" s="734"/>
      <c r="M179" s="734" t="s">
        <v>212</v>
      </c>
      <c r="N179" s="734" t="s">
        <v>212</v>
      </c>
      <c r="O179" s="733"/>
    </row>
    <row r="180" spans="1:15" s="665" customFormat="1" x14ac:dyDescent="0.2">
      <c r="A180" s="702" t="s">
        <v>3180</v>
      </c>
      <c r="B180" s="708" t="s">
        <v>3013</v>
      </c>
      <c r="C180" s="704" t="s">
        <v>2995</v>
      </c>
      <c r="D180" s="733" t="s">
        <v>212</v>
      </c>
      <c r="E180" s="733"/>
      <c r="F180" s="733"/>
      <c r="G180" s="734" t="s">
        <v>212</v>
      </c>
      <c r="H180" s="734"/>
      <c r="I180" s="734" t="s">
        <v>212</v>
      </c>
      <c r="J180" s="734"/>
      <c r="K180" s="734" t="s">
        <v>212</v>
      </c>
      <c r="L180" s="734"/>
      <c r="M180" s="734" t="s">
        <v>212</v>
      </c>
      <c r="N180" s="734" t="s">
        <v>212</v>
      </c>
      <c r="O180" s="733"/>
    </row>
    <row r="181" spans="1:15" s="665" customFormat="1" ht="31.5" x14ac:dyDescent="0.2">
      <c r="A181" s="702" t="s">
        <v>3181</v>
      </c>
      <c r="B181" s="716" t="s">
        <v>3182</v>
      </c>
      <c r="C181" s="704" t="s">
        <v>2995</v>
      </c>
      <c r="D181" s="733" t="s">
        <v>212</v>
      </c>
      <c r="E181" s="733"/>
      <c r="F181" s="733"/>
      <c r="G181" s="734" t="s">
        <v>212</v>
      </c>
      <c r="H181" s="734"/>
      <c r="I181" s="734" t="s">
        <v>212</v>
      </c>
      <c r="J181" s="734"/>
      <c r="K181" s="734" t="s">
        <v>212</v>
      </c>
      <c r="L181" s="734"/>
      <c r="M181" s="734" t="s">
        <v>212</v>
      </c>
      <c r="N181" s="734" t="s">
        <v>212</v>
      </c>
      <c r="O181" s="733"/>
    </row>
    <row r="182" spans="1:15" s="665" customFormat="1" x14ac:dyDescent="0.2">
      <c r="A182" s="702" t="s">
        <v>3183</v>
      </c>
      <c r="B182" s="715" t="s">
        <v>3184</v>
      </c>
      <c r="C182" s="704" t="s">
        <v>2995</v>
      </c>
      <c r="D182" s="733" t="s">
        <v>212</v>
      </c>
      <c r="E182" s="733"/>
      <c r="F182" s="733"/>
      <c r="G182" s="734" t="s">
        <v>212</v>
      </c>
      <c r="H182" s="734"/>
      <c r="I182" s="734" t="s">
        <v>212</v>
      </c>
      <c r="J182" s="734"/>
      <c r="K182" s="734" t="s">
        <v>212</v>
      </c>
      <c r="L182" s="734"/>
      <c r="M182" s="734" t="s">
        <v>212</v>
      </c>
      <c r="N182" s="734" t="s">
        <v>212</v>
      </c>
      <c r="O182" s="733"/>
    </row>
    <row r="183" spans="1:15" s="665" customFormat="1" ht="31.5" x14ac:dyDescent="0.2">
      <c r="A183" s="702" t="s">
        <v>3185</v>
      </c>
      <c r="B183" s="715" t="s">
        <v>3186</v>
      </c>
      <c r="C183" s="704" t="s">
        <v>2995</v>
      </c>
      <c r="D183" s="733" t="s">
        <v>212</v>
      </c>
      <c r="E183" s="733"/>
      <c r="F183" s="733"/>
      <c r="G183" s="734" t="s">
        <v>212</v>
      </c>
      <c r="H183" s="734"/>
      <c r="I183" s="734" t="s">
        <v>212</v>
      </c>
      <c r="J183" s="734"/>
      <c r="K183" s="734" t="s">
        <v>212</v>
      </c>
      <c r="L183" s="734"/>
      <c r="M183" s="734" t="s">
        <v>212</v>
      </c>
      <c r="N183" s="734" t="s">
        <v>212</v>
      </c>
      <c r="O183" s="733"/>
    </row>
    <row r="184" spans="1:15" s="665" customFormat="1" x14ac:dyDescent="0.2">
      <c r="A184" s="702" t="s">
        <v>3187</v>
      </c>
      <c r="B184" s="703" t="s">
        <v>3015</v>
      </c>
      <c r="C184" s="704" t="s">
        <v>2995</v>
      </c>
      <c r="D184" s="733">
        <v>34.282193400000004</v>
      </c>
      <c r="E184" s="733">
        <v>22.14</v>
      </c>
      <c r="F184" s="733">
        <v>20.92</v>
      </c>
      <c r="G184" s="734" t="s">
        <v>212</v>
      </c>
      <c r="H184" s="734">
        <v>21.54</v>
      </c>
      <c r="I184" s="734" t="s">
        <v>212</v>
      </c>
      <c r="J184" s="734">
        <v>22.19</v>
      </c>
      <c r="K184" s="734" t="s">
        <v>212</v>
      </c>
      <c r="L184" s="734">
        <v>22.86</v>
      </c>
      <c r="M184" s="734" t="s">
        <v>212</v>
      </c>
      <c r="N184" s="734">
        <v>185.056368101126</v>
      </c>
      <c r="O184" s="733">
        <v>22.14</v>
      </c>
    </row>
    <row r="185" spans="1:15" s="665" customFormat="1" x14ac:dyDescent="0.2">
      <c r="A185" s="702" t="s">
        <v>2828</v>
      </c>
      <c r="B185" s="729" t="s">
        <v>3188</v>
      </c>
      <c r="C185" s="704" t="s">
        <v>2995</v>
      </c>
      <c r="D185" s="733">
        <v>1900.68660576</v>
      </c>
      <c r="E185" s="733">
        <f>E186+E187+E191+E192+E193+E194+E195+E196+E198+E199+E200+E201+E202</f>
        <v>975.98</v>
      </c>
      <c r="F185" s="733">
        <f>F186+F187+F191+F192+F193+F194+F195+F196+F198+F199+F200+F201+F202</f>
        <v>981.07999999999993</v>
      </c>
      <c r="G185" s="734" t="s">
        <v>212</v>
      </c>
      <c r="H185" s="734">
        <f>H186+H187+H191+H192+H193+H194+H195+H196+H198+H199+H200+H201+H202</f>
        <v>1005.29</v>
      </c>
      <c r="I185" s="734" t="s">
        <v>212</v>
      </c>
      <c r="J185" s="734">
        <f>J186+J187+J191+J192+J193+J194+J195+J196+J198+J199+J200+J201+J202</f>
        <v>1030.1399999999999</v>
      </c>
      <c r="K185" s="734" t="s">
        <v>212</v>
      </c>
      <c r="L185" s="734">
        <f>L186+L187+L191+L192+L193+L194+L195+L196+L198+L199+L200+L201+L202</f>
        <v>1055.6599999999999</v>
      </c>
      <c r="M185" s="734" t="s">
        <v>212</v>
      </c>
      <c r="N185" s="734">
        <v>10259.966626301168</v>
      </c>
      <c r="O185" s="733">
        <f>O186+O187+O191+O192+O193+O194+O195+O196+O198+O199+O200+O201+O202</f>
        <v>975.98</v>
      </c>
    </row>
    <row r="186" spans="1:15" s="665" customFormat="1" x14ac:dyDescent="0.2">
      <c r="A186" s="702" t="s">
        <v>3189</v>
      </c>
      <c r="B186" s="716" t="s">
        <v>3190</v>
      </c>
      <c r="C186" s="704" t="s">
        <v>2995</v>
      </c>
      <c r="D186" s="733"/>
      <c r="E186" s="733"/>
      <c r="F186" s="733"/>
      <c r="G186" s="734" t="s">
        <v>212</v>
      </c>
      <c r="H186" s="734"/>
      <c r="I186" s="734" t="s">
        <v>212</v>
      </c>
      <c r="J186" s="734"/>
      <c r="K186" s="734" t="s">
        <v>212</v>
      </c>
      <c r="L186" s="734"/>
      <c r="M186" s="734" t="s">
        <v>212</v>
      </c>
      <c r="N186" s="734"/>
      <c r="O186" s="733"/>
    </row>
    <row r="187" spans="1:15" s="665" customFormat="1" x14ac:dyDescent="0.2">
      <c r="A187" s="702" t="s">
        <v>3191</v>
      </c>
      <c r="B187" s="716" t="s">
        <v>3192</v>
      </c>
      <c r="C187" s="704" t="s">
        <v>2995</v>
      </c>
      <c r="D187" s="733">
        <v>899.11914012</v>
      </c>
      <c r="E187" s="733">
        <v>0</v>
      </c>
      <c r="F187" s="733">
        <v>0</v>
      </c>
      <c r="G187" s="734" t="s">
        <v>212</v>
      </c>
      <c r="H187" s="734">
        <v>0</v>
      </c>
      <c r="I187" s="734" t="s">
        <v>212</v>
      </c>
      <c r="J187" s="734">
        <v>0</v>
      </c>
      <c r="K187" s="734" t="s">
        <v>212</v>
      </c>
      <c r="L187" s="734">
        <v>0</v>
      </c>
      <c r="M187" s="734" t="s">
        <v>212</v>
      </c>
      <c r="N187" s="734">
        <v>4853.4736567005821</v>
      </c>
      <c r="O187" s="733">
        <v>0</v>
      </c>
    </row>
    <row r="188" spans="1:15" s="665" customFormat="1" x14ac:dyDescent="0.2">
      <c r="A188" s="702" t="s">
        <v>3193</v>
      </c>
      <c r="B188" s="715" t="s">
        <v>3194</v>
      </c>
      <c r="C188" s="704" t="s">
        <v>2995</v>
      </c>
      <c r="D188" s="733"/>
      <c r="E188" s="733"/>
      <c r="F188" s="733"/>
      <c r="G188" s="734" t="s">
        <v>212</v>
      </c>
      <c r="H188" s="734"/>
      <c r="I188" s="734" t="s">
        <v>212</v>
      </c>
      <c r="J188" s="734"/>
      <c r="K188" s="734" t="s">
        <v>212</v>
      </c>
      <c r="L188" s="734"/>
      <c r="M188" s="734" t="s">
        <v>212</v>
      </c>
      <c r="N188" s="734"/>
      <c r="O188" s="733"/>
    </row>
    <row r="189" spans="1:15" s="665" customFormat="1" x14ac:dyDescent="0.2">
      <c r="A189" s="702" t="s">
        <v>3195</v>
      </c>
      <c r="B189" s="715" t="s">
        <v>3196</v>
      </c>
      <c r="C189" s="704" t="s">
        <v>2995</v>
      </c>
      <c r="D189" s="733"/>
      <c r="E189" s="733"/>
      <c r="F189" s="733"/>
      <c r="G189" s="734" t="s">
        <v>212</v>
      </c>
      <c r="H189" s="734"/>
      <c r="I189" s="734" t="s">
        <v>212</v>
      </c>
      <c r="J189" s="734"/>
      <c r="K189" s="734" t="s">
        <v>212</v>
      </c>
      <c r="L189" s="734"/>
      <c r="M189" s="734" t="s">
        <v>212</v>
      </c>
      <c r="N189" s="734"/>
      <c r="O189" s="733"/>
    </row>
    <row r="190" spans="1:15" s="665" customFormat="1" x14ac:dyDescent="0.2">
      <c r="A190" s="702" t="s">
        <v>3197</v>
      </c>
      <c r="B190" s="715" t="s">
        <v>3198</v>
      </c>
      <c r="C190" s="704" t="s">
        <v>2995</v>
      </c>
      <c r="D190" s="733">
        <v>899.11914012</v>
      </c>
      <c r="E190" s="733">
        <v>0</v>
      </c>
      <c r="F190" s="733">
        <v>0</v>
      </c>
      <c r="G190" s="734" t="s">
        <v>212</v>
      </c>
      <c r="H190" s="734">
        <v>0</v>
      </c>
      <c r="I190" s="734" t="s">
        <v>212</v>
      </c>
      <c r="J190" s="734">
        <v>0</v>
      </c>
      <c r="K190" s="734" t="s">
        <v>212</v>
      </c>
      <c r="L190" s="734">
        <v>0</v>
      </c>
      <c r="M190" s="734" t="s">
        <v>212</v>
      </c>
      <c r="N190" s="734">
        <v>4853.4736567005821</v>
      </c>
      <c r="O190" s="733">
        <v>0</v>
      </c>
    </row>
    <row r="191" spans="1:15" s="665" customFormat="1" ht="31.5" x14ac:dyDescent="0.2">
      <c r="A191" s="702" t="s">
        <v>3199</v>
      </c>
      <c r="B191" s="716" t="s">
        <v>3200</v>
      </c>
      <c r="C191" s="704" t="s">
        <v>2995</v>
      </c>
      <c r="D191" s="733" t="s">
        <v>212</v>
      </c>
      <c r="E191" s="733">
        <v>27.76</v>
      </c>
      <c r="F191" s="733">
        <v>29.44</v>
      </c>
      <c r="G191" s="734" t="s">
        <v>212</v>
      </c>
      <c r="H191" s="734">
        <v>30.98</v>
      </c>
      <c r="I191" s="734" t="s">
        <v>212</v>
      </c>
      <c r="J191" s="734">
        <v>32.61</v>
      </c>
      <c r="K191" s="734" t="s">
        <v>212</v>
      </c>
      <c r="L191" s="734">
        <v>34.33</v>
      </c>
      <c r="M191" s="734" t="s">
        <v>212</v>
      </c>
      <c r="N191" s="734" t="s">
        <v>212</v>
      </c>
      <c r="O191" s="733">
        <v>27.76</v>
      </c>
    </row>
    <row r="192" spans="1:15" s="665" customFormat="1" ht="31.5" x14ac:dyDescent="0.2">
      <c r="A192" s="702" t="s">
        <v>3201</v>
      </c>
      <c r="B192" s="716" t="s">
        <v>3202</v>
      </c>
      <c r="C192" s="704" t="s">
        <v>2995</v>
      </c>
      <c r="D192" s="733" t="s">
        <v>212</v>
      </c>
      <c r="E192" s="733"/>
      <c r="F192" s="733"/>
      <c r="G192" s="734" t="s">
        <v>212</v>
      </c>
      <c r="H192" s="734"/>
      <c r="I192" s="734" t="s">
        <v>212</v>
      </c>
      <c r="J192" s="734"/>
      <c r="K192" s="734" t="s">
        <v>212</v>
      </c>
      <c r="L192" s="734"/>
      <c r="M192" s="734" t="s">
        <v>212</v>
      </c>
      <c r="N192" s="734" t="s">
        <v>212</v>
      </c>
      <c r="O192" s="733"/>
    </row>
    <row r="193" spans="1:15" s="665" customFormat="1" x14ac:dyDescent="0.2">
      <c r="A193" s="702" t="s">
        <v>3203</v>
      </c>
      <c r="B193" s="716" t="s">
        <v>3204</v>
      </c>
      <c r="C193" s="704" t="s">
        <v>2995</v>
      </c>
      <c r="D193" s="733"/>
      <c r="E193" s="733"/>
      <c r="F193" s="733"/>
      <c r="G193" s="734" t="s">
        <v>212</v>
      </c>
      <c r="H193" s="734"/>
      <c r="I193" s="734" t="s">
        <v>212</v>
      </c>
      <c r="J193" s="734"/>
      <c r="K193" s="734" t="s">
        <v>212</v>
      </c>
      <c r="L193" s="734"/>
      <c r="M193" s="734" t="s">
        <v>212</v>
      </c>
      <c r="N193" s="734"/>
      <c r="O193" s="733"/>
    </row>
    <row r="194" spans="1:15" s="665" customFormat="1" x14ac:dyDescent="0.2">
      <c r="A194" s="702" t="s">
        <v>3205</v>
      </c>
      <c r="B194" s="716" t="s">
        <v>3206</v>
      </c>
      <c r="C194" s="704" t="s">
        <v>2995</v>
      </c>
      <c r="D194" s="733">
        <v>317.57043456000002</v>
      </c>
      <c r="E194" s="733">
        <v>467.64</v>
      </c>
      <c r="F194" s="733">
        <v>366.25</v>
      </c>
      <c r="G194" s="734" t="s">
        <v>212</v>
      </c>
      <c r="H194" s="734">
        <v>373.58</v>
      </c>
      <c r="I194" s="734" t="s">
        <v>212</v>
      </c>
      <c r="J194" s="734">
        <v>381.05</v>
      </c>
      <c r="K194" s="734" t="s">
        <v>212</v>
      </c>
      <c r="L194" s="734">
        <v>388.67</v>
      </c>
      <c r="M194" s="734" t="s">
        <v>212</v>
      </c>
      <c r="N194" s="734">
        <v>1714.2552855433655</v>
      </c>
      <c r="O194" s="733">
        <v>467.64</v>
      </c>
    </row>
    <row r="195" spans="1:15" s="665" customFormat="1" x14ac:dyDescent="0.2">
      <c r="A195" s="702" t="s">
        <v>3207</v>
      </c>
      <c r="B195" s="716" t="s">
        <v>3208</v>
      </c>
      <c r="C195" s="704" t="s">
        <v>2995</v>
      </c>
      <c r="D195" s="733">
        <v>93.686722560000007</v>
      </c>
      <c r="E195" s="733">
        <v>108.63</v>
      </c>
      <c r="F195" s="733">
        <v>111.34</v>
      </c>
      <c r="G195" s="734" t="s">
        <v>212</v>
      </c>
      <c r="H195" s="734">
        <v>113.57</v>
      </c>
      <c r="I195" s="734" t="s">
        <v>212</v>
      </c>
      <c r="J195" s="734">
        <v>115.84</v>
      </c>
      <c r="K195" s="734" t="s">
        <v>212</v>
      </c>
      <c r="L195" s="734">
        <v>118.16</v>
      </c>
      <c r="M195" s="734" t="s">
        <v>212</v>
      </c>
      <c r="N195" s="734">
        <v>505.72390202580863</v>
      </c>
      <c r="O195" s="733">
        <v>108.63</v>
      </c>
    </row>
    <row r="196" spans="1:15" s="665" customFormat="1" x14ac:dyDescent="0.2">
      <c r="A196" s="702" t="s">
        <v>3209</v>
      </c>
      <c r="B196" s="716" t="s">
        <v>3210</v>
      </c>
      <c r="C196" s="704" t="s">
        <v>2995</v>
      </c>
      <c r="D196" s="733">
        <v>270.52256412000003</v>
      </c>
      <c r="E196" s="733">
        <v>213.64</v>
      </c>
      <c r="F196" s="733">
        <v>220.87</v>
      </c>
      <c r="G196" s="734" t="s">
        <v>212</v>
      </c>
      <c r="H196" s="734">
        <v>227.5</v>
      </c>
      <c r="I196" s="734" t="s">
        <v>212</v>
      </c>
      <c r="J196" s="734">
        <v>234.32</v>
      </c>
      <c r="K196" s="734" t="s">
        <v>212</v>
      </c>
      <c r="L196" s="734">
        <v>241.35</v>
      </c>
      <c r="M196" s="734" t="s">
        <v>212</v>
      </c>
      <c r="N196" s="734">
        <v>1460.2893875935947</v>
      </c>
      <c r="O196" s="733">
        <v>213.64</v>
      </c>
    </row>
    <row r="197" spans="1:15" s="665" customFormat="1" x14ac:dyDescent="0.2">
      <c r="A197" s="702" t="s">
        <v>3211</v>
      </c>
      <c r="B197" s="715" t="s">
        <v>3212</v>
      </c>
      <c r="C197" s="704" t="s">
        <v>2995</v>
      </c>
      <c r="D197" s="733">
        <v>43.732669319999999</v>
      </c>
      <c r="E197" s="733">
        <v>58.46</v>
      </c>
      <c r="F197" s="733">
        <v>60.22</v>
      </c>
      <c r="G197" s="734" t="s">
        <v>212</v>
      </c>
      <c r="H197" s="734">
        <v>62.02</v>
      </c>
      <c r="I197" s="734" t="s">
        <v>212</v>
      </c>
      <c r="J197" s="734">
        <v>63.89</v>
      </c>
      <c r="K197" s="734" t="s">
        <v>212</v>
      </c>
      <c r="L197" s="734">
        <v>65.8</v>
      </c>
      <c r="M197" s="734" t="s">
        <v>212</v>
      </c>
      <c r="N197" s="734">
        <v>236.07033707845363</v>
      </c>
      <c r="O197" s="733">
        <v>58.46</v>
      </c>
    </row>
    <row r="198" spans="1:15" s="665" customFormat="1" x14ac:dyDescent="0.2">
      <c r="A198" s="702" t="s">
        <v>3213</v>
      </c>
      <c r="B198" s="716" t="s">
        <v>3214</v>
      </c>
      <c r="C198" s="704" t="s">
        <v>2995</v>
      </c>
      <c r="D198" s="733">
        <v>49.889471399999998</v>
      </c>
      <c r="E198" s="733">
        <v>45.25</v>
      </c>
      <c r="F198" s="733">
        <v>46.61</v>
      </c>
      <c r="G198" s="734" t="s">
        <v>212</v>
      </c>
      <c r="H198" s="734">
        <v>48.01</v>
      </c>
      <c r="I198" s="734" t="s">
        <v>212</v>
      </c>
      <c r="J198" s="734">
        <v>49.45</v>
      </c>
      <c r="K198" s="734" t="s">
        <v>212</v>
      </c>
      <c r="L198" s="734">
        <v>50.93</v>
      </c>
      <c r="M198" s="734" t="s">
        <v>212</v>
      </c>
      <c r="N198" s="734">
        <v>269.30495012518645</v>
      </c>
      <c r="O198" s="733">
        <v>45.25</v>
      </c>
    </row>
    <row r="199" spans="1:15" s="665" customFormat="1" x14ac:dyDescent="0.2">
      <c r="A199" s="702" t="s">
        <v>3215</v>
      </c>
      <c r="B199" s="716" t="s">
        <v>3216</v>
      </c>
      <c r="C199" s="704" t="s">
        <v>2995</v>
      </c>
      <c r="D199" s="733"/>
      <c r="E199" s="733"/>
      <c r="F199" s="733"/>
      <c r="G199" s="734" t="s">
        <v>212</v>
      </c>
      <c r="H199" s="734"/>
      <c r="I199" s="734" t="s">
        <v>212</v>
      </c>
      <c r="J199" s="734"/>
      <c r="K199" s="734" t="s">
        <v>212</v>
      </c>
      <c r="L199" s="734"/>
      <c r="M199" s="734" t="s">
        <v>212</v>
      </c>
      <c r="N199" s="734"/>
      <c r="O199" s="733"/>
    </row>
    <row r="200" spans="1:15" s="665" customFormat="1" x14ac:dyDescent="0.2">
      <c r="A200" s="702" t="s">
        <v>3217</v>
      </c>
      <c r="B200" s="716" t="s">
        <v>3218</v>
      </c>
      <c r="C200" s="704" t="s">
        <v>2995</v>
      </c>
      <c r="D200" s="733">
        <v>3.7026921599999998</v>
      </c>
      <c r="E200" s="733"/>
      <c r="F200" s="733"/>
      <c r="G200" s="734" t="s">
        <v>212</v>
      </c>
      <c r="H200" s="734"/>
      <c r="I200" s="734" t="s">
        <v>212</v>
      </c>
      <c r="J200" s="734"/>
      <c r="K200" s="734" t="s">
        <v>212</v>
      </c>
      <c r="L200" s="734"/>
      <c r="M200" s="734" t="s">
        <v>212</v>
      </c>
      <c r="N200" s="734">
        <v>19.98724980432883</v>
      </c>
      <c r="O200" s="733"/>
    </row>
    <row r="201" spans="1:15" s="665" customFormat="1" ht="31.5" x14ac:dyDescent="0.2">
      <c r="A201" s="702" t="s">
        <v>3219</v>
      </c>
      <c r="B201" s="716" t="s">
        <v>3220</v>
      </c>
      <c r="C201" s="704" t="s">
        <v>2995</v>
      </c>
      <c r="D201" s="733">
        <v>26.66153628</v>
      </c>
      <c r="E201" s="733">
        <v>0</v>
      </c>
      <c r="F201" s="733"/>
      <c r="G201" s="734" t="s">
        <v>212</v>
      </c>
      <c r="H201" s="734">
        <v>0</v>
      </c>
      <c r="I201" s="734" t="s">
        <v>212</v>
      </c>
      <c r="J201" s="734">
        <v>0</v>
      </c>
      <c r="K201" s="734" t="s">
        <v>212</v>
      </c>
      <c r="L201" s="734">
        <v>0</v>
      </c>
      <c r="M201" s="734" t="s">
        <v>212</v>
      </c>
      <c r="N201" s="734">
        <v>143.91981908523985</v>
      </c>
      <c r="O201" s="733">
        <v>0</v>
      </c>
    </row>
    <row r="202" spans="1:15" s="665" customFormat="1" x14ac:dyDescent="0.2">
      <c r="A202" s="702" t="s">
        <v>3221</v>
      </c>
      <c r="B202" s="716" t="s">
        <v>3222</v>
      </c>
      <c r="C202" s="704" t="s">
        <v>2995</v>
      </c>
      <c r="D202" s="733">
        <v>239.53404455999998</v>
      </c>
      <c r="E202" s="733">
        <v>113.06</v>
      </c>
      <c r="F202" s="733">
        <v>206.57</v>
      </c>
      <c r="G202" s="734" t="s">
        <v>212</v>
      </c>
      <c r="H202" s="734">
        <v>211.65</v>
      </c>
      <c r="I202" s="734" t="s">
        <v>212</v>
      </c>
      <c r="J202" s="734">
        <v>216.87</v>
      </c>
      <c r="K202" s="734" t="s">
        <v>212</v>
      </c>
      <c r="L202" s="734">
        <v>222.22</v>
      </c>
      <c r="M202" s="734" t="s">
        <v>212</v>
      </c>
      <c r="N202" s="734">
        <v>1293.0123754230631</v>
      </c>
      <c r="O202" s="733">
        <v>113.06</v>
      </c>
    </row>
    <row r="203" spans="1:15" s="665" customFormat="1" ht="26.25" customHeight="1" x14ac:dyDescent="0.2">
      <c r="A203" s="702" t="s">
        <v>2834</v>
      </c>
      <c r="B203" s="729" t="s">
        <v>3223</v>
      </c>
      <c r="C203" s="704" t="s">
        <v>2995</v>
      </c>
      <c r="D203" s="733">
        <v>0</v>
      </c>
      <c r="E203" s="733">
        <v>0</v>
      </c>
      <c r="F203" s="733">
        <v>0</v>
      </c>
      <c r="G203" s="734" t="s">
        <v>212</v>
      </c>
      <c r="H203" s="734">
        <v>0</v>
      </c>
      <c r="I203" s="734" t="s">
        <v>212</v>
      </c>
      <c r="J203" s="734">
        <v>0</v>
      </c>
      <c r="K203" s="734" t="s">
        <v>212</v>
      </c>
      <c r="L203" s="734">
        <v>0</v>
      </c>
      <c r="M203" s="734" t="s">
        <v>212</v>
      </c>
      <c r="N203" s="734">
        <v>0</v>
      </c>
      <c r="O203" s="733">
        <v>0</v>
      </c>
    </row>
    <row r="204" spans="1:15" s="665" customFormat="1" x14ac:dyDescent="0.2">
      <c r="A204" s="702" t="s">
        <v>3224</v>
      </c>
      <c r="B204" s="716" t="s">
        <v>3225</v>
      </c>
      <c r="C204" s="704" t="s">
        <v>2995</v>
      </c>
      <c r="D204" s="733" t="s">
        <v>212</v>
      </c>
      <c r="E204" s="733" t="s">
        <v>212</v>
      </c>
      <c r="F204" s="733" t="s">
        <v>212</v>
      </c>
      <c r="G204" s="734" t="s">
        <v>212</v>
      </c>
      <c r="H204" s="734" t="s">
        <v>212</v>
      </c>
      <c r="I204" s="734" t="s">
        <v>212</v>
      </c>
      <c r="J204" s="734" t="s">
        <v>212</v>
      </c>
      <c r="K204" s="734" t="s">
        <v>212</v>
      </c>
      <c r="L204" s="734" t="s">
        <v>212</v>
      </c>
      <c r="M204" s="734" t="s">
        <v>212</v>
      </c>
      <c r="N204" s="734" t="s">
        <v>212</v>
      </c>
      <c r="O204" s="733" t="s">
        <v>212</v>
      </c>
    </row>
    <row r="205" spans="1:15" s="665" customFormat="1" x14ac:dyDescent="0.2">
      <c r="A205" s="702" t="s">
        <v>3226</v>
      </c>
      <c r="B205" s="716" t="s">
        <v>3227</v>
      </c>
      <c r="C205" s="704" t="s">
        <v>2995</v>
      </c>
      <c r="D205" s="733" t="s">
        <v>212</v>
      </c>
      <c r="E205" s="733" t="s">
        <v>212</v>
      </c>
      <c r="F205" s="733" t="s">
        <v>212</v>
      </c>
      <c r="G205" s="734" t="s">
        <v>212</v>
      </c>
      <c r="H205" s="734" t="s">
        <v>212</v>
      </c>
      <c r="I205" s="734" t="s">
        <v>212</v>
      </c>
      <c r="J205" s="734" t="s">
        <v>212</v>
      </c>
      <c r="K205" s="734" t="s">
        <v>212</v>
      </c>
      <c r="L205" s="734" t="s">
        <v>212</v>
      </c>
      <c r="M205" s="734" t="s">
        <v>212</v>
      </c>
      <c r="N205" s="734" t="s">
        <v>212</v>
      </c>
      <c r="O205" s="733" t="s">
        <v>212</v>
      </c>
    </row>
    <row r="206" spans="1:15" s="665" customFormat="1" ht="34.5" customHeight="1" x14ac:dyDescent="0.2">
      <c r="A206" s="702" t="s">
        <v>3228</v>
      </c>
      <c r="B206" s="715" t="s">
        <v>3229</v>
      </c>
      <c r="C206" s="704" t="s">
        <v>2995</v>
      </c>
      <c r="D206" s="733" t="s">
        <v>212</v>
      </c>
      <c r="E206" s="733" t="s">
        <v>212</v>
      </c>
      <c r="F206" s="733" t="s">
        <v>212</v>
      </c>
      <c r="G206" s="734" t="s">
        <v>212</v>
      </c>
      <c r="H206" s="734" t="s">
        <v>212</v>
      </c>
      <c r="I206" s="734" t="s">
        <v>212</v>
      </c>
      <c r="J206" s="734" t="s">
        <v>212</v>
      </c>
      <c r="K206" s="734" t="s">
        <v>212</v>
      </c>
      <c r="L206" s="734" t="s">
        <v>212</v>
      </c>
      <c r="M206" s="734" t="s">
        <v>212</v>
      </c>
      <c r="N206" s="734" t="s">
        <v>212</v>
      </c>
      <c r="O206" s="733" t="s">
        <v>212</v>
      </c>
    </row>
    <row r="207" spans="1:15" s="665" customFormat="1" x14ac:dyDescent="0.2">
      <c r="A207" s="702" t="s">
        <v>3230</v>
      </c>
      <c r="B207" s="717" t="s">
        <v>3231</v>
      </c>
      <c r="C207" s="704" t="s">
        <v>2995</v>
      </c>
      <c r="D207" s="733" t="s">
        <v>212</v>
      </c>
      <c r="E207" s="733" t="s">
        <v>212</v>
      </c>
      <c r="F207" s="733" t="s">
        <v>212</v>
      </c>
      <c r="G207" s="734" t="s">
        <v>212</v>
      </c>
      <c r="H207" s="734" t="s">
        <v>212</v>
      </c>
      <c r="I207" s="734" t="s">
        <v>212</v>
      </c>
      <c r="J207" s="734" t="s">
        <v>212</v>
      </c>
      <c r="K207" s="734" t="s">
        <v>212</v>
      </c>
      <c r="L207" s="734" t="s">
        <v>212</v>
      </c>
      <c r="M207" s="734" t="s">
        <v>212</v>
      </c>
      <c r="N207" s="734" t="s">
        <v>212</v>
      </c>
      <c r="O207" s="733" t="s">
        <v>212</v>
      </c>
    </row>
    <row r="208" spans="1:15" s="665" customFormat="1" x14ac:dyDescent="0.2">
      <c r="A208" s="702" t="s">
        <v>3232</v>
      </c>
      <c r="B208" s="717" t="s">
        <v>3233</v>
      </c>
      <c r="C208" s="704" t="s">
        <v>2995</v>
      </c>
      <c r="D208" s="733" t="s">
        <v>212</v>
      </c>
      <c r="E208" s="733" t="s">
        <v>212</v>
      </c>
      <c r="F208" s="733" t="s">
        <v>212</v>
      </c>
      <c r="G208" s="734" t="s">
        <v>212</v>
      </c>
      <c r="H208" s="734" t="s">
        <v>212</v>
      </c>
      <c r="I208" s="734" t="s">
        <v>212</v>
      </c>
      <c r="J208" s="734" t="s">
        <v>212</v>
      </c>
      <c r="K208" s="734" t="s">
        <v>212</v>
      </c>
      <c r="L208" s="734" t="s">
        <v>212</v>
      </c>
      <c r="M208" s="734" t="s">
        <v>212</v>
      </c>
      <c r="N208" s="734" t="s">
        <v>212</v>
      </c>
      <c r="O208" s="733" t="s">
        <v>212</v>
      </c>
    </row>
    <row r="209" spans="1:15" s="665" customFormat="1" x14ac:dyDescent="0.2">
      <c r="A209" s="702" t="s">
        <v>3234</v>
      </c>
      <c r="B209" s="716" t="s">
        <v>3235</v>
      </c>
      <c r="C209" s="704" t="s">
        <v>2995</v>
      </c>
      <c r="D209" s="733" t="s">
        <v>212</v>
      </c>
      <c r="E209" s="733" t="s">
        <v>212</v>
      </c>
      <c r="F209" s="733" t="s">
        <v>212</v>
      </c>
      <c r="G209" s="734" t="s">
        <v>212</v>
      </c>
      <c r="H209" s="734" t="s">
        <v>212</v>
      </c>
      <c r="I209" s="734" t="s">
        <v>212</v>
      </c>
      <c r="J209" s="734" t="s">
        <v>212</v>
      </c>
      <c r="K209" s="734" t="s">
        <v>212</v>
      </c>
      <c r="L209" s="734" t="s">
        <v>212</v>
      </c>
      <c r="M209" s="734" t="s">
        <v>212</v>
      </c>
      <c r="N209" s="734" t="s">
        <v>212</v>
      </c>
      <c r="O209" s="733" t="s">
        <v>212</v>
      </c>
    </row>
    <row r="210" spans="1:15" s="665" customFormat="1" x14ac:dyDescent="0.2">
      <c r="A210" s="702" t="s">
        <v>2839</v>
      </c>
      <c r="B210" s="729" t="s">
        <v>3236</v>
      </c>
      <c r="C210" s="704" t="s">
        <v>2995</v>
      </c>
      <c r="D210" s="733">
        <v>86.73341112</v>
      </c>
      <c r="E210" s="733">
        <f>E211+E218+E219+E220</f>
        <v>383.93</v>
      </c>
      <c r="F210" s="733">
        <f>F211+F218+F219+F220</f>
        <v>403.40999999999997</v>
      </c>
      <c r="G210" s="734" t="s">
        <v>212</v>
      </c>
      <c r="H210" s="734">
        <f>H211+H218+H219+H220</f>
        <v>462.69000000000005</v>
      </c>
      <c r="I210" s="734" t="s">
        <v>212</v>
      </c>
      <c r="J210" s="734">
        <f>J211+J218+J219+J220</f>
        <v>509.79999999999995</v>
      </c>
      <c r="K210" s="734" t="s">
        <v>212</v>
      </c>
      <c r="L210" s="734">
        <f>L211+L218+L219+L220</f>
        <v>459.21000000000004</v>
      </c>
      <c r="M210" s="734" t="s">
        <v>212</v>
      </c>
      <c r="N210" s="734">
        <v>468.18970617233049</v>
      </c>
      <c r="O210" s="733">
        <f>O211+O218+O219+O220</f>
        <v>383.93</v>
      </c>
    </row>
    <row r="211" spans="1:15" s="665" customFormat="1" x14ac:dyDescent="0.2">
      <c r="A211" s="702" t="s">
        <v>3237</v>
      </c>
      <c r="B211" s="716" t="s">
        <v>3238</v>
      </c>
      <c r="C211" s="704" t="s">
        <v>2995</v>
      </c>
      <c r="D211" s="733">
        <v>86.73341112</v>
      </c>
      <c r="E211" s="733">
        <f>SUM(E212:E217)</f>
        <v>383.93</v>
      </c>
      <c r="F211" s="733">
        <f>SUM(F212:F217)</f>
        <v>403.40999999999997</v>
      </c>
      <c r="G211" s="734" t="s">
        <v>212</v>
      </c>
      <c r="H211" s="734">
        <f>SUM(H212:H217)</f>
        <v>462.69000000000005</v>
      </c>
      <c r="I211" s="734" t="s">
        <v>212</v>
      </c>
      <c r="J211" s="734">
        <f>SUM(J212:J217)</f>
        <v>509.79999999999995</v>
      </c>
      <c r="K211" s="734" t="s">
        <v>212</v>
      </c>
      <c r="L211" s="734">
        <f>SUM(L212:L217)</f>
        <v>459.21000000000004</v>
      </c>
      <c r="M211" s="734" t="s">
        <v>212</v>
      </c>
      <c r="N211" s="734">
        <v>468.18970617233049</v>
      </c>
      <c r="O211" s="733">
        <f>SUM(O212:O217)</f>
        <v>383.93</v>
      </c>
    </row>
    <row r="212" spans="1:15" s="665" customFormat="1" x14ac:dyDescent="0.2">
      <c r="A212" s="702" t="s">
        <v>3239</v>
      </c>
      <c r="B212" s="715" t="s">
        <v>3240</v>
      </c>
      <c r="C212" s="704" t="s">
        <v>2995</v>
      </c>
      <c r="D212" s="733"/>
      <c r="E212" s="733"/>
      <c r="F212" s="733"/>
      <c r="G212" s="734" t="s">
        <v>212</v>
      </c>
      <c r="H212" s="734"/>
      <c r="I212" s="734" t="s">
        <v>212</v>
      </c>
      <c r="J212" s="734"/>
      <c r="K212" s="734" t="s">
        <v>212</v>
      </c>
      <c r="L212" s="734"/>
      <c r="M212" s="734" t="s">
        <v>212</v>
      </c>
      <c r="N212" s="734"/>
      <c r="O212" s="733"/>
    </row>
    <row r="213" spans="1:15" s="665" customFormat="1" x14ac:dyDescent="0.2">
      <c r="A213" s="702" t="s">
        <v>3241</v>
      </c>
      <c r="B213" s="715" t="s">
        <v>3242</v>
      </c>
      <c r="C213" s="704" t="s">
        <v>2995</v>
      </c>
      <c r="D213" s="733">
        <v>8.4386937599999996</v>
      </c>
      <c r="E213" s="733"/>
      <c r="F213" s="733"/>
      <c r="G213" s="734" t="s">
        <v>212</v>
      </c>
      <c r="H213" s="734"/>
      <c r="I213" s="734" t="s">
        <v>212</v>
      </c>
      <c r="J213" s="734"/>
      <c r="K213" s="734" t="s">
        <v>212</v>
      </c>
      <c r="L213" s="734"/>
      <c r="M213" s="734" t="s">
        <v>212</v>
      </c>
      <c r="N213" s="734">
        <v>45.55233676335407</v>
      </c>
      <c r="O213" s="733"/>
    </row>
    <row r="214" spans="1:15" s="665" customFormat="1" ht="31.5" x14ac:dyDescent="0.2">
      <c r="A214" s="702" t="s">
        <v>3243</v>
      </c>
      <c r="B214" s="715" t="s">
        <v>3244</v>
      </c>
      <c r="C214" s="704" t="s">
        <v>2995</v>
      </c>
      <c r="D214" s="733">
        <v>1.4746186800000001</v>
      </c>
      <c r="E214" s="733">
        <v>16.87</v>
      </c>
      <c r="F214" s="733">
        <v>17.38</v>
      </c>
      <c r="G214" s="734" t="s">
        <v>212</v>
      </c>
      <c r="H214" s="734">
        <v>17.899999999999999</v>
      </c>
      <c r="I214" s="734" t="s">
        <v>212</v>
      </c>
      <c r="J214" s="734">
        <v>18.43</v>
      </c>
      <c r="K214" s="734" t="s">
        <v>212</v>
      </c>
      <c r="L214" s="734">
        <v>18.989999999999998</v>
      </c>
      <c r="M214" s="734" t="s">
        <v>212</v>
      </c>
      <c r="N214" s="734">
        <v>7.9600384395146797</v>
      </c>
      <c r="O214" s="733">
        <v>16.87</v>
      </c>
    </row>
    <row r="215" spans="1:15" s="665" customFormat="1" x14ac:dyDescent="0.2">
      <c r="A215" s="702" t="s">
        <v>3245</v>
      </c>
      <c r="B215" s="715" t="s">
        <v>3246</v>
      </c>
      <c r="C215" s="704" t="s">
        <v>2995</v>
      </c>
      <c r="D215" s="733">
        <v>76.820098680000001</v>
      </c>
      <c r="E215" s="733">
        <v>198.35</v>
      </c>
      <c r="F215" s="733">
        <v>199.99</v>
      </c>
      <c r="G215" s="734" t="s">
        <v>212</v>
      </c>
      <c r="H215" s="734">
        <v>235.83</v>
      </c>
      <c r="I215" s="734" t="s">
        <v>212</v>
      </c>
      <c r="J215" s="734">
        <v>258.27999999999997</v>
      </c>
      <c r="K215" s="734" t="s">
        <v>212</v>
      </c>
      <c r="L215" s="734">
        <v>218.53</v>
      </c>
      <c r="M215" s="734" t="s">
        <v>212</v>
      </c>
      <c r="N215" s="734">
        <v>414.67733096946176</v>
      </c>
      <c r="O215" s="733">
        <v>198.35</v>
      </c>
    </row>
    <row r="216" spans="1:15" s="665" customFormat="1" x14ac:dyDescent="0.2">
      <c r="A216" s="702" t="s">
        <v>3247</v>
      </c>
      <c r="B216" s="715" t="s">
        <v>3248</v>
      </c>
      <c r="C216" s="704" t="s">
        <v>2995</v>
      </c>
      <c r="D216" s="733" t="s">
        <v>212</v>
      </c>
      <c r="E216" s="733"/>
      <c r="F216" s="733"/>
      <c r="G216" s="734" t="s">
        <v>212</v>
      </c>
      <c r="H216" s="734"/>
      <c r="I216" s="734" t="s">
        <v>212</v>
      </c>
      <c r="J216" s="734"/>
      <c r="K216" s="734" t="s">
        <v>212</v>
      </c>
      <c r="L216" s="734"/>
      <c r="M216" s="734" t="s">
        <v>212</v>
      </c>
      <c r="N216" s="734" t="s">
        <v>212</v>
      </c>
      <c r="O216" s="733"/>
    </row>
    <row r="217" spans="1:15" s="665" customFormat="1" x14ac:dyDescent="0.2">
      <c r="A217" s="702" t="s">
        <v>3249</v>
      </c>
      <c r="B217" s="715" t="s">
        <v>3250</v>
      </c>
      <c r="C217" s="704" t="s">
        <v>2995</v>
      </c>
      <c r="D217" s="733" t="s">
        <v>212</v>
      </c>
      <c r="E217" s="733">
        <v>168.71</v>
      </c>
      <c r="F217" s="733">
        <v>186.04</v>
      </c>
      <c r="G217" s="734" t="s">
        <v>212</v>
      </c>
      <c r="H217" s="734">
        <v>208.96</v>
      </c>
      <c r="I217" s="734" t="s">
        <v>212</v>
      </c>
      <c r="J217" s="734">
        <v>233.09</v>
      </c>
      <c r="K217" s="734" t="s">
        <v>212</v>
      </c>
      <c r="L217" s="734">
        <v>221.69</v>
      </c>
      <c r="M217" s="734" t="s">
        <v>212</v>
      </c>
      <c r="N217" s="734" t="s">
        <v>212</v>
      </c>
      <c r="O217" s="733">
        <v>168.71</v>
      </c>
    </row>
    <row r="218" spans="1:15" s="665" customFormat="1" x14ac:dyDescent="0.2">
      <c r="A218" s="702" t="s">
        <v>3251</v>
      </c>
      <c r="B218" s="716" t="s">
        <v>3252</v>
      </c>
      <c r="C218" s="704" t="s">
        <v>2995</v>
      </c>
      <c r="D218" s="733" t="s">
        <v>212</v>
      </c>
      <c r="E218" s="733"/>
      <c r="F218" s="733"/>
      <c r="G218" s="734" t="s">
        <v>212</v>
      </c>
      <c r="H218" s="734"/>
      <c r="I218" s="734" t="s">
        <v>212</v>
      </c>
      <c r="J218" s="734"/>
      <c r="K218" s="734" t="s">
        <v>212</v>
      </c>
      <c r="L218" s="734"/>
      <c r="M218" s="734" t="s">
        <v>212</v>
      </c>
      <c r="N218" s="734" t="s">
        <v>212</v>
      </c>
      <c r="O218" s="733"/>
    </row>
    <row r="219" spans="1:15" s="665" customFormat="1" x14ac:dyDescent="0.2">
      <c r="A219" s="702" t="s">
        <v>3253</v>
      </c>
      <c r="B219" s="716" t="s">
        <v>3254</v>
      </c>
      <c r="C219" s="704" t="s">
        <v>2995</v>
      </c>
      <c r="D219" s="733" t="s">
        <v>212</v>
      </c>
      <c r="E219" s="733"/>
      <c r="F219" s="733"/>
      <c r="G219" s="734" t="s">
        <v>212</v>
      </c>
      <c r="H219" s="734"/>
      <c r="I219" s="734" t="s">
        <v>212</v>
      </c>
      <c r="J219" s="734"/>
      <c r="K219" s="734" t="s">
        <v>212</v>
      </c>
      <c r="L219" s="734"/>
      <c r="M219" s="734" t="s">
        <v>212</v>
      </c>
      <c r="N219" s="734" t="s">
        <v>212</v>
      </c>
      <c r="O219" s="733"/>
    </row>
    <row r="220" spans="1:15" s="665" customFormat="1" x14ac:dyDescent="0.2">
      <c r="A220" s="702" t="s">
        <v>3255</v>
      </c>
      <c r="B220" s="716" t="s">
        <v>3057</v>
      </c>
      <c r="C220" s="704" t="s">
        <v>212</v>
      </c>
      <c r="D220" s="733" t="s">
        <v>212</v>
      </c>
      <c r="E220" s="733"/>
      <c r="F220" s="733"/>
      <c r="G220" s="734" t="s">
        <v>212</v>
      </c>
      <c r="H220" s="734"/>
      <c r="I220" s="734" t="s">
        <v>212</v>
      </c>
      <c r="J220" s="734"/>
      <c r="K220" s="734" t="s">
        <v>212</v>
      </c>
      <c r="L220" s="734"/>
      <c r="M220" s="734" t="s">
        <v>212</v>
      </c>
      <c r="N220" s="734" t="s">
        <v>212</v>
      </c>
      <c r="O220" s="733"/>
    </row>
    <row r="221" spans="1:15" s="665" customFormat="1" ht="31.5" x14ac:dyDescent="0.2">
      <c r="A221" s="702" t="s">
        <v>3256</v>
      </c>
      <c r="B221" s="716" t="s">
        <v>3257</v>
      </c>
      <c r="C221" s="704" t="s">
        <v>2995</v>
      </c>
      <c r="D221" s="733" t="s">
        <v>212</v>
      </c>
      <c r="E221" s="733"/>
      <c r="F221" s="733"/>
      <c r="G221" s="734" t="s">
        <v>212</v>
      </c>
      <c r="H221" s="734"/>
      <c r="I221" s="734" t="s">
        <v>212</v>
      </c>
      <c r="J221" s="734"/>
      <c r="K221" s="734" t="s">
        <v>212</v>
      </c>
      <c r="L221" s="734"/>
      <c r="M221" s="734" t="s">
        <v>212</v>
      </c>
      <c r="N221" s="734" t="s">
        <v>212</v>
      </c>
      <c r="O221" s="733"/>
    </row>
    <row r="222" spans="1:15" s="665" customFormat="1" x14ac:dyDescent="0.2">
      <c r="A222" s="702" t="s">
        <v>2841</v>
      </c>
      <c r="B222" s="729" t="s">
        <v>3258</v>
      </c>
      <c r="C222" s="704" t="s">
        <v>2995</v>
      </c>
      <c r="D222" s="733">
        <v>0</v>
      </c>
      <c r="E222" s="733">
        <f>E223+E224+E228+E229++E232+E233+E234</f>
        <v>1195.79</v>
      </c>
      <c r="F222" s="733">
        <f>F223+F224+F228+F229++F232+F233+F234</f>
        <v>2.12</v>
      </c>
      <c r="G222" s="734" t="s">
        <v>212</v>
      </c>
      <c r="H222" s="734">
        <f>H223+H224+H228+H229++H232+H233+H234</f>
        <v>2.19</v>
      </c>
      <c r="I222" s="734" t="s">
        <v>212</v>
      </c>
      <c r="J222" s="734">
        <f>J223+J224+J228+J229++J232+J233+J234</f>
        <v>2.25</v>
      </c>
      <c r="K222" s="734" t="s">
        <v>212</v>
      </c>
      <c r="L222" s="734">
        <f>L223+L224+L228+L229++L232+L233+L234</f>
        <v>2.3199999999999998</v>
      </c>
      <c r="M222" s="734" t="s">
        <v>212</v>
      </c>
      <c r="N222" s="734">
        <v>0</v>
      </c>
      <c r="O222" s="733">
        <f>O223+O224+O228+O229++O232+O233+O234</f>
        <v>1195.79</v>
      </c>
    </row>
    <row r="223" spans="1:15" s="665" customFormat="1" x14ac:dyDescent="0.2">
      <c r="A223" s="702" t="s">
        <v>3259</v>
      </c>
      <c r="B223" s="716" t="s">
        <v>3260</v>
      </c>
      <c r="C223" s="704" t="s">
        <v>2995</v>
      </c>
      <c r="D223" s="733" t="s">
        <v>212</v>
      </c>
      <c r="E223" s="733">
        <v>19.79</v>
      </c>
      <c r="F223" s="733">
        <v>2.12</v>
      </c>
      <c r="G223" s="734" t="s">
        <v>212</v>
      </c>
      <c r="H223" s="734">
        <v>2.19</v>
      </c>
      <c r="I223" s="734" t="s">
        <v>212</v>
      </c>
      <c r="J223" s="734">
        <v>2.25</v>
      </c>
      <c r="K223" s="734" t="s">
        <v>212</v>
      </c>
      <c r="L223" s="734">
        <v>2.3199999999999998</v>
      </c>
      <c r="M223" s="734" t="s">
        <v>212</v>
      </c>
      <c r="N223" s="734" t="s">
        <v>212</v>
      </c>
      <c r="O223" s="733">
        <v>19.79</v>
      </c>
    </row>
    <row r="224" spans="1:15" s="665" customFormat="1" x14ac:dyDescent="0.2">
      <c r="A224" s="702" t="s">
        <v>3261</v>
      </c>
      <c r="B224" s="716" t="s">
        <v>3262</v>
      </c>
      <c r="C224" s="704" t="s">
        <v>2995</v>
      </c>
      <c r="D224" s="733" t="s">
        <v>212</v>
      </c>
      <c r="E224" s="733"/>
      <c r="F224" s="733"/>
      <c r="G224" s="734" t="s">
        <v>212</v>
      </c>
      <c r="H224" s="734"/>
      <c r="I224" s="734" t="s">
        <v>212</v>
      </c>
      <c r="J224" s="734"/>
      <c r="K224" s="734" t="s">
        <v>212</v>
      </c>
      <c r="L224" s="734"/>
      <c r="M224" s="734" t="s">
        <v>212</v>
      </c>
      <c r="N224" s="734" t="s">
        <v>212</v>
      </c>
      <c r="O224" s="733"/>
    </row>
    <row r="225" spans="1:15" s="665" customFormat="1" x14ac:dyDescent="0.2">
      <c r="A225" s="702" t="s">
        <v>3263</v>
      </c>
      <c r="B225" s="715" t="s">
        <v>3264</v>
      </c>
      <c r="C225" s="704" t="s">
        <v>2995</v>
      </c>
      <c r="D225" s="733" t="s">
        <v>212</v>
      </c>
      <c r="E225" s="733"/>
      <c r="F225" s="733"/>
      <c r="G225" s="734" t="s">
        <v>212</v>
      </c>
      <c r="H225" s="734"/>
      <c r="I225" s="734" t="s">
        <v>212</v>
      </c>
      <c r="J225" s="734"/>
      <c r="K225" s="734" t="s">
        <v>212</v>
      </c>
      <c r="L225" s="734"/>
      <c r="M225" s="734" t="s">
        <v>212</v>
      </c>
      <c r="N225" s="734" t="s">
        <v>212</v>
      </c>
      <c r="O225" s="733"/>
    </row>
    <row r="226" spans="1:15" s="665" customFormat="1" x14ac:dyDescent="0.2">
      <c r="A226" s="702" t="s">
        <v>3265</v>
      </c>
      <c r="B226" s="715" t="s">
        <v>3266</v>
      </c>
      <c r="C226" s="704" t="s">
        <v>2995</v>
      </c>
      <c r="D226" s="733" t="s">
        <v>212</v>
      </c>
      <c r="E226" s="733"/>
      <c r="F226" s="733"/>
      <c r="G226" s="734" t="s">
        <v>212</v>
      </c>
      <c r="H226" s="734"/>
      <c r="I226" s="734" t="s">
        <v>212</v>
      </c>
      <c r="J226" s="734"/>
      <c r="K226" s="734" t="s">
        <v>212</v>
      </c>
      <c r="L226" s="734"/>
      <c r="M226" s="734" t="s">
        <v>212</v>
      </c>
      <c r="N226" s="734" t="s">
        <v>212</v>
      </c>
      <c r="O226" s="733"/>
    </row>
    <row r="227" spans="1:15" s="665" customFormat="1" x14ac:dyDescent="0.2">
      <c r="A227" s="702" t="s">
        <v>3267</v>
      </c>
      <c r="B227" s="715" t="s">
        <v>3268</v>
      </c>
      <c r="C227" s="704" t="s">
        <v>2995</v>
      </c>
      <c r="D227" s="733" t="s">
        <v>212</v>
      </c>
      <c r="E227" s="733"/>
      <c r="F227" s="733"/>
      <c r="G227" s="734" t="s">
        <v>212</v>
      </c>
      <c r="H227" s="734"/>
      <c r="I227" s="734" t="s">
        <v>212</v>
      </c>
      <c r="J227" s="734"/>
      <c r="K227" s="734" t="s">
        <v>212</v>
      </c>
      <c r="L227" s="734"/>
      <c r="M227" s="734" t="s">
        <v>212</v>
      </c>
      <c r="N227" s="734" t="s">
        <v>212</v>
      </c>
      <c r="O227" s="733"/>
    </row>
    <row r="228" spans="1:15" s="665" customFormat="1" x14ac:dyDescent="0.2">
      <c r="A228" s="702" t="s">
        <v>3269</v>
      </c>
      <c r="B228" s="716" t="s">
        <v>3270</v>
      </c>
      <c r="C228" s="704" t="s">
        <v>2995</v>
      </c>
      <c r="D228" s="733" t="s">
        <v>212</v>
      </c>
      <c r="E228" s="733"/>
      <c r="F228" s="733"/>
      <c r="G228" s="734" t="s">
        <v>212</v>
      </c>
      <c r="H228" s="734"/>
      <c r="I228" s="734" t="s">
        <v>212</v>
      </c>
      <c r="J228" s="734"/>
      <c r="K228" s="734" t="s">
        <v>212</v>
      </c>
      <c r="L228" s="734"/>
      <c r="M228" s="734" t="s">
        <v>212</v>
      </c>
      <c r="N228" s="734" t="s">
        <v>212</v>
      </c>
      <c r="O228" s="733"/>
    </row>
    <row r="229" spans="1:15" s="665" customFormat="1" ht="16.5" customHeight="1" x14ac:dyDescent="0.2">
      <c r="A229" s="702" t="s">
        <v>3271</v>
      </c>
      <c r="B229" s="716" t="s">
        <v>3272</v>
      </c>
      <c r="C229" s="704" t="s">
        <v>2995</v>
      </c>
      <c r="D229" s="733" t="s">
        <v>212</v>
      </c>
      <c r="E229" s="733">
        <f>E231</f>
        <v>1176</v>
      </c>
      <c r="F229" s="733">
        <f>F231</f>
        <v>0</v>
      </c>
      <c r="G229" s="734" t="s">
        <v>212</v>
      </c>
      <c r="H229" s="734">
        <f>H231</f>
        <v>0</v>
      </c>
      <c r="I229" s="734" t="s">
        <v>212</v>
      </c>
      <c r="J229" s="734">
        <f>J231</f>
        <v>0</v>
      </c>
      <c r="K229" s="734" t="s">
        <v>212</v>
      </c>
      <c r="L229" s="734">
        <f>L231</f>
        <v>0</v>
      </c>
      <c r="M229" s="734" t="s">
        <v>212</v>
      </c>
      <c r="N229" s="734" t="s">
        <v>212</v>
      </c>
      <c r="O229" s="733">
        <f>O231</f>
        <v>1176</v>
      </c>
    </row>
    <row r="230" spans="1:15" s="665" customFormat="1" x14ac:dyDescent="0.2">
      <c r="A230" s="702" t="s">
        <v>3273</v>
      </c>
      <c r="B230" s="715" t="s">
        <v>3274</v>
      </c>
      <c r="C230" s="704" t="s">
        <v>2995</v>
      </c>
      <c r="D230" s="733" t="s">
        <v>212</v>
      </c>
      <c r="E230" s="733"/>
      <c r="F230" s="733"/>
      <c r="G230" s="734" t="s">
        <v>212</v>
      </c>
      <c r="H230" s="734"/>
      <c r="I230" s="734" t="s">
        <v>212</v>
      </c>
      <c r="J230" s="734"/>
      <c r="K230" s="734" t="s">
        <v>212</v>
      </c>
      <c r="L230" s="734"/>
      <c r="M230" s="734" t="s">
        <v>212</v>
      </c>
      <c r="N230" s="734" t="s">
        <v>212</v>
      </c>
      <c r="O230" s="733"/>
    </row>
    <row r="231" spans="1:15" s="665" customFormat="1" x14ac:dyDescent="0.2">
      <c r="A231" s="702" t="s">
        <v>3275</v>
      </c>
      <c r="B231" s="715" t="s">
        <v>3276</v>
      </c>
      <c r="C231" s="704" t="s">
        <v>2995</v>
      </c>
      <c r="D231" s="733" t="s">
        <v>212</v>
      </c>
      <c r="E231" s="733">
        <v>1176</v>
      </c>
      <c r="F231" s="733"/>
      <c r="G231" s="734" t="s">
        <v>212</v>
      </c>
      <c r="H231" s="734"/>
      <c r="I231" s="734" t="s">
        <v>212</v>
      </c>
      <c r="J231" s="734"/>
      <c r="K231" s="734" t="s">
        <v>212</v>
      </c>
      <c r="L231" s="734"/>
      <c r="M231" s="734" t="s">
        <v>212</v>
      </c>
      <c r="N231" s="734" t="s">
        <v>212</v>
      </c>
      <c r="O231" s="733">
        <v>1176</v>
      </c>
    </row>
    <row r="232" spans="1:15" s="665" customFormat="1" x14ac:dyDescent="0.2">
      <c r="A232" s="702" t="s">
        <v>3277</v>
      </c>
      <c r="B232" s="716" t="s">
        <v>3278</v>
      </c>
      <c r="C232" s="704" t="s">
        <v>2995</v>
      </c>
      <c r="D232" s="733" t="s">
        <v>212</v>
      </c>
      <c r="E232" s="733"/>
      <c r="F232" s="733"/>
      <c r="G232" s="734" t="s">
        <v>212</v>
      </c>
      <c r="H232" s="734"/>
      <c r="I232" s="734" t="s">
        <v>212</v>
      </c>
      <c r="J232" s="734"/>
      <c r="K232" s="734" t="s">
        <v>212</v>
      </c>
      <c r="L232" s="734"/>
      <c r="M232" s="734" t="s">
        <v>212</v>
      </c>
      <c r="N232" s="734" t="s">
        <v>212</v>
      </c>
      <c r="O232" s="733"/>
    </row>
    <row r="233" spans="1:15" s="665" customFormat="1" x14ac:dyDescent="0.2">
      <c r="A233" s="702" t="s">
        <v>3279</v>
      </c>
      <c r="B233" s="716" t="s">
        <v>3280</v>
      </c>
      <c r="C233" s="704" t="s">
        <v>2995</v>
      </c>
      <c r="D233" s="733" t="s">
        <v>212</v>
      </c>
      <c r="E233" s="733"/>
      <c r="F233" s="733"/>
      <c r="G233" s="734" t="s">
        <v>212</v>
      </c>
      <c r="H233" s="734"/>
      <c r="I233" s="734" t="s">
        <v>212</v>
      </c>
      <c r="J233" s="734"/>
      <c r="K233" s="734" t="s">
        <v>212</v>
      </c>
      <c r="L233" s="734"/>
      <c r="M233" s="734" t="s">
        <v>212</v>
      </c>
      <c r="N233" s="734" t="s">
        <v>212</v>
      </c>
      <c r="O233" s="733"/>
    </row>
    <row r="234" spans="1:15" s="665" customFormat="1" x14ac:dyDescent="0.2">
      <c r="A234" s="702" t="s">
        <v>3281</v>
      </c>
      <c r="B234" s="716" t="s">
        <v>3282</v>
      </c>
      <c r="C234" s="704" t="s">
        <v>2995</v>
      </c>
      <c r="D234" s="733" t="s">
        <v>212</v>
      </c>
      <c r="E234" s="733"/>
      <c r="F234" s="733"/>
      <c r="G234" s="734" t="s">
        <v>212</v>
      </c>
      <c r="H234" s="734"/>
      <c r="I234" s="734" t="s">
        <v>212</v>
      </c>
      <c r="J234" s="734"/>
      <c r="K234" s="734" t="s">
        <v>212</v>
      </c>
      <c r="L234" s="734"/>
      <c r="M234" s="734" t="s">
        <v>212</v>
      </c>
      <c r="N234" s="734" t="s">
        <v>212</v>
      </c>
      <c r="O234" s="733"/>
    </row>
    <row r="235" spans="1:15" s="665" customFormat="1" x14ac:dyDescent="0.2">
      <c r="A235" s="702" t="s">
        <v>2845</v>
      </c>
      <c r="B235" s="729" t="s">
        <v>3283</v>
      </c>
      <c r="C235" s="704" t="s">
        <v>2995</v>
      </c>
      <c r="D235" s="733">
        <v>0</v>
      </c>
      <c r="E235" s="733">
        <f>E236+E240+E241</f>
        <v>1176</v>
      </c>
      <c r="F235" s="733">
        <f>F236+F240+F241</f>
        <v>0</v>
      </c>
      <c r="G235" s="734" t="s">
        <v>212</v>
      </c>
      <c r="H235" s="734">
        <f>H236+H240+H241</f>
        <v>0</v>
      </c>
      <c r="I235" s="734" t="s">
        <v>212</v>
      </c>
      <c r="J235" s="734">
        <f>J236+J240+J241</f>
        <v>0</v>
      </c>
      <c r="K235" s="734" t="s">
        <v>212</v>
      </c>
      <c r="L235" s="734">
        <f>L236+L240+L241</f>
        <v>0</v>
      </c>
      <c r="M235" s="734" t="s">
        <v>212</v>
      </c>
      <c r="N235" s="734">
        <v>0</v>
      </c>
      <c r="O235" s="733">
        <f>O236+O240+O241</f>
        <v>1176</v>
      </c>
    </row>
    <row r="236" spans="1:15" s="665" customFormat="1" x14ac:dyDescent="0.2">
      <c r="A236" s="702" t="s">
        <v>3284</v>
      </c>
      <c r="B236" s="716" t="s">
        <v>3285</v>
      </c>
      <c r="C236" s="704" t="s">
        <v>2995</v>
      </c>
      <c r="D236" s="733" t="s">
        <v>212</v>
      </c>
      <c r="E236" s="733">
        <f>E237+E238+E239</f>
        <v>0</v>
      </c>
      <c r="F236" s="733">
        <f>F237+F238+F239</f>
        <v>0</v>
      </c>
      <c r="G236" s="734" t="s">
        <v>212</v>
      </c>
      <c r="H236" s="734">
        <f>H237+H238+H239</f>
        <v>0</v>
      </c>
      <c r="I236" s="734" t="s">
        <v>212</v>
      </c>
      <c r="J236" s="734">
        <f>J237+J238+J239</f>
        <v>0</v>
      </c>
      <c r="K236" s="734" t="s">
        <v>212</v>
      </c>
      <c r="L236" s="734">
        <f>L237+L238+L239</f>
        <v>0</v>
      </c>
      <c r="M236" s="734" t="s">
        <v>212</v>
      </c>
      <c r="N236" s="734" t="s">
        <v>212</v>
      </c>
      <c r="O236" s="733">
        <f>O237+O238+O239</f>
        <v>0</v>
      </c>
    </row>
    <row r="237" spans="1:15" s="665" customFormat="1" x14ac:dyDescent="0.2">
      <c r="A237" s="702" t="s">
        <v>3286</v>
      </c>
      <c r="B237" s="715" t="s">
        <v>3264</v>
      </c>
      <c r="C237" s="704" t="s">
        <v>2995</v>
      </c>
      <c r="D237" s="733" t="s">
        <v>212</v>
      </c>
      <c r="E237" s="733"/>
      <c r="F237" s="733"/>
      <c r="G237" s="734" t="s">
        <v>212</v>
      </c>
      <c r="H237" s="734"/>
      <c r="I237" s="734" t="s">
        <v>212</v>
      </c>
      <c r="J237" s="734"/>
      <c r="K237" s="734" t="s">
        <v>212</v>
      </c>
      <c r="L237" s="734"/>
      <c r="M237" s="734" t="s">
        <v>212</v>
      </c>
      <c r="N237" s="734" t="s">
        <v>212</v>
      </c>
      <c r="O237" s="733"/>
    </row>
    <row r="238" spans="1:15" s="665" customFormat="1" x14ac:dyDescent="0.2">
      <c r="A238" s="702" t="s">
        <v>3287</v>
      </c>
      <c r="B238" s="715" t="s">
        <v>3266</v>
      </c>
      <c r="C238" s="704" t="s">
        <v>2995</v>
      </c>
      <c r="D238" s="733" t="s">
        <v>212</v>
      </c>
      <c r="E238" s="733"/>
      <c r="F238" s="733"/>
      <c r="G238" s="734" t="s">
        <v>212</v>
      </c>
      <c r="H238" s="734"/>
      <c r="I238" s="734" t="s">
        <v>212</v>
      </c>
      <c r="J238" s="734"/>
      <c r="K238" s="734" t="s">
        <v>212</v>
      </c>
      <c r="L238" s="734"/>
      <c r="M238" s="734" t="s">
        <v>212</v>
      </c>
      <c r="N238" s="734" t="s">
        <v>212</v>
      </c>
      <c r="O238" s="733"/>
    </row>
    <row r="239" spans="1:15" s="665" customFormat="1" x14ac:dyDescent="0.2">
      <c r="A239" s="702" t="s">
        <v>3288</v>
      </c>
      <c r="B239" s="715" t="s">
        <v>3268</v>
      </c>
      <c r="C239" s="704" t="s">
        <v>2995</v>
      </c>
      <c r="D239" s="733" t="s">
        <v>212</v>
      </c>
      <c r="E239" s="733"/>
      <c r="F239" s="733"/>
      <c r="G239" s="734" t="s">
        <v>212</v>
      </c>
      <c r="H239" s="734"/>
      <c r="I239" s="734" t="s">
        <v>212</v>
      </c>
      <c r="J239" s="734"/>
      <c r="K239" s="734" t="s">
        <v>212</v>
      </c>
      <c r="L239" s="734"/>
      <c r="M239" s="734" t="s">
        <v>212</v>
      </c>
      <c r="N239" s="734" t="s">
        <v>212</v>
      </c>
      <c r="O239" s="733"/>
    </row>
    <row r="240" spans="1:15" s="665" customFormat="1" x14ac:dyDescent="0.2">
      <c r="A240" s="702" t="s">
        <v>3289</v>
      </c>
      <c r="B240" s="716" t="s">
        <v>2817</v>
      </c>
      <c r="C240" s="704" t="s">
        <v>2995</v>
      </c>
      <c r="D240" s="733" t="s">
        <v>212</v>
      </c>
      <c r="E240" s="733"/>
      <c r="F240" s="733"/>
      <c r="G240" s="734" t="s">
        <v>212</v>
      </c>
      <c r="H240" s="734"/>
      <c r="I240" s="734" t="s">
        <v>212</v>
      </c>
      <c r="J240" s="734"/>
      <c r="K240" s="734" t="s">
        <v>212</v>
      </c>
      <c r="L240" s="734"/>
      <c r="M240" s="734" t="s">
        <v>212</v>
      </c>
      <c r="N240" s="734" t="s">
        <v>212</v>
      </c>
      <c r="O240" s="733"/>
    </row>
    <row r="241" spans="1:15" s="665" customFormat="1" x14ac:dyDescent="0.2">
      <c r="A241" s="702" t="s">
        <v>3290</v>
      </c>
      <c r="B241" s="716" t="s">
        <v>3291</v>
      </c>
      <c r="C241" s="704" t="s">
        <v>2995</v>
      </c>
      <c r="D241" s="733" t="s">
        <v>212</v>
      </c>
      <c r="E241" s="733">
        <v>1176</v>
      </c>
      <c r="F241" s="733"/>
      <c r="G241" s="734" t="s">
        <v>212</v>
      </c>
      <c r="H241" s="734"/>
      <c r="I241" s="734" t="s">
        <v>212</v>
      </c>
      <c r="J241" s="734"/>
      <c r="K241" s="734" t="s">
        <v>212</v>
      </c>
      <c r="L241" s="734"/>
      <c r="M241" s="734" t="s">
        <v>212</v>
      </c>
      <c r="N241" s="734" t="s">
        <v>212</v>
      </c>
      <c r="O241" s="733">
        <v>1176</v>
      </c>
    </row>
    <row r="242" spans="1:15" s="665" customFormat="1" ht="31.5" x14ac:dyDescent="0.2">
      <c r="A242" s="702" t="s">
        <v>2847</v>
      </c>
      <c r="B242" s="729" t="s">
        <v>3292</v>
      </c>
      <c r="C242" s="704" t="s">
        <v>2995</v>
      </c>
      <c r="D242" s="733">
        <v>121.30622280000011</v>
      </c>
      <c r="E242" s="733">
        <f>E167-E185</f>
        <v>384.61999999999989</v>
      </c>
      <c r="F242" s="733">
        <f>F167-F185</f>
        <v>412.48</v>
      </c>
      <c r="G242" s="734" t="s">
        <v>212</v>
      </c>
      <c r="H242" s="734">
        <f>H167-H185</f>
        <v>485.57999999999993</v>
      </c>
      <c r="I242" s="734" t="s">
        <v>212</v>
      </c>
      <c r="J242" s="734">
        <f>J167-J185</f>
        <v>539.20000000000027</v>
      </c>
      <c r="K242" s="734" t="s">
        <v>212</v>
      </c>
      <c r="L242" s="734">
        <f>L167-L185</f>
        <v>570.54999999999995</v>
      </c>
      <c r="M242" s="734" t="s">
        <v>212</v>
      </c>
      <c r="N242" s="734">
        <v>654.81484097321845</v>
      </c>
      <c r="O242" s="733">
        <f>O167-O185</f>
        <v>384.61999999999989</v>
      </c>
    </row>
    <row r="243" spans="1:15" s="665" customFormat="1" ht="31.5" x14ac:dyDescent="0.2">
      <c r="A243" s="702" t="s">
        <v>2850</v>
      </c>
      <c r="B243" s="729" t="s">
        <v>3293</v>
      </c>
      <c r="C243" s="704" t="s">
        <v>2995</v>
      </c>
      <c r="D243" s="733">
        <v>-86.73341112</v>
      </c>
      <c r="E243" s="733">
        <f>E203-E210</f>
        <v>-383.93</v>
      </c>
      <c r="F243" s="733">
        <f>F203-F210</f>
        <v>-403.40999999999997</v>
      </c>
      <c r="G243" s="734" t="s">
        <v>212</v>
      </c>
      <c r="H243" s="734">
        <f>H203-H210</f>
        <v>-462.69000000000005</v>
      </c>
      <c r="I243" s="734" t="s">
        <v>212</v>
      </c>
      <c r="J243" s="734">
        <f>J203-J210</f>
        <v>-509.79999999999995</v>
      </c>
      <c r="K243" s="734" t="s">
        <v>212</v>
      </c>
      <c r="L243" s="734">
        <f>L203-L210</f>
        <v>-459.21000000000004</v>
      </c>
      <c r="M243" s="734" t="s">
        <v>212</v>
      </c>
      <c r="N243" s="734">
        <v>-468.18970617233049</v>
      </c>
      <c r="O243" s="733">
        <f>O203-O210</f>
        <v>-383.93</v>
      </c>
    </row>
    <row r="244" spans="1:15" s="665" customFormat="1" x14ac:dyDescent="0.2">
      <c r="A244" s="702" t="s">
        <v>3294</v>
      </c>
      <c r="B244" s="716" t="s">
        <v>3295</v>
      </c>
      <c r="C244" s="704" t="s">
        <v>2995</v>
      </c>
      <c r="D244" s="733">
        <v>-86.73341112</v>
      </c>
      <c r="E244" s="733">
        <f>E243</f>
        <v>-383.93</v>
      </c>
      <c r="F244" s="733">
        <f>F243</f>
        <v>-403.40999999999997</v>
      </c>
      <c r="G244" s="734" t="s">
        <v>212</v>
      </c>
      <c r="H244" s="734">
        <f>H243</f>
        <v>-462.69000000000005</v>
      </c>
      <c r="I244" s="734" t="s">
        <v>212</v>
      </c>
      <c r="J244" s="734">
        <f>J243</f>
        <v>-509.79999999999995</v>
      </c>
      <c r="K244" s="734" t="s">
        <v>212</v>
      </c>
      <c r="L244" s="734">
        <f>L243</f>
        <v>-459.21000000000004</v>
      </c>
      <c r="M244" s="734" t="s">
        <v>212</v>
      </c>
      <c r="N244" s="734">
        <v>-468.18970617233049</v>
      </c>
      <c r="O244" s="733">
        <f>O243</f>
        <v>-383.93</v>
      </c>
    </row>
    <row r="245" spans="1:15" s="665" customFormat="1" x14ac:dyDescent="0.2">
      <c r="A245" s="702" t="s">
        <v>3296</v>
      </c>
      <c r="B245" s="716" t="s">
        <v>3297</v>
      </c>
      <c r="C245" s="704" t="s">
        <v>2995</v>
      </c>
      <c r="D245" s="733"/>
      <c r="E245" s="733"/>
      <c r="F245" s="733"/>
      <c r="G245" s="734" t="s">
        <v>212</v>
      </c>
      <c r="H245" s="734"/>
      <c r="I245" s="734" t="s">
        <v>212</v>
      </c>
      <c r="J245" s="734"/>
      <c r="K245" s="734" t="s">
        <v>212</v>
      </c>
      <c r="L245" s="734"/>
      <c r="M245" s="734" t="s">
        <v>212</v>
      </c>
      <c r="N245" s="734"/>
      <c r="O245" s="733"/>
    </row>
    <row r="246" spans="1:15" s="665" customFormat="1" ht="31.5" x14ac:dyDescent="0.2">
      <c r="A246" s="702" t="s">
        <v>3298</v>
      </c>
      <c r="B246" s="729" t="s">
        <v>3299</v>
      </c>
      <c r="C246" s="704" t="s">
        <v>2995</v>
      </c>
      <c r="D246" s="733">
        <v>0</v>
      </c>
      <c r="E246" s="733">
        <f>E222-E235</f>
        <v>19.789999999999964</v>
      </c>
      <c r="F246" s="733">
        <f>F222-F235</f>
        <v>2.12</v>
      </c>
      <c r="G246" s="734" t="s">
        <v>212</v>
      </c>
      <c r="H246" s="734">
        <f>H222-H235</f>
        <v>2.19</v>
      </c>
      <c r="I246" s="734" t="s">
        <v>212</v>
      </c>
      <c r="J246" s="734">
        <f>J222-J235</f>
        <v>2.25</v>
      </c>
      <c r="K246" s="734" t="s">
        <v>212</v>
      </c>
      <c r="L246" s="734">
        <f>L222-L235</f>
        <v>2.3199999999999998</v>
      </c>
      <c r="M246" s="734" t="s">
        <v>212</v>
      </c>
      <c r="N246" s="734">
        <v>0</v>
      </c>
      <c r="O246" s="733">
        <f>O222-O235</f>
        <v>19.789999999999964</v>
      </c>
    </row>
    <row r="247" spans="1:15" s="665" customFormat="1" x14ac:dyDescent="0.2">
      <c r="A247" s="702" t="s">
        <v>3300</v>
      </c>
      <c r="B247" s="716" t="s">
        <v>3301</v>
      </c>
      <c r="C247" s="704" t="s">
        <v>2995</v>
      </c>
      <c r="D247" s="733" t="s">
        <v>212</v>
      </c>
      <c r="E247" s="733"/>
      <c r="F247" s="733"/>
      <c r="G247" s="734" t="s">
        <v>212</v>
      </c>
      <c r="H247" s="734"/>
      <c r="I247" s="734" t="s">
        <v>212</v>
      </c>
      <c r="J247" s="734"/>
      <c r="K247" s="734" t="s">
        <v>212</v>
      </c>
      <c r="L247" s="734"/>
      <c r="M247" s="734" t="s">
        <v>212</v>
      </c>
      <c r="N247" s="734" t="s">
        <v>212</v>
      </c>
      <c r="O247" s="733"/>
    </row>
    <row r="248" spans="1:15" s="665" customFormat="1" x14ac:dyDescent="0.2">
      <c r="A248" s="702" t="s">
        <v>3302</v>
      </c>
      <c r="B248" s="716" t="s">
        <v>3303</v>
      </c>
      <c r="C248" s="704" t="s">
        <v>2995</v>
      </c>
      <c r="D248" s="733" t="s">
        <v>212</v>
      </c>
      <c r="E248" s="733"/>
      <c r="F248" s="733"/>
      <c r="G248" s="734" t="s">
        <v>212</v>
      </c>
      <c r="H248" s="734"/>
      <c r="I248" s="734" t="s">
        <v>212</v>
      </c>
      <c r="J248" s="734"/>
      <c r="K248" s="734" t="s">
        <v>212</v>
      </c>
      <c r="L248" s="734"/>
      <c r="M248" s="734" t="s">
        <v>212</v>
      </c>
      <c r="N248" s="734" t="s">
        <v>212</v>
      </c>
      <c r="O248" s="733"/>
    </row>
    <row r="249" spans="1:15" s="665" customFormat="1" x14ac:dyDescent="0.2">
      <c r="A249" s="702" t="s">
        <v>3304</v>
      </c>
      <c r="B249" s="729" t="s">
        <v>3305</v>
      </c>
      <c r="C249" s="704" t="s">
        <v>2995</v>
      </c>
      <c r="D249" s="733" t="s">
        <v>212</v>
      </c>
      <c r="E249" s="733"/>
      <c r="F249" s="733"/>
      <c r="G249" s="734" t="s">
        <v>212</v>
      </c>
      <c r="H249" s="734"/>
      <c r="I249" s="734" t="s">
        <v>212</v>
      </c>
      <c r="J249" s="734"/>
      <c r="K249" s="734" t="s">
        <v>212</v>
      </c>
      <c r="L249" s="734"/>
      <c r="M249" s="734" t="s">
        <v>212</v>
      </c>
      <c r="N249" s="734" t="s">
        <v>212</v>
      </c>
      <c r="O249" s="733"/>
    </row>
    <row r="250" spans="1:15" s="665" customFormat="1" ht="31.5" x14ac:dyDescent="0.2">
      <c r="A250" s="702" t="s">
        <v>3306</v>
      </c>
      <c r="B250" s="729" t="s">
        <v>3307</v>
      </c>
      <c r="C250" s="704" t="s">
        <v>2995</v>
      </c>
      <c r="D250" s="733">
        <v>34.572811680000115</v>
      </c>
      <c r="E250" s="733">
        <f>E242+E243+E246+E249</f>
        <v>20.479999999999848</v>
      </c>
      <c r="F250" s="733">
        <f>F242+F243+F246+F249</f>
        <v>11.190000000000051</v>
      </c>
      <c r="G250" s="734" t="s">
        <v>212</v>
      </c>
      <c r="H250" s="734">
        <f>H242+H243+H246+H249</f>
        <v>25.079999999999874</v>
      </c>
      <c r="I250" s="734" t="s">
        <v>212</v>
      </c>
      <c r="J250" s="734">
        <f>J242+J243+J246+J249</f>
        <v>31.650000000000318</v>
      </c>
      <c r="K250" s="734" t="s">
        <v>212</v>
      </c>
      <c r="L250" s="734">
        <f>L242+L243+L246+L249</f>
        <v>113.65999999999991</v>
      </c>
      <c r="M250" s="734" t="s">
        <v>212</v>
      </c>
      <c r="N250" s="734">
        <v>186.62513480088796</v>
      </c>
      <c r="O250" s="733">
        <f>O242+O243+O246+O249</f>
        <v>20.479999999999848</v>
      </c>
    </row>
    <row r="251" spans="1:15" s="665" customFormat="1" x14ac:dyDescent="0.2">
      <c r="A251" s="702" t="s">
        <v>3308</v>
      </c>
      <c r="B251" s="729" t="s">
        <v>3309</v>
      </c>
      <c r="C251" s="704" t="s">
        <v>2995</v>
      </c>
      <c r="D251" s="735">
        <v>12.507349679999999</v>
      </c>
      <c r="E251" s="735">
        <v>40.840000000000003</v>
      </c>
      <c r="F251" s="735">
        <v>61.32</v>
      </c>
      <c r="G251" s="736" t="s">
        <v>212</v>
      </c>
      <c r="H251" s="736">
        <v>72.510000000000005</v>
      </c>
      <c r="I251" s="736" t="s">
        <v>212</v>
      </c>
      <c r="J251" s="736">
        <v>97.59</v>
      </c>
      <c r="K251" s="736" t="s">
        <v>212</v>
      </c>
      <c r="L251" s="736">
        <v>129.24</v>
      </c>
      <c r="M251" s="736" t="s">
        <v>212</v>
      </c>
      <c r="N251" s="736">
        <v>12.507349679999999</v>
      </c>
      <c r="O251" s="735">
        <v>40.840000000000003</v>
      </c>
    </row>
    <row r="252" spans="1:15" s="665" customFormat="1" ht="16.5" thickBot="1" x14ac:dyDescent="0.25">
      <c r="A252" s="723" t="s">
        <v>3310</v>
      </c>
      <c r="B252" s="737" t="s">
        <v>3311</v>
      </c>
      <c r="C252" s="725" t="s">
        <v>2995</v>
      </c>
      <c r="D252" s="738">
        <v>47.080161359999998</v>
      </c>
      <c r="E252" s="738">
        <f>E251+E250</f>
        <v>61.319999999999851</v>
      </c>
      <c r="F252" s="738">
        <f>F251+F250</f>
        <v>72.510000000000048</v>
      </c>
      <c r="G252" s="738" t="s">
        <v>212</v>
      </c>
      <c r="H252" s="738">
        <f>H251+H250</f>
        <v>97.589999999999876</v>
      </c>
      <c r="I252" s="738" t="s">
        <v>212</v>
      </c>
      <c r="J252" s="738">
        <f>J251+J250</f>
        <v>129.24000000000032</v>
      </c>
      <c r="K252" s="738" t="s">
        <v>212</v>
      </c>
      <c r="L252" s="738">
        <f>L251+L250</f>
        <v>242.89999999999992</v>
      </c>
      <c r="M252" s="738" t="s">
        <v>212</v>
      </c>
      <c r="N252" s="738">
        <v>54.76003849876966</v>
      </c>
      <c r="O252" s="738">
        <f>O251+O250</f>
        <v>61.319999999999851</v>
      </c>
    </row>
    <row r="253" spans="1:15" s="665" customFormat="1" x14ac:dyDescent="0.2">
      <c r="A253" s="712" t="s">
        <v>3312</v>
      </c>
      <c r="B253" s="713" t="s">
        <v>3057</v>
      </c>
      <c r="C253" s="714" t="s">
        <v>212</v>
      </c>
      <c r="D253" s="734" t="s">
        <v>212</v>
      </c>
      <c r="E253" s="734" t="s">
        <v>212</v>
      </c>
      <c r="F253" s="734" t="s">
        <v>212</v>
      </c>
      <c r="G253" s="734" t="s">
        <v>212</v>
      </c>
      <c r="H253" s="734" t="s">
        <v>212</v>
      </c>
      <c r="I253" s="734" t="s">
        <v>212</v>
      </c>
      <c r="J253" s="734" t="s">
        <v>212</v>
      </c>
      <c r="K253" s="734" t="s">
        <v>212</v>
      </c>
      <c r="L253" s="734" t="s">
        <v>212</v>
      </c>
      <c r="M253" s="734" t="s">
        <v>212</v>
      </c>
      <c r="N253" s="734" t="s">
        <v>212</v>
      </c>
      <c r="O253" s="734" t="s">
        <v>212</v>
      </c>
    </row>
    <row r="254" spans="1:15" s="665" customFormat="1" x14ac:dyDescent="0.2">
      <c r="A254" s="702" t="s">
        <v>3313</v>
      </c>
      <c r="B254" s="716" t="s">
        <v>3314</v>
      </c>
      <c r="C254" s="704" t="s">
        <v>2995</v>
      </c>
      <c r="D254" s="733">
        <v>773.63662500000009</v>
      </c>
      <c r="E254" s="733">
        <f>E255+E263+E265+E267+E269+E271+E273+E275+E281</f>
        <v>289.57</v>
      </c>
      <c r="F254" s="733">
        <f>F255+F263+F265+F267+F269+F271+F273+F275+F281</f>
        <v>285.57</v>
      </c>
      <c r="G254" s="734" t="s">
        <v>212</v>
      </c>
      <c r="H254" s="734">
        <f>H255+H263+H265+H267+H269+H271+H273+H275+H281</f>
        <v>287.07</v>
      </c>
      <c r="I254" s="734" t="s">
        <v>212</v>
      </c>
      <c r="J254" s="734">
        <f>J255+J263+J265+J267+J269+J271+J273+J275+J281</f>
        <v>288.57</v>
      </c>
      <c r="K254" s="734" t="s">
        <v>212</v>
      </c>
      <c r="L254" s="734">
        <f>L255+L263+L265+L267+L269+L271+L273+L275+L281</f>
        <v>290.57</v>
      </c>
      <c r="M254" s="734" t="s">
        <v>212</v>
      </c>
      <c r="N254" s="734">
        <v>899.83488045246213</v>
      </c>
      <c r="O254" s="733">
        <f>O255+O263+O265+O267+O269+O271+O273+O275+O281</f>
        <v>289.57</v>
      </c>
    </row>
    <row r="255" spans="1:15" s="665" customFormat="1" ht="31.5" x14ac:dyDescent="0.2">
      <c r="A255" s="702" t="s">
        <v>3315</v>
      </c>
      <c r="B255" s="715" t="s">
        <v>3316</v>
      </c>
      <c r="C255" s="704" t="s">
        <v>2995</v>
      </c>
      <c r="D255" s="733" t="s">
        <v>212</v>
      </c>
      <c r="E255" s="733"/>
      <c r="F255" s="733"/>
      <c r="G255" s="734" t="s">
        <v>212</v>
      </c>
      <c r="H255" s="734"/>
      <c r="I255" s="734" t="s">
        <v>212</v>
      </c>
      <c r="J255" s="734"/>
      <c r="K255" s="734" t="s">
        <v>212</v>
      </c>
      <c r="L255" s="734"/>
      <c r="M255" s="734" t="s">
        <v>212</v>
      </c>
      <c r="N255" s="734" t="s">
        <v>212</v>
      </c>
      <c r="O255" s="733"/>
    </row>
    <row r="256" spans="1:15" s="665" customFormat="1" x14ac:dyDescent="0.2">
      <c r="A256" s="702" t="s">
        <v>3317</v>
      </c>
      <c r="B256" s="717" t="s">
        <v>3318</v>
      </c>
      <c r="C256" s="704" t="s">
        <v>2995</v>
      </c>
      <c r="D256" s="733" t="s">
        <v>212</v>
      </c>
      <c r="E256" s="733"/>
      <c r="F256" s="733"/>
      <c r="G256" s="734" t="s">
        <v>212</v>
      </c>
      <c r="H256" s="734"/>
      <c r="I256" s="734" t="s">
        <v>212</v>
      </c>
      <c r="J256" s="734"/>
      <c r="K256" s="734" t="s">
        <v>212</v>
      </c>
      <c r="L256" s="734"/>
      <c r="M256" s="734" t="s">
        <v>212</v>
      </c>
      <c r="N256" s="734" t="s">
        <v>212</v>
      </c>
      <c r="O256" s="733"/>
    </row>
    <row r="257" spans="1:15" s="665" customFormat="1" ht="31.5" x14ac:dyDescent="0.2">
      <c r="A257" s="702" t="s">
        <v>3319</v>
      </c>
      <c r="B257" s="717" t="s">
        <v>3320</v>
      </c>
      <c r="C257" s="704" t="s">
        <v>2995</v>
      </c>
      <c r="D257" s="733" t="s">
        <v>212</v>
      </c>
      <c r="E257" s="733"/>
      <c r="F257" s="733"/>
      <c r="G257" s="734" t="s">
        <v>212</v>
      </c>
      <c r="H257" s="734"/>
      <c r="I257" s="734" t="s">
        <v>212</v>
      </c>
      <c r="J257" s="734"/>
      <c r="K257" s="734" t="s">
        <v>212</v>
      </c>
      <c r="L257" s="734"/>
      <c r="M257" s="734" t="s">
        <v>212</v>
      </c>
      <c r="N257" s="734" t="s">
        <v>212</v>
      </c>
      <c r="O257" s="733"/>
    </row>
    <row r="258" spans="1:15" s="665" customFormat="1" x14ac:dyDescent="0.2">
      <c r="A258" s="702" t="s">
        <v>3321</v>
      </c>
      <c r="B258" s="718" t="s">
        <v>3318</v>
      </c>
      <c r="C258" s="704" t="s">
        <v>2995</v>
      </c>
      <c r="D258" s="733" t="s">
        <v>212</v>
      </c>
      <c r="E258" s="733"/>
      <c r="F258" s="733"/>
      <c r="G258" s="734" t="s">
        <v>212</v>
      </c>
      <c r="H258" s="734"/>
      <c r="I258" s="734" t="s">
        <v>212</v>
      </c>
      <c r="J258" s="734"/>
      <c r="K258" s="734" t="s">
        <v>212</v>
      </c>
      <c r="L258" s="734"/>
      <c r="M258" s="734" t="s">
        <v>212</v>
      </c>
      <c r="N258" s="734" t="s">
        <v>212</v>
      </c>
      <c r="O258" s="733"/>
    </row>
    <row r="259" spans="1:15" s="665" customFormat="1" ht="31.5" x14ac:dyDescent="0.2">
      <c r="A259" s="702" t="s">
        <v>3322</v>
      </c>
      <c r="B259" s="717" t="s">
        <v>2998</v>
      </c>
      <c r="C259" s="704" t="s">
        <v>2995</v>
      </c>
      <c r="D259" s="733" t="s">
        <v>212</v>
      </c>
      <c r="E259" s="733"/>
      <c r="F259" s="733"/>
      <c r="G259" s="734" t="s">
        <v>212</v>
      </c>
      <c r="H259" s="734"/>
      <c r="I259" s="734" t="s">
        <v>212</v>
      </c>
      <c r="J259" s="734"/>
      <c r="K259" s="734" t="s">
        <v>212</v>
      </c>
      <c r="L259" s="734"/>
      <c r="M259" s="734" t="s">
        <v>212</v>
      </c>
      <c r="N259" s="734" t="s">
        <v>212</v>
      </c>
      <c r="O259" s="733"/>
    </row>
    <row r="260" spans="1:15" s="665" customFormat="1" x14ac:dyDescent="0.2">
      <c r="A260" s="702" t="s">
        <v>3323</v>
      </c>
      <c r="B260" s="718" t="s">
        <v>3318</v>
      </c>
      <c r="C260" s="704" t="s">
        <v>2995</v>
      </c>
      <c r="D260" s="733" t="s">
        <v>212</v>
      </c>
      <c r="E260" s="733"/>
      <c r="F260" s="733"/>
      <c r="G260" s="734" t="s">
        <v>212</v>
      </c>
      <c r="H260" s="734"/>
      <c r="I260" s="734" t="s">
        <v>212</v>
      </c>
      <c r="J260" s="734"/>
      <c r="K260" s="734" t="s">
        <v>212</v>
      </c>
      <c r="L260" s="734"/>
      <c r="M260" s="734" t="s">
        <v>212</v>
      </c>
      <c r="N260" s="734" t="s">
        <v>212</v>
      </c>
      <c r="O260" s="733"/>
    </row>
    <row r="261" spans="1:15" s="665" customFormat="1" ht="31.5" x14ac:dyDescent="0.2">
      <c r="A261" s="702" t="s">
        <v>3324</v>
      </c>
      <c r="B261" s="717" t="s">
        <v>2999</v>
      </c>
      <c r="C261" s="704" t="s">
        <v>2995</v>
      </c>
      <c r="D261" s="733">
        <v>1.076364E-2</v>
      </c>
      <c r="E261" s="733"/>
      <c r="F261" s="733"/>
      <c r="G261" s="734" t="s">
        <v>212</v>
      </c>
      <c r="H261" s="734"/>
      <c r="I261" s="734" t="s">
        <v>212</v>
      </c>
      <c r="J261" s="734"/>
      <c r="K261" s="734" t="s">
        <v>212</v>
      </c>
      <c r="L261" s="734"/>
      <c r="M261" s="734" t="s">
        <v>212</v>
      </c>
      <c r="N261" s="734">
        <v>1.2519441814990779E-2</v>
      </c>
      <c r="O261" s="733"/>
    </row>
    <row r="262" spans="1:15" s="665" customFormat="1" x14ac:dyDescent="0.2">
      <c r="A262" s="702" t="s">
        <v>3325</v>
      </c>
      <c r="B262" s="718" t="s">
        <v>3318</v>
      </c>
      <c r="C262" s="704" t="s">
        <v>2995</v>
      </c>
      <c r="D262" s="733" t="s">
        <v>212</v>
      </c>
      <c r="E262" s="733"/>
      <c r="F262" s="733"/>
      <c r="G262" s="734" t="s">
        <v>212</v>
      </c>
      <c r="H262" s="734"/>
      <c r="I262" s="734" t="s">
        <v>212</v>
      </c>
      <c r="J262" s="734"/>
      <c r="K262" s="734" t="s">
        <v>212</v>
      </c>
      <c r="L262" s="734"/>
      <c r="M262" s="734" t="s">
        <v>212</v>
      </c>
      <c r="N262" s="734" t="s">
        <v>212</v>
      </c>
      <c r="O262" s="733"/>
    </row>
    <row r="263" spans="1:15" s="665" customFormat="1" x14ac:dyDescent="0.2">
      <c r="A263" s="702" t="s">
        <v>3326</v>
      </c>
      <c r="B263" s="715" t="s">
        <v>3327</v>
      </c>
      <c r="C263" s="704" t="s">
        <v>2995</v>
      </c>
      <c r="D263" s="733" t="s">
        <v>212</v>
      </c>
      <c r="E263" s="733"/>
      <c r="F263" s="733"/>
      <c r="G263" s="734" t="s">
        <v>212</v>
      </c>
      <c r="H263" s="734"/>
      <c r="I263" s="734" t="s">
        <v>212</v>
      </c>
      <c r="J263" s="734"/>
      <c r="K263" s="734" t="s">
        <v>212</v>
      </c>
      <c r="L263" s="734"/>
      <c r="M263" s="734" t="s">
        <v>212</v>
      </c>
      <c r="N263" s="734" t="s">
        <v>212</v>
      </c>
      <c r="O263" s="733"/>
    </row>
    <row r="264" spans="1:15" s="665" customFormat="1" x14ac:dyDescent="0.2">
      <c r="A264" s="702" t="s">
        <v>3328</v>
      </c>
      <c r="B264" s="717" t="s">
        <v>3318</v>
      </c>
      <c r="C264" s="704" t="s">
        <v>2995</v>
      </c>
      <c r="D264" s="733" t="s">
        <v>212</v>
      </c>
      <c r="E264" s="733"/>
      <c r="F264" s="733"/>
      <c r="G264" s="734" t="s">
        <v>212</v>
      </c>
      <c r="H264" s="734"/>
      <c r="I264" s="734" t="s">
        <v>212</v>
      </c>
      <c r="J264" s="734"/>
      <c r="K264" s="734" t="s">
        <v>212</v>
      </c>
      <c r="L264" s="734"/>
      <c r="M264" s="734" t="s">
        <v>212</v>
      </c>
      <c r="N264" s="734" t="s">
        <v>212</v>
      </c>
      <c r="O264" s="733"/>
    </row>
    <row r="265" spans="1:15" s="665" customFormat="1" x14ac:dyDescent="0.2">
      <c r="A265" s="702" t="s">
        <v>3329</v>
      </c>
      <c r="B265" s="708" t="s">
        <v>3330</v>
      </c>
      <c r="C265" s="704" t="s">
        <v>2995</v>
      </c>
      <c r="D265" s="733">
        <v>195.22013867999999</v>
      </c>
      <c r="E265" s="733">
        <v>260.95</v>
      </c>
      <c r="F265" s="733">
        <v>260.95</v>
      </c>
      <c r="G265" s="734" t="s">
        <v>212</v>
      </c>
      <c r="H265" s="733">
        <v>260.95</v>
      </c>
      <c r="I265" s="734" t="s">
        <v>212</v>
      </c>
      <c r="J265" s="733">
        <v>260.95</v>
      </c>
      <c r="K265" s="734" t="s">
        <v>212</v>
      </c>
      <c r="L265" s="733">
        <v>260.95</v>
      </c>
      <c r="M265" s="734" t="s">
        <v>212</v>
      </c>
      <c r="N265" s="734">
        <v>227.06511619848771</v>
      </c>
      <c r="O265" s="733">
        <v>260.95</v>
      </c>
    </row>
    <row r="266" spans="1:15" s="665" customFormat="1" x14ac:dyDescent="0.2">
      <c r="A266" s="702" t="s">
        <v>3331</v>
      </c>
      <c r="B266" s="717" t="s">
        <v>3318</v>
      </c>
      <c r="C266" s="704" t="s">
        <v>2995</v>
      </c>
      <c r="D266" s="733" t="s">
        <v>212</v>
      </c>
      <c r="E266" s="733"/>
      <c r="F266" s="733"/>
      <c r="G266" s="734" t="s">
        <v>212</v>
      </c>
      <c r="H266" s="734"/>
      <c r="I266" s="734" t="s">
        <v>212</v>
      </c>
      <c r="J266" s="734"/>
      <c r="K266" s="734" t="s">
        <v>212</v>
      </c>
      <c r="L266" s="734"/>
      <c r="M266" s="734" t="s">
        <v>212</v>
      </c>
      <c r="N266" s="734" t="s">
        <v>212</v>
      </c>
      <c r="O266" s="733"/>
    </row>
    <row r="267" spans="1:15" s="665" customFormat="1" x14ac:dyDescent="0.2">
      <c r="A267" s="702" t="s">
        <v>3332</v>
      </c>
      <c r="B267" s="708" t="s">
        <v>3333</v>
      </c>
      <c r="C267" s="704" t="s">
        <v>2995</v>
      </c>
      <c r="D267" s="733" t="s">
        <v>212</v>
      </c>
      <c r="E267" s="733"/>
      <c r="F267" s="733"/>
      <c r="G267" s="734" t="s">
        <v>212</v>
      </c>
      <c r="H267" s="734"/>
      <c r="I267" s="734" t="s">
        <v>212</v>
      </c>
      <c r="J267" s="734"/>
      <c r="K267" s="734" t="s">
        <v>212</v>
      </c>
      <c r="L267" s="734"/>
      <c r="M267" s="734" t="s">
        <v>212</v>
      </c>
      <c r="N267" s="734" t="s">
        <v>212</v>
      </c>
      <c r="O267" s="733"/>
    </row>
    <row r="268" spans="1:15" s="665" customFormat="1" x14ac:dyDescent="0.2">
      <c r="A268" s="702" t="s">
        <v>3334</v>
      </c>
      <c r="B268" s="717" t="s">
        <v>3318</v>
      </c>
      <c r="C268" s="704" t="s">
        <v>2995</v>
      </c>
      <c r="D268" s="733" t="s">
        <v>212</v>
      </c>
      <c r="E268" s="733"/>
      <c r="F268" s="733"/>
      <c r="G268" s="734" t="s">
        <v>212</v>
      </c>
      <c r="H268" s="734"/>
      <c r="I268" s="734" t="s">
        <v>212</v>
      </c>
      <c r="J268" s="734"/>
      <c r="K268" s="734" t="s">
        <v>212</v>
      </c>
      <c r="L268" s="734"/>
      <c r="M268" s="734" t="s">
        <v>212</v>
      </c>
      <c r="N268" s="734" t="s">
        <v>212</v>
      </c>
      <c r="O268" s="733"/>
    </row>
    <row r="269" spans="1:15" s="665" customFormat="1" x14ac:dyDescent="0.2">
      <c r="A269" s="702" t="s">
        <v>3335</v>
      </c>
      <c r="B269" s="708" t="s">
        <v>3336</v>
      </c>
      <c r="C269" s="704" t="s">
        <v>2995</v>
      </c>
      <c r="D269" s="733">
        <v>14.44480488</v>
      </c>
      <c r="E269" s="733">
        <v>9.6199999999999992</v>
      </c>
      <c r="F269" s="733">
        <v>9.6199999999999992</v>
      </c>
      <c r="G269" s="734" t="s">
        <v>212</v>
      </c>
      <c r="H269" s="733">
        <v>9.6199999999999992</v>
      </c>
      <c r="I269" s="734" t="s">
        <v>212</v>
      </c>
      <c r="J269" s="733">
        <v>9.6199999999999992</v>
      </c>
      <c r="K269" s="734" t="s">
        <v>212</v>
      </c>
      <c r="L269" s="733">
        <v>9.6199999999999992</v>
      </c>
      <c r="M269" s="734" t="s">
        <v>212</v>
      </c>
      <c r="N269" s="734">
        <v>16.801090915717626</v>
      </c>
      <c r="O269" s="733">
        <v>9.6199999999999992</v>
      </c>
    </row>
    <row r="270" spans="1:15" s="665" customFormat="1" x14ac:dyDescent="0.2">
      <c r="A270" s="702" t="s">
        <v>3337</v>
      </c>
      <c r="B270" s="717" t="s">
        <v>3318</v>
      </c>
      <c r="C270" s="704" t="s">
        <v>2995</v>
      </c>
      <c r="D270" s="733">
        <v>10.064003399999999</v>
      </c>
      <c r="E270" s="733">
        <v>9.6199999999999992</v>
      </c>
      <c r="F270" s="733">
        <v>7.57</v>
      </c>
      <c r="G270" s="734" t="s">
        <v>212</v>
      </c>
      <c r="H270" s="734">
        <v>5.25</v>
      </c>
      <c r="I270" s="734" t="s">
        <v>212</v>
      </c>
      <c r="J270" s="734">
        <v>2.12</v>
      </c>
      <c r="K270" s="734" t="s">
        <v>212</v>
      </c>
      <c r="L270" s="734">
        <v>0</v>
      </c>
      <c r="M270" s="734" t="s">
        <v>212</v>
      </c>
      <c r="N270" s="734">
        <v>11.705678097016376</v>
      </c>
      <c r="O270" s="733">
        <v>9.6199999999999992</v>
      </c>
    </row>
    <row r="271" spans="1:15" s="665" customFormat="1" ht="15.75" customHeight="1" x14ac:dyDescent="0.2">
      <c r="A271" s="702" t="s">
        <v>3338</v>
      </c>
      <c r="B271" s="708" t="s">
        <v>3339</v>
      </c>
      <c r="C271" s="704" t="s">
        <v>2995</v>
      </c>
      <c r="D271" s="733" t="s">
        <v>212</v>
      </c>
      <c r="E271" s="733"/>
      <c r="F271" s="733"/>
      <c r="G271" s="734" t="s">
        <v>212</v>
      </c>
      <c r="H271" s="734"/>
      <c r="I271" s="734" t="s">
        <v>212</v>
      </c>
      <c r="J271" s="734"/>
      <c r="K271" s="734" t="s">
        <v>212</v>
      </c>
      <c r="L271" s="734"/>
      <c r="M271" s="734" t="s">
        <v>212</v>
      </c>
      <c r="N271" s="734" t="s">
        <v>212</v>
      </c>
      <c r="O271" s="733"/>
    </row>
    <row r="272" spans="1:15" s="665" customFormat="1" x14ac:dyDescent="0.2">
      <c r="A272" s="702" t="s">
        <v>3340</v>
      </c>
      <c r="B272" s="717" t="s">
        <v>3318</v>
      </c>
      <c r="C272" s="704" t="s">
        <v>2995</v>
      </c>
      <c r="D272" s="733" t="s">
        <v>212</v>
      </c>
      <c r="E272" s="733"/>
      <c r="F272" s="733"/>
      <c r="G272" s="734" t="s">
        <v>212</v>
      </c>
      <c r="H272" s="734"/>
      <c r="I272" s="734" t="s">
        <v>212</v>
      </c>
      <c r="J272" s="734"/>
      <c r="K272" s="734" t="s">
        <v>212</v>
      </c>
      <c r="L272" s="734"/>
      <c r="M272" s="734" t="s">
        <v>212</v>
      </c>
      <c r="N272" s="734" t="s">
        <v>212</v>
      </c>
      <c r="O272" s="733"/>
    </row>
    <row r="273" spans="1:15" s="665" customFormat="1" x14ac:dyDescent="0.2">
      <c r="A273" s="702" t="s">
        <v>3341</v>
      </c>
      <c r="B273" s="708" t="s">
        <v>3342</v>
      </c>
      <c r="C273" s="704" t="s">
        <v>2995</v>
      </c>
      <c r="D273" s="733" t="s">
        <v>212</v>
      </c>
      <c r="E273" s="733"/>
      <c r="F273" s="733"/>
      <c r="G273" s="734" t="s">
        <v>212</v>
      </c>
      <c r="H273" s="734"/>
      <c r="I273" s="734" t="s">
        <v>212</v>
      </c>
      <c r="J273" s="734"/>
      <c r="K273" s="734" t="s">
        <v>212</v>
      </c>
      <c r="L273" s="734"/>
      <c r="M273" s="734" t="s">
        <v>212</v>
      </c>
      <c r="N273" s="734" t="s">
        <v>212</v>
      </c>
      <c r="O273" s="733"/>
    </row>
    <row r="274" spans="1:15" s="665" customFormat="1" x14ac:dyDescent="0.2">
      <c r="A274" s="702" t="s">
        <v>3343</v>
      </c>
      <c r="B274" s="717" t="s">
        <v>3318</v>
      </c>
      <c r="C274" s="704" t="s">
        <v>2995</v>
      </c>
      <c r="D274" s="733" t="s">
        <v>212</v>
      </c>
      <c r="E274" s="733"/>
      <c r="F274" s="733"/>
      <c r="G274" s="734" t="s">
        <v>212</v>
      </c>
      <c r="H274" s="734"/>
      <c r="I274" s="734" t="s">
        <v>212</v>
      </c>
      <c r="J274" s="734"/>
      <c r="K274" s="734" t="s">
        <v>212</v>
      </c>
      <c r="L274" s="734"/>
      <c r="M274" s="734" t="s">
        <v>212</v>
      </c>
      <c r="N274" s="734" t="s">
        <v>212</v>
      </c>
      <c r="O274" s="733"/>
    </row>
    <row r="275" spans="1:15" s="665" customFormat="1" ht="31.5" x14ac:dyDescent="0.2">
      <c r="A275" s="702" t="s">
        <v>3344</v>
      </c>
      <c r="B275" s="715" t="s">
        <v>3345</v>
      </c>
      <c r="C275" s="704" t="s">
        <v>2995</v>
      </c>
      <c r="D275" s="733">
        <v>0.27985463999999999</v>
      </c>
      <c r="E275" s="733"/>
      <c r="F275" s="733"/>
      <c r="G275" s="734" t="s">
        <v>212</v>
      </c>
      <c r="H275" s="734"/>
      <c r="I275" s="734" t="s">
        <v>212</v>
      </c>
      <c r="J275" s="734"/>
      <c r="K275" s="734" t="s">
        <v>212</v>
      </c>
      <c r="L275" s="734"/>
      <c r="M275" s="734" t="s">
        <v>212</v>
      </c>
      <c r="N275" s="734">
        <v>0.32550548718976025</v>
      </c>
      <c r="O275" s="733"/>
    </row>
    <row r="276" spans="1:15" s="665" customFormat="1" x14ac:dyDescent="0.2">
      <c r="A276" s="702" t="s">
        <v>3346</v>
      </c>
      <c r="B276" s="717" t="s">
        <v>3318</v>
      </c>
      <c r="C276" s="704" t="s">
        <v>2995</v>
      </c>
      <c r="D276" s="733" t="s">
        <v>212</v>
      </c>
      <c r="E276" s="733"/>
      <c r="F276" s="733"/>
      <c r="G276" s="734" t="s">
        <v>212</v>
      </c>
      <c r="H276" s="734"/>
      <c r="I276" s="734" t="s">
        <v>212</v>
      </c>
      <c r="J276" s="734"/>
      <c r="K276" s="734" t="s">
        <v>212</v>
      </c>
      <c r="L276" s="734"/>
      <c r="M276" s="734" t="s">
        <v>212</v>
      </c>
      <c r="N276" s="734" t="s">
        <v>212</v>
      </c>
      <c r="O276" s="733"/>
    </row>
    <row r="277" spans="1:15" s="665" customFormat="1" x14ac:dyDescent="0.2">
      <c r="A277" s="702" t="s">
        <v>3347</v>
      </c>
      <c r="B277" s="717" t="s">
        <v>3011</v>
      </c>
      <c r="C277" s="704" t="s">
        <v>2995</v>
      </c>
      <c r="D277" s="733" t="s">
        <v>212</v>
      </c>
      <c r="E277" s="733"/>
      <c r="F277" s="733"/>
      <c r="G277" s="734" t="s">
        <v>212</v>
      </c>
      <c r="H277" s="734"/>
      <c r="I277" s="734" t="s">
        <v>212</v>
      </c>
      <c r="J277" s="734"/>
      <c r="K277" s="734" t="s">
        <v>212</v>
      </c>
      <c r="L277" s="734"/>
      <c r="M277" s="734" t="s">
        <v>212</v>
      </c>
      <c r="N277" s="734" t="s">
        <v>212</v>
      </c>
      <c r="O277" s="733"/>
    </row>
    <row r="278" spans="1:15" s="665" customFormat="1" x14ac:dyDescent="0.2">
      <c r="A278" s="702" t="s">
        <v>3348</v>
      </c>
      <c r="B278" s="718" t="s">
        <v>3318</v>
      </c>
      <c r="C278" s="704" t="s">
        <v>2995</v>
      </c>
      <c r="D278" s="733" t="s">
        <v>212</v>
      </c>
      <c r="E278" s="733"/>
      <c r="F278" s="733"/>
      <c r="G278" s="734" t="s">
        <v>212</v>
      </c>
      <c r="H278" s="734"/>
      <c r="I278" s="734" t="s">
        <v>212</v>
      </c>
      <c r="J278" s="734"/>
      <c r="K278" s="734" t="s">
        <v>212</v>
      </c>
      <c r="L278" s="734"/>
      <c r="M278" s="734" t="s">
        <v>212</v>
      </c>
      <c r="N278" s="734" t="s">
        <v>212</v>
      </c>
      <c r="O278" s="733"/>
    </row>
    <row r="279" spans="1:15" s="665" customFormat="1" x14ac:dyDescent="0.2">
      <c r="A279" s="702" t="s">
        <v>3349</v>
      </c>
      <c r="B279" s="717" t="s">
        <v>3013</v>
      </c>
      <c r="C279" s="704" t="s">
        <v>2995</v>
      </c>
      <c r="D279" s="733" t="s">
        <v>212</v>
      </c>
      <c r="E279" s="733"/>
      <c r="F279" s="733"/>
      <c r="G279" s="734" t="s">
        <v>212</v>
      </c>
      <c r="H279" s="734"/>
      <c r="I279" s="734" t="s">
        <v>212</v>
      </c>
      <c r="J279" s="734"/>
      <c r="K279" s="734" t="s">
        <v>212</v>
      </c>
      <c r="L279" s="734"/>
      <c r="M279" s="734" t="s">
        <v>212</v>
      </c>
      <c r="N279" s="734" t="s">
        <v>212</v>
      </c>
      <c r="O279" s="733"/>
    </row>
    <row r="280" spans="1:15" s="665" customFormat="1" x14ac:dyDescent="0.2">
      <c r="A280" s="702" t="s">
        <v>3350</v>
      </c>
      <c r="B280" s="718" t="s">
        <v>3318</v>
      </c>
      <c r="C280" s="704" t="s">
        <v>2995</v>
      </c>
      <c r="D280" s="733" t="s">
        <v>212</v>
      </c>
      <c r="E280" s="733"/>
      <c r="F280" s="733"/>
      <c r="G280" s="734" t="s">
        <v>212</v>
      </c>
      <c r="H280" s="734"/>
      <c r="I280" s="734" t="s">
        <v>212</v>
      </c>
      <c r="J280" s="734"/>
      <c r="K280" s="734" t="s">
        <v>212</v>
      </c>
      <c r="L280" s="734"/>
      <c r="M280" s="734" t="s">
        <v>212</v>
      </c>
      <c r="N280" s="734" t="s">
        <v>212</v>
      </c>
      <c r="O280" s="733"/>
    </row>
    <row r="281" spans="1:15" s="665" customFormat="1" x14ac:dyDescent="0.2">
      <c r="A281" s="702" t="s">
        <v>3351</v>
      </c>
      <c r="B281" s="715" t="s">
        <v>2779</v>
      </c>
      <c r="C281" s="704" t="s">
        <v>2995</v>
      </c>
      <c r="D281" s="733">
        <v>563.69182680000006</v>
      </c>
      <c r="E281" s="733">
        <v>19</v>
      </c>
      <c r="F281" s="733">
        <v>15</v>
      </c>
      <c r="G281" s="734" t="s">
        <v>212</v>
      </c>
      <c r="H281" s="734">
        <v>16.5</v>
      </c>
      <c r="I281" s="734" t="s">
        <v>212</v>
      </c>
      <c r="J281" s="734">
        <v>18</v>
      </c>
      <c r="K281" s="734" t="s">
        <v>212</v>
      </c>
      <c r="L281" s="734">
        <v>20</v>
      </c>
      <c r="M281" s="734" t="s">
        <v>212</v>
      </c>
      <c r="N281" s="734">
        <v>655.64316785106701</v>
      </c>
      <c r="O281" s="733">
        <v>19</v>
      </c>
    </row>
    <row r="282" spans="1:15" s="665" customFormat="1" x14ac:dyDescent="0.2">
      <c r="A282" s="702" t="s">
        <v>3352</v>
      </c>
      <c r="B282" s="717" t="s">
        <v>3318</v>
      </c>
      <c r="C282" s="704" t="s">
        <v>2995</v>
      </c>
      <c r="D282" s="733" t="s">
        <v>212</v>
      </c>
      <c r="E282" s="733"/>
      <c r="F282" s="733"/>
      <c r="G282" s="733" t="s">
        <v>212</v>
      </c>
      <c r="H282" s="733"/>
      <c r="I282" s="733" t="s">
        <v>212</v>
      </c>
      <c r="J282" s="733"/>
      <c r="K282" s="733" t="s">
        <v>212</v>
      </c>
      <c r="L282" s="733"/>
      <c r="M282" s="733" t="s">
        <v>212</v>
      </c>
      <c r="N282" s="733" t="s">
        <v>212</v>
      </c>
      <c r="O282" s="733"/>
    </row>
    <row r="283" spans="1:15" s="665" customFormat="1" x14ac:dyDescent="0.2">
      <c r="A283" s="702" t="s">
        <v>3353</v>
      </c>
      <c r="B283" s="716" t="s">
        <v>3354</v>
      </c>
      <c r="C283" s="704" t="s">
        <v>2995</v>
      </c>
      <c r="D283" s="733">
        <v>1205.3124072000001</v>
      </c>
      <c r="E283" s="733">
        <f>E284+E286+E291+E293+E295+E297+E299+E301+E303</f>
        <v>898.71</v>
      </c>
      <c r="F283" s="733">
        <f>F284+F286+F291+F293+F295+F297+F299+F301+F303</f>
        <v>762.49</v>
      </c>
      <c r="G283" s="734" t="s">
        <v>212</v>
      </c>
      <c r="H283" s="734">
        <f>H284+H286+H291+H293+H295+H297+H299+H301+H303</f>
        <v>603.92999999999995</v>
      </c>
      <c r="I283" s="734" t="s">
        <v>212</v>
      </c>
      <c r="J283" s="734">
        <f>J284+J286+J291+J293+J295+J297+J299+J301+J303</f>
        <v>424.07999999999993</v>
      </c>
      <c r="K283" s="734" t="s">
        <v>212</v>
      </c>
      <c r="L283" s="734">
        <f>L284+L286+L291+L293+L295+L297+L299+L301+L303</f>
        <v>313.41999999999996</v>
      </c>
      <c r="M283" s="734" t="s">
        <v>212</v>
      </c>
      <c r="N283" s="734">
        <v>1401.9270944426673</v>
      </c>
      <c r="O283" s="733">
        <f>O284+O286+O291+O293+O295+O297+O299+O301+O303</f>
        <v>898.71</v>
      </c>
    </row>
    <row r="284" spans="1:15" s="665" customFormat="1" x14ac:dyDescent="0.2">
      <c r="A284" s="702" t="s">
        <v>3355</v>
      </c>
      <c r="B284" s="715" t="s">
        <v>3356</v>
      </c>
      <c r="C284" s="704" t="s">
        <v>2995</v>
      </c>
      <c r="D284" s="733">
        <v>1.0117821599999999</v>
      </c>
      <c r="E284" s="733"/>
      <c r="F284" s="733"/>
      <c r="G284" s="734" t="s">
        <v>212</v>
      </c>
      <c r="H284" s="734"/>
      <c r="I284" s="734" t="s">
        <v>212</v>
      </c>
      <c r="J284" s="734"/>
      <c r="K284" s="734" t="s">
        <v>212</v>
      </c>
      <c r="L284" s="734"/>
      <c r="M284" s="734" t="s">
        <v>212</v>
      </c>
      <c r="N284" s="734">
        <v>1.1768275306091329</v>
      </c>
      <c r="O284" s="733"/>
    </row>
    <row r="285" spans="1:15" s="665" customFormat="1" x14ac:dyDescent="0.2">
      <c r="A285" s="702" t="s">
        <v>3357</v>
      </c>
      <c r="B285" s="717" t="s">
        <v>3318</v>
      </c>
      <c r="C285" s="704" t="s">
        <v>2995</v>
      </c>
      <c r="D285" s="733" t="s">
        <v>212</v>
      </c>
      <c r="E285" s="733"/>
      <c r="F285" s="733"/>
      <c r="G285" s="734" t="s">
        <v>212</v>
      </c>
      <c r="H285" s="734"/>
      <c r="I285" s="734" t="s">
        <v>212</v>
      </c>
      <c r="J285" s="734"/>
      <c r="K285" s="734" t="s">
        <v>212</v>
      </c>
      <c r="L285" s="734"/>
      <c r="M285" s="734" t="s">
        <v>212</v>
      </c>
      <c r="N285" s="734" t="s">
        <v>212</v>
      </c>
      <c r="O285" s="733"/>
    </row>
    <row r="286" spans="1:15" s="665" customFormat="1" x14ac:dyDescent="0.2">
      <c r="A286" s="702" t="s">
        <v>3358</v>
      </c>
      <c r="B286" s="715" t="s">
        <v>3359</v>
      </c>
      <c r="C286" s="704" t="s">
        <v>2995</v>
      </c>
      <c r="D286" s="733" t="s">
        <v>212</v>
      </c>
      <c r="E286" s="733">
        <v>160.54</v>
      </c>
      <c r="F286" s="733">
        <v>160.54</v>
      </c>
      <c r="G286" s="734" t="s">
        <v>212</v>
      </c>
      <c r="H286" s="733">
        <v>160.54</v>
      </c>
      <c r="I286" s="734" t="s">
        <v>212</v>
      </c>
      <c r="J286" s="733">
        <v>160.54</v>
      </c>
      <c r="K286" s="734" t="s">
        <v>212</v>
      </c>
      <c r="L286" s="733">
        <v>160.54</v>
      </c>
      <c r="M286" s="734" t="s">
        <v>212</v>
      </c>
      <c r="N286" s="734" t="s">
        <v>212</v>
      </c>
      <c r="O286" s="733">
        <v>160.54</v>
      </c>
    </row>
    <row r="287" spans="1:15" s="665" customFormat="1" x14ac:dyDescent="0.2">
      <c r="A287" s="702" t="s">
        <v>3360</v>
      </c>
      <c r="B287" s="717" t="s">
        <v>3194</v>
      </c>
      <c r="C287" s="704" t="s">
        <v>2995</v>
      </c>
      <c r="D287" s="733" t="s">
        <v>212</v>
      </c>
      <c r="E287" s="733"/>
      <c r="F287" s="733"/>
      <c r="G287" s="734" t="s">
        <v>212</v>
      </c>
      <c r="H287" s="734"/>
      <c r="I287" s="734" t="s">
        <v>212</v>
      </c>
      <c r="J287" s="734"/>
      <c r="K287" s="734" t="s">
        <v>212</v>
      </c>
      <c r="L287" s="734"/>
      <c r="M287" s="734" t="s">
        <v>212</v>
      </c>
      <c r="N287" s="734" t="s">
        <v>212</v>
      </c>
      <c r="O287" s="733"/>
    </row>
    <row r="288" spans="1:15" s="665" customFormat="1" x14ac:dyDescent="0.2">
      <c r="A288" s="702" t="s">
        <v>3361</v>
      </c>
      <c r="B288" s="718" t="s">
        <v>3318</v>
      </c>
      <c r="C288" s="704" t="s">
        <v>2995</v>
      </c>
      <c r="D288" s="733" t="s">
        <v>212</v>
      </c>
      <c r="E288" s="733"/>
      <c r="F288" s="733"/>
      <c r="G288" s="734" t="s">
        <v>212</v>
      </c>
      <c r="H288" s="734"/>
      <c r="I288" s="734" t="s">
        <v>212</v>
      </c>
      <c r="J288" s="734"/>
      <c r="K288" s="734" t="s">
        <v>212</v>
      </c>
      <c r="L288" s="734"/>
      <c r="M288" s="734" t="s">
        <v>212</v>
      </c>
      <c r="N288" s="734" t="s">
        <v>212</v>
      </c>
      <c r="O288" s="733"/>
    </row>
    <row r="289" spans="1:15" s="665" customFormat="1" x14ac:dyDescent="0.2">
      <c r="A289" s="702" t="s">
        <v>3362</v>
      </c>
      <c r="B289" s="717" t="s">
        <v>3363</v>
      </c>
      <c r="C289" s="704" t="s">
        <v>2995</v>
      </c>
      <c r="D289" s="733" t="s">
        <v>212</v>
      </c>
      <c r="E289" s="733"/>
      <c r="F289" s="733"/>
      <c r="G289" s="734" t="s">
        <v>212</v>
      </c>
      <c r="H289" s="734"/>
      <c r="I289" s="734" t="s">
        <v>212</v>
      </c>
      <c r="J289" s="734"/>
      <c r="K289" s="734" t="s">
        <v>212</v>
      </c>
      <c r="L289" s="734"/>
      <c r="M289" s="734" t="s">
        <v>212</v>
      </c>
      <c r="N289" s="734" t="s">
        <v>212</v>
      </c>
      <c r="O289" s="733"/>
    </row>
    <row r="290" spans="1:15" s="665" customFormat="1" x14ac:dyDescent="0.2">
      <c r="A290" s="702" t="s">
        <v>3364</v>
      </c>
      <c r="B290" s="718" t="s">
        <v>3318</v>
      </c>
      <c r="C290" s="704" t="s">
        <v>2995</v>
      </c>
      <c r="D290" s="733" t="s">
        <v>212</v>
      </c>
      <c r="E290" s="733"/>
      <c r="F290" s="733"/>
      <c r="G290" s="734" t="s">
        <v>212</v>
      </c>
      <c r="H290" s="734"/>
      <c r="I290" s="734" t="s">
        <v>212</v>
      </c>
      <c r="J290" s="734"/>
      <c r="K290" s="734" t="s">
        <v>212</v>
      </c>
      <c r="L290" s="734"/>
      <c r="M290" s="734" t="s">
        <v>212</v>
      </c>
      <c r="N290" s="734" t="s">
        <v>212</v>
      </c>
      <c r="O290" s="733"/>
    </row>
    <row r="291" spans="1:15" s="665" customFormat="1" ht="31.5" x14ac:dyDescent="0.2">
      <c r="A291" s="702" t="s">
        <v>3365</v>
      </c>
      <c r="B291" s="715" t="s">
        <v>3366</v>
      </c>
      <c r="C291" s="704" t="s">
        <v>2995</v>
      </c>
      <c r="D291" s="733" t="s">
        <v>212</v>
      </c>
      <c r="E291" s="733"/>
      <c r="F291" s="733"/>
      <c r="G291" s="734" t="s">
        <v>212</v>
      </c>
      <c r="H291" s="734"/>
      <c r="I291" s="734" t="s">
        <v>212</v>
      </c>
      <c r="J291" s="734"/>
      <c r="K291" s="734" t="s">
        <v>212</v>
      </c>
      <c r="L291" s="734"/>
      <c r="M291" s="734" t="s">
        <v>212</v>
      </c>
      <c r="N291" s="734" t="s">
        <v>212</v>
      </c>
      <c r="O291" s="733"/>
    </row>
    <row r="292" spans="1:15" s="665" customFormat="1" x14ac:dyDescent="0.2">
      <c r="A292" s="702" t="s">
        <v>3367</v>
      </c>
      <c r="B292" s="717" t="s">
        <v>3318</v>
      </c>
      <c r="C292" s="704" t="s">
        <v>2995</v>
      </c>
      <c r="D292" s="733" t="s">
        <v>212</v>
      </c>
      <c r="E292" s="733"/>
      <c r="F292" s="733"/>
      <c r="G292" s="734" t="s">
        <v>212</v>
      </c>
      <c r="H292" s="734"/>
      <c r="I292" s="734" t="s">
        <v>212</v>
      </c>
      <c r="J292" s="734"/>
      <c r="K292" s="734" t="s">
        <v>212</v>
      </c>
      <c r="L292" s="734"/>
      <c r="M292" s="734" t="s">
        <v>212</v>
      </c>
      <c r="N292" s="734" t="s">
        <v>212</v>
      </c>
      <c r="O292" s="733"/>
    </row>
    <row r="293" spans="1:15" s="665" customFormat="1" x14ac:dyDescent="0.2">
      <c r="A293" s="702" t="s">
        <v>3368</v>
      </c>
      <c r="B293" s="715" t="s">
        <v>3369</v>
      </c>
      <c r="C293" s="704" t="s">
        <v>2995</v>
      </c>
      <c r="D293" s="733" t="s">
        <v>212</v>
      </c>
      <c r="E293" s="733"/>
      <c r="F293" s="733"/>
      <c r="G293" s="734" t="s">
        <v>212</v>
      </c>
      <c r="H293" s="734"/>
      <c r="I293" s="734" t="s">
        <v>212</v>
      </c>
      <c r="J293" s="734"/>
      <c r="K293" s="734" t="s">
        <v>212</v>
      </c>
      <c r="L293" s="734"/>
      <c r="M293" s="734" t="s">
        <v>212</v>
      </c>
      <c r="N293" s="734" t="s">
        <v>212</v>
      </c>
      <c r="O293" s="733"/>
    </row>
    <row r="294" spans="1:15" s="665" customFormat="1" x14ac:dyDescent="0.2">
      <c r="A294" s="702" t="s">
        <v>3370</v>
      </c>
      <c r="B294" s="717" t="s">
        <v>3318</v>
      </c>
      <c r="C294" s="704" t="s">
        <v>2995</v>
      </c>
      <c r="D294" s="733" t="s">
        <v>212</v>
      </c>
      <c r="E294" s="733"/>
      <c r="F294" s="733"/>
      <c r="G294" s="734" t="s">
        <v>212</v>
      </c>
      <c r="H294" s="734"/>
      <c r="I294" s="734" t="s">
        <v>212</v>
      </c>
      <c r="J294" s="734"/>
      <c r="K294" s="734" t="s">
        <v>212</v>
      </c>
      <c r="L294" s="734"/>
      <c r="M294" s="734" t="s">
        <v>212</v>
      </c>
      <c r="N294" s="734" t="s">
        <v>212</v>
      </c>
      <c r="O294" s="733"/>
    </row>
    <row r="295" spans="1:15" s="665" customFormat="1" x14ac:dyDescent="0.2">
      <c r="A295" s="702" t="s">
        <v>3371</v>
      </c>
      <c r="B295" s="715" t="s">
        <v>3372</v>
      </c>
      <c r="C295" s="704" t="s">
        <v>2995</v>
      </c>
      <c r="D295" s="733">
        <v>16.102405440000002</v>
      </c>
      <c r="E295" s="733">
        <v>15</v>
      </c>
      <c r="F295" s="733">
        <v>14.5</v>
      </c>
      <c r="G295" s="734" t="s">
        <v>212</v>
      </c>
      <c r="H295" s="734">
        <v>14.5</v>
      </c>
      <c r="I295" s="734" t="s">
        <v>212</v>
      </c>
      <c r="J295" s="734">
        <v>14.5</v>
      </c>
      <c r="K295" s="734" t="s">
        <v>212</v>
      </c>
      <c r="L295" s="734">
        <v>14.5</v>
      </c>
      <c r="M295" s="734" t="s">
        <v>212</v>
      </c>
      <c r="N295" s="734">
        <v>18.72908495522621</v>
      </c>
      <c r="O295" s="733">
        <v>15</v>
      </c>
    </row>
    <row r="296" spans="1:15" s="665" customFormat="1" x14ac:dyDescent="0.2">
      <c r="A296" s="702" t="s">
        <v>3373</v>
      </c>
      <c r="B296" s="717" t="s">
        <v>3318</v>
      </c>
      <c r="C296" s="704" t="s">
        <v>2995</v>
      </c>
      <c r="D296" s="733" t="s">
        <v>212</v>
      </c>
      <c r="E296" s="733"/>
      <c r="F296" s="733"/>
      <c r="G296" s="733" t="s">
        <v>212</v>
      </c>
      <c r="H296" s="733"/>
      <c r="I296" s="733" t="s">
        <v>212</v>
      </c>
      <c r="J296" s="733"/>
      <c r="K296" s="733" t="s">
        <v>212</v>
      </c>
      <c r="L296" s="733"/>
      <c r="M296" s="733" t="s">
        <v>212</v>
      </c>
      <c r="N296" s="733" t="s">
        <v>212</v>
      </c>
      <c r="O296" s="733"/>
    </row>
    <row r="297" spans="1:15" s="665" customFormat="1" x14ac:dyDescent="0.2">
      <c r="A297" s="702" t="s">
        <v>3374</v>
      </c>
      <c r="B297" s="715" t="s">
        <v>3375</v>
      </c>
      <c r="C297" s="704" t="s">
        <v>2995</v>
      </c>
      <c r="D297" s="733">
        <v>43.172960039999992</v>
      </c>
      <c r="E297" s="733">
        <v>11.17</v>
      </c>
      <c r="F297" s="733">
        <v>11.17</v>
      </c>
      <c r="G297" s="734" t="s">
        <v>212</v>
      </c>
      <c r="H297" s="733">
        <v>11.17</v>
      </c>
      <c r="I297" s="734" t="s">
        <v>212</v>
      </c>
      <c r="J297" s="733">
        <v>11.17</v>
      </c>
      <c r="K297" s="734" t="s">
        <v>212</v>
      </c>
      <c r="L297" s="733">
        <v>11.17</v>
      </c>
      <c r="M297" s="734" t="s">
        <v>212</v>
      </c>
      <c r="N297" s="734">
        <v>50.215481119928</v>
      </c>
      <c r="O297" s="733">
        <v>11.17</v>
      </c>
    </row>
    <row r="298" spans="1:15" s="665" customFormat="1" x14ac:dyDescent="0.2">
      <c r="A298" s="702" t="s">
        <v>3376</v>
      </c>
      <c r="B298" s="717" t="s">
        <v>3318</v>
      </c>
      <c r="C298" s="704" t="s">
        <v>2995</v>
      </c>
      <c r="D298" s="733" t="s">
        <v>212</v>
      </c>
      <c r="E298" s="733"/>
      <c r="F298" s="733"/>
      <c r="G298" s="733" t="s">
        <v>212</v>
      </c>
      <c r="H298" s="733"/>
      <c r="I298" s="733" t="s">
        <v>212</v>
      </c>
      <c r="J298" s="733"/>
      <c r="K298" s="733" t="s">
        <v>212</v>
      </c>
      <c r="L298" s="733"/>
      <c r="M298" s="733" t="s">
        <v>212</v>
      </c>
      <c r="N298" s="733" t="s">
        <v>212</v>
      </c>
      <c r="O298" s="733"/>
    </row>
    <row r="299" spans="1:15" s="665" customFormat="1" x14ac:dyDescent="0.2">
      <c r="A299" s="702" t="s">
        <v>3377</v>
      </c>
      <c r="B299" s="715" t="s">
        <v>3378</v>
      </c>
      <c r="C299" s="704" t="s">
        <v>2995</v>
      </c>
      <c r="D299" s="733">
        <v>146.95597691999998</v>
      </c>
      <c r="E299" s="733">
        <v>70.56</v>
      </c>
      <c r="F299" s="733">
        <v>53.12</v>
      </c>
      <c r="G299" s="734" t="s">
        <v>212</v>
      </c>
      <c r="H299" s="734">
        <v>43.33</v>
      </c>
      <c r="I299" s="734" t="s">
        <v>212</v>
      </c>
      <c r="J299" s="734">
        <v>30.2</v>
      </c>
      <c r="K299" s="734" t="s">
        <v>212</v>
      </c>
      <c r="L299" s="734">
        <v>15.36</v>
      </c>
      <c r="M299" s="734" t="s">
        <v>212</v>
      </c>
      <c r="N299" s="734">
        <v>170.92793910006907</v>
      </c>
      <c r="O299" s="733">
        <v>70.56</v>
      </c>
    </row>
    <row r="300" spans="1:15" s="665" customFormat="1" x14ac:dyDescent="0.2">
      <c r="A300" s="702" t="s">
        <v>3379</v>
      </c>
      <c r="B300" s="717" t="s">
        <v>3318</v>
      </c>
      <c r="C300" s="704" t="s">
        <v>2995</v>
      </c>
      <c r="D300" s="733" t="s">
        <v>212</v>
      </c>
      <c r="E300" s="733"/>
      <c r="F300" s="733"/>
      <c r="G300" s="733" t="s">
        <v>212</v>
      </c>
      <c r="H300" s="733"/>
      <c r="I300" s="733" t="s">
        <v>212</v>
      </c>
      <c r="J300" s="733"/>
      <c r="K300" s="733" t="s">
        <v>212</v>
      </c>
      <c r="L300" s="733"/>
      <c r="M300" s="733" t="s">
        <v>212</v>
      </c>
      <c r="N300" s="733" t="s">
        <v>212</v>
      </c>
      <c r="O300" s="733"/>
    </row>
    <row r="301" spans="1:15" s="665" customFormat="1" ht="31.5" x14ac:dyDescent="0.2">
      <c r="A301" s="702" t="s">
        <v>3380</v>
      </c>
      <c r="B301" s="715" t="s">
        <v>3381</v>
      </c>
      <c r="C301" s="704" t="s">
        <v>2995</v>
      </c>
      <c r="D301" s="733">
        <v>8.7616029599999994</v>
      </c>
      <c r="E301" s="733"/>
      <c r="F301" s="733"/>
      <c r="G301" s="734" t="s">
        <v>212</v>
      </c>
      <c r="H301" s="734"/>
      <c r="I301" s="734" t="s">
        <v>212</v>
      </c>
      <c r="J301" s="734"/>
      <c r="K301" s="734" t="s">
        <v>212</v>
      </c>
      <c r="L301" s="734"/>
      <c r="M301" s="734" t="s">
        <v>212</v>
      </c>
      <c r="N301" s="734">
        <v>10.190825637402494</v>
      </c>
      <c r="O301" s="733"/>
    </row>
    <row r="302" spans="1:15" s="665" customFormat="1" x14ac:dyDescent="0.2">
      <c r="A302" s="702" t="s">
        <v>3382</v>
      </c>
      <c r="B302" s="717" t="s">
        <v>3318</v>
      </c>
      <c r="C302" s="704" t="s">
        <v>2995</v>
      </c>
      <c r="D302" s="733" t="s">
        <v>212</v>
      </c>
      <c r="E302" s="733"/>
      <c r="F302" s="733"/>
      <c r="G302" s="733" t="s">
        <v>212</v>
      </c>
      <c r="H302" s="733"/>
      <c r="I302" s="733" t="s">
        <v>212</v>
      </c>
      <c r="J302" s="733"/>
      <c r="K302" s="733" t="s">
        <v>212</v>
      </c>
      <c r="L302" s="733"/>
      <c r="M302" s="733" t="s">
        <v>212</v>
      </c>
      <c r="N302" s="733" t="s">
        <v>212</v>
      </c>
      <c r="O302" s="733"/>
    </row>
    <row r="303" spans="1:15" s="665" customFormat="1" x14ac:dyDescent="0.2">
      <c r="A303" s="702" t="s">
        <v>3383</v>
      </c>
      <c r="B303" s="715" t="s">
        <v>3384</v>
      </c>
      <c r="C303" s="704" t="s">
        <v>2995</v>
      </c>
      <c r="D303" s="733">
        <v>989.30767967999998</v>
      </c>
      <c r="E303" s="733">
        <v>641.44000000000005</v>
      </c>
      <c r="F303" s="733">
        <v>523.16</v>
      </c>
      <c r="G303" s="734" t="s">
        <v>212</v>
      </c>
      <c r="H303" s="734">
        <v>374.39</v>
      </c>
      <c r="I303" s="734" t="s">
        <v>212</v>
      </c>
      <c r="J303" s="734">
        <v>207.67</v>
      </c>
      <c r="K303" s="734" t="s">
        <v>212</v>
      </c>
      <c r="L303" s="734">
        <v>111.85</v>
      </c>
      <c r="M303" s="734" t="s">
        <v>212</v>
      </c>
      <c r="N303" s="734">
        <v>1150.6869360994324</v>
      </c>
      <c r="O303" s="733">
        <v>641.44000000000005</v>
      </c>
    </row>
    <row r="304" spans="1:15" s="665" customFormat="1" x14ac:dyDescent="0.2">
      <c r="A304" s="702" t="s">
        <v>3385</v>
      </c>
      <c r="B304" s="717" t="s">
        <v>3318</v>
      </c>
      <c r="C304" s="704" t="s">
        <v>2995</v>
      </c>
      <c r="D304" s="733">
        <v>653.24531159999992</v>
      </c>
      <c r="E304" s="733">
        <v>641.44000000000005</v>
      </c>
      <c r="F304" s="733">
        <v>523.16</v>
      </c>
      <c r="G304" s="734" t="s">
        <v>212</v>
      </c>
      <c r="H304" s="734">
        <v>150</v>
      </c>
      <c r="I304" s="734" t="s">
        <v>212</v>
      </c>
      <c r="J304" s="734">
        <v>100</v>
      </c>
      <c r="K304" s="734" t="s">
        <v>212</v>
      </c>
      <c r="L304" s="734">
        <v>0</v>
      </c>
      <c r="M304" s="734" t="s">
        <v>212</v>
      </c>
      <c r="N304" s="734">
        <v>759.80492375179017</v>
      </c>
      <c r="O304" s="733">
        <v>641.44000000000005</v>
      </c>
    </row>
    <row r="305" spans="1:15" s="665" customFormat="1" ht="31.5" x14ac:dyDescent="0.2">
      <c r="A305" s="702" t="s">
        <v>3386</v>
      </c>
      <c r="B305" s="716" t="s">
        <v>3387</v>
      </c>
      <c r="C305" s="704" t="s">
        <v>3388</v>
      </c>
      <c r="D305" s="733" t="s">
        <v>212</v>
      </c>
      <c r="E305" s="733" t="s">
        <v>212</v>
      </c>
      <c r="F305" s="733" t="s">
        <v>212</v>
      </c>
      <c r="G305" s="734" t="s">
        <v>212</v>
      </c>
      <c r="H305" s="734" t="s">
        <v>212</v>
      </c>
      <c r="I305" s="734" t="s">
        <v>212</v>
      </c>
      <c r="J305" s="734" t="s">
        <v>212</v>
      </c>
      <c r="K305" s="734" t="s">
        <v>212</v>
      </c>
      <c r="L305" s="734" t="s">
        <v>212</v>
      </c>
      <c r="M305" s="734" t="s">
        <v>212</v>
      </c>
      <c r="N305" s="734" t="s">
        <v>212</v>
      </c>
      <c r="O305" s="733" t="s">
        <v>212</v>
      </c>
    </row>
    <row r="306" spans="1:15" s="665" customFormat="1" x14ac:dyDescent="0.2">
      <c r="A306" s="702" t="s">
        <v>3389</v>
      </c>
      <c r="B306" s="715" t="s">
        <v>3390</v>
      </c>
      <c r="C306" s="704" t="s">
        <v>3388</v>
      </c>
      <c r="D306" s="733" t="s">
        <v>212</v>
      </c>
      <c r="E306" s="733" t="s">
        <v>212</v>
      </c>
      <c r="F306" s="733" t="s">
        <v>212</v>
      </c>
      <c r="G306" s="734" t="s">
        <v>212</v>
      </c>
      <c r="H306" s="734" t="s">
        <v>212</v>
      </c>
      <c r="I306" s="734" t="s">
        <v>212</v>
      </c>
      <c r="J306" s="734" t="s">
        <v>212</v>
      </c>
      <c r="K306" s="734" t="s">
        <v>212</v>
      </c>
      <c r="L306" s="734" t="s">
        <v>212</v>
      </c>
      <c r="M306" s="734" t="s">
        <v>212</v>
      </c>
      <c r="N306" s="734" t="s">
        <v>212</v>
      </c>
      <c r="O306" s="733" t="s">
        <v>212</v>
      </c>
    </row>
    <row r="307" spans="1:15" s="665" customFormat="1" ht="31.5" x14ac:dyDescent="0.2">
      <c r="A307" s="702" t="s">
        <v>3391</v>
      </c>
      <c r="B307" s="715" t="s">
        <v>3392</v>
      </c>
      <c r="C307" s="704" t="s">
        <v>3388</v>
      </c>
      <c r="D307" s="733" t="s">
        <v>212</v>
      </c>
      <c r="E307" s="733" t="s">
        <v>212</v>
      </c>
      <c r="F307" s="733" t="s">
        <v>212</v>
      </c>
      <c r="G307" s="734" t="s">
        <v>212</v>
      </c>
      <c r="H307" s="734" t="s">
        <v>212</v>
      </c>
      <c r="I307" s="734" t="s">
        <v>212</v>
      </c>
      <c r="J307" s="734" t="s">
        <v>212</v>
      </c>
      <c r="K307" s="734" t="s">
        <v>212</v>
      </c>
      <c r="L307" s="734" t="s">
        <v>212</v>
      </c>
      <c r="M307" s="734" t="s">
        <v>212</v>
      </c>
      <c r="N307" s="734" t="s">
        <v>212</v>
      </c>
      <c r="O307" s="733" t="s">
        <v>212</v>
      </c>
    </row>
    <row r="308" spans="1:15" s="665" customFormat="1" ht="31.5" x14ac:dyDescent="0.2">
      <c r="A308" s="702" t="s">
        <v>3393</v>
      </c>
      <c r="B308" s="715" t="s">
        <v>3394</v>
      </c>
      <c r="C308" s="704" t="s">
        <v>3388</v>
      </c>
      <c r="D308" s="733" t="s">
        <v>212</v>
      </c>
      <c r="E308" s="733" t="s">
        <v>212</v>
      </c>
      <c r="F308" s="733" t="s">
        <v>212</v>
      </c>
      <c r="G308" s="734" t="s">
        <v>212</v>
      </c>
      <c r="H308" s="734" t="s">
        <v>212</v>
      </c>
      <c r="I308" s="734" t="s">
        <v>212</v>
      </c>
      <c r="J308" s="734" t="s">
        <v>212</v>
      </c>
      <c r="K308" s="734" t="s">
        <v>212</v>
      </c>
      <c r="L308" s="734" t="s">
        <v>212</v>
      </c>
      <c r="M308" s="734" t="s">
        <v>212</v>
      </c>
      <c r="N308" s="734" t="s">
        <v>212</v>
      </c>
      <c r="O308" s="733" t="s">
        <v>212</v>
      </c>
    </row>
    <row r="309" spans="1:15" s="665" customFormat="1" ht="31.5" x14ac:dyDescent="0.2">
      <c r="A309" s="702" t="s">
        <v>3395</v>
      </c>
      <c r="B309" s="715" t="s">
        <v>3396</v>
      </c>
      <c r="C309" s="704" t="s">
        <v>3388</v>
      </c>
      <c r="D309" s="733" t="s">
        <v>212</v>
      </c>
      <c r="E309" s="733" t="s">
        <v>212</v>
      </c>
      <c r="F309" s="733" t="s">
        <v>212</v>
      </c>
      <c r="G309" s="734" t="s">
        <v>212</v>
      </c>
      <c r="H309" s="734" t="s">
        <v>212</v>
      </c>
      <c r="I309" s="734" t="s">
        <v>212</v>
      </c>
      <c r="J309" s="734" t="s">
        <v>212</v>
      </c>
      <c r="K309" s="734" t="s">
        <v>212</v>
      </c>
      <c r="L309" s="734" t="s">
        <v>212</v>
      </c>
      <c r="M309" s="734" t="s">
        <v>212</v>
      </c>
      <c r="N309" s="734" t="s">
        <v>212</v>
      </c>
      <c r="O309" s="733" t="s">
        <v>212</v>
      </c>
    </row>
    <row r="310" spans="1:15" s="665" customFormat="1" x14ac:dyDescent="0.2">
      <c r="A310" s="702" t="s">
        <v>3397</v>
      </c>
      <c r="B310" s="708" t="s">
        <v>3398</v>
      </c>
      <c r="C310" s="704" t="s">
        <v>3388</v>
      </c>
      <c r="D310" s="733" t="s">
        <v>212</v>
      </c>
      <c r="E310" s="733" t="s">
        <v>212</v>
      </c>
      <c r="F310" s="733" t="s">
        <v>212</v>
      </c>
      <c r="G310" s="734" t="s">
        <v>212</v>
      </c>
      <c r="H310" s="734" t="s">
        <v>212</v>
      </c>
      <c r="I310" s="734" t="s">
        <v>212</v>
      </c>
      <c r="J310" s="734" t="s">
        <v>212</v>
      </c>
      <c r="K310" s="734" t="s">
        <v>212</v>
      </c>
      <c r="L310" s="734" t="s">
        <v>212</v>
      </c>
      <c r="M310" s="734" t="s">
        <v>212</v>
      </c>
      <c r="N310" s="734" t="s">
        <v>212</v>
      </c>
      <c r="O310" s="733" t="s">
        <v>212</v>
      </c>
    </row>
    <row r="311" spans="1:15" s="665" customFormat="1" x14ac:dyDescent="0.2">
      <c r="A311" s="702" t="s">
        <v>3399</v>
      </c>
      <c r="B311" s="708" t="s">
        <v>3400</v>
      </c>
      <c r="C311" s="704" t="s">
        <v>3388</v>
      </c>
      <c r="D311" s="733" t="s">
        <v>212</v>
      </c>
      <c r="E311" s="733" t="s">
        <v>212</v>
      </c>
      <c r="F311" s="733" t="s">
        <v>212</v>
      </c>
      <c r="G311" s="734" t="s">
        <v>212</v>
      </c>
      <c r="H311" s="734" t="s">
        <v>212</v>
      </c>
      <c r="I311" s="734" t="s">
        <v>212</v>
      </c>
      <c r="J311" s="734" t="s">
        <v>212</v>
      </c>
      <c r="K311" s="734" t="s">
        <v>212</v>
      </c>
      <c r="L311" s="734" t="s">
        <v>212</v>
      </c>
      <c r="M311" s="734" t="s">
        <v>212</v>
      </c>
      <c r="N311" s="734" t="s">
        <v>212</v>
      </c>
      <c r="O311" s="733" t="s">
        <v>212</v>
      </c>
    </row>
    <row r="312" spans="1:15" s="665" customFormat="1" x14ac:dyDescent="0.2">
      <c r="A312" s="702" t="s">
        <v>3401</v>
      </c>
      <c r="B312" s="708" t="s">
        <v>3402</v>
      </c>
      <c r="C312" s="704" t="s">
        <v>3388</v>
      </c>
      <c r="D312" s="739" t="s">
        <v>212</v>
      </c>
      <c r="E312" s="733" t="s">
        <v>212</v>
      </c>
      <c r="F312" s="739" t="s">
        <v>212</v>
      </c>
      <c r="G312" s="707" t="s">
        <v>212</v>
      </c>
      <c r="H312" s="734" t="s">
        <v>212</v>
      </c>
      <c r="I312" s="734" t="s">
        <v>212</v>
      </c>
      <c r="J312" s="734" t="s">
        <v>212</v>
      </c>
      <c r="K312" s="734" t="s">
        <v>212</v>
      </c>
      <c r="L312" s="734" t="s">
        <v>212</v>
      </c>
      <c r="M312" s="734" t="s">
        <v>212</v>
      </c>
      <c r="N312" s="734" t="s">
        <v>212</v>
      </c>
      <c r="O312" s="733" t="s">
        <v>212</v>
      </c>
    </row>
    <row r="313" spans="1:15" s="665" customFormat="1" ht="19.5" customHeight="1" x14ac:dyDescent="0.2">
      <c r="A313" s="702" t="s">
        <v>3403</v>
      </c>
      <c r="B313" s="708" t="s">
        <v>3404</v>
      </c>
      <c r="C313" s="704" t="s">
        <v>3388</v>
      </c>
      <c r="D313" s="739" t="s">
        <v>212</v>
      </c>
      <c r="E313" s="733" t="s">
        <v>212</v>
      </c>
      <c r="F313" s="739" t="s">
        <v>212</v>
      </c>
      <c r="G313" s="707" t="s">
        <v>212</v>
      </c>
      <c r="H313" s="734" t="s">
        <v>212</v>
      </c>
      <c r="I313" s="734" t="s">
        <v>212</v>
      </c>
      <c r="J313" s="734" t="s">
        <v>212</v>
      </c>
      <c r="K313" s="734" t="s">
        <v>212</v>
      </c>
      <c r="L313" s="734" t="s">
        <v>212</v>
      </c>
      <c r="M313" s="734" t="s">
        <v>212</v>
      </c>
      <c r="N313" s="734" t="s">
        <v>212</v>
      </c>
      <c r="O313" s="733" t="s">
        <v>212</v>
      </c>
    </row>
    <row r="314" spans="1:15" s="665" customFormat="1" ht="19.5" customHeight="1" x14ac:dyDescent="0.2">
      <c r="A314" s="702" t="s">
        <v>3405</v>
      </c>
      <c r="B314" s="708" t="s">
        <v>3406</v>
      </c>
      <c r="C314" s="704" t="s">
        <v>3388</v>
      </c>
      <c r="D314" s="740" t="s">
        <v>212</v>
      </c>
      <c r="E314" s="733" t="s">
        <v>212</v>
      </c>
      <c r="F314" s="740" t="s">
        <v>212</v>
      </c>
      <c r="G314" s="739" t="s">
        <v>212</v>
      </c>
      <c r="H314" s="734" t="s">
        <v>212</v>
      </c>
      <c r="I314" s="734" t="s">
        <v>212</v>
      </c>
      <c r="J314" s="734" t="s">
        <v>212</v>
      </c>
      <c r="K314" s="734" t="s">
        <v>212</v>
      </c>
      <c r="L314" s="734" t="s">
        <v>212</v>
      </c>
      <c r="M314" s="734" t="s">
        <v>212</v>
      </c>
      <c r="N314" s="734" t="s">
        <v>212</v>
      </c>
      <c r="O314" s="733" t="s">
        <v>212</v>
      </c>
    </row>
    <row r="315" spans="1:15" s="665" customFormat="1" ht="36.950000000000003" customHeight="1" x14ac:dyDescent="0.2">
      <c r="A315" s="702" t="s">
        <v>3407</v>
      </c>
      <c r="B315" s="715" t="s">
        <v>3408</v>
      </c>
      <c r="C315" s="704" t="s">
        <v>3388</v>
      </c>
      <c r="D315" s="740" t="s">
        <v>212</v>
      </c>
      <c r="E315" s="733" t="s">
        <v>212</v>
      </c>
      <c r="F315" s="740" t="s">
        <v>212</v>
      </c>
      <c r="G315" s="739" t="s">
        <v>212</v>
      </c>
      <c r="H315" s="734" t="s">
        <v>212</v>
      </c>
      <c r="I315" s="734" t="s">
        <v>212</v>
      </c>
      <c r="J315" s="734" t="s">
        <v>212</v>
      </c>
      <c r="K315" s="734" t="s">
        <v>212</v>
      </c>
      <c r="L315" s="734" t="s">
        <v>212</v>
      </c>
      <c r="M315" s="734" t="s">
        <v>212</v>
      </c>
      <c r="N315" s="734" t="s">
        <v>212</v>
      </c>
      <c r="O315" s="733" t="s">
        <v>212</v>
      </c>
    </row>
    <row r="316" spans="1:15" s="665" customFormat="1" ht="19.5" customHeight="1" x14ac:dyDescent="0.2">
      <c r="A316" s="702" t="s">
        <v>3409</v>
      </c>
      <c r="B316" s="741" t="s">
        <v>3011</v>
      </c>
      <c r="C316" s="704" t="s">
        <v>3388</v>
      </c>
      <c r="D316" s="739" t="s">
        <v>212</v>
      </c>
      <c r="E316" s="733" t="s">
        <v>212</v>
      </c>
      <c r="F316" s="739" t="s">
        <v>212</v>
      </c>
      <c r="G316" s="739" t="s">
        <v>212</v>
      </c>
      <c r="H316" s="734" t="s">
        <v>212</v>
      </c>
      <c r="I316" s="734" t="s">
        <v>212</v>
      </c>
      <c r="J316" s="734" t="s">
        <v>212</v>
      </c>
      <c r="K316" s="734" t="s">
        <v>212</v>
      </c>
      <c r="L316" s="734" t="s">
        <v>212</v>
      </c>
      <c r="M316" s="734" t="s">
        <v>212</v>
      </c>
      <c r="N316" s="734" t="s">
        <v>212</v>
      </c>
      <c r="O316" s="733" t="s">
        <v>212</v>
      </c>
    </row>
    <row r="317" spans="1:15" s="665" customFormat="1" ht="19.5" customHeight="1" thickBot="1" x14ac:dyDescent="0.25">
      <c r="A317" s="723" t="s">
        <v>3410</v>
      </c>
      <c r="B317" s="742" t="s">
        <v>3013</v>
      </c>
      <c r="C317" s="725" t="s">
        <v>3388</v>
      </c>
      <c r="D317" s="727" t="s">
        <v>212</v>
      </c>
      <c r="E317" s="733" t="s">
        <v>212</v>
      </c>
      <c r="F317" s="727" t="s">
        <v>212</v>
      </c>
      <c r="G317" s="743" t="s">
        <v>212</v>
      </c>
      <c r="H317" s="734" t="s">
        <v>212</v>
      </c>
      <c r="I317" s="734" t="s">
        <v>212</v>
      </c>
      <c r="J317" s="734" t="s">
        <v>212</v>
      </c>
      <c r="K317" s="734" t="s">
        <v>212</v>
      </c>
      <c r="L317" s="734" t="s">
        <v>212</v>
      </c>
      <c r="M317" s="734" t="s">
        <v>212</v>
      </c>
      <c r="N317" s="734" t="s">
        <v>212</v>
      </c>
      <c r="O317" s="733" t="s">
        <v>212</v>
      </c>
    </row>
    <row r="318" spans="1:15" s="665" customFormat="1" ht="15.6" customHeight="1" thickBot="1" x14ac:dyDescent="0.25">
      <c r="A318" s="808" t="s">
        <v>3411</v>
      </c>
      <c r="B318" s="809"/>
      <c r="C318" s="809"/>
      <c r="D318" s="809"/>
      <c r="E318" s="809"/>
      <c r="F318" s="809"/>
      <c r="G318" s="809"/>
      <c r="H318" s="809"/>
      <c r="I318" s="809"/>
      <c r="J318" s="809"/>
      <c r="K318" s="809"/>
      <c r="L318" s="809"/>
      <c r="M318" s="809"/>
      <c r="N318" s="809"/>
      <c r="O318" s="810"/>
    </row>
    <row r="319" spans="1:15" ht="31.5" x14ac:dyDescent="0.25">
      <c r="A319" s="712" t="s">
        <v>3412</v>
      </c>
      <c r="B319" s="713" t="s">
        <v>3413</v>
      </c>
      <c r="C319" s="714" t="s">
        <v>212</v>
      </c>
      <c r="D319" s="734" t="s">
        <v>3414</v>
      </c>
      <c r="E319" s="734" t="s">
        <v>3414</v>
      </c>
      <c r="F319" s="734" t="s">
        <v>3414</v>
      </c>
      <c r="G319" s="734" t="s">
        <v>3414</v>
      </c>
      <c r="H319" s="734" t="s">
        <v>3414</v>
      </c>
      <c r="I319" s="734" t="s">
        <v>3414</v>
      </c>
      <c r="J319" s="734" t="s">
        <v>3414</v>
      </c>
      <c r="K319" s="734" t="s">
        <v>3414</v>
      </c>
      <c r="L319" s="734" t="s">
        <v>3414</v>
      </c>
      <c r="M319" s="734" t="s">
        <v>3414</v>
      </c>
      <c r="N319" s="734" t="s">
        <v>3414</v>
      </c>
      <c r="O319" s="734" t="s">
        <v>3414</v>
      </c>
    </row>
    <row r="320" spans="1:15" x14ac:dyDescent="0.25">
      <c r="A320" s="702" t="s">
        <v>3415</v>
      </c>
      <c r="B320" s="716" t="s">
        <v>3416</v>
      </c>
      <c r="C320" s="704" t="s">
        <v>3417</v>
      </c>
      <c r="D320" s="733" t="s">
        <v>212</v>
      </c>
      <c r="E320" s="705" t="s">
        <v>212</v>
      </c>
      <c r="F320" s="733" t="s">
        <v>212</v>
      </c>
      <c r="G320" s="733" t="s">
        <v>212</v>
      </c>
      <c r="H320" s="733" t="s">
        <v>212</v>
      </c>
      <c r="I320" s="733" t="s">
        <v>212</v>
      </c>
      <c r="J320" s="733" t="s">
        <v>212</v>
      </c>
      <c r="K320" s="733" t="s">
        <v>212</v>
      </c>
      <c r="L320" s="733" t="s">
        <v>212</v>
      </c>
      <c r="M320" s="733" t="s">
        <v>212</v>
      </c>
      <c r="N320" s="733" t="s">
        <v>212</v>
      </c>
      <c r="O320" s="705" t="s">
        <v>212</v>
      </c>
    </row>
    <row r="321" spans="1:15" x14ac:dyDescent="0.25">
      <c r="A321" s="702" t="s">
        <v>3418</v>
      </c>
      <c r="B321" s="716" t="s">
        <v>3419</v>
      </c>
      <c r="C321" s="704" t="s">
        <v>3420</v>
      </c>
      <c r="D321" s="733" t="s">
        <v>212</v>
      </c>
      <c r="E321" s="705" t="s">
        <v>212</v>
      </c>
      <c r="F321" s="733" t="s">
        <v>212</v>
      </c>
      <c r="G321" s="733" t="s">
        <v>212</v>
      </c>
      <c r="H321" s="733" t="s">
        <v>212</v>
      </c>
      <c r="I321" s="733" t="s">
        <v>212</v>
      </c>
      <c r="J321" s="733" t="s">
        <v>212</v>
      </c>
      <c r="K321" s="733" t="s">
        <v>212</v>
      </c>
      <c r="L321" s="733" t="s">
        <v>212</v>
      </c>
      <c r="M321" s="733" t="s">
        <v>212</v>
      </c>
      <c r="N321" s="733" t="s">
        <v>212</v>
      </c>
      <c r="O321" s="705" t="s">
        <v>212</v>
      </c>
    </row>
    <row r="322" spans="1:15" x14ac:dyDescent="0.25">
      <c r="A322" s="702" t="s">
        <v>3421</v>
      </c>
      <c r="B322" s="716" t="s">
        <v>3422</v>
      </c>
      <c r="C322" s="704" t="s">
        <v>3417</v>
      </c>
      <c r="D322" s="733" t="s">
        <v>212</v>
      </c>
      <c r="E322" s="705" t="s">
        <v>212</v>
      </c>
      <c r="F322" s="733" t="s">
        <v>212</v>
      </c>
      <c r="G322" s="733" t="s">
        <v>212</v>
      </c>
      <c r="H322" s="733" t="s">
        <v>212</v>
      </c>
      <c r="I322" s="733" t="s">
        <v>212</v>
      </c>
      <c r="J322" s="733" t="s">
        <v>212</v>
      </c>
      <c r="K322" s="733" t="s">
        <v>212</v>
      </c>
      <c r="L322" s="733" t="s">
        <v>212</v>
      </c>
      <c r="M322" s="733" t="s">
        <v>212</v>
      </c>
      <c r="N322" s="733" t="s">
        <v>212</v>
      </c>
      <c r="O322" s="705" t="s">
        <v>212</v>
      </c>
    </row>
    <row r="323" spans="1:15" x14ac:dyDescent="0.25">
      <c r="A323" s="702" t="s">
        <v>3423</v>
      </c>
      <c r="B323" s="716" t="s">
        <v>3424</v>
      </c>
      <c r="C323" s="704" t="s">
        <v>3420</v>
      </c>
      <c r="D323" s="733" t="s">
        <v>212</v>
      </c>
      <c r="E323" s="705" t="s">
        <v>212</v>
      </c>
      <c r="F323" s="733" t="s">
        <v>212</v>
      </c>
      <c r="G323" s="733" t="s">
        <v>212</v>
      </c>
      <c r="H323" s="733" t="s">
        <v>212</v>
      </c>
      <c r="I323" s="733" t="s">
        <v>212</v>
      </c>
      <c r="J323" s="733" t="s">
        <v>212</v>
      </c>
      <c r="K323" s="733" t="s">
        <v>212</v>
      </c>
      <c r="L323" s="733" t="s">
        <v>212</v>
      </c>
      <c r="M323" s="733" t="s">
        <v>212</v>
      </c>
      <c r="N323" s="733" t="s">
        <v>212</v>
      </c>
      <c r="O323" s="705" t="s">
        <v>212</v>
      </c>
    </row>
    <row r="324" spans="1:15" x14ac:dyDescent="0.25">
      <c r="A324" s="702" t="s">
        <v>3425</v>
      </c>
      <c r="B324" s="716" t="s">
        <v>3426</v>
      </c>
      <c r="C324" s="704" t="s">
        <v>3427</v>
      </c>
      <c r="D324" s="733" t="s">
        <v>212</v>
      </c>
      <c r="E324" s="705" t="s">
        <v>212</v>
      </c>
      <c r="F324" s="733" t="s">
        <v>212</v>
      </c>
      <c r="G324" s="733" t="s">
        <v>212</v>
      </c>
      <c r="H324" s="733" t="s">
        <v>212</v>
      </c>
      <c r="I324" s="733" t="s">
        <v>212</v>
      </c>
      <c r="J324" s="733" t="s">
        <v>212</v>
      </c>
      <c r="K324" s="733" t="s">
        <v>212</v>
      </c>
      <c r="L324" s="733" t="s">
        <v>212</v>
      </c>
      <c r="M324" s="733" t="s">
        <v>212</v>
      </c>
      <c r="N324" s="733" t="s">
        <v>212</v>
      </c>
      <c r="O324" s="705" t="s">
        <v>212</v>
      </c>
    </row>
    <row r="325" spans="1:15" x14ac:dyDescent="0.25">
      <c r="A325" s="702" t="s">
        <v>3428</v>
      </c>
      <c r="B325" s="716" t="s">
        <v>3429</v>
      </c>
      <c r="C325" s="704" t="s">
        <v>212</v>
      </c>
      <c r="D325" s="733" t="s">
        <v>3414</v>
      </c>
      <c r="E325" s="733" t="s">
        <v>3414</v>
      </c>
      <c r="F325" s="733" t="s">
        <v>3414</v>
      </c>
      <c r="G325" s="733" t="s">
        <v>3414</v>
      </c>
      <c r="H325" s="733" t="s">
        <v>3414</v>
      </c>
      <c r="I325" s="733" t="s">
        <v>3414</v>
      </c>
      <c r="J325" s="733" t="s">
        <v>3414</v>
      </c>
      <c r="K325" s="733" t="s">
        <v>3414</v>
      </c>
      <c r="L325" s="733" t="s">
        <v>3414</v>
      </c>
      <c r="M325" s="733" t="s">
        <v>3414</v>
      </c>
      <c r="N325" s="733" t="s">
        <v>3414</v>
      </c>
      <c r="O325" s="733" t="s">
        <v>3414</v>
      </c>
    </row>
    <row r="326" spans="1:15" x14ac:dyDescent="0.25">
      <c r="A326" s="702" t="s">
        <v>3430</v>
      </c>
      <c r="B326" s="715" t="s">
        <v>3431</v>
      </c>
      <c r="C326" s="704" t="s">
        <v>3427</v>
      </c>
      <c r="D326" s="733" t="s">
        <v>212</v>
      </c>
      <c r="E326" s="705" t="s">
        <v>212</v>
      </c>
      <c r="F326" s="733" t="s">
        <v>212</v>
      </c>
      <c r="G326" s="733" t="s">
        <v>212</v>
      </c>
      <c r="H326" s="733" t="s">
        <v>212</v>
      </c>
      <c r="I326" s="733" t="s">
        <v>212</v>
      </c>
      <c r="J326" s="733" t="s">
        <v>212</v>
      </c>
      <c r="K326" s="733" t="s">
        <v>212</v>
      </c>
      <c r="L326" s="733" t="s">
        <v>212</v>
      </c>
      <c r="M326" s="733" t="s">
        <v>212</v>
      </c>
      <c r="N326" s="733" t="s">
        <v>212</v>
      </c>
      <c r="O326" s="705" t="s">
        <v>212</v>
      </c>
    </row>
    <row r="327" spans="1:15" x14ac:dyDescent="0.25">
      <c r="A327" s="702" t="s">
        <v>3432</v>
      </c>
      <c r="B327" s="715" t="s">
        <v>3433</v>
      </c>
      <c r="C327" s="704" t="s">
        <v>3434</v>
      </c>
      <c r="D327" s="733" t="s">
        <v>212</v>
      </c>
      <c r="E327" s="705" t="s">
        <v>212</v>
      </c>
      <c r="F327" s="733" t="s">
        <v>212</v>
      </c>
      <c r="G327" s="733" t="s">
        <v>212</v>
      </c>
      <c r="H327" s="733" t="s">
        <v>212</v>
      </c>
      <c r="I327" s="733" t="s">
        <v>212</v>
      </c>
      <c r="J327" s="733" t="s">
        <v>212</v>
      </c>
      <c r="K327" s="733" t="s">
        <v>212</v>
      </c>
      <c r="L327" s="733" t="s">
        <v>212</v>
      </c>
      <c r="M327" s="733" t="s">
        <v>212</v>
      </c>
      <c r="N327" s="733" t="s">
        <v>212</v>
      </c>
      <c r="O327" s="705" t="s">
        <v>212</v>
      </c>
    </row>
    <row r="328" spans="1:15" x14ac:dyDescent="0.25">
      <c r="A328" s="702" t="s">
        <v>3435</v>
      </c>
      <c r="B328" s="720" t="s">
        <v>3436</v>
      </c>
      <c r="C328" s="704" t="s">
        <v>212</v>
      </c>
      <c r="D328" s="733" t="s">
        <v>3414</v>
      </c>
      <c r="E328" s="733" t="s">
        <v>3414</v>
      </c>
      <c r="F328" s="733" t="s">
        <v>3414</v>
      </c>
      <c r="G328" s="733" t="s">
        <v>3414</v>
      </c>
      <c r="H328" s="733" t="s">
        <v>3414</v>
      </c>
      <c r="I328" s="733" t="s">
        <v>3414</v>
      </c>
      <c r="J328" s="733" t="s">
        <v>3414</v>
      </c>
      <c r="K328" s="733" t="s">
        <v>3414</v>
      </c>
      <c r="L328" s="733" t="s">
        <v>3414</v>
      </c>
      <c r="M328" s="733" t="s">
        <v>3414</v>
      </c>
      <c r="N328" s="733" t="s">
        <v>3414</v>
      </c>
      <c r="O328" s="733" t="s">
        <v>3414</v>
      </c>
    </row>
    <row r="329" spans="1:15" x14ac:dyDescent="0.25">
      <c r="A329" s="702" t="s">
        <v>3437</v>
      </c>
      <c r="B329" s="715" t="s">
        <v>3431</v>
      </c>
      <c r="C329" s="704" t="s">
        <v>3427</v>
      </c>
      <c r="D329" s="739" t="s">
        <v>212</v>
      </c>
      <c r="E329" s="705" t="s">
        <v>212</v>
      </c>
      <c r="F329" s="739" t="s">
        <v>212</v>
      </c>
      <c r="G329" s="739" t="s">
        <v>212</v>
      </c>
      <c r="H329" s="739" t="s">
        <v>212</v>
      </c>
      <c r="I329" s="739" t="s">
        <v>212</v>
      </c>
      <c r="J329" s="739" t="s">
        <v>212</v>
      </c>
      <c r="K329" s="739" t="s">
        <v>212</v>
      </c>
      <c r="L329" s="739" t="s">
        <v>212</v>
      </c>
      <c r="M329" s="739" t="s">
        <v>212</v>
      </c>
      <c r="N329" s="739" t="s">
        <v>212</v>
      </c>
      <c r="O329" s="705" t="s">
        <v>212</v>
      </c>
    </row>
    <row r="330" spans="1:15" x14ac:dyDescent="0.25">
      <c r="A330" s="702" t="s">
        <v>3438</v>
      </c>
      <c r="B330" s="715" t="s">
        <v>3439</v>
      </c>
      <c r="C330" s="704" t="s">
        <v>3417</v>
      </c>
      <c r="D330" s="739" t="s">
        <v>212</v>
      </c>
      <c r="E330" s="705" t="s">
        <v>212</v>
      </c>
      <c r="F330" s="739" t="s">
        <v>212</v>
      </c>
      <c r="G330" s="739" t="s">
        <v>212</v>
      </c>
      <c r="H330" s="739" t="s">
        <v>212</v>
      </c>
      <c r="I330" s="739" t="s">
        <v>212</v>
      </c>
      <c r="J330" s="739" t="s">
        <v>212</v>
      </c>
      <c r="K330" s="739" t="s">
        <v>212</v>
      </c>
      <c r="L330" s="739" t="s">
        <v>212</v>
      </c>
      <c r="M330" s="739" t="s">
        <v>212</v>
      </c>
      <c r="N330" s="739" t="s">
        <v>212</v>
      </c>
      <c r="O330" s="705" t="s">
        <v>212</v>
      </c>
    </row>
    <row r="331" spans="1:15" x14ac:dyDescent="0.25">
      <c r="A331" s="702" t="s">
        <v>3440</v>
      </c>
      <c r="B331" s="715" t="s">
        <v>3433</v>
      </c>
      <c r="C331" s="704" t="s">
        <v>3434</v>
      </c>
      <c r="D331" s="739" t="s">
        <v>212</v>
      </c>
      <c r="E331" s="705" t="s">
        <v>212</v>
      </c>
      <c r="F331" s="739" t="s">
        <v>212</v>
      </c>
      <c r="G331" s="739" t="s">
        <v>212</v>
      </c>
      <c r="H331" s="739" t="s">
        <v>212</v>
      </c>
      <c r="I331" s="739" t="s">
        <v>212</v>
      </c>
      <c r="J331" s="739" t="s">
        <v>212</v>
      </c>
      <c r="K331" s="739" t="s">
        <v>212</v>
      </c>
      <c r="L331" s="739" t="s">
        <v>212</v>
      </c>
      <c r="M331" s="739" t="s">
        <v>212</v>
      </c>
      <c r="N331" s="739" t="s">
        <v>212</v>
      </c>
      <c r="O331" s="705" t="s">
        <v>212</v>
      </c>
    </row>
    <row r="332" spans="1:15" x14ac:dyDescent="0.25">
      <c r="A332" s="702" t="s">
        <v>3441</v>
      </c>
      <c r="B332" s="716" t="s">
        <v>3442</v>
      </c>
      <c r="C332" s="704" t="s">
        <v>212</v>
      </c>
      <c r="D332" s="733" t="s">
        <v>3414</v>
      </c>
      <c r="E332" s="733" t="s">
        <v>3414</v>
      </c>
      <c r="F332" s="733" t="s">
        <v>3414</v>
      </c>
      <c r="G332" s="733" t="s">
        <v>3414</v>
      </c>
      <c r="H332" s="733" t="s">
        <v>3414</v>
      </c>
      <c r="I332" s="733" t="s">
        <v>3414</v>
      </c>
      <c r="J332" s="733" t="s">
        <v>3414</v>
      </c>
      <c r="K332" s="733" t="s">
        <v>3414</v>
      </c>
      <c r="L332" s="733" t="s">
        <v>3414</v>
      </c>
      <c r="M332" s="733" t="s">
        <v>3414</v>
      </c>
      <c r="N332" s="733" t="s">
        <v>3414</v>
      </c>
      <c r="O332" s="733" t="s">
        <v>3414</v>
      </c>
    </row>
    <row r="333" spans="1:15" x14ac:dyDescent="0.25">
      <c r="A333" s="702" t="s">
        <v>3443</v>
      </c>
      <c r="B333" s="715" t="s">
        <v>3431</v>
      </c>
      <c r="C333" s="704" t="s">
        <v>3427</v>
      </c>
      <c r="D333" s="733" t="s">
        <v>212</v>
      </c>
      <c r="E333" s="705" t="s">
        <v>212</v>
      </c>
      <c r="F333" s="733" t="s">
        <v>212</v>
      </c>
      <c r="G333" s="733" t="s">
        <v>212</v>
      </c>
      <c r="H333" s="733" t="s">
        <v>212</v>
      </c>
      <c r="I333" s="733" t="s">
        <v>212</v>
      </c>
      <c r="J333" s="733" t="s">
        <v>212</v>
      </c>
      <c r="K333" s="733" t="s">
        <v>212</v>
      </c>
      <c r="L333" s="733" t="s">
        <v>212</v>
      </c>
      <c r="M333" s="733" t="s">
        <v>212</v>
      </c>
      <c r="N333" s="733" t="s">
        <v>212</v>
      </c>
      <c r="O333" s="705" t="s">
        <v>212</v>
      </c>
    </row>
    <row r="334" spans="1:15" x14ac:dyDescent="0.25">
      <c r="A334" s="702" t="s">
        <v>3444</v>
      </c>
      <c r="B334" s="715" t="s">
        <v>3433</v>
      </c>
      <c r="C334" s="704" t="s">
        <v>3434</v>
      </c>
      <c r="D334" s="733" t="s">
        <v>212</v>
      </c>
      <c r="E334" s="705" t="s">
        <v>212</v>
      </c>
      <c r="F334" s="733" t="s">
        <v>212</v>
      </c>
      <c r="G334" s="733" t="s">
        <v>212</v>
      </c>
      <c r="H334" s="733" t="s">
        <v>212</v>
      </c>
      <c r="I334" s="733" t="s">
        <v>212</v>
      </c>
      <c r="J334" s="733" t="s">
        <v>212</v>
      </c>
      <c r="K334" s="733" t="s">
        <v>212</v>
      </c>
      <c r="L334" s="733" t="s">
        <v>212</v>
      </c>
      <c r="M334" s="733" t="s">
        <v>212</v>
      </c>
      <c r="N334" s="733" t="s">
        <v>212</v>
      </c>
      <c r="O334" s="705" t="s">
        <v>212</v>
      </c>
    </row>
    <row r="335" spans="1:15" x14ac:dyDescent="0.25">
      <c r="A335" s="702" t="s">
        <v>3445</v>
      </c>
      <c r="B335" s="716" t="s">
        <v>3446</v>
      </c>
      <c r="C335" s="704" t="s">
        <v>212</v>
      </c>
      <c r="D335" s="733" t="s">
        <v>3414</v>
      </c>
      <c r="E335" s="733" t="s">
        <v>3414</v>
      </c>
      <c r="F335" s="733" t="s">
        <v>3414</v>
      </c>
      <c r="G335" s="733" t="s">
        <v>3414</v>
      </c>
      <c r="H335" s="733" t="s">
        <v>3414</v>
      </c>
      <c r="I335" s="733" t="s">
        <v>3414</v>
      </c>
      <c r="J335" s="733" t="s">
        <v>3414</v>
      </c>
      <c r="K335" s="733" t="s">
        <v>3414</v>
      </c>
      <c r="L335" s="733" t="s">
        <v>3414</v>
      </c>
      <c r="M335" s="733" t="s">
        <v>3414</v>
      </c>
      <c r="N335" s="733" t="s">
        <v>3414</v>
      </c>
      <c r="O335" s="733" t="s">
        <v>3414</v>
      </c>
    </row>
    <row r="336" spans="1:15" x14ac:dyDescent="0.25">
      <c r="A336" s="702" t="s">
        <v>3447</v>
      </c>
      <c r="B336" s="715" t="s">
        <v>3431</v>
      </c>
      <c r="C336" s="704" t="s">
        <v>3427</v>
      </c>
      <c r="D336" s="733" t="s">
        <v>212</v>
      </c>
      <c r="E336" s="705" t="s">
        <v>212</v>
      </c>
      <c r="F336" s="733" t="s">
        <v>212</v>
      </c>
      <c r="G336" s="733" t="s">
        <v>212</v>
      </c>
      <c r="H336" s="733" t="s">
        <v>212</v>
      </c>
      <c r="I336" s="733" t="s">
        <v>212</v>
      </c>
      <c r="J336" s="733" t="s">
        <v>212</v>
      </c>
      <c r="K336" s="733" t="s">
        <v>212</v>
      </c>
      <c r="L336" s="733" t="s">
        <v>212</v>
      </c>
      <c r="M336" s="733" t="s">
        <v>212</v>
      </c>
      <c r="N336" s="733" t="s">
        <v>212</v>
      </c>
      <c r="O336" s="705" t="s">
        <v>212</v>
      </c>
    </row>
    <row r="337" spans="1:15" x14ac:dyDescent="0.25">
      <c r="A337" s="702" t="s">
        <v>3448</v>
      </c>
      <c r="B337" s="715" t="s">
        <v>3439</v>
      </c>
      <c r="C337" s="704" t="s">
        <v>3417</v>
      </c>
      <c r="D337" s="733" t="s">
        <v>212</v>
      </c>
      <c r="E337" s="705" t="s">
        <v>212</v>
      </c>
      <c r="F337" s="733" t="s">
        <v>212</v>
      </c>
      <c r="G337" s="733" t="s">
        <v>212</v>
      </c>
      <c r="H337" s="733" t="s">
        <v>212</v>
      </c>
      <c r="I337" s="733" t="s">
        <v>212</v>
      </c>
      <c r="J337" s="733" t="s">
        <v>212</v>
      </c>
      <c r="K337" s="733" t="s">
        <v>212</v>
      </c>
      <c r="L337" s="733" t="s">
        <v>212</v>
      </c>
      <c r="M337" s="733" t="s">
        <v>212</v>
      </c>
      <c r="N337" s="733" t="s">
        <v>212</v>
      </c>
      <c r="O337" s="705" t="s">
        <v>212</v>
      </c>
    </row>
    <row r="338" spans="1:15" x14ac:dyDescent="0.25">
      <c r="A338" s="702" t="s">
        <v>3449</v>
      </c>
      <c r="B338" s="715" t="s">
        <v>3433</v>
      </c>
      <c r="C338" s="704" t="s">
        <v>3434</v>
      </c>
      <c r="D338" s="733" t="s">
        <v>212</v>
      </c>
      <c r="E338" s="705" t="s">
        <v>212</v>
      </c>
      <c r="F338" s="733" t="s">
        <v>212</v>
      </c>
      <c r="G338" s="733" t="s">
        <v>212</v>
      </c>
      <c r="H338" s="733" t="s">
        <v>212</v>
      </c>
      <c r="I338" s="733" t="s">
        <v>212</v>
      </c>
      <c r="J338" s="733" t="s">
        <v>212</v>
      </c>
      <c r="K338" s="733" t="s">
        <v>212</v>
      </c>
      <c r="L338" s="733" t="s">
        <v>212</v>
      </c>
      <c r="M338" s="733" t="s">
        <v>212</v>
      </c>
      <c r="N338" s="733" t="s">
        <v>212</v>
      </c>
      <c r="O338" s="705" t="s">
        <v>212</v>
      </c>
    </row>
    <row r="339" spans="1:15" x14ac:dyDescent="0.25">
      <c r="A339" s="712" t="s">
        <v>3450</v>
      </c>
      <c r="B339" s="713" t="s">
        <v>3451</v>
      </c>
      <c r="C339" s="714" t="s">
        <v>212</v>
      </c>
      <c r="D339" s="734" t="s">
        <v>3414</v>
      </c>
      <c r="E339" s="734" t="s">
        <v>3414</v>
      </c>
      <c r="F339" s="734" t="s">
        <v>3414</v>
      </c>
      <c r="G339" s="734" t="s">
        <v>3414</v>
      </c>
      <c r="H339" s="734" t="s">
        <v>3414</v>
      </c>
      <c r="I339" s="734" t="s">
        <v>3414</v>
      </c>
      <c r="J339" s="734" t="s">
        <v>3414</v>
      </c>
      <c r="K339" s="734" t="s">
        <v>3414</v>
      </c>
      <c r="L339" s="734" t="s">
        <v>3414</v>
      </c>
      <c r="M339" s="734" t="s">
        <v>3414</v>
      </c>
      <c r="N339" s="734" t="s">
        <v>3414</v>
      </c>
      <c r="O339" s="734" t="s">
        <v>3414</v>
      </c>
    </row>
    <row r="340" spans="1:15" ht="31.5" x14ac:dyDescent="0.25">
      <c r="A340" s="702" t="s">
        <v>3452</v>
      </c>
      <c r="B340" s="716" t="s">
        <v>3453</v>
      </c>
      <c r="C340" s="704" t="s">
        <v>3427</v>
      </c>
      <c r="D340" s="733">
        <f>D341</f>
        <v>1675.95</v>
      </c>
      <c r="E340" s="733">
        <f>E341</f>
        <v>1672.3256450000001</v>
      </c>
      <c r="F340" s="733">
        <f>F341</f>
        <v>1678.5</v>
      </c>
      <c r="G340" s="733" t="s">
        <v>212</v>
      </c>
      <c r="H340" s="733">
        <f>H341</f>
        <v>1688.5</v>
      </c>
      <c r="I340" s="733" t="s">
        <v>212</v>
      </c>
      <c r="J340" s="733">
        <f>J341</f>
        <v>1694.3</v>
      </c>
      <c r="K340" s="733" t="s">
        <v>212</v>
      </c>
      <c r="L340" s="733">
        <f>L341</f>
        <v>1699.75</v>
      </c>
      <c r="M340" s="733" t="s">
        <v>212</v>
      </c>
      <c r="N340" s="733">
        <f>D340+F340+H340+J340+L340</f>
        <v>8437</v>
      </c>
      <c r="O340" s="733">
        <f>O341</f>
        <v>1672.3256450000001</v>
      </c>
    </row>
    <row r="341" spans="1:15" ht="31.5" x14ac:dyDescent="0.25">
      <c r="A341" s="702" t="s">
        <v>3454</v>
      </c>
      <c r="B341" s="715" t="s">
        <v>3455</v>
      </c>
      <c r="C341" s="704" t="s">
        <v>3427</v>
      </c>
      <c r="D341" s="733">
        <v>1675.95</v>
      </c>
      <c r="E341" s="705">
        <f>1672325.645/1000</f>
        <v>1672.3256450000001</v>
      </c>
      <c r="F341" s="733">
        <v>1678.5</v>
      </c>
      <c r="G341" s="733" t="s">
        <v>212</v>
      </c>
      <c r="H341" s="733">
        <v>1688.5</v>
      </c>
      <c r="I341" s="733" t="s">
        <v>212</v>
      </c>
      <c r="J341" s="733">
        <v>1694.3</v>
      </c>
      <c r="K341" s="733" t="s">
        <v>212</v>
      </c>
      <c r="L341" s="733">
        <v>1699.75</v>
      </c>
      <c r="M341" s="733" t="s">
        <v>212</v>
      </c>
      <c r="N341" s="733">
        <f>D341+F341+H341+J341+L341</f>
        <v>8437</v>
      </c>
      <c r="O341" s="705">
        <f>1672325.645/1000</f>
        <v>1672.3256450000001</v>
      </c>
    </row>
    <row r="342" spans="1:15" x14ac:dyDescent="0.25">
      <c r="A342" s="702" t="s">
        <v>3456</v>
      </c>
      <c r="B342" s="741" t="s">
        <v>3457</v>
      </c>
      <c r="C342" s="704" t="s">
        <v>3427</v>
      </c>
      <c r="D342" s="733" t="s">
        <v>212</v>
      </c>
      <c r="E342" s="705" t="s">
        <v>212</v>
      </c>
      <c r="F342" s="733" t="s">
        <v>212</v>
      </c>
      <c r="G342" s="733" t="s">
        <v>212</v>
      </c>
      <c r="H342" s="733" t="s">
        <v>212</v>
      </c>
      <c r="I342" s="733" t="s">
        <v>212</v>
      </c>
      <c r="J342" s="733" t="s">
        <v>212</v>
      </c>
      <c r="K342" s="733" t="s">
        <v>212</v>
      </c>
      <c r="L342" s="733" t="s">
        <v>212</v>
      </c>
      <c r="M342" s="733" t="s">
        <v>212</v>
      </c>
      <c r="N342" s="733" t="s">
        <v>212</v>
      </c>
      <c r="O342" s="705" t="s">
        <v>212</v>
      </c>
    </row>
    <row r="343" spans="1:15" x14ac:dyDescent="0.25">
      <c r="A343" s="702" t="s">
        <v>3458</v>
      </c>
      <c r="B343" s="741" t="s">
        <v>3459</v>
      </c>
      <c r="C343" s="704" t="s">
        <v>3427</v>
      </c>
      <c r="D343" s="733" t="s">
        <v>212</v>
      </c>
      <c r="E343" s="705" t="s">
        <v>212</v>
      </c>
      <c r="F343" s="733" t="s">
        <v>212</v>
      </c>
      <c r="G343" s="733" t="s">
        <v>212</v>
      </c>
      <c r="H343" s="733" t="s">
        <v>212</v>
      </c>
      <c r="I343" s="733" t="s">
        <v>212</v>
      </c>
      <c r="J343" s="733" t="s">
        <v>212</v>
      </c>
      <c r="K343" s="733" t="s">
        <v>212</v>
      </c>
      <c r="L343" s="733" t="s">
        <v>212</v>
      </c>
      <c r="M343" s="733" t="s">
        <v>212</v>
      </c>
      <c r="N343" s="733" t="s">
        <v>212</v>
      </c>
      <c r="O343" s="705" t="s">
        <v>212</v>
      </c>
    </row>
    <row r="344" spans="1:15" x14ac:dyDescent="0.25">
      <c r="A344" s="702" t="s">
        <v>3460</v>
      </c>
      <c r="B344" s="716" t="s">
        <v>3461</v>
      </c>
      <c r="C344" s="704" t="s">
        <v>3427</v>
      </c>
      <c r="D344" s="733">
        <v>263.85000000000002</v>
      </c>
      <c r="E344" s="705">
        <f>284984.33/1000</f>
        <v>284.98433</v>
      </c>
      <c r="F344" s="733">
        <v>263.89999999999998</v>
      </c>
      <c r="G344" s="733" t="s">
        <v>212</v>
      </c>
      <c r="H344" s="733">
        <v>265</v>
      </c>
      <c r="I344" s="733" t="s">
        <v>212</v>
      </c>
      <c r="J344" s="733">
        <v>265.5</v>
      </c>
      <c r="K344" s="733" t="s">
        <v>212</v>
      </c>
      <c r="L344" s="733">
        <v>265.95</v>
      </c>
      <c r="M344" s="733" t="s">
        <v>212</v>
      </c>
      <c r="N344" s="733">
        <f>D344+F344+H344+J344+L344</f>
        <v>1324.2</v>
      </c>
      <c r="O344" s="705">
        <f>284984.33/1000</f>
        <v>284.98433</v>
      </c>
    </row>
    <row r="345" spans="1:15" x14ac:dyDescent="0.25">
      <c r="A345" s="719" t="s">
        <v>3462</v>
      </c>
      <c r="B345" s="720" t="s">
        <v>3463</v>
      </c>
      <c r="C345" s="704" t="s">
        <v>3417</v>
      </c>
      <c r="D345" s="733">
        <v>293.411</v>
      </c>
      <c r="E345" s="705">
        <v>294.60000000000002</v>
      </c>
      <c r="F345" s="733">
        <v>293.70100000000002</v>
      </c>
      <c r="G345" s="733" t="s">
        <v>212</v>
      </c>
      <c r="H345" s="733">
        <v>295.60599999999999</v>
      </c>
      <c r="I345" s="733" t="s">
        <v>212</v>
      </c>
      <c r="J345" s="733">
        <v>296.62099999999998</v>
      </c>
      <c r="K345" s="733" t="s">
        <v>212</v>
      </c>
      <c r="L345" s="733">
        <v>297.471</v>
      </c>
      <c r="M345" s="733" t="s">
        <v>212</v>
      </c>
      <c r="N345" s="733">
        <v>297.471</v>
      </c>
      <c r="O345" s="705">
        <v>294.60000000000002</v>
      </c>
    </row>
    <row r="346" spans="1:15" ht="31.5" x14ac:dyDescent="0.25">
      <c r="A346" s="702" t="s">
        <v>3464</v>
      </c>
      <c r="B346" s="715" t="s">
        <v>3465</v>
      </c>
      <c r="C346" s="704" t="s">
        <v>3417</v>
      </c>
      <c r="D346" s="733" t="str">
        <f>D348</f>
        <v>-</v>
      </c>
      <c r="E346" s="705" t="s">
        <v>212</v>
      </c>
      <c r="F346" s="733" t="str">
        <f>F348</f>
        <v>-</v>
      </c>
      <c r="G346" s="733" t="s">
        <v>212</v>
      </c>
      <c r="H346" s="733" t="str">
        <f>H348</f>
        <v>-</v>
      </c>
      <c r="I346" s="733" t="s">
        <v>212</v>
      </c>
      <c r="J346" s="733" t="str">
        <f>J348</f>
        <v>-</v>
      </c>
      <c r="K346" s="733" t="s">
        <v>212</v>
      </c>
      <c r="L346" s="733" t="str">
        <f>L348</f>
        <v>-</v>
      </c>
      <c r="M346" s="733" t="s">
        <v>212</v>
      </c>
      <c r="N346" s="733" t="s">
        <v>212</v>
      </c>
      <c r="O346" s="705" t="s">
        <v>212</v>
      </c>
    </row>
    <row r="347" spans="1:15" x14ac:dyDescent="0.25">
      <c r="A347" s="702" t="s">
        <v>3466</v>
      </c>
      <c r="B347" s="741" t="s">
        <v>3457</v>
      </c>
      <c r="C347" s="704" t="s">
        <v>3417</v>
      </c>
      <c r="D347" s="733" t="s">
        <v>212</v>
      </c>
      <c r="E347" s="705" t="s">
        <v>212</v>
      </c>
      <c r="F347" s="733" t="s">
        <v>212</v>
      </c>
      <c r="G347" s="733" t="s">
        <v>212</v>
      </c>
      <c r="H347" s="733" t="s">
        <v>212</v>
      </c>
      <c r="I347" s="733" t="s">
        <v>212</v>
      </c>
      <c r="J347" s="733"/>
      <c r="K347" s="733" t="s">
        <v>212</v>
      </c>
      <c r="L347" s="733"/>
      <c r="M347" s="733" t="s">
        <v>212</v>
      </c>
      <c r="N347" s="733" t="s">
        <v>212</v>
      </c>
      <c r="O347" s="705" t="s">
        <v>212</v>
      </c>
    </row>
    <row r="348" spans="1:15" x14ac:dyDescent="0.25">
      <c r="A348" s="702" t="s">
        <v>3467</v>
      </c>
      <c r="B348" s="741" t="s">
        <v>3459</v>
      </c>
      <c r="C348" s="704" t="s">
        <v>3417</v>
      </c>
      <c r="D348" s="733" t="s">
        <v>212</v>
      </c>
      <c r="E348" s="733" t="s">
        <v>212</v>
      </c>
      <c r="F348" s="733" t="s">
        <v>212</v>
      </c>
      <c r="G348" s="733" t="s">
        <v>212</v>
      </c>
      <c r="H348" s="733" t="s">
        <v>212</v>
      </c>
      <c r="I348" s="733" t="s">
        <v>212</v>
      </c>
      <c r="J348" s="733" t="s">
        <v>212</v>
      </c>
      <c r="K348" s="733" t="s">
        <v>212</v>
      </c>
      <c r="L348" s="733" t="s">
        <v>212</v>
      </c>
      <c r="M348" s="733" t="s">
        <v>212</v>
      </c>
      <c r="N348" s="733" t="s">
        <v>212</v>
      </c>
      <c r="O348" s="733" t="s">
        <v>212</v>
      </c>
    </row>
    <row r="349" spans="1:15" x14ac:dyDescent="0.25">
      <c r="A349" s="702" t="s">
        <v>3468</v>
      </c>
      <c r="B349" s="716" t="s">
        <v>3469</v>
      </c>
      <c r="C349" s="704" t="s">
        <v>3470</v>
      </c>
      <c r="D349" s="733">
        <v>27062.48</v>
      </c>
      <c r="E349" s="705">
        <v>25102.799999999999</v>
      </c>
      <c r="F349" s="733">
        <v>27114.62</v>
      </c>
      <c r="G349" s="733" t="s">
        <v>212</v>
      </c>
      <c r="H349" s="733">
        <v>27114.62</v>
      </c>
      <c r="I349" s="733" t="s">
        <v>212</v>
      </c>
      <c r="J349" s="733">
        <v>27114.62</v>
      </c>
      <c r="K349" s="733" t="s">
        <v>212</v>
      </c>
      <c r="L349" s="733">
        <v>27114.62</v>
      </c>
      <c r="M349" s="733" t="s">
        <v>212</v>
      </c>
      <c r="N349" s="733">
        <v>27114.62</v>
      </c>
      <c r="O349" s="705">
        <v>25102.799999999999</v>
      </c>
    </row>
    <row r="350" spans="1:15" ht="31.5" x14ac:dyDescent="0.25">
      <c r="A350" s="702" t="s">
        <v>3471</v>
      </c>
      <c r="B350" s="716" t="s">
        <v>3472</v>
      </c>
      <c r="C350" s="704" t="s">
        <v>2995</v>
      </c>
      <c r="D350" s="733" t="s">
        <v>212</v>
      </c>
      <c r="E350" s="705" t="s">
        <v>212</v>
      </c>
      <c r="F350" s="733" t="s">
        <v>212</v>
      </c>
      <c r="G350" s="733" t="s">
        <v>212</v>
      </c>
      <c r="H350" s="733" t="s">
        <v>212</v>
      </c>
      <c r="I350" s="733" t="s">
        <v>212</v>
      </c>
      <c r="J350" s="733" t="s">
        <v>212</v>
      </c>
      <c r="K350" s="733" t="s">
        <v>212</v>
      </c>
      <c r="L350" s="733" t="s">
        <v>212</v>
      </c>
      <c r="M350" s="733" t="s">
        <v>212</v>
      </c>
      <c r="N350" s="733" t="s">
        <v>212</v>
      </c>
      <c r="O350" s="705" t="s">
        <v>212</v>
      </c>
    </row>
    <row r="351" spans="1:15" x14ac:dyDescent="0.25">
      <c r="A351" s="702" t="s">
        <v>3473</v>
      </c>
      <c r="B351" s="729" t="s">
        <v>3474</v>
      </c>
      <c r="C351" s="704" t="s">
        <v>212</v>
      </c>
      <c r="D351" s="733" t="s">
        <v>3414</v>
      </c>
      <c r="E351" s="733" t="s">
        <v>3414</v>
      </c>
      <c r="F351" s="733" t="s">
        <v>3414</v>
      </c>
      <c r="G351" s="733" t="s">
        <v>3414</v>
      </c>
      <c r="H351" s="733" t="s">
        <v>3414</v>
      </c>
      <c r="I351" s="733" t="s">
        <v>3414</v>
      </c>
      <c r="J351" s="733" t="s">
        <v>3414</v>
      </c>
      <c r="K351" s="733" t="s">
        <v>3414</v>
      </c>
      <c r="L351" s="733" t="s">
        <v>3414</v>
      </c>
      <c r="M351" s="733" t="s">
        <v>3414</v>
      </c>
      <c r="N351" s="733" t="s">
        <v>3414</v>
      </c>
      <c r="O351" s="733" t="s">
        <v>3414</v>
      </c>
    </row>
    <row r="352" spans="1:15" x14ac:dyDescent="0.25">
      <c r="A352" s="702" t="s">
        <v>3475</v>
      </c>
      <c r="B352" s="716" t="s">
        <v>3476</v>
      </c>
      <c r="C352" s="704" t="s">
        <v>3427</v>
      </c>
      <c r="D352" s="733" t="s">
        <v>212</v>
      </c>
      <c r="E352" s="705" t="s">
        <v>212</v>
      </c>
      <c r="F352" s="733" t="s">
        <v>212</v>
      </c>
      <c r="G352" s="733" t="s">
        <v>212</v>
      </c>
      <c r="H352" s="733" t="s">
        <v>212</v>
      </c>
      <c r="I352" s="733" t="s">
        <v>212</v>
      </c>
      <c r="J352" s="733" t="s">
        <v>212</v>
      </c>
      <c r="K352" s="733" t="s">
        <v>212</v>
      </c>
      <c r="L352" s="733" t="s">
        <v>212</v>
      </c>
      <c r="M352" s="733" t="s">
        <v>212</v>
      </c>
      <c r="N352" s="733" t="s">
        <v>212</v>
      </c>
      <c r="O352" s="705" t="s">
        <v>212</v>
      </c>
    </row>
    <row r="353" spans="1:15" x14ac:dyDescent="0.25">
      <c r="A353" s="702" t="s">
        <v>3477</v>
      </c>
      <c r="B353" s="716" t="s">
        <v>3478</v>
      </c>
      <c r="C353" s="704" t="s">
        <v>3420</v>
      </c>
      <c r="D353" s="733" t="s">
        <v>212</v>
      </c>
      <c r="E353" s="705" t="s">
        <v>212</v>
      </c>
      <c r="F353" s="733" t="s">
        <v>212</v>
      </c>
      <c r="G353" s="733" t="s">
        <v>212</v>
      </c>
      <c r="H353" s="733" t="s">
        <v>212</v>
      </c>
      <c r="I353" s="733" t="s">
        <v>212</v>
      </c>
      <c r="J353" s="733" t="s">
        <v>212</v>
      </c>
      <c r="K353" s="733" t="s">
        <v>212</v>
      </c>
      <c r="L353" s="733" t="s">
        <v>212</v>
      </c>
      <c r="M353" s="733" t="s">
        <v>212</v>
      </c>
      <c r="N353" s="733" t="s">
        <v>212</v>
      </c>
      <c r="O353" s="705" t="s">
        <v>212</v>
      </c>
    </row>
    <row r="354" spans="1:15" ht="47.25" x14ac:dyDescent="0.25">
      <c r="A354" s="702" t="s">
        <v>3479</v>
      </c>
      <c r="B354" s="716" t="s">
        <v>3480</v>
      </c>
      <c r="C354" s="704" t="s">
        <v>2995</v>
      </c>
      <c r="D354" s="733" t="s">
        <v>212</v>
      </c>
      <c r="E354" s="705" t="s">
        <v>212</v>
      </c>
      <c r="F354" s="733" t="s">
        <v>212</v>
      </c>
      <c r="G354" s="733" t="s">
        <v>212</v>
      </c>
      <c r="H354" s="733" t="s">
        <v>212</v>
      </c>
      <c r="I354" s="733" t="s">
        <v>212</v>
      </c>
      <c r="J354" s="733" t="s">
        <v>212</v>
      </c>
      <c r="K354" s="733" t="s">
        <v>212</v>
      </c>
      <c r="L354" s="733" t="s">
        <v>212</v>
      </c>
      <c r="M354" s="733" t="s">
        <v>212</v>
      </c>
      <c r="N354" s="733" t="s">
        <v>212</v>
      </c>
      <c r="O354" s="705" t="s">
        <v>212</v>
      </c>
    </row>
    <row r="355" spans="1:15" ht="31.5" x14ac:dyDescent="0.25">
      <c r="A355" s="702" t="s">
        <v>3481</v>
      </c>
      <c r="B355" s="716" t="s">
        <v>3482</v>
      </c>
      <c r="C355" s="704" t="s">
        <v>2995</v>
      </c>
      <c r="D355" s="733" t="s">
        <v>212</v>
      </c>
      <c r="E355" s="705" t="s">
        <v>212</v>
      </c>
      <c r="F355" s="733" t="s">
        <v>212</v>
      </c>
      <c r="G355" s="733" t="s">
        <v>212</v>
      </c>
      <c r="H355" s="733" t="s">
        <v>212</v>
      </c>
      <c r="I355" s="733" t="s">
        <v>212</v>
      </c>
      <c r="J355" s="733" t="s">
        <v>212</v>
      </c>
      <c r="K355" s="733" t="s">
        <v>212</v>
      </c>
      <c r="L355" s="733" t="s">
        <v>212</v>
      </c>
      <c r="M355" s="733" t="s">
        <v>212</v>
      </c>
      <c r="N355" s="733" t="s">
        <v>212</v>
      </c>
      <c r="O355" s="705" t="s">
        <v>212</v>
      </c>
    </row>
    <row r="356" spans="1:15" x14ac:dyDescent="0.25">
      <c r="A356" s="702" t="s">
        <v>3483</v>
      </c>
      <c r="B356" s="729" t="s">
        <v>3484</v>
      </c>
      <c r="C356" s="744" t="s">
        <v>212</v>
      </c>
      <c r="D356" s="733" t="s">
        <v>3414</v>
      </c>
      <c r="E356" s="733" t="s">
        <v>3414</v>
      </c>
      <c r="F356" s="733" t="s">
        <v>3414</v>
      </c>
      <c r="G356" s="733" t="s">
        <v>3414</v>
      </c>
      <c r="H356" s="733" t="s">
        <v>3414</v>
      </c>
      <c r="I356" s="733" t="s">
        <v>3414</v>
      </c>
      <c r="J356" s="733" t="s">
        <v>3414</v>
      </c>
      <c r="K356" s="733" t="s">
        <v>3414</v>
      </c>
      <c r="L356" s="733" t="s">
        <v>3414</v>
      </c>
      <c r="M356" s="733" t="s">
        <v>3414</v>
      </c>
      <c r="N356" s="733" t="s">
        <v>3414</v>
      </c>
      <c r="O356" s="733" t="s">
        <v>3414</v>
      </c>
    </row>
    <row r="357" spans="1:15" ht="18" customHeight="1" x14ac:dyDescent="0.25">
      <c r="A357" s="702" t="s">
        <v>3485</v>
      </c>
      <c r="B357" s="716" t="s">
        <v>3486</v>
      </c>
      <c r="C357" s="704" t="s">
        <v>3417</v>
      </c>
      <c r="D357" s="733" t="s">
        <v>212</v>
      </c>
      <c r="E357" s="705" t="s">
        <v>212</v>
      </c>
      <c r="F357" s="733" t="s">
        <v>212</v>
      </c>
      <c r="G357" s="733" t="s">
        <v>212</v>
      </c>
      <c r="H357" s="733" t="s">
        <v>212</v>
      </c>
      <c r="I357" s="733" t="s">
        <v>212</v>
      </c>
      <c r="J357" s="733" t="s">
        <v>212</v>
      </c>
      <c r="K357" s="733" t="s">
        <v>212</v>
      </c>
      <c r="L357" s="733" t="s">
        <v>212</v>
      </c>
      <c r="M357" s="733" t="s">
        <v>212</v>
      </c>
      <c r="N357" s="733" t="s">
        <v>212</v>
      </c>
      <c r="O357" s="705" t="s">
        <v>212</v>
      </c>
    </row>
    <row r="358" spans="1:15" ht="47.25" x14ac:dyDescent="0.25">
      <c r="A358" s="702" t="s">
        <v>3487</v>
      </c>
      <c r="B358" s="715" t="s">
        <v>3488</v>
      </c>
      <c r="C358" s="704" t="s">
        <v>3417</v>
      </c>
      <c r="D358" s="733" t="s">
        <v>212</v>
      </c>
      <c r="E358" s="705" t="s">
        <v>212</v>
      </c>
      <c r="F358" s="733" t="s">
        <v>212</v>
      </c>
      <c r="G358" s="733" t="s">
        <v>212</v>
      </c>
      <c r="H358" s="733" t="s">
        <v>212</v>
      </c>
      <c r="I358" s="733" t="s">
        <v>212</v>
      </c>
      <c r="J358" s="733" t="s">
        <v>212</v>
      </c>
      <c r="K358" s="733" t="s">
        <v>212</v>
      </c>
      <c r="L358" s="733" t="s">
        <v>212</v>
      </c>
      <c r="M358" s="733" t="s">
        <v>212</v>
      </c>
      <c r="N358" s="733" t="s">
        <v>212</v>
      </c>
      <c r="O358" s="705" t="s">
        <v>212</v>
      </c>
    </row>
    <row r="359" spans="1:15" ht="47.25" x14ac:dyDescent="0.25">
      <c r="A359" s="702" t="s">
        <v>3489</v>
      </c>
      <c r="B359" s="715" t="s">
        <v>3490</v>
      </c>
      <c r="C359" s="704" t="s">
        <v>3417</v>
      </c>
      <c r="D359" s="733" t="s">
        <v>212</v>
      </c>
      <c r="E359" s="705" t="s">
        <v>212</v>
      </c>
      <c r="F359" s="733" t="s">
        <v>212</v>
      </c>
      <c r="G359" s="733" t="s">
        <v>212</v>
      </c>
      <c r="H359" s="733" t="s">
        <v>212</v>
      </c>
      <c r="I359" s="733" t="s">
        <v>212</v>
      </c>
      <c r="J359" s="733" t="s">
        <v>212</v>
      </c>
      <c r="K359" s="733" t="s">
        <v>212</v>
      </c>
      <c r="L359" s="733" t="s">
        <v>212</v>
      </c>
      <c r="M359" s="733" t="s">
        <v>212</v>
      </c>
      <c r="N359" s="733" t="s">
        <v>212</v>
      </c>
      <c r="O359" s="705" t="s">
        <v>212</v>
      </c>
    </row>
    <row r="360" spans="1:15" ht="31.5" x14ac:dyDescent="0.25">
      <c r="A360" s="702" t="s">
        <v>3491</v>
      </c>
      <c r="B360" s="715" t="s">
        <v>3492</v>
      </c>
      <c r="C360" s="704" t="s">
        <v>3417</v>
      </c>
      <c r="D360" s="733" t="s">
        <v>212</v>
      </c>
      <c r="E360" s="705" t="s">
        <v>212</v>
      </c>
      <c r="F360" s="733" t="s">
        <v>212</v>
      </c>
      <c r="G360" s="733" t="s">
        <v>212</v>
      </c>
      <c r="H360" s="733" t="s">
        <v>212</v>
      </c>
      <c r="I360" s="733" t="s">
        <v>212</v>
      </c>
      <c r="J360" s="733" t="s">
        <v>212</v>
      </c>
      <c r="K360" s="733" t="s">
        <v>212</v>
      </c>
      <c r="L360" s="733" t="s">
        <v>212</v>
      </c>
      <c r="M360" s="733" t="s">
        <v>212</v>
      </c>
      <c r="N360" s="733" t="s">
        <v>212</v>
      </c>
      <c r="O360" s="705" t="s">
        <v>212</v>
      </c>
    </row>
    <row r="361" spans="1:15" x14ac:dyDescent="0.25">
      <c r="A361" s="702" t="s">
        <v>3493</v>
      </c>
      <c r="B361" s="716" t="s">
        <v>3494</v>
      </c>
      <c r="C361" s="704" t="s">
        <v>3427</v>
      </c>
      <c r="D361" s="733" t="s">
        <v>212</v>
      </c>
      <c r="E361" s="705" t="s">
        <v>212</v>
      </c>
      <c r="F361" s="733" t="s">
        <v>212</v>
      </c>
      <c r="G361" s="733" t="s">
        <v>212</v>
      </c>
      <c r="H361" s="733" t="s">
        <v>212</v>
      </c>
      <c r="I361" s="733" t="s">
        <v>212</v>
      </c>
      <c r="J361" s="733" t="s">
        <v>212</v>
      </c>
      <c r="K361" s="733" t="s">
        <v>212</v>
      </c>
      <c r="L361" s="733" t="s">
        <v>212</v>
      </c>
      <c r="M361" s="733" t="s">
        <v>212</v>
      </c>
      <c r="N361" s="733" t="s">
        <v>212</v>
      </c>
      <c r="O361" s="705" t="s">
        <v>212</v>
      </c>
    </row>
    <row r="362" spans="1:15" ht="31.5" x14ac:dyDescent="0.25">
      <c r="A362" s="702" t="s">
        <v>3495</v>
      </c>
      <c r="B362" s="715" t="s">
        <v>3496</v>
      </c>
      <c r="C362" s="704" t="s">
        <v>3427</v>
      </c>
      <c r="D362" s="733" t="s">
        <v>212</v>
      </c>
      <c r="E362" s="705" t="s">
        <v>212</v>
      </c>
      <c r="F362" s="733" t="s">
        <v>212</v>
      </c>
      <c r="G362" s="733" t="s">
        <v>212</v>
      </c>
      <c r="H362" s="733" t="s">
        <v>212</v>
      </c>
      <c r="I362" s="733" t="s">
        <v>212</v>
      </c>
      <c r="J362" s="733" t="s">
        <v>212</v>
      </c>
      <c r="K362" s="733" t="s">
        <v>212</v>
      </c>
      <c r="L362" s="733" t="s">
        <v>212</v>
      </c>
      <c r="M362" s="733" t="s">
        <v>212</v>
      </c>
      <c r="N362" s="733" t="s">
        <v>212</v>
      </c>
      <c r="O362" s="705" t="s">
        <v>212</v>
      </c>
    </row>
    <row r="363" spans="1:15" x14ac:dyDescent="0.25">
      <c r="A363" s="702" t="s">
        <v>3497</v>
      </c>
      <c r="B363" s="715" t="s">
        <v>3498</v>
      </c>
      <c r="C363" s="704" t="s">
        <v>3427</v>
      </c>
      <c r="D363" s="733" t="s">
        <v>212</v>
      </c>
      <c r="E363" s="705" t="s">
        <v>212</v>
      </c>
      <c r="F363" s="733" t="s">
        <v>212</v>
      </c>
      <c r="G363" s="733" t="s">
        <v>212</v>
      </c>
      <c r="H363" s="733" t="s">
        <v>212</v>
      </c>
      <c r="I363" s="733" t="s">
        <v>212</v>
      </c>
      <c r="J363" s="733" t="s">
        <v>212</v>
      </c>
      <c r="K363" s="733" t="s">
        <v>212</v>
      </c>
      <c r="L363" s="733" t="s">
        <v>212</v>
      </c>
      <c r="M363" s="733" t="s">
        <v>212</v>
      </c>
      <c r="N363" s="733" t="s">
        <v>212</v>
      </c>
      <c r="O363" s="705" t="s">
        <v>212</v>
      </c>
    </row>
    <row r="364" spans="1:15" ht="31.5" x14ac:dyDescent="0.25">
      <c r="A364" s="702" t="s">
        <v>3499</v>
      </c>
      <c r="B364" s="716" t="s">
        <v>3500</v>
      </c>
      <c r="C364" s="704" t="s">
        <v>2995</v>
      </c>
      <c r="D364" s="733" t="s">
        <v>212</v>
      </c>
      <c r="E364" s="705" t="s">
        <v>212</v>
      </c>
      <c r="F364" s="733" t="s">
        <v>212</v>
      </c>
      <c r="G364" s="733" t="s">
        <v>212</v>
      </c>
      <c r="H364" s="733" t="s">
        <v>212</v>
      </c>
      <c r="I364" s="733" t="s">
        <v>212</v>
      </c>
      <c r="J364" s="733" t="s">
        <v>212</v>
      </c>
      <c r="K364" s="733" t="s">
        <v>212</v>
      </c>
      <c r="L364" s="733" t="s">
        <v>212</v>
      </c>
      <c r="M364" s="733" t="s">
        <v>212</v>
      </c>
      <c r="N364" s="733" t="s">
        <v>212</v>
      </c>
      <c r="O364" s="705" t="s">
        <v>212</v>
      </c>
    </row>
    <row r="365" spans="1:15" x14ac:dyDescent="0.25">
      <c r="A365" s="702" t="s">
        <v>3501</v>
      </c>
      <c r="B365" s="715" t="s">
        <v>3502</v>
      </c>
      <c r="C365" s="704" t="s">
        <v>2995</v>
      </c>
      <c r="D365" s="733" t="s">
        <v>212</v>
      </c>
      <c r="E365" s="705" t="s">
        <v>212</v>
      </c>
      <c r="F365" s="733" t="s">
        <v>212</v>
      </c>
      <c r="G365" s="733" t="s">
        <v>212</v>
      </c>
      <c r="H365" s="733" t="s">
        <v>212</v>
      </c>
      <c r="I365" s="733" t="s">
        <v>212</v>
      </c>
      <c r="J365" s="733" t="s">
        <v>212</v>
      </c>
      <c r="K365" s="733" t="s">
        <v>212</v>
      </c>
      <c r="L365" s="733" t="s">
        <v>212</v>
      </c>
      <c r="M365" s="733" t="s">
        <v>212</v>
      </c>
      <c r="N365" s="733" t="s">
        <v>212</v>
      </c>
      <c r="O365" s="705" t="s">
        <v>212</v>
      </c>
    </row>
    <row r="366" spans="1:15" x14ac:dyDescent="0.25">
      <c r="A366" s="702" t="s">
        <v>3503</v>
      </c>
      <c r="B366" s="715" t="s">
        <v>3013</v>
      </c>
      <c r="C366" s="704" t="s">
        <v>2995</v>
      </c>
      <c r="D366" s="735" t="s">
        <v>212</v>
      </c>
      <c r="E366" s="705" t="s">
        <v>212</v>
      </c>
      <c r="F366" s="733" t="s">
        <v>212</v>
      </c>
      <c r="G366" s="733" t="s">
        <v>212</v>
      </c>
      <c r="H366" s="733" t="s">
        <v>212</v>
      </c>
      <c r="I366" s="733" t="s">
        <v>212</v>
      </c>
      <c r="J366" s="733" t="s">
        <v>212</v>
      </c>
      <c r="K366" s="733" t="s">
        <v>212</v>
      </c>
      <c r="L366" s="733" t="s">
        <v>212</v>
      </c>
      <c r="M366" s="733" t="s">
        <v>212</v>
      </c>
      <c r="N366" s="733" t="s">
        <v>212</v>
      </c>
      <c r="O366" s="705" t="s">
        <v>212</v>
      </c>
    </row>
    <row r="367" spans="1:15" ht="16.5" thickBot="1" x14ac:dyDescent="0.3">
      <c r="A367" s="745" t="s">
        <v>3504</v>
      </c>
      <c r="B367" s="737" t="s">
        <v>3505</v>
      </c>
      <c r="C367" s="726" t="s">
        <v>3506</v>
      </c>
      <c r="D367" s="694">
        <v>758</v>
      </c>
      <c r="E367" s="693">
        <v>762</v>
      </c>
      <c r="F367" s="692">
        <v>758</v>
      </c>
      <c r="G367" s="692" t="s">
        <v>212</v>
      </c>
      <c r="H367" s="692">
        <v>758</v>
      </c>
      <c r="I367" s="692" t="s">
        <v>212</v>
      </c>
      <c r="J367" s="692">
        <v>758</v>
      </c>
      <c r="K367" s="692" t="s">
        <v>212</v>
      </c>
      <c r="L367" s="692">
        <v>758</v>
      </c>
      <c r="M367" s="692" t="s">
        <v>212</v>
      </c>
      <c r="N367" s="692">
        <v>758</v>
      </c>
      <c r="O367" s="693">
        <v>762</v>
      </c>
    </row>
    <row r="368" spans="1:15" x14ac:dyDescent="0.25">
      <c r="A368" s="811" t="s">
        <v>3507</v>
      </c>
      <c r="B368" s="812"/>
      <c r="C368" s="812"/>
      <c r="D368" s="812"/>
      <c r="E368" s="812"/>
      <c r="F368" s="812"/>
      <c r="G368" s="812"/>
      <c r="H368" s="812"/>
      <c r="I368" s="812"/>
      <c r="J368" s="812"/>
      <c r="K368" s="812"/>
      <c r="L368" s="812"/>
      <c r="M368" s="812"/>
      <c r="N368" s="812"/>
      <c r="O368" s="813"/>
    </row>
    <row r="369" spans="1:15" ht="10.5" customHeight="1" x14ac:dyDescent="0.25">
      <c r="A369" s="811"/>
      <c r="B369" s="812"/>
      <c r="C369" s="812"/>
      <c r="D369" s="812"/>
      <c r="E369" s="812"/>
      <c r="F369" s="812"/>
      <c r="G369" s="812"/>
      <c r="H369" s="812"/>
      <c r="I369" s="812"/>
      <c r="J369" s="812"/>
      <c r="K369" s="812"/>
      <c r="L369" s="812"/>
      <c r="M369" s="812"/>
      <c r="N369" s="812"/>
      <c r="O369" s="813"/>
    </row>
    <row r="370" spans="1:15" ht="33" customHeight="1" x14ac:dyDescent="0.25">
      <c r="A370" s="814" t="s">
        <v>2942</v>
      </c>
      <c r="B370" s="815" t="s">
        <v>2988</v>
      </c>
      <c r="C370" s="816" t="s">
        <v>2989</v>
      </c>
      <c r="D370" s="819">
        <v>2020</v>
      </c>
      <c r="E370" s="819"/>
      <c r="F370" s="819">
        <v>2021</v>
      </c>
      <c r="G370" s="819"/>
      <c r="H370" s="819">
        <v>2022</v>
      </c>
      <c r="I370" s="819"/>
      <c r="J370" s="819">
        <v>2023</v>
      </c>
      <c r="K370" s="819"/>
      <c r="L370" s="819">
        <v>2024</v>
      </c>
      <c r="M370" s="819"/>
      <c r="N370" s="818" t="s">
        <v>2990</v>
      </c>
      <c r="O370" s="818"/>
    </row>
    <row r="371" spans="1:15" ht="55.5" customHeight="1" x14ac:dyDescent="0.25">
      <c r="A371" s="814"/>
      <c r="B371" s="815"/>
      <c r="C371" s="817"/>
      <c r="D371" s="746" t="s">
        <v>2991</v>
      </c>
      <c r="E371" s="746" t="s">
        <v>2992</v>
      </c>
      <c r="F371" s="746" t="s">
        <v>2991</v>
      </c>
      <c r="G371" s="746" t="s">
        <v>2992</v>
      </c>
      <c r="H371" s="746" t="s">
        <v>2991</v>
      </c>
      <c r="I371" s="746" t="s">
        <v>2992</v>
      </c>
      <c r="J371" s="746" t="s">
        <v>2991</v>
      </c>
      <c r="K371" s="746" t="s">
        <v>2992</v>
      </c>
      <c r="L371" s="746" t="s">
        <v>2991</v>
      </c>
      <c r="M371" s="746" t="s">
        <v>2992</v>
      </c>
      <c r="N371" s="747" t="s">
        <v>2991</v>
      </c>
      <c r="O371" s="748" t="s">
        <v>2992</v>
      </c>
    </row>
    <row r="372" spans="1:15" x14ac:dyDescent="0.25">
      <c r="A372" s="772">
        <v>1</v>
      </c>
      <c r="B372" s="773">
        <v>2</v>
      </c>
      <c r="C372" s="774">
        <v>3</v>
      </c>
      <c r="D372" s="774">
        <v>4</v>
      </c>
      <c r="E372" s="774">
        <v>5</v>
      </c>
      <c r="F372" s="775" t="s">
        <v>1474</v>
      </c>
      <c r="G372" s="775" t="s">
        <v>1475</v>
      </c>
      <c r="H372" s="774">
        <v>8</v>
      </c>
      <c r="I372" s="774">
        <v>9</v>
      </c>
      <c r="J372" s="774">
        <v>10</v>
      </c>
      <c r="K372" s="774">
        <v>11</v>
      </c>
      <c r="L372" s="774">
        <v>12</v>
      </c>
      <c r="M372" s="774">
        <v>13</v>
      </c>
      <c r="N372" s="775" t="s">
        <v>1482</v>
      </c>
      <c r="O372" s="774">
        <v>15</v>
      </c>
    </row>
    <row r="373" spans="1:15" ht="30.75" customHeight="1" x14ac:dyDescent="0.25">
      <c r="A373" s="820" t="s">
        <v>3508</v>
      </c>
      <c r="B373" s="821"/>
      <c r="C373" s="714" t="s">
        <v>2995</v>
      </c>
      <c r="D373" s="749">
        <f>D374</f>
        <v>370.9596374161797</v>
      </c>
      <c r="E373" s="749">
        <f>E374</f>
        <v>336.10803169538923</v>
      </c>
      <c r="F373" s="750">
        <f>F374</f>
        <v>385.79802307002916</v>
      </c>
      <c r="G373" s="749" t="s">
        <v>212</v>
      </c>
      <c r="H373" s="750">
        <f>H374</f>
        <v>401.22994535759057</v>
      </c>
      <c r="I373" s="749" t="s">
        <v>212</v>
      </c>
      <c r="J373" s="750">
        <f>J374</f>
        <v>417.27913561795862</v>
      </c>
      <c r="K373" s="749" t="s">
        <v>212</v>
      </c>
      <c r="L373" s="750">
        <f>L374</f>
        <v>433.97030162845175</v>
      </c>
      <c r="M373" s="749" t="s">
        <v>212</v>
      </c>
      <c r="N373" s="750">
        <f>D373+F373+H373+J373+L373</f>
        <v>2009.2370430902099</v>
      </c>
      <c r="O373" s="749">
        <f>O374</f>
        <v>336.10803169538923</v>
      </c>
    </row>
    <row r="374" spans="1:15" x14ac:dyDescent="0.25">
      <c r="A374" s="702" t="s">
        <v>2765</v>
      </c>
      <c r="B374" s="751" t="s">
        <v>3509</v>
      </c>
      <c r="C374" s="704" t="s">
        <v>2995</v>
      </c>
      <c r="D374" s="752">
        <f>D375+D399+D427</f>
        <v>370.9596374161797</v>
      </c>
      <c r="E374" s="752">
        <f>E375+E399+E427</f>
        <v>336.10803169538923</v>
      </c>
      <c r="F374" s="753">
        <f>F375+F399+F427</f>
        <v>385.79802307002916</v>
      </c>
      <c r="G374" s="752" t="s">
        <v>212</v>
      </c>
      <c r="H374" s="754">
        <f>H375+H399+H427</f>
        <v>401.22994535759057</v>
      </c>
      <c r="I374" s="752" t="s">
        <v>212</v>
      </c>
      <c r="J374" s="754">
        <f>J375+J399+J427</f>
        <v>417.27913561795862</v>
      </c>
      <c r="K374" s="752" t="s">
        <v>212</v>
      </c>
      <c r="L374" s="754">
        <f>L375+L399+L427</f>
        <v>433.97030162845175</v>
      </c>
      <c r="M374" s="752" t="s">
        <v>212</v>
      </c>
      <c r="N374" s="750">
        <f>D374+F374+H374+J374+L374</f>
        <v>2009.2370430902099</v>
      </c>
      <c r="O374" s="752">
        <f>O375+O399+O427</f>
        <v>336.10803169538923</v>
      </c>
    </row>
    <row r="375" spans="1:15" x14ac:dyDescent="0.25">
      <c r="A375" s="702" t="s">
        <v>131</v>
      </c>
      <c r="B375" s="716" t="s">
        <v>3510</v>
      </c>
      <c r="C375" s="704" t="s">
        <v>2995</v>
      </c>
      <c r="D375" s="752">
        <f t="shared" ref="D375:L375" si="4">D376</f>
        <v>110.0078882308398</v>
      </c>
      <c r="E375" s="752">
        <f t="shared" si="4"/>
        <v>80.964887683856304</v>
      </c>
      <c r="F375" s="753">
        <f t="shared" si="4"/>
        <v>114.80645417697389</v>
      </c>
      <c r="G375" s="752" t="s">
        <v>212</v>
      </c>
      <c r="H375" s="754">
        <f t="shared" si="4"/>
        <v>119.81209727811581</v>
      </c>
      <c r="I375" s="752" t="s">
        <v>212</v>
      </c>
      <c r="J375" s="754">
        <f t="shared" si="4"/>
        <v>124.819121064814</v>
      </c>
      <c r="K375" s="752" t="s">
        <v>212</v>
      </c>
      <c r="L375" s="754">
        <f t="shared" si="4"/>
        <v>130.0347998875024</v>
      </c>
      <c r="M375" s="752" t="s">
        <v>212</v>
      </c>
      <c r="N375" s="750">
        <f>D375+F375+H375+J375+L375</f>
        <v>599.48036063824588</v>
      </c>
      <c r="O375" s="752">
        <f t="shared" ref="O375" si="5">O376</f>
        <v>80.964887683856304</v>
      </c>
    </row>
    <row r="376" spans="1:15" ht="31.5" x14ac:dyDescent="0.25">
      <c r="A376" s="702" t="s">
        <v>133</v>
      </c>
      <c r="B376" s="715" t="s">
        <v>3511</v>
      </c>
      <c r="C376" s="704" t="s">
        <v>2995</v>
      </c>
      <c r="D376" s="752">
        <f>D382+D384</f>
        <v>110.0078882308398</v>
      </c>
      <c r="E376" s="752">
        <f>E382+E384</f>
        <v>80.964887683856304</v>
      </c>
      <c r="F376" s="755">
        <f>F382+F384</f>
        <v>114.80645417697389</v>
      </c>
      <c r="G376" s="752" t="s">
        <v>212</v>
      </c>
      <c r="H376" s="752">
        <f>H382+H384</f>
        <v>119.81209727811581</v>
      </c>
      <c r="I376" s="752" t="s">
        <v>212</v>
      </c>
      <c r="J376" s="754">
        <f>J382+J384</f>
        <v>124.819121064814</v>
      </c>
      <c r="K376" s="752" t="s">
        <v>212</v>
      </c>
      <c r="L376" s="754">
        <f>L382+L384</f>
        <v>130.0347998875024</v>
      </c>
      <c r="M376" s="752" t="s">
        <v>212</v>
      </c>
      <c r="N376" s="750">
        <f>D376+F376+H376+J376+L376</f>
        <v>599.48036063824588</v>
      </c>
      <c r="O376" s="752">
        <f>O382+O384</f>
        <v>80.964887683856304</v>
      </c>
    </row>
    <row r="377" spans="1:15" x14ac:dyDescent="0.25">
      <c r="A377" s="702" t="s">
        <v>135</v>
      </c>
      <c r="B377" s="717" t="s">
        <v>3512</v>
      </c>
      <c r="C377" s="704" t="s">
        <v>2995</v>
      </c>
      <c r="D377" s="752" t="s">
        <v>212</v>
      </c>
      <c r="E377" s="752" t="s">
        <v>212</v>
      </c>
      <c r="F377" s="752" t="s">
        <v>212</v>
      </c>
      <c r="G377" s="752" t="s">
        <v>212</v>
      </c>
      <c r="H377" s="752" t="s">
        <v>212</v>
      </c>
      <c r="I377" s="752" t="s">
        <v>212</v>
      </c>
      <c r="J377" s="752" t="s">
        <v>212</v>
      </c>
      <c r="K377" s="752" t="s">
        <v>212</v>
      </c>
      <c r="L377" s="752" t="s">
        <v>212</v>
      </c>
      <c r="M377" s="752" t="s">
        <v>212</v>
      </c>
      <c r="N377" s="752" t="s">
        <v>212</v>
      </c>
      <c r="O377" s="752" t="s">
        <v>212</v>
      </c>
    </row>
    <row r="378" spans="1:15" ht="31.5" x14ac:dyDescent="0.25">
      <c r="A378" s="702" t="s">
        <v>3513</v>
      </c>
      <c r="B378" s="718" t="s">
        <v>2997</v>
      </c>
      <c r="C378" s="704" t="s">
        <v>2995</v>
      </c>
      <c r="D378" s="755" t="s">
        <v>212</v>
      </c>
      <c r="E378" s="752" t="s">
        <v>212</v>
      </c>
      <c r="F378" s="755" t="s">
        <v>212</v>
      </c>
      <c r="G378" s="752" t="s">
        <v>212</v>
      </c>
      <c r="H378" s="755" t="s">
        <v>212</v>
      </c>
      <c r="I378" s="752" t="s">
        <v>212</v>
      </c>
      <c r="J378" s="755" t="s">
        <v>212</v>
      </c>
      <c r="K378" s="752" t="s">
        <v>212</v>
      </c>
      <c r="L378" s="755" t="s">
        <v>212</v>
      </c>
      <c r="M378" s="752" t="s">
        <v>212</v>
      </c>
      <c r="N378" s="755" t="s">
        <v>212</v>
      </c>
      <c r="O378" s="752" t="s">
        <v>212</v>
      </c>
    </row>
    <row r="379" spans="1:15" ht="31.5" x14ac:dyDescent="0.25">
      <c r="A379" s="702" t="s">
        <v>3514</v>
      </c>
      <c r="B379" s="718" t="s">
        <v>2998</v>
      </c>
      <c r="C379" s="704" t="s">
        <v>2995</v>
      </c>
      <c r="D379" s="755" t="s">
        <v>212</v>
      </c>
      <c r="E379" s="752" t="s">
        <v>212</v>
      </c>
      <c r="F379" s="755" t="s">
        <v>212</v>
      </c>
      <c r="G379" s="752" t="s">
        <v>212</v>
      </c>
      <c r="H379" s="755" t="s">
        <v>212</v>
      </c>
      <c r="I379" s="752" t="s">
        <v>212</v>
      </c>
      <c r="J379" s="755" t="s">
        <v>212</v>
      </c>
      <c r="K379" s="752" t="s">
        <v>212</v>
      </c>
      <c r="L379" s="755" t="s">
        <v>212</v>
      </c>
      <c r="M379" s="752" t="s">
        <v>212</v>
      </c>
      <c r="N379" s="755" t="s">
        <v>212</v>
      </c>
      <c r="O379" s="752" t="s">
        <v>212</v>
      </c>
    </row>
    <row r="380" spans="1:15" ht="31.5" x14ac:dyDescent="0.25">
      <c r="A380" s="702" t="s">
        <v>3515</v>
      </c>
      <c r="B380" s="718" t="s">
        <v>2999</v>
      </c>
      <c r="C380" s="704" t="s">
        <v>2995</v>
      </c>
      <c r="D380" s="755" t="s">
        <v>212</v>
      </c>
      <c r="E380" s="752" t="s">
        <v>212</v>
      </c>
      <c r="F380" s="755" t="s">
        <v>212</v>
      </c>
      <c r="G380" s="752" t="s">
        <v>212</v>
      </c>
      <c r="H380" s="755" t="s">
        <v>212</v>
      </c>
      <c r="I380" s="752" t="s">
        <v>212</v>
      </c>
      <c r="J380" s="755" t="s">
        <v>212</v>
      </c>
      <c r="K380" s="752" t="s">
        <v>212</v>
      </c>
      <c r="L380" s="755" t="s">
        <v>212</v>
      </c>
      <c r="M380" s="752" t="s">
        <v>212</v>
      </c>
      <c r="N380" s="755" t="s">
        <v>212</v>
      </c>
      <c r="O380" s="752" t="s">
        <v>212</v>
      </c>
    </row>
    <row r="381" spans="1:15" x14ac:dyDescent="0.25">
      <c r="A381" s="702" t="s">
        <v>137</v>
      </c>
      <c r="B381" s="717" t="s">
        <v>3516</v>
      </c>
      <c r="C381" s="704" t="s">
        <v>2995</v>
      </c>
      <c r="D381" s="755" t="s">
        <v>212</v>
      </c>
      <c r="E381" s="752" t="s">
        <v>212</v>
      </c>
      <c r="F381" s="755" t="s">
        <v>212</v>
      </c>
      <c r="G381" s="752" t="s">
        <v>212</v>
      </c>
      <c r="H381" s="754" t="s">
        <v>212</v>
      </c>
      <c r="I381" s="752" t="s">
        <v>212</v>
      </c>
      <c r="J381" s="754"/>
      <c r="K381" s="752" t="s">
        <v>212</v>
      </c>
      <c r="L381" s="754"/>
      <c r="M381" s="752" t="s">
        <v>212</v>
      </c>
      <c r="N381" s="754" t="s">
        <v>212</v>
      </c>
      <c r="O381" s="752" t="s">
        <v>212</v>
      </c>
    </row>
    <row r="382" spans="1:15" x14ac:dyDescent="0.25">
      <c r="A382" s="702" t="s">
        <v>916</v>
      </c>
      <c r="B382" s="717" t="s">
        <v>3517</v>
      </c>
      <c r="C382" s="704" t="s">
        <v>2995</v>
      </c>
      <c r="D382" s="755">
        <v>14.216246479627102</v>
      </c>
      <c r="E382" s="752">
        <f>14216.2468710315/1000</f>
        <v>14.216246871031501</v>
      </c>
      <c r="F382" s="755">
        <v>15.183146755712698</v>
      </c>
      <c r="G382" s="752" t="s">
        <v>212</v>
      </c>
      <c r="H382" s="755">
        <v>16.203857560004167</v>
      </c>
      <c r="I382" s="752" t="s">
        <v>212</v>
      </c>
      <c r="J382" s="755">
        <v>17.066551757977891</v>
      </c>
      <c r="K382" s="752" t="s">
        <v>212</v>
      </c>
      <c r="L382" s="755">
        <v>17.972127808392827</v>
      </c>
      <c r="M382" s="752" t="s">
        <v>212</v>
      </c>
      <c r="N382" s="754">
        <f>D382+F382+H382+J382+L382</f>
        <v>80.641930361714685</v>
      </c>
      <c r="O382" s="752">
        <f>14216.2468710315/1000</f>
        <v>14.216246871031501</v>
      </c>
    </row>
    <row r="383" spans="1:15" x14ac:dyDescent="0.25">
      <c r="A383" s="702" t="s">
        <v>917</v>
      </c>
      <c r="B383" s="717" t="s">
        <v>3518</v>
      </c>
      <c r="C383" s="704" t="s">
        <v>2995</v>
      </c>
      <c r="D383" s="755" t="s">
        <v>212</v>
      </c>
      <c r="E383" s="752" t="s">
        <v>212</v>
      </c>
      <c r="F383" s="755" t="s">
        <v>212</v>
      </c>
      <c r="G383" s="752" t="s">
        <v>212</v>
      </c>
      <c r="H383" s="754" t="s">
        <v>212</v>
      </c>
      <c r="I383" s="752" t="s">
        <v>212</v>
      </c>
      <c r="J383" s="754"/>
      <c r="K383" s="752" t="s">
        <v>212</v>
      </c>
      <c r="L383" s="754"/>
      <c r="M383" s="752" t="s">
        <v>212</v>
      </c>
      <c r="N383" s="754" t="s">
        <v>212</v>
      </c>
      <c r="O383" s="752" t="s">
        <v>212</v>
      </c>
    </row>
    <row r="384" spans="1:15" x14ac:dyDescent="0.25">
      <c r="A384" s="702" t="s">
        <v>938</v>
      </c>
      <c r="B384" s="717" t="s">
        <v>3519</v>
      </c>
      <c r="C384" s="704" t="s">
        <v>2995</v>
      </c>
      <c r="D384" s="755">
        <f>D387</f>
        <v>95.791641751212694</v>
      </c>
      <c r="E384" s="755">
        <f>E387</f>
        <v>66.748640812824803</v>
      </c>
      <c r="F384" s="755">
        <f t="shared" ref="F384:L384" si="6">F387</f>
        <v>99.623307421261188</v>
      </c>
      <c r="G384" s="752" t="s">
        <v>212</v>
      </c>
      <c r="H384" s="755">
        <f t="shared" si="6"/>
        <v>103.60823971811165</v>
      </c>
      <c r="I384" s="752" t="s">
        <v>212</v>
      </c>
      <c r="J384" s="755">
        <f t="shared" si="6"/>
        <v>107.75256930683611</v>
      </c>
      <c r="K384" s="752" t="s">
        <v>212</v>
      </c>
      <c r="L384" s="755">
        <f t="shared" si="6"/>
        <v>112.06267207910957</v>
      </c>
      <c r="M384" s="752" t="s">
        <v>212</v>
      </c>
      <c r="N384" s="754">
        <f>D384+F384+H384+J384+L384</f>
        <v>518.8384302765312</v>
      </c>
      <c r="O384" s="755">
        <f>O387</f>
        <v>66.748640812824803</v>
      </c>
    </row>
    <row r="385" spans="1:15" ht="31.5" x14ac:dyDescent="0.25">
      <c r="A385" s="702" t="s">
        <v>3520</v>
      </c>
      <c r="B385" s="718" t="s">
        <v>3521</v>
      </c>
      <c r="C385" s="704" t="s">
        <v>2995</v>
      </c>
      <c r="D385" s="755" t="s">
        <v>212</v>
      </c>
      <c r="E385" s="752" t="s">
        <v>212</v>
      </c>
      <c r="F385" s="755" t="s">
        <v>212</v>
      </c>
      <c r="G385" s="752" t="s">
        <v>212</v>
      </c>
      <c r="H385" s="754" t="s">
        <v>212</v>
      </c>
      <c r="I385" s="752" t="s">
        <v>212</v>
      </c>
      <c r="J385" s="754"/>
      <c r="K385" s="752" t="s">
        <v>212</v>
      </c>
      <c r="L385" s="754"/>
      <c r="M385" s="752" t="s">
        <v>212</v>
      </c>
      <c r="N385" s="754" t="s">
        <v>212</v>
      </c>
      <c r="O385" s="752" t="s">
        <v>212</v>
      </c>
    </row>
    <row r="386" spans="1:15" x14ac:dyDescent="0.25">
      <c r="A386" s="702" t="s">
        <v>3522</v>
      </c>
      <c r="B386" s="718" t="s">
        <v>3523</v>
      </c>
      <c r="C386" s="704" t="s">
        <v>2995</v>
      </c>
      <c r="D386" s="755" t="s">
        <v>212</v>
      </c>
      <c r="E386" s="752" t="s">
        <v>212</v>
      </c>
      <c r="F386" s="755" t="s">
        <v>212</v>
      </c>
      <c r="G386" s="752" t="s">
        <v>212</v>
      </c>
      <c r="H386" s="754" t="s">
        <v>212</v>
      </c>
      <c r="I386" s="752" t="s">
        <v>212</v>
      </c>
      <c r="J386" s="754"/>
      <c r="K386" s="752" t="s">
        <v>212</v>
      </c>
      <c r="L386" s="754"/>
      <c r="M386" s="752" t="s">
        <v>212</v>
      </c>
      <c r="N386" s="754" t="s">
        <v>212</v>
      </c>
      <c r="O386" s="752" t="s">
        <v>212</v>
      </c>
    </row>
    <row r="387" spans="1:15" x14ac:dyDescent="0.25">
      <c r="A387" s="702" t="s">
        <v>3524</v>
      </c>
      <c r="B387" s="718" t="s">
        <v>3525</v>
      </c>
      <c r="C387" s="704" t="s">
        <v>2995</v>
      </c>
      <c r="D387" s="755">
        <v>95.791641751212694</v>
      </c>
      <c r="E387" s="752">
        <f>66748.6408128248/1000</f>
        <v>66.748640812824803</v>
      </c>
      <c r="F387" s="755">
        <v>99.623307421261188</v>
      </c>
      <c r="G387" s="752" t="s">
        <v>212</v>
      </c>
      <c r="H387" s="754">
        <v>103.60823971811165</v>
      </c>
      <c r="I387" s="752" t="s">
        <v>212</v>
      </c>
      <c r="J387" s="754">
        <v>107.75256930683611</v>
      </c>
      <c r="K387" s="752" t="s">
        <v>212</v>
      </c>
      <c r="L387" s="754">
        <v>112.06267207910957</v>
      </c>
      <c r="M387" s="752" t="s">
        <v>212</v>
      </c>
      <c r="N387" s="754">
        <f>D387+F387+H387+J387+L387</f>
        <v>518.8384302765312</v>
      </c>
      <c r="O387" s="752">
        <f>66748.6408128248/1000</f>
        <v>66.748640812824803</v>
      </c>
    </row>
    <row r="388" spans="1:15" x14ac:dyDescent="0.25">
      <c r="A388" s="702" t="s">
        <v>3526</v>
      </c>
      <c r="B388" s="718" t="s">
        <v>3523</v>
      </c>
      <c r="C388" s="704" t="s">
        <v>2995</v>
      </c>
      <c r="D388" s="755" t="s">
        <v>212</v>
      </c>
      <c r="E388" s="752" t="s">
        <v>212</v>
      </c>
      <c r="F388" s="755" t="s">
        <v>212</v>
      </c>
      <c r="G388" s="752" t="s">
        <v>212</v>
      </c>
      <c r="H388" s="755" t="s">
        <v>212</v>
      </c>
      <c r="I388" s="752" t="s">
        <v>212</v>
      </c>
      <c r="J388" s="755" t="s">
        <v>212</v>
      </c>
      <c r="K388" s="752" t="s">
        <v>212</v>
      </c>
      <c r="L388" s="755" t="s">
        <v>212</v>
      </c>
      <c r="M388" s="752" t="s">
        <v>212</v>
      </c>
      <c r="N388" s="755" t="s">
        <v>212</v>
      </c>
      <c r="O388" s="752" t="s">
        <v>212</v>
      </c>
    </row>
    <row r="389" spans="1:15" x14ac:dyDescent="0.25">
      <c r="A389" s="702" t="s">
        <v>944</v>
      </c>
      <c r="B389" s="717" t="s">
        <v>3527</v>
      </c>
      <c r="C389" s="704" t="s">
        <v>2995</v>
      </c>
      <c r="D389" s="755" t="s">
        <v>212</v>
      </c>
      <c r="E389" s="752" t="s">
        <v>212</v>
      </c>
      <c r="F389" s="755" t="s">
        <v>212</v>
      </c>
      <c r="G389" s="752" t="s">
        <v>212</v>
      </c>
      <c r="H389" s="755" t="s">
        <v>212</v>
      </c>
      <c r="I389" s="752" t="s">
        <v>212</v>
      </c>
      <c r="J389" s="755" t="s">
        <v>212</v>
      </c>
      <c r="K389" s="752" t="s">
        <v>212</v>
      </c>
      <c r="L389" s="755" t="s">
        <v>212</v>
      </c>
      <c r="M389" s="752" t="s">
        <v>212</v>
      </c>
      <c r="N389" s="755" t="s">
        <v>212</v>
      </c>
      <c r="O389" s="752" t="s">
        <v>212</v>
      </c>
    </row>
    <row r="390" spans="1:15" x14ac:dyDescent="0.25">
      <c r="A390" s="702" t="s">
        <v>2525</v>
      </c>
      <c r="B390" s="717" t="s">
        <v>3342</v>
      </c>
      <c r="C390" s="704" t="s">
        <v>2995</v>
      </c>
      <c r="D390" s="755" t="s">
        <v>212</v>
      </c>
      <c r="E390" s="752" t="s">
        <v>212</v>
      </c>
      <c r="F390" s="755" t="s">
        <v>212</v>
      </c>
      <c r="G390" s="752" t="s">
        <v>212</v>
      </c>
      <c r="H390" s="755" t="s">
        <v>212</v>
      </c>
      <c r="I390" s="752" t="s">
        <v>212</v>
      </c>
      <c r="J390" s="755" t="s">
        <v>212</v>
      </c>
      <c r="K390" s="752" t="s">
        <v>212</v>
      </c>
      <c r="L390" s="755" t="s">
        <v>212</v>
      </c>
      <c r="M390" s="752" t="s">
        <v>212</v>
      </c>
      <c r="N390" s="755" t="s">
        <v>212</v>
      </c>
      <c r="O390" s="752" t="s">
        <v>212</v>
      </c>
    </row>
    <row r="391" spans="1:15" ht="31.5" x14ac:dyDescent="0.25">
      <c r="A391" s="702" t="s">
        <v>2526</v>
      </c>
      <c r="B391" s="717" t="s">
        <v>3528</v>
      </c>
      <c r="C391" s="704" t="s">
        <v>2995</v>
      </c>
      <c r="D391" s="755" t="s">
        <v>212</v>
      </c>
      <c r="E391" s="752" t="s">
        <v>212</v>
      </c>
      <c r="F391" s="755" t="s">
        <v>212</v>
      </c>
      <c r="G391" s="752" t="s">
        <v>212</v>
      </c>
      <c r="H391" s="755" t="s">
        <v>212</v>
      </c>
      <c r="I391" s="752" t="s">
        <v>212</v>
      </c>
      <c r="J391" s="755" t="s">
        <v>212</v>
      </c>
      <c r="K391" s="752" t="s">
        <v>212</v>
      </c>
      <c r="L391" s="755" t="s">
        <v>212</v>
      </c>
      <c r="M391" s="752" t="s">
        <v>212</v>
      </c>
      <c r="N391" s="755" t="s">
        <v>212</v>
      </c>
      <c r="O391" s="752" t="s">
        <v>212</v>
      </c>
    </row>
    <row r="392" spans="1:15" ht="18" customHeight="1" x14ac:dyDescent="0.25">
      <c r="A392" s="702" t="s">
        <v>3529</v>
      </c>
      <c r="B392" s="718" t="s">
        <v>3011</v>
      </c>
      <c r="C392" s="704" t="s">
        <v>2995</v>
      </c>
      <c r="D392" s="755" t="s">
        <v>212</v>
      </c>
      <c r="E392" s="752" t="s">
        <v>212</v>
      </c>
      <c r="F392" s="755" t="s">
        <v>212</v>
      </c>
      <c r="G392" s="752" t="s">
        <v>212</v>
      </c>
      <c r="H392" s="755" t="s">
        <v>212</v>
      </c>
      <c r="I392" s="752" t="s">
        <v>212</v>
      </c>
      <c r="J392" s="755" t="s">
        <v>212</v>
      </c>
      <c r="K392" s="752" t="s">
        <v>212</v>
      </c>
      <c r="L392" s="755" t="s">
        <v>212</v>
      </c>
      <c r="M392" s="752" t="s">
        <v>212</v>
      </c>
      <c r="N392" s="755" t="s">
        <v>212</v>
      </c>
      <c r="O392" s="752" t="s">
        <v>212</v>
      </c>
    </row>
    <row r="393" spans="1:15" ht="18" customHeight="1" x14ac:dyDescent="0.25">
      <c r="A393" s="702" t="s">
        <v>3530</v>
      </c>
      <c r="B393" s="756" t="s">
        <v>3013</v>
      </c>
      <c r="C393" s="704" t="s">
        <v>2995</v>
      </c>
      <c r="D393" s="755" t="s">
        <v>212</v>
      </c>
      <c r="E393" s="752" t="s">
        <v>212</v>
      </c>
      <c r="F393" s="755" t="s">
        <v>212</v>
      </c>
      <c r="G393" s="752" t="s">
        <v>212</v>
      </c>
      <c r="H393" s="755" t="s">
        <v>212</v>
      </c>
      <c r="I393" s="752" t="s">
        <v>212</v>
      </c>
      <c r="J393" s="755" t="s">
        <v>212</v>
      </c>
      <c r="K393" s="752" t="s">
        <v>212</v>
      </c>
      <c r="L393" s="755" t="s">
        <v>212</v>
      </c>
      <c r="M393" s="752" t="s">
        <v>212</v>
      </c>
      <c r="N393" s="755" t="s">
        <v>212</v>
      </c>
      <c r="O393" s="752" t="s">
        <v>212</v>
      </c>
    </row>
    <row r="394" spans="1:15" ht="31.5" x14ac:dyDescent="0.25">
      <c r="A394" s="702" t="s">
        <v>139</v>
      </c>
      <c r="B394" s="715" t="s">
        <v>3531</v>
      </c>
      <c r="C394" s="704" t="s">
        <v>2995</v>
      </c>
      <c r="D394" s="755" t="s">
        <v>212</v>
      </c>
      <c r="E394" s="752" t="s">
        <v>212</v>
      </c>
      <c r="F394" s="755" t="s">
        <v>212</v>
      </c>
      <c r="G394" s="752" t="s">
        <v>212</v>
      </c>
      <c r="H394" s="755" t="s">
        <v>212</v>
      </c>
      <c r="I394" s="752" t="s">
        <v>212</v>
      </c>
      <c r="J394" s="755" t="s">
        <v>212</v>
      </c>
      <c r="K394" s="752" t="s">
        <v>212</v>
      </c>
      <c r="L394" s="755" t="s">
        <v>212</v>
      </c>
      <c r="M394" s="752" t="s">
        <v>212</v>
      </c>
      <c r="N394" s="755" t="s">
        <v>212</v>
      </c>
      <c r="O394" s="752" t="s">
        <v>212</v>
      </c>
    </row>
    <row r="395" spans="1:15" ht="31.5" x14ac:dyDescent="0.25">
      <c r="A395" s="702" t="s">
        <v>1466</v>
      </c>
      <c r="B395" s="717" t="s">
        <v>2997</v>
      </c>
      <c r="C395" s="704" t="s">
        <v>2995</v>
      </c>
      <c r="D395" s="755" t="s">
        <v>212</v>
      </c>
      <c r="E395" s="752" t="s">
        <v>212</v>
      </c>
      <c r="F395" s="755" t="s">
        <v>212</v>
      </c>
      <c r="G395" s="752" t="s">
        <v>212</v>
      </c>
      <c r="H395" s="755" t="s">
        <v>212</v>
      </c>
      <c r="I395" s="752" t="s">
        <v>212</v>
      </c>
      <c r="J395" s="755" t="s">
        <v>212</v>
      </c>
      <c r="K395" s="752" t="s">
        <v>212</v>
      </c>
      <c r="L395" s="755" t="s">
        <v>212</v>
      </c>
      <c r="M395" s="752" t="s">
        <v>212</v>
      </c>
      <c r="N395" s="755" t="s">
        <v>212</v>
      </c>
      <c r="O395" s="752" t="s">
        <v>212</v>
      </c>
    </row>
    <row r="396" spans="1:15" ht="31.5" x14ac:dyDescent="0.25">
      <c r="A396" s="702" t="s">
        <v>918</v>
      </c>
      <c r="B396" s="717" t="s">
        <v>2998</v>
      </c>
      <c r="C396" s="704" t="s">
        <v>2995</v>
      </c>
      <c r="D396" s="755" t="s">
        <v>212</v>
      </c>
      <c r="E396" s="752" t="s">
        <v>212</v>
      </c>
      <c r="F396" s="755" t="s">
        <v>212</v>
      </c>
      <c r="G396" s="752" t="s">
        <v>212</v>
      </c>
      <c r="H396" s="755" t="s">
        <v>212</v>
      </c>
      <c r="I396" s="752" t="s">
        <v>212</v>
      </c>
      <c r="J396" s="755" t="s">
        <v>212</v>
      </c>
      <c r="K396" s="752" t="s">
        <v>212</v>
      </c>
      <c r="L396" s="755" t="s">
        <v>212</v>
      </c>
      <c r="M396" s="752" t="s">
        <v>212</v>
      </c>
      <c r="N396" s="755" t="s">
        <v>212</v>
      </c>
      <c r="O396" s="752" t="s">
        <v>212</v>
      </c>
    </row>
    <row r="397" spans="1:15" ht="31.5" x14ac:dyDescent="0.25">
      <c r="A397" s="702" t="s">
        <v>3532</v>
      </c>
      <c r="B397" s="717" t="s">
        <v>2999</v>
      </c>
      <c r="C397" s="704" t="s">
        <v>2995</v>
      </c>
      <c r="D397" s="755" t="s">
        <v>212</v>
      </c>
      <c r="E397" s="752" t="s">
        <v>212</v>
      </c>
      <c r="F397" s="755" t="s">
        <v>212</v>
      </c>
      <c r="G397" s="752" t="s">
        <v>212</v>
      </c>
      <c r="H397" s="755" t="s">
        <v>212</v>
      </c>
      <c r="I397" s="752" t="s">
        <v>212</v>
      </c>
      <c r="J397" s="755" t="s">
        <v>212</v>
      </c>
      <c r="K397" s="752" t="s">
        <v>212</v>
      </c>
      <c r="L397" s="755" t="s">
        <v>212</v>
      </c>
      <c r="M397" s="752" t="s">
        <v>212</v>
      </c>
      <c r="N397" s="755" t="s">
        <v>212</v>
      </c>
      <c r="O397" s="752" t="s">
        <v>212</v>
      </c>
    </row>
    <row r="398" spans="1:15" x14ac:dyDescent="0.25">
      <c r="A398" s="702" t="s">
        <v>141</v>
      </c>
      <c r="B398" s="715" t="s">
        <v>3533</v>
      </c>
      <c r="C398" s="704" t="s">
        <v>2995</v>
      </c>
      <c r="D398" s="755" t="s">
        <v>212</v>
      </c>
      <c r="E398" s="752" t="s">
        <v>212</v>
      </c>
      <c r="F398" s="755" t="s">
        <v>212</v>
      </c>
      <c r="G398" s="752" t="s">
        <v>212</v>
      </c>
      <c r="H398" s="754" t="s">
        <v>212</v>
      </c>
      <c r="I398" s="752" t="s">
        <v>212</v>
      </c>
      <c r="J398" s="754"/>
      <c r="K398" s="752" t="s">
        <v>212</v>
      </c>
      <c r="L398" s="754"/>
      <c r="M398" s="752" t="s">
        <v>212</v>
      </c>
      <c r="N398" s="754" t="s">
        <v>212</v>
      </c>
      <c r="O398" s="752" t="s">
        <v>212</v>
      </c>
    </row>
    <row r="399" spans="1:15" x14ac:dyDescent="0.25">
      <c r="A399" s="719" t="s">
        <v>149</v>
      </c>
      <c r="B399" s="720" t="s">
        <v>3534</v>
      </c>
      <c r="C399" s="704" t="s">
        <v>2995</v>
      </c>
      <c r="D399" s="755">
        <f>D406</f>
        <v>199.12514294930997</v>
      </c>
      <c r="E399" s="755">
        <f>E406</f>
        <v>199.12513872896801</v>
      </c>
      <c r="F399" s="755">
        <v>206.69189838138377</v>
      </c>
      <c r="G399" s="752" t="s">
        <v>212</v>
      </c>
      <c r="H399" s="755">
        <v>214.54619051987635</v>
      </c>
      <c r="I399" s="752" t="s">
        <v>212</v>
      </c>
      <c r="J399" s="755">
        <v>222.9134919501515</v>
      </c>
      <c r="K399" s="752" t="s">
        <v>212</v>
      </c>
      <c r="L399" s="755">
        <v>231.60711813620739</v>
      </c>
      <c r="M399" s="752" t="s">
        <v>212</v>
      </c>
      <c r="N399" s="754">
        <f>D399+F399+H399+J399+L399</f>
        <v>1074.883841936929</v>
      </c>
      <c r="O399" s="755">
        <f>O406</f>
        <v>199.12513872896801</v>
      </c>
    </row>
    <row r="400" spans="1:15" x14ac:dyDescent="0.25">
      <c r="A400" s="702" t="s">
        <v>150</v>
      </c>
      <c r="B400" s="715" t="s">
        <v>3535</v>
      </c>
      <c r="C400" s="704" t="s">
        <v>2995</v>
      </c>
      <c r="D400" s="755" t="s">
        <v>212</v>
      </c>
      <c r="E400" s="752" t="s">
        <v>212</v>
      </c>
      <c r="F400" s="755" t="s">
        <v>212</v>
      </c>
      <c r="G400" s="752" t="s">
        <v>212</v>
      </c>
      <c r="H400" s="755" t="s">
        <v>212</v>
      </c>
      <c r="I400" s="752" t="s">
        <v>212</v>
      </c>
      <c r="J400" s="755" t="s">
        <v>212</v>
      </c>
      <c r="K400" s="752" t="s">
        <v>212</v>
      </c>
      <c r="L400" s="755" t="s">
        <v>212</v>
      </c>
      <c r="M400" s="752" t="s">
        <v>212</v>
      </c>
      <c r="N400" s="755" t="s">
        <v>212</v>
      </c>
      <c r="O400" s="752" t="s">
        <v>212</v>
      </c>
    </row>
    <row r="401" spans="1:15" x14ac:dyDescent="0.25">
      <c r="A401" s="702" t="s">
        <v>3536</v>
      </c>
      <c r="B401" s="717" t="s">
        <v>3537</v>
      </c>
      <c r="C401" s="704" t="s">
        <v>2995</v>
      </c>
      <c r="D401" s="755" t="s">
        <v>212</v>
      </c>
      <c r="E401" s="752" t="s">
        <v>212</v>
      </c>
      <c r="F401" s="755" t="s">
        <v>212</v>
      </c>
      <c r="G401" s="752" t="s">
        <v>212</v>
      </c>
      <c r="H401" s="755" t="s">
        <v>212</v>
      </c>
      <c r="I401" s="752" t="s">
        <v>212</v>
      </c>
      <c r="J401" s="755" t="s">
        <v>212</v>
      </c>
      <c r="K401" s="752" t="s">
        <v>212</v>
      </c>
      <c r="L401" s="755" t="s">
        <v>212</v>
      </c>
      <c r="M401" s="752" t="s">
        <v>212</v>
      </c>
      <c r="N401" s="755" t="s">
        <v>212</v>
      </c>
      <c r="O401" s="752" t="s">
        <v>212</v>
      </c>
    </row>
    <row r="402" spans="1:15" ht="31.5" x14ac:dyDescent="0.25">
      <c r="A402" s="702" t="s">
        <v>3538</v>
      </c>
      <c r="B402" s="717" t="s">
        <v>2997</v>
      </c>
      <c r="C402" s="704" t="s">
        <v>2995</v>
      </c>
      <c r="D402" s="755" t="s">
        <v>212</v>
      </c>
      <c r="E402" s="752" t="s">
        <v>212</v>
      </c>
      <c r="F402" s="755" t="s">
        <v>212</v>
      </c>
      <c r="G402" s="752" t="s">
        <v>212</v>
      </c>
      <c r="H402" s="755" t="s">
        <v>212</v>
      </c>
      <c r="I402" s="752" t="s">
        <v>212</v>
      </c>
      <c r="J402" s="755" t="s">
        <v>212</v>
      </c>
      <c r="K402" s="752" t="s">
        <v>212</v>
      </c>
      <c r="L402" s="755" t="s">
        <v>212</v>
      </c>
      <c r="M402" s="752" t="s">
        <v>212</v>
      </c>
      <c r="N402" s="755" t="s">
        <v>212</v>
      </c>
      <c r="O402" s="752" t="s">
        <v>212</v>
      </c>
    </row>
    <row r="403" spans="1:15" ht="31.5" x14ac:dyDescent="0.25">
      <c r="A403" s="702" t="s">
        <v>3539</v>
      </c>
      <c r="B403" s="717" t="s">
        <v>2998</v>
      </c>
      <c r="C403" s="704" t="s">
        <v>2995</v>
      </c>
      <c r="D403" s="755" t="s">
        <v>212</v>
      </c>
      <c r="E403" s="752" t="s">
        <v>212</v>
      </c>
      <c r="F403" s="755" t="s">
        <v>212</v>
      </c>
      <c r="G403" s="752" t="s">
        <v>212</v>
      </c>
      <c r="H403" s="755" t="s">
        <v>212</v>
      </c>
      <c r="I403" s="752" t="s">
        <v>212</v>
      </c>
      <c r="J403" s="755" t="s">
        <v>212</v>
      </c>
      <c r="K403" s="752" t="s">
        <v>212</v>
      </c>
      <c r="L403" s="755" t="s">
        <v>212</v>
      </c>
      <c r="M403" s="752" t="s">
        <v>212</v>
      </c>
      <c r="N403" s="755" t="s">
        <v>212</v>
      </c>
      <c r="O403" s="752" t="s">
        <v>212</v>
      </c>
    </row>
    <row r="404" spans="1:15" ht="31.5" x14ac:dyDescent="0.25">
      <c r="A404" s="702" t="s">
        <v>3540</v>
      </c>
      <c r="B404" s="717" t="s">
        <v>2999</v>
      </c>
      <c r="C404" s="704" t="s">
        <v>2995</v>
      </c>
      <c r="D404" s="755" t="s">
        <v>212</v>
      </c>
      <c r="E404" s="752" t="s">
        <v>212</v>
      </c>
      <c r="F404" s="755" t="s">
        <v>212</v>
      </c>
      <c r="G404" s="752" t="s">
        <v>212</v>
      </c>
      <c r="H404" s="755" t="s">
        <v>212</v>
      </c>
      <c r="I404" s="752" t="s">
        <v>212</v>
      </c>
      <c r="J404" s="755" t="s">
        <v>212</v>
      </c>
      <c r="K404" s="752" t="s">
        <v>212</v>
      </c>
      <c r="L404" s="755" t="s">
        <v>212</v>
      </c>
      <c r="M404" s="752" t="s">
        <v>212</v>
      </c>
      <c r="N404" s="755" t="s">
        <v>212</v>
      </c>
      <c r="O404" s="752" t="s">
        <v>212</v>
      </c>
    </row>
    <row r="405" spans="1:15" x14ac:dyDescent="0.25">
      <c r="A405" s="702" t="s">
        <v>3541</v>
      </c>
      <c r="B405" s="717" t="s">
        <v>3327</v>
      </c>
      <c r="C405" s="704" t="s">
        <v>2995</v>
      </c>
      <c r="D405" s="755" t="s">
        <v>212</v>
      </c>
      <c r="E405" s="752" t="s">
        <v>212</v>
      </c>
      <c r="F405" s="755" t="s">
        <v>212</v>
      </c>
      <c r="G405" s="752" t="s">
        <v>212</v>
      </c>
      <c r="H405" s="755" t="s">
        <v>212</v>
      </c>
      <c r="I405" s="752" t="s">
        <v>212</v>
      </c>
      <c r="J405" s="755" t="s">
        <v>212</v>
      </c>
      <c r="K405" s="752" t="s">
        <v>212</v>
      </c>
      <c r="L405" s="755" t="s">
        <v>212</v>
      </c>
      <c r="M405" s="752" t="s">
        <v>212</v>
      </c>
      <c r="N405" s="755" t="s">
        <v>212</v>
      </c>
      <c r="O405" s="752" t="s">
        <v>212</v>
      </c>
    </row>
    <row r="406" spans="1:15" x14ac:dyDescent="0.25">
      <c r="A406" s="702" t="s">
        <v>3542</v>
      </c>
      <c r="B406" s="717" t="s">
        <v>3330</v>
      </c>
      <c r="C406" s="704" t="s">
        <v>2995</v>
      </c>
      <c r="D406" s="755">
        <v>199.12514294930997</v>
      </c>
      <c r="E406" s="752">
        <f>199125.138728968/1000</f>
        <v>199.12513872896801</v>
      </c>
      <c r="F406" s="755">
        <v>205.29802238073856</v>
      </c>
      <c r="G406" s="752" t="s">
        <v>212</v>
      </c>
      <c r="H406" s="754">
        <v>211.66226107454145</v>
      </c>
      <c r="I406" s="752" t="s">
        <v>212</v>
      </c>
      <c r="J406" s="754">
        <v>218.22379116785223</v>
      </c>
      <c r="K406" s="752" t="s">
        <v>212</v>
      </c>
      <c r="L406" s="754">
        <v>224.98872869405562</v>
      </c>
      <c r="M406" s="752" t="s">
        <v>212</v>
      </c>
      <c r="N406" s="754">
        <f>D406+F406+H406+J406+L406</f>
        <v>1059.2979462664978</v>
      </c>
      <c r="O406" s="752">
        <f>199125.138728968/1000</f>
        <v>199.12513872896801</v>
      </c>
    </row>
    <row r="407" spans="1:15" x14ac:dyDescent="0.25">
      <c r="A407" s="702" t="s">
        <v>3543</v>
      </c>
      <c r="B407" s="717" t="s">
        <v>3333</v>
      </c>
      <c r="C407" s="704" t="s">
        <v>2995</v>
      </c>
      <c r="D407" s="755" t="s">
        <v>212</v>
      </c>
      <c r="E407" s="752" t="s">
        <v>212</v>
      </c>
      <c r="F407" s="755" t="s">
        <v>212</v>
      </c>
      <c r="G407" s="752" t="s">
        <v>212</v>
      </c>
      <c r="H407" s="755" t="s">
        <v>212</v>
      </c>
      <c r="I407" s="752" t="s">
        <v>212</v>
      </c>
      <c r="J407" s="755" t="s">
        <v>212</v>
      </c>
      <c r="K407" s="752" t="s">
        <v>212</v>
      </c>
      <c r="L407" s="755" t="s">
        <v>212</v>
      </c>
      <c r="M407" s="752" t="s">
        <v>212</v>
      </c>
      <c r="N407" s="755" t="s">
        <v>212</v>
      </c>
      <c r="O407" s="752" t="s">
        <v>212</v>
      </c>
    </row>
    <row r="408" spans="1:15" x14ac:dyDescent="0.25">
      <c r="A408" s="702" t="s">
        <v>3544</v>
      </c>
      <c r="B408" s="717" t="s">
        <v>3339</v>
      </c>
      <c r="C408" s="704" t="s">
        <v>2995</v>
      </c>
      <c r="D408" s="755" t="s">
        <v>212</v>
      </c>
      <c r="E408" s="752" t="s">
        <v>212</v>
      </c>
      <c r="F408" s="755" t="s">
        <v>212</v>
      </c>
      <c r="G408" s="752" t="s">
        <v>212</v>
      </c>
      <c r="H408" s="755" t="s">
        <v>212</v>
      </c>
      <c r="I408" s="752" t="s">
        <v>212</v>
      </c>
      <c r="J408" s="755" t="s">
        <v>212</v>
      </c>
      <c r="K408" s="752" t="s">
        <v>212</v>
      </c>
      <c r="L408" s="755" t="s">
        <v>212</v>
      </c>
      <c r="M408" s="752" t="s">
        <v>212</v>
      </c>
      <c r="N408" s="755" t="s">
        <v>212</v>
      </c>
      <c r="O408" s="752" t="s">
        <v>212</v>
      </c>
    </row>
    <row r="409" spans="1:15" x14ac:dyDescent="0.25">
      <c r="A409" s="702" t="s">
        <v>3545</v>
      </c>
      <c r="B409" s="717" t="s">
        <v>3342</v>
      </c>
      <c r="C409" s="704" t="s">
        <v>2995</v>
      </c>
      <c r="D409" s="755" t="s">
        <v>212</v>
      </c>
      <c r="E409" s="752" t="s">
        <v>212</v>
      </c>
      <c r="F409" s="755" t="s">
        <v>212</v>
      </c>
      <c r="G409" s="752" t="s">
        <v>212</v>
      </c>
      <c r="H409" s="755" t="s">
        <v>212</v>
      </c>
      <c r="I409" s="752" t="s">
        <v>212</v>
      </c>
      <c r="J409" s="755" t="s">
        <v>212</v>
      </c>
      <c r="K409" s="752" t="s">
        <v>212</v>
      </c>
      <c r="L409" s="755" t="s">
        <v>212</v>
      </c>
      <c r="M409" s="752" t="s">
        <v>212</v>
      </c>
      <c r="N409" s="755" t="s">
        <v>212</v>
      </c>
      <c r="O409" s="752" t="s">
        <v>212</v>
      </c>
    </row>
    <row r="410" spans="1:15" ht="31.5" x14ac:dyDescent="0.25">
      <c r="A410" s="702" t="s">
        <v>3546</v>
      </c>
      <c r="B410" s="717" t="s">
        <v>3345</v>
      </c>
      <c r="C410" s="704" t="s">
        <v>2995</v>
      </c>
      <c r="D410" s="755" t="s">
        <v>212</v>
      </c>
      <c r="E410" s="752" t="s">
        <v>212</v>
      </c>
      <c r="F410" s="755" t="s">
        <v>212</v>
      </c>
      <c r="G410" s="752" t="s">
        <v>212</v>
      </c>
      <c r="H410" s="755" t="s">
        <v>212</v>
      </c>
      <c r="I410" s="752" t="s">
        <v>212</v>
      </c>
      <c r="J410" s="755" t="s">
        <v>212</v>
      </c>
      <c r="K410" s="752" t="s">
        <v>212</v>
      </c>
      <c r="L410" s="755" t="s">
        <v>212</v>
      </c>
      <c r="M410" s="752" t="s">
        <v>212</v>
      </c>
      <c r="N410" s="755" t="s">
        <v>212</v>
      </c>
      <c r="O410" s="752" t="s">
        <v>212</v>
      </c>
    </row>
    <row r="411" spans="1:15" x14ac:dyDescent="0.25">
      <c r="A411" s="702" t="s">
        <v>3547</v>
      </c>
      <c r="B411" s="718" t="s">
        <v>3011</v>
      </c>
      <c r="C411" s="704" t="s">
        <v>2995</v>
      </c>
      <c r="D411" s="755" t="s">
        <v>212</v>
      </c>
      <c r="E411" s="752" t="s">
        <v>212</v>
      </c>
      <c r="F411" s="755" t="s">
        <v>212</v>
      </c>
      <c r="G411" s="752" t="s">
        <v>212</v>
      </c>
      <c r="H411" s="755" t="s">
        <v>212</v>
      </c>
      <c r="I411" s="752" t="s">
        <v>212</v>
      </c>
      <c r="J411" s="755" t="s">
        <v>212</v>
      </c>
      <c r="K411" s="752" t="s">
        <v>212</v>
      </c>
      <c r="L411" s="755" t="s">
        <v>212</v>
      </c>
      <c r="M411" s="752" t="s">
        <v>212</v>
      </c>
      <c r="N411" s="755" t="s">
        <v>212</v>
      </c>
      <c r="O411" s="752" t="s">
        <v>212</v>
      </c>
    </row>
    <row r="412" spans="1:15" x14ac:dyDescent="0.25">
      <c r="A412" s="702" t="s">
        <v>3548</v>
      </c>
      <c r="B412" s="756" t="s">
        <v>3013</v>
      </c>
      <c r="C412" s="704" t="s">
        <v>2995</v>
      </c>
      <c r="D412" s="755" t="s">
        <v>212</v>
      </c>
      <c r="E412" s="752" t="s">
        <v>212</v>
      </c>
      <c r="F412" s="755" t="s">
        <v>212</v>
      </c>
      <c r="G412" s="752" t="s">
        <v>212</v>
      </c>
      <c r="H412" s="755" t="s">
        <v>212</v>
      </c>
      <c r="I412" s="752" t="s">
        <v>212</v>
      </c>
      <c r="J412" s="755" t="s">
        <v>212</v>
      </c>
      <c r="K412" s="752" t="s">
        <v>212</v>
      </c>
      <c r="L412" s="755" t="s">
        <v>212</v>
      </c>
      <c r="M412" s="752" t="s">
        <v>212</v>
      </c>
      <c r="N412" s="755" t="s">
        <v>212</v>
      </c>
      <c r="O412" s="752" t="s">
        <v>212</v>
      </c>
    </row>
    <row r="413" spans="1:15" x14ac:dyDescent="0.25">
      <c r="A413" s="702" t="s">
        <v>151</v>
      </c>
      <c r="B413" s="715" t="s">
        <v>3549</v>
      </c>
      <c r="C413" s="704" t="s">
        <v>2995</v>
      </c>
      <c r="D413" s="755" t="s">
        <v>212</v>
      </c>
      <c r="E413" s="752" t="s">
        <v>212</v>
      </c>
      <c r="F413" s="755" t="s">
        <v>212</v>
      </c>
      <c r="G413" s="752" t="s">
        <v>212</v>
      </c>
      <c r="H413" s="755" t="s">
        <v>212</v>
      </c>
      <c r="I413" s="752" t="s">
        <v>212</v>
      </c>
      <c r="J413" s="755" t="s">
        <v>212</v>
      </c>
      <c r="K413" s="752" t="s">
        <v>212</v>
      </c>
      <c r="L413" s="755" t="s">
        <v>212</v>
      </c>
      <c r="M413" s="752" t="s">
        <v>212</v>
      </c>
      <c r="N413" s="755" t="s">
        <v>212</v>
      </c>
      <c r="O413" s="752" t="s">
        <v>212</v>
      </c>
    </row>
    <row r="414" spans="1:15" x14ac:dyDescent="0.25">
      <c r="A414" s="702" t="s">
        <v>460</v>
      </c>
      <c r="B414" s="715" t="s">
        <v>3550</v>
      </c>
      <c r="C414" s="704" t="s">
        <v>2995</v>
      </c>
      <c r="D414" s="755" t="s">
        <v>212</v>
      </c>
      <c r="E414" s="752" t="s">
        <v>212</v>
      </c>
      <c r="F414" s="755" t="s">
        <v>212</v>
      </c>
      <c r="G414" s="752" t="s">
        <v>212</v>
      </c>
      <c r="H414" s="755" t="s">
        <v>212</v>
      </c>
      <c r="I414" s="752" t="s">
        <v>212</v>
      </c>
      <c r="J414" s="755" t="s">
        <v>212</v>
      </c>
      <c r="K414" s="752" t="s">
        <v>212</v>
      </c>
      <c r="L414" s="755" t="s">
        <v>212</v>
      </c>
      <c r="M414" s="752" t="s">
        <v>212</v>
      </c>
      <c r="N414" s="755" t="s">
        <v>212</v>
      </c>
      <c r="O414" s="752" t="s">
        <v>212</v>
      </c>
    </row>
    <row r="415" spans="1:15" x14ac:dyDescent="0.25">
      <c r="A415" s="702" t="s">
        <v>3551</v>
      </c>
      <c r="B415" s="717" t="s">
        <v>3537</v>
      </c>
      <c r="C415" s="704" t="s">
        <v>2995</v>
      </c>
      <c r="D415" s="755" t="s">
        <v>212</v>
      </c>
      <c r="E415" s="752" t="s">
        <v>212</v>
      </c>
      <c r="F415" s="755" t="s">
        <v>212</v>
      </c>
      <c r="G415" s="752" t="s">
        <v>212</v>
      </c>
      <c r="H415" s="755" t="s">
        <v>212</v>
      </c>
      <c r="I415" s="752" t="s">
        <v>212</v>
      </c>
      <c r="J415" s="755" t="s">
        <v>212</v>
      </c>
      <c r="K415" s="752" t="s">
        <v>212</v>
      </c>
      <c r="L415" s="755" t="s">
        <v>212</v>
      </c>
      <c r="M415" s="752" t="s">
        <v>212</v>
      </c>
      <c r="N415" s="755" t="s">
        <v>212</v>
      </c>
      <c r="O415" s="752" t="s">
        <v>212</v>
      </c>
    </row>
    <row r="416" spans="1:15" ht="31.5" x14ac:dyDescent="0.25">
      <c r="A416" s="702" t="s">
        <v>3552</v>
      </c>
      <c r="B416" s="717" t="s">
        <v>2997</v>
      </c>
      <c r="C416" s="704" t="s">
        <v>2995</v>
      </c>
      <c r="D416" s="755" t="s">
        <v>212</v>
      </c>
      <c r="E416" s="752" t="s">
        <v>212</v>
      </c>
      <c r="F416" s="755" t="s">
        <v>212</v>
      </c>
      <c r="G416" s="752" t="s">
        <v>212</v>
      </c>
      <c r="H416" s="755" t="s">
        <v>212</v>
      </c>
      <c r="I416" s="752" t="s">
        <v>212</v>
      </c>
      <c r="J416" s="755" t="s">
        <v>212</v>
      </c>
      <c r="K416" s="752" t="s">
        <v>212</v>
      </c>
      <c r="L416" s="755" t="s">
        <v>212</v>
      </c>
      <c r="M416" s="752" t="s">
        <v>212</v>
      </c>
      <c r="N416" s="755" t="s">
        <v>212</v>
      </c>
      <c r="O416" s="752" t="s">
        <v>212</v>
      </c>
    </row>
    <row r="417" spans="1:15" ht="31.5" x14ac:dyDescent="0.25">
      <c r="A417" s="702" t="s">
        <v>3553</v>
      </c>
      <c r="B417" s="717" t="s">
        <v>2998</v>
      </c>
      <c r="C417" s="704" t="s">
        <v>2995</v>
      </c>
      <c r="D417" s="755" t="s">
        <v>212</v>
      </c>
      <c r="E417" s="752" t="s">
        <v>212</v>
      </c>
      <c r="F417" s="755" t="s">
        <v>212</v>
      </c>
      <c r="G417" s="752" t="s">
        <v>212</v>
      </c>
      <c r="H417" s="755" t="s">
        <v>212</v>
      </c>
      <c r="I417" s="752" t="s">
        <v>212</v>
      </c>
      <c r="J417" s="755" t="s">
        <v>212</v>
      </c>
      <c r="K417" s="752" t="s">
        <v>212</v>
      </c>
      <c r="L417" s="755" t="s">
        <v>212</v>
      </c>
      <c r="M417" s="752" t="s">
        <v>212</v>
      </c>
      <c r="N417" s="755" t="s">
        <v>212</v>
      </c>
      <c r="O417" s="752" t="s">
        <v>212</v>
      </c>
    </row>
    <row r="418" spans="1:15" ht="31.5" x14ac:dyDescent="0.25">
      <c r="A418" s="702" t="s">
        <v>3554</v>
      </c>
      <c r="B418" s="717" t="s">
        <v>2999</v>
      </c>
      <c r="C418" s="704" t="s">
        <v>2995</v>
      </c>
      <c r="D418" s="755" t="s">
        <v>212</v>
      </c>
      <c r="E418" s="752" t="s">
        <v>212</v>
      </c>
      <c r="F418" s="755" t="s">
        <v>212</v>
      </c>
      <c r="G418" s="752" t="s">
        <v>212</v>
      </c>
      <c r="H418" s="755" t="s">
        <v>212</v>
      </c>
      <c r="I418" s="752" t="s">
        <v>212</v>
      </c>
      <c r="J418" s="755" t="s">
        <v>212</v>
      </c>
      <c r="K418" s="752" t="s">
        <v>212</v>
      </c>
      <c r="L418" s="755" t="s">
        <v>212</v>
      </c>
      <c r="M418" s="752" t="s">
        <v>212</v>
      </c>
      <c r="N418" s="755" t="s">
        <v>212</v>
      </c>
      <c r="O418" s="752" t="s">
        <v>212</v>
      </c>
    </row>
    <row r="419" spans="1:15" x14ac:dyDescent="0.25">
      <c r="A419" s="702" t="s">
        <v>3555</v>
      </c>
      <c r="B419" s="717" t="s">
        <v>3327</v>
      </c>
      <c r="C419" s="704" t="s">
        <v>2995</v>
      </c>
      <c r="D419" s="755" t="s">
        <v>212</v>
      </c>
      <c r="E419" s="752" t="s">
        <v>212</v>
      </c>
      <c r="F419" s="755" t="s">
        <v>212</v>
      </c>
      <c r="G419" s="752" t="s">
        <v>212</v>
      </c>
      <c r="H419" s="755" t="s">
        <v>212</v>
      </c>
      <c r="I419" s="752" t="s">
        <v>212</v>
      </c>
      <c r="J419" s="755" t="s">
        <v>212</v>
      </c>
      <c r="K419" s="752" t="s">
        <v>212</v>
      </c>
      <c r="L419" s="755" t="s">
        <v>212</v>
      </c>
      <c r="M419" s="752" t="s">
        <v>212</v>
      </c>
      <c r="N419" s="755" t="s">
        <v>212</v>
      </c>
      <c r="O419" s="752" t="s">
        <v>212</v>
      </c>
    </row>
    <row r="420" spans="1:15" x14ac:dyDescent="0.25">
      <c r="A420" s="702" t="s">
        <v>3556</v>
      </c>
      <c r="B420" s="717" t="s">
        <v>3330</v>
      </c>
      <c r="C420" s="704" t="s">
        <v>2995</v>
      </c>
      <c r="D420" s="755" t="s">
        <v>212</v>
      </c>
      <c r="E420" s="752" t="s">
        <v>212</v>
      </c>
      <c r="F420" s="755" t="s">
        <v>212</v>
      </c>
      <c r="G420" s="752" t="s">
        <v>212</v>
      </c>
      <c r="H420" s="755" t="s">
        <v>212</v>
      </c>
      <c r="I420" s="752" t="s">
        <v>212</v>
      </c>
      <c r="J420" s="755" t="s">
        <v>212</v>
      </c>
      <c r="K420" s="752" t="s">
        <v>212</v>
      </c>
      <c r="L420" s="755" t="s">
        <v>212</v>
      </c>
      <c r="M420" s="752" t="s">
        <v>212</v>
      </c>
      <c r="N420" s="755" t="s">
        <v>212</v>
      </c>
      <c r="O420" s="752" t="s">
        <v>212</v>
      </c>
    </row>
    <row r="421" spans="1:15" x14ac:dyDescent="0.25">
      <c r="A421" s="702" t="s">
        <v>3557</v>
      </c>
      <c r="B421" s="717" t="s">
        <v>3333</v>
      </c>
      <c r="C421" s="704" t="s">
        <v>2995</v>
      </c>
      <c r="D421" s="755" t="s">
        <v>212</v>
      </c>
      <c r="E421" s="752" t="s">
        <v>212</v>
      </c>
      <c r="F421" s="755" t="s">
        <v>212</v>
      </c>
      <c r="G421" s="752" t="s">
        <v>212</v>
      </c>
      <c r="H421" s="755" t="s">
        <v>212</v>
      </c>
      <c r="I421" s="752" t="s">
        <v>212</v>
      </c>
      <c r="J421" s="755" t="s">
        <v>212</v>
      </c>
      <c r="K421" s="752" t="s">
        <v>212</v>
      </c>
      <c r="L421" s="755" t="s">
        <v>212</v>
      </c>
      <c r="M421" s="752" t="s">
        <v>212</v>
      </c>
      <c r="N421" s="755" t="s">
        <v>212</v>
      </c>
      <c r="O421" s="752" t="s">
        <v>212</v>
      </c>
    </row>
    <row r="422" spans="1:15" x14ac:dyDescent="0.25">
      <c r="A422" s="702" t="s">
        <v>3558</v>
      </c>
      <c r="B422" s="717" t="s">
        <v>3339</v>
      </c>
      <c r="C422" s="704" t="s">
        <v>2995</v>
      </c>
      <c r="D422" s="755" t="s">
        <v>212</v>
      </c>
      <c r="E422" s="752" t="s">
        <v>212</v>
      </c>
      <c r="F422" s="755" t="s">
        <v>212</v>
      </c>
      <c r="G422" s="752" t="s">
        <v>212</v>
      </c>
      <c r="H422" s="755" t="s">
        <v>212</v>
      </c>
      <c r="I422" s="752" t="s">
        <v>212</v>
      </c>
      <c r="J422" s="755" t="s">
        <v>212</v>
      </c>
      <c r="K422" s="752" t="s">
        <v>212</v>
      </c>
      <c r="L422" s="755" t="s">
        <v>212</v>
      </c>
      <c r="M422" s="752" t="s">
        <v>212</v>
      </c>
      <c r="N422" s="755" t="s">
        <v>212</v>
      </c>
      <c r="O422" s="752" t="s">
        <v>212</v>
      </c>
    </row>
    <row r="423" spans="1:15" x14ac:dyDescent="0.25">
      <c r="A423" s="702" t="s">
        <v>3559</v>
      </c>
      <c r="B423" s="717" t="s">
        <v>3342</v>
      </c>
      <c r="C423" s="704" t="s">
        <v>2995</v>
      </c>
      <c r="D423" s="755" t="s">
        <v>212</v>
      </c>
      <c r="E423" s="752" t="s">
        <v>212</v>
      </c>
      <c r="F423" s="755" t="s">
        <v>212</v>
      </c>
      <c r="G423" s="752" t="s">
        <v>212</v>
      </c>
      <c r="H423" s="755" t="s">
        <v>212</v>
      </c>
      <c r="I423" s="752" t="s">
        <v>212</v>
      </c>
      <c r="J423" s="755" t="s">
        <v>212</v>
      </c>
      <c r="K423" s="752" t="s">
        <v>212</v>
      </c>
      <c r="L423" s="755" t="s">
        <v>212</v>
      </c>
      <c r="M423" s="752" t="s">
        <v>212</v>
      </c>
      <c r="N423" s="755" t="s">
        <v>212</v>
      </c>
      <c r="O423" s="752" t="s">
        <v>212</v>
      </c>
    </row>
    <row r="424" spans="1:15" ht="31.5" x14ac:dyDescent="0.25">
      <c r="A424" s="702" t="s">
        <v>3560</v>
      </c>
      <c r="B424" s="717" t="s">
        <v>3345</v>
      </c>
      <c r="C424" s="704" t="s">
        <v>2995</v>
      </c>
      <c r="D424" s="755" t="s">
        <v>212</v>
      </c>
      <c r="E424" s="752" t="s">
        <v>212</v>
      </c>
      <c r="F424" s="755" t="s">
        <v>212</v>
      </c>
      <c r="G424" s="752" t="s">
        <v>212</v>
      </c>
      <c r="H424" s="755" t="s">
        <v>212</v>
      </c>
      <c r="I424" s="752" t="s">
        <v>212</v>
      </c>
      <c r="J424" s="755" t="s">
        <v>212</v>
      </c>
      <c r="K424" s="752" t="s">
        <v>212</v>
      </c>
      <c r="L424" s="755" t="s">
        <v>212</v>
      </c>
      <c r="M424" s="752" t="s">
        <v>212</v>
      </c>
      <c r="N424" s="755" t="s">
        <v>212</v>
      </c>
      <c r="O424" s="752" t="s">
        <v>212</v>
      </c>
    </row>
    <row r="425" spans="1:15" x14ac:dyDescent="0.25">
      <c r="A425" s="702" t="s">
        <v>3561</v>
      </c>
      <c r="B425" s="756" t="s">
        <v>3011</v>
      </c>
      <c r="C425" s="704" t="s">
        <v>2995</v>
      </c>
      <c r="D425" s="755" t="s">
        <v>212</v>
      </c>
      <c r="E425" s="752" t="s">
        <v>212</v>
      </c>
      <c r="F425" s="755" t="s">
        <v>212</v>
      </c>
      <c r="G425" s="752" t="s">
        <v>212</v>
      </c>
      <c r="H425" s="755" t="s">
        <v>212</v>
      </c>
      <c r="I425" s="752" t="s">
        <v>212</v>
      </c>
      <c r="J425" s="755" t="s">
        <v>212</v>
      </c>
      <c r="K425" s="752" t="s">
        <v>212</v>
      </c>
      <c r="L425" s="755" t="s">
        <v>212</v>
      </c>
      <c r="M425" s="752" t="s">
        <v>212</v>
      </c>
      <c r="N425" s="755" t="s">
        <v>212</v>
      </c>
      <c r="O425" s="752" t="s">
        <v>212</v>
      </c>
    </row>
    <row r="426" spans="1:15" x14ac:dyDescent="0.25">
      <c r="A426" s="702" t="s">
        <v>3562</v>
      </c>
      <c r="B426" s="756" t="s">
        <v>3013</v>
      </c>
      <c r="C426" s="704" t="s">
        <v>2995</v>
      </c>
      <c r="D426" s="755" t="s">
        <v>212</v>
      </c>
      <c r="E426" s="752" t="s">
        <v>212</v>
      </c>
      <c r="F426" s="755" t="s">
        <v>212</v>
      </c>
      <c r="G426" s="752" t="s">
        <v>212</v>
      </c>
      <c r="H426" s="755" t="s">
        <v>212</v>
      </c>
      <c r="I426" s="752" t="s">
        <v>212</v>
      </c>
      <c r="J426" s="755" t="s">
        <v>212</v>
      </c>
      <c r="K426" s="752" t="s">
        <v>212</v>
      </c>
      <c r="L426" s="755" t="s">
        <v>212</v>
      </c>
      <c r="M426" s="752" t="s">
        <v>212</v>
      </c>
      <c r="N426" s="755" t="s">
        <v>212</v>
      </c>
      <c r="O426" s="752" t="s">
        <v>212</v>
      </c>
    </row>
    <row r="427" spans="1:15" x14ac:dyDescent="0.25">
      <c r="A427" s="702" t="s">
        <v>153</v>
      </c>
      <c r="B427" s="716" t="s">
        <v>3563</v>
      </c>
      <c r="C427" s="704" t="s">
        <v>2995</v>
      </c>
      <c r="D427" s="755">
        <v>61.82660623602996</v>
      </c>
      <c r="E427" s="752">
        <f>56018.0052825649/1000</f>
        <v>56.018005282564907</v>
      </c>
      <c r="F427" s="755">
        <v>64.299670511671536</v>
      </c>
      <c r="G427" s="752" t="s">
        <v>212</v>
      </c>
      <c r="H427" s="755">
        <v>66.871657559598418</v>
      </c>
      <c r="I427" s="752" t="s">
        <v>212</v>
      </c>
      <c r="J427" s="755">
        <v>69.546522602993093</v>
      </c>
      <c r="K427" s="752" t="s">
        <v>212</v>
      </c>
      <c r="L427" s="755">
        <v>72.328383604741973</v>
      </c>
      <c r="M427" s="752" t="s">
        <v>212</v>
      </c>
      <c r="N427" s="754">
        <f>D427+F427+H427+J427+L427</f>
        <v>334.87284051503497</v>
      </c>
      <c r="O427" s="752">
        <f>56018.0052825649/1000</f>
        <v>56.018005282564907</v>
      </c>
    </row>
    <row r="428" spans="1:15" x14ac:dyDescent="0.25">
      <c r="A428" s="702" t="s">
        <v>2786</v>
      </c>
      <c r="B428" s="716" t="s">
        <v>3564</v>
      </c>
      <c r="C428" s="704" t="s">
        <v>2995</v>
      </c>
      <c r="D428" s="755" t="s">
        <v>212</v>
      </c>
      <c r="E428" s="752" t="s">
        <v>212</v>
      </c>
      <c r="F428" s="755" t="s">
        <v>212</v>
      </c>
      <c r="G428" s="752" t="s">
        <v>212</v>
      </c>
      <c r="H428" s="754" t="s">
        <v>212</v>
      </c>
      <c r="I428" s="752" t="s">
        <v>212</v>
      </c>
      <c r="J428" s="754" t="s">
        <v>212</v>
      </c>
      <c r="K428" s="752" t="s">
        <v>212</v>
      </c>
      <c r="L428" s="754" t="s">
        <v>212</v>
      </c>
      <c r="M428" s="752" t="s">
        <v>212</v>
      </c>
      <c r="N428" s="754" t="s">
        <v>212</v>
      </c>
      <c r="O428" s="752" t="s">
        <v>212</v>
      </c>
    </row>
    <row r="429" spans="1:15" x14ac:dyDescent="0.25">
      <c r="A429" s="702" t="s">
        <v>2883</v>
      </c>
      <c r="B429" s="715" t="s">
        <v>3565</v>
      </c>
      <c r="C429" s="704" t="s">
        <v>2995</v>
      </c>
      <c r="D429" s="755" t="s">
        <v>212</v>
      </c>
      <c r="E429" s="752" t="s">
        <v>212</v>
      </c>
      <c r="F429" s="755" t="s">
        <v>212</v>
      </c>
      <c r="G429" s="752" t="s">
        <v>212</v>
      </c>
      <c r="H429" s="754" t="s">
        <v>212</v>
      </c>
      <c r="I429" s="752" t="s">
        <v>212</v>
      </c>
      <c r="J429" s="754" t="s">
        <v>212</v>
      </c>
      <c r="K429" s="752" t="s">
        <v>212</v>
      </c>
      <c r="L429" s="754" t="s">
        <v>212</v>
      </c>
      <c r="M429" s="752" t="s">
        <v>212</v>
      </c>
      <c r="N429" s="754" t="s">
        <v>212</v>
      </c>
      <c r="O429" s="752" t="s">
        <v>212</v>
      </c>
    </row>
    <row r="430" spans="1:15" x14ac:dyDescent="0.25">
      <c r="A430" s="702" t="s">
        <v>3566</v>
      </c>
      <c r="B430" s="715" t="s">
        <v>3567</v>
      </c>
      <c r="C430" s="704" t="s">
        <v>2995</v>
      </c>
      <c r="D430" s="755" t="s">
        <v>212</v>
      </c>
      <c r="E430" s="752" t="s">
        <v>212</v>
      </c>
      <c r="F430" s="755" t="s">
        <v>212</v>
      </c>
      <c r="G430" s="752" t="s">
        <v>212</v>
      </c>
      <c r="H430" s="754" t="s">
        <v>212</v>
      </c>
      <c r="I430" s="752" t="s">
        <v>212</v>
      </c>
      <c r="J430" s="754" t="s">
        <v>212</v>
      </c>
      <c r="K430" s="752" t="s">
        <v>212</v>
      </c>
      <c r="L430" s="754" t="s">
        <v>212</v>
      </c>
      <c r="M430" s="752" t="s">
        <v>212</v>
      </c>
      <c r="N430" s="754" t="s">
        <v>212</v>
      </c>
      <c r="O430" s="752" t="s">
        <v>212</v>
      </c>
    </row>
    <row r="431" spans="1:15" x14ac:dyDescent="0.25">
      <c r="A431" s="702" t="s">
        <v>2780</v>
      </c>
      <c r="B431" s="751" t="s">
        <v>3568</v>
      </c>
      <c r="C431" s="704" t="s">
        <v>2995</v>
      </c>
      <c r="D431" s="755" t="s">
        <v>212</v>
      </c>
      <c r="E431" s="752" t="s">
        <v>212</v>
      </c>
      <c r="F431" s="755" t="s">
        <v>212</v>
      </c>
      <c r="G431" s="752" t="s">
        <v>212</v>
      </c>
      <c r="H431" s="754" t="s">
        <v>212</v>
      </c>
      <c r="I431" s="752" t="s">
        <v>212</v>
      </c>
      <c r="J431" s="754" t="s">
        <v>212</v>
      </c>
      <c r="K431" s="752" t="s">
        <v>212</v>
      </c>
      <c r="L431" s="754" t="s">
        <v>212</v>
      </c>
      <c r="M431" s="752" t="s">
        <v>212</v>
      </c>
      <c r="N431" s="754" t="s">
        <v>212</v>
      </c>
      <c r="O431" s="752" t="s">
        <v>212</v>
      </c>
    </row>
    <row r="432" spans="1:15" x14ac:dyDescent="0.25">
      <c r="A432" s="702" t="s">
        <v>162</v>
      </c>
      <c r="B432" s="716" t="s">
        <v>2888</v>
      </c>
      <c r="C432" s="704" t="s">
        <v>2995</v>
      </c>
      <c r="D432" s="755" t="s">
        <v>212</v>
      </c>
      <c r="E432" s="752" t="s">
        <v>212</v>
      </c>
      <c r="F432" s="755" t="s">
        <v>212</v>
      </c>
      <c r="G432" s="752" t="s">
        <v>212</v>
      </c>
      <c r="H432" s="754" t="s">
        <v>212</v>
      </c>
      <c r="I432" s="752" t="s">
        <v>212</v>
      </c>
      <c r="J432" s="754" t="s">
        <v>212</v>
      </c>
      <c r="K432" s="752" t="s">
        <v>212</v>
      </c>
      <c r="L432" s="754" t="s">
        <v>212</v>
      </c>
      <c r="M432" s="752" t="s">
        <v>212</v>
      </c>
      <c r="N432" s="754" t="s">
        <v>212</v>
      </c>
      <c r="O432" s="752" t="s">
        <v>212</v>
      </c>
    </row>
    <row r="433" spans="1:15" x14ac:dyDescent="0.25">
      <c r="A433" s="702" t="s">
        <v>1211</v>
      </c>
      <c r="B433" s="716" t="s">
        <v>2889</v>
      </c>
      <c r="C433" s="704" t="s">
        <v>2995</v>
      </c>
      <c r="D433" s="755" t="s">
        <v>212</v>
      </c>
      <c r="E433" s="752" t="s">
        <v>212</v>
      </c>
      <c r="F433" s="755" t="s">
        <v>212</v>
      </c>
      <c r="G433" s="752" t="s">
        <v>212</v>
      </c>
      <c r="H433" s="754" t="s">
        <v>212</v>
      </c>
      <c r="I433" s="752" t="s">
        <v>212</v>
      </c>
      <c r="J433" s="754" t="s">
        <v>212</v>
      </c>
      <c r="K433" s="752" t="s">
        <v>212</v>
      </c>
      <c r="L433" s="754" t="s">
        <v>212</v>
      </c>
      <c r="M433" s="752" t="s">
        <v>212</v>
      </c>
      <c r="N433" s="754" t="s">
        <v>212</v>
      </c>
      <c r="O433" s="752" t="s">
        <v>212</v>
      </c>
    </row>
    <row r="434" spans="1:15" x14ac:dyDescent="0.25">
      <c r="A434" s="702" t="s">
        <v>1214</v>
      </c>
      <c r="B434" s="716" t="s">
        <v>3569</v>
      </c>
      <c r="C434" s="704" t="s">
        <v>2995</v>
      </c>
      <c r="D434" s="755" t="s">
        <v>212</v>
      </c>
      <c r="E434" s="752" t="s">
        <v>212</v>
      </c>
      <c r="F434" s="755" t="s">
        <v>212</v>
      </c>
      <c r="G434" s="752" t="s">
        <v>212</v>
      </c>
      <c r="H434" s="754" t="s">
        <v>212</v>
      </c>
      <c r="I434" s="752" t="s">
        <v>212</v>
      </c>
      <c r="J434" s="754" t="s">
        <v>212</v>
      </c>
      <c r="K434" s="752" t="s">
        <v>212</v>
      </c>
      <c r="L434" s="754" t="s">
        <v>212</v>
      </c>
      <c r="M434" s="752" t="s">
        <v>212</v>
      </c>
      <c r="N434" s="754" t="s">
        <v>212</v>
      </c>
      <c r="O434" s="752" t="s">
        <v>212</v>
      </c>
    </row>
    <row r="435" spans="1:15" x14ac:dyDescent="0.25">
      <c r="A435" s="702" t="s">
        <v>1217</v>
      </c>
      <c r="B435" s="716" t="s">
        <v>2890</v>
      </c>
      <c r="C435" s="704" t="s">
        <v>2995</v>
      </c>
      <c r="D435" s="755" t="s">
        <v>212</v>
      </c>
      <c r="E435" s="752" t="s">
        <v>212</v>
      </c>
      <c r="F435" s="755" t="s">
        <v>212</v>
      </c>
      <c r="G435" s="752" t="s">
        <v>212</v>
      </c>
      <c r="H435" s="754" t="s">
        <v>212</v>
      </c>
      <c r="I435" s="752" t="s">
        <v>212</v>
      </c>
      <c r="J435" s="754" t="s">
        <v>212</v>
      </c>
      <c r="K435" s="752" t="s">
        <v>212</v>
      </c>
      <c r="L435" s="754" t="s">
        <v>212</v>
      </c>
      <c r="M435" s="752" t="s">
        <v>212</v>
      </c>
      <c r="N435" s="754" t="s">
        <v>212</v>
      </c>
      <c r="O435" s="752" t="s">
        <v>212</v>
      </c>
    </row>
    <row r="436" spans="1:15" x14ac:dyDescent="0.25">
      <c r="A436" s="702" t="s">
        <v>403</v>
      </c>
      <c r="B436" s="716" t="s">
        <v>2891</v>
      </c>
      <c r="C436" s="704" t="s">
        <v>2995</v>
      </c>
      <c r="D436" s="755" t="s">
        <v>212</v>
      </c>
      <c r="E436" s="752" t="s">
        <v>212</v>
      </c>
      <c r="F436" s="755" t="s">
        <v>212</v>
      </c>
      <c r="G436" s="752" t="s">
        <v>212</v>
      </c>
      <c r="H436" s="754" t="s">
        <v>212</v>
      </c>
      <c r="I436" s="752" t="s">
        <v>212</v>
      </c>
      <c r="J436" s="754" t="s">
        <v>212</v>
      </c>
      <c r="K436" s="752" t="s">
        <v>212</v>
      </c>
      <c r="L436" s="754" t="s">
        <v>212</v>
      </c>
      <c r="M436" s="752" t="s">
        <v>212</v>
      </c>
      <c r="N436" s="754" t="s">
        <v>212</v>
      </c>
      <c r="O436" s="752" t="s">
        <v>212</v>
      </c>
    </row>
    <row r="437" spans="1:15" x14ac:dyDescent="0.25">
      <c r="A437" s="702" t="s">
        <v>405</v>
      </c>
      <c r="B437" s="715" t="s">
        <v>3231</v>
      </c>
      <c r="C437" s="704" t="s">
        <v>2995</v>
      </c>
      <c r="D437" s="755" t="s">
        <v>212</v>
      </c>
      <c r="E437" s="752" t="s">
        <v>212</v>
      </c>
      <c r="F437" s="755" t="s">
        <v>212</v>
      </c>
      <c r="G437" s="752" t="s">
        <v>212</v>
      </c>
      <c r="H437" s="754" t="s">
        <v>212</v>
      </c>
      <c r="I437" s="752" t="s">
        <v>212</v>
      </c>
      <c r="J437" s="754" t="s">
        <v>212</v>
      </c>
      <c r="K437" s="752" t="s">
        <v>212</v>
      </c>
      <c r="L437" s="754" t="s">
        <v>212</v>
      </c>
      <c r="M437" s="752" t="s">
        <v>212</v>
      </c>
      <c r="N437" s="754" t="s">
        <v>212</v>
      </c>
      <c r="O437" s="752" t="s">
        <v>212</v>
      </c>
    </row>
    <row r="438" spans="1:15" ht="31.5" x14ac:dyDescent="0.25">
      <c r="A438" s="702" t="s">
        <v>3570</v>
      </c>
      <c r="B438" s="717" t="s">
        <v>3571</v>
      </c>
      <c r="C438" s="704" t="s">
        <v>2995</v>
      </c>
      <c r="D438" s="755" t="s">
        <v>212</v>
      </c>
      <c r="E438" s="752" t="s">
        <v>212</v>
      </c>
      <c r="F438" s="755" t="s">
        <v>212</v>
      </c>
      <c r="G438" s="752" t="s">
        <v>212</v>
      </c>
      <c r="H438" s="754" t="s">
        <v>212</v>
      </c>
      <c r="I438" s="752" t="s">
        <v>212</v>
      </c>
      <c r="J438" s="754" t="s">
        <v>212</v>
      </c>
      <c r="K438" s="752" t="s">
        <v>212</v>
      </c>
      <c r="L438" s="754" t="s">
        <v>212</v>
      </c>
      <c r="M438" s="752" t="s">
        <v>212</v>
      </c>
      <c r="N438" s="754" t="s">
        <v>212</v>
      </c>
      <c r="O438" s="752" t="s">
        <v>212</v>
      </c>
    </row>
    <row r="439" spans="1:15" x14ac:dyDescent="0.25">
      <c r="A439" s="702" t="s">
        <v>407</v>
      </c>
      <c r="B439" s="715" t="s">
        <v>3233</v>
      </c>
      <c r="C439" s="704" t="s">
        <v>2995</v>
      </c>
      <c r="D439" s="755" t="s">
        <v>212</v>
      </c>
      <c r="E439" s="752" t="s">
        <v>212</v>
      </c>
      <c r="F439" s="755" t="s">
        <v>212</v>
      </c>
      <c r="G439" s="752" t="s">
        <v>212</v>
      </c>
      <c r="H439" s="754" t="s">
        <v>212</v>
      </c>
      <c r="I439" s="752" t="s">
        <v>212</v>
      </c>
      <c r="J439" s="754" t="s">
        <v>212</v>
      </c>
      <c r="K439" s="752" t="s">
        <v>212</v>
      </c>
      <c r="L439" s="754" t="s">
        <v>212</v>
      </c>
      <c r="M439" s="752" t="s">
        <v>212</v>
      </c>
      <c r="N439" s="754" t="s">
        <v>212</v>
      </c>
      <c r="O439" s="752" t="s">
        <v>212</v>
      </c>
    </row>
    <row r="440" spans="1:15" ht="31.5" x14ac:dyDescent="0.25">
      <c r="A440" s="702" t="s">
        <v>3572</v>
      </c>
      <c r="B440" s="717" t="s">
        <v>3573</v>
      </c>
      <c r="C440" s="704" t="s">
        <v>2995</v>
      </c>
      <c r="D440" s="755" t="s">
        <v>212</v>
      </c>
      <c r="E440" s="752" t="s">
        <v>212</v>
      </c>
      <c r="F440" s="755" t="s">
        <v>212</v>
      </c>
      <c r="G440" s="752" t="s">
        <v>212</v>
      </c>
      <c r="H440" s="754" t="s">
        <v>212</v>
      </c>
      <c r="I440" s="752" t="s">
        <v>212</v>
      </c>
      <c r="J440" s="754" t="s">
        <v>212</v>
      </c>
      <c r="K440" s="752" t="s">
        <v>212</v>
      </c>
      <c r="L440" s="754" t="s">
        <v>212</v>
      </c>
      <c r="M440" s="752" t="s">
        <v>212</v>
      </c>
      <c r="N440" s="754" t="s">
        <v>212</v>
      </c>
      <c r="O440" s="752" t="s">
        <v>212</v>
      </c>
    </row>
    <row r="441" spans="1:15" x14ac:dyDescent="0.25">
      <c r="A441" s="702" t="s">
        <v>2893</v>
      </c>
      <c r="B441" s="716" t="s">
        <v>2894</v>
      </c>
      <c r="C441" s="704" t="s">
        <v>2995</v>
      </c>
      <c r="D441" s="755" t="s">
        <v>212</v>
      </c>
      <c r="E441" s="752" t="s">
        <v>212</v>
      </c>
      <c r="F441" s="755" t="s">
        <v>212</v>
      </c>
      <c r="G441" s="752" t="s">
        <v>212</v>
      </c>
      <c r="H441" s="754" t="s">
        <v>212</v>
      </c>
      <c r="I441" s="752" t="s">
        <v>212</v>
      </c>
      <c r="J441" s="754" t="s">
        <v>212</v>
      </c>
      <c r="K441" s="752" t="s">
        <v>212</v>
      </c>
      <c r="L441" s="754" t="s">
        <v>212</v>
      </c>
      <c r="M441" s="752" t="s">
        <v>212</v>
      </c>
      <c r="N441" s="757" t="s">
        <v>212</v>
      </c>
      <c r="O441" s="752" t="s">
        <v>212</v>
      </c>
    </row>
    <row r="442" spans="1:15" ht="16.5" thickBot="1" x14ac:dyDescent="0.3">
      <c r="A442" s="709" t="s">
        <v>2895</v>
      </c>
      <c r="B442" s="758" t="s">
        <v>2896</v>
      </c>
      <c r="C442" s="711" t="s">
        <v>2995</v>
      </c>
      <c r="D442" s="759" t="s">
        <v>212</v>
      </c>
      <c r="E442" s="760" t="s">
        <v>212</v>
      </c>
      <c r="F442" s="759" t="s">
        <v>212</v>
      </c>
      <c r="G442" s="760" t="s">
        <v>212</v>
      </c>
      <c r="H442" s="757" t="s">
        <v>212</v>
      </c>
      <c r="I442" s="760" t="s">
        <v>212</v>
      </c>
      <c r="J442" s="757" t="s">
        <v>212</v>
      </c>
      <c r="K442" s="760" t="s">
        <v>212</v>
      </c>
      <c r="L442" s="757" t="s">
        <v>212</v>
      </c>
      <c r="M442" s="760" t="s">
        <v>212</v>
      </c>
      <c r="N442" s="757" t="s">
        <v>212</v>
      </c>
      <c r="O442" s="760" t="s">
        <v>212</v>
      </c>
    </row>
    <row r="443" spans="1:15" x14ac:dyDescent="0.25">
      <c r="A443" s="697" t="s">
        <v>2798</v>
      </c>
      <c r="B443" s="698" t="s">
        <v>3057</v>
      </c>
      <c r="C443" s="761" t="s">
        <v>212</v>
      </c>
      <c r="D443" s="762" t="s">
        <v>212</v>
      </c>
      <c r="E443" s="763" t="s">
        <v>212</v>
      </c>
      <c r="F443" s="762" t="s">
        <v>212</v>
      </c>
      <c r="G443" s="763" t="s">
        <v>212</v>
      </c>
      <c r="H443" s="764" t="s">
        <v>212</v>
      </c>
      <c r="I443" s="763" t="s">
        <v>212</v>
      </c>
      <c r="J443" s="764" t="s">
        <v>212</v>
      </c>
      <c r="K443" s="763" t="s">
        <v>212</v>
      </c>
      <c r="L443" s="764" t="s">
        <v>212</v>
      </c>
      <c r="M443" s="763" t="s">
        <v>212</v>
      </c>
      <c r="N443" s="764" t="s">
        <v>212</v>
      </c>
      <c r="O443" s="763" t="s">
        <v>212</v>
      </c>
    </row>
    <row r="444" spans="1:15" ht="47.25" x14ac:dyDescent="0.25">
      <c r="A444" s="765" t="s">
        <v>3574</v>
      </c>
      <c r="B444" s="716" t="s">
        <v>3575</v>
      </c>
      <c r="C444" s="711" t="s">
        <v>2995</v>
      </c>
      <c r="D444" s="755" t="s">
        <v>212</v>
      </c>
      <c r="E444" s="752" t="s">
        <v>212</v>
      </c>
      <c r="F444" s="755" t="s">
        <v>212</v>
      </c>
      <c r="G444" s="752" t="s">
        <v>212</v>
      </c>
      <c r="H444" s="754" t="s">
        <v>212</v>
      </c>
      <c r="I444" s="752" t="s">
        <v>212</v>
      </c>
      <c r="J444" s="754" t="s">
        <v>212</v>
      </c>
      <c r="K444" s="752" t="s">
        <v>212</v>
      </c>
      <c r="L444" s="754" t="s">
        <v>212</v>
      </c>
      <c r="M444" s="752" t="s">
        <v>212</v>
      </c>
      <c r="N444" s="754" t="s">
        <v>212</v>
      </c>
      <c r="O444" s="752" t="s">
        <v>212</v>
      </c>
    </row>
    <row r="445" spans="1:15" x14ac:dyDescent="0.25">
      <c r="A445" s="765" t="s">
        <v>2162</v>
      </c>
      <c r="B445" s="715" t="s">
        <v>3576</v>
      </c>
      <c r="C445" s="711" t="s">
        <v>2995</v>
      </c>
      <c r="D445" s="755" t="s">
        <v>212</v>
      </c>
      <c r="E445" s="752" t="s">
        <v>212</v>
      </c>
      <c r="F445" s="755" t="s">
        <v>212</v>
      </c>
      <c r="G445" s="752" t="s">
        <v>212</v>
      </c>
      <c r="H445" s="754" t="s">
        <v>212</v>
      </c>
      <c r="I445" s="752" t="s">
        <v>212</v>
      </c>
      <c r="J445" s="754" t="s">
        <v>212</v>
      </c>
      <c r="K445" s="752" t="s">
        <v>212</v>
      </c>
      <c r="L445" s="754" t="s">
        <v>212</v>
      </c>
      <c r="M445" s="752" t="s">
        <v>212</v>
      </c>
      <c r="N445" s="754" t="s">
        <v>212</v>
      </c>
      <c r="O445" s="752" t="s">
        <v>212</v>
      </c>
    </row>
    <row r="446" spans="1:15" ht="31.5" x14ac:dyDescent="0.25">
      <c r="A446" s="765" t="s">
        <v>2163</v>
      </c>
      <c r="B446" s="715" t="s">
        <v>3577</v>
      </c>
      <c r="C446" s="711" t="s">
        <v>2995</v>
      </c>
      <c r="D446" s="755" t="s">
        <v>212</v>
      </c>
      <c r="E446" s="752" t="s">
        <v>212</v>
      </c>
      <c r="F446" s="755" t="s">
        <v>212</v>
      </c>
      <c r="G446" s="752" t="s">
        <v>212</v>
      </c>
      <c r="H446" s="754" t="s">
        <v>212</v>
      </c>
      <c r="I446" s="752" t="s">
        <v>212</v>
      </c>
      <c r="J446" s="754" t="s">
        <v>212</v>
      </c>
      <c r="K446" s="752" t="s">
        <v>212</v>
      </c>
      <c r="L446" s="754" t="s">
        <v>212</v>
      </c>
      <c r="M446" s="752" t="s">
        <v>212</v>
      </c>
      <c r="N446" s="754" t="s">
        <v>212</v>
      </c>
      <c r="O446" s="752" t="s">
        <v>212</v>
      </c>
    </row>
    <row r="447" spans="1:15" x14ac:dyDescent="0.25">
      <c r="A447" s="765" t="s">
        <v>1929</v>
      </c>
      <c r="B447" s="715" t="s">
        <v>3578</v>
      </c>
      <c r="C447" s="711" t="s">
        <v>2995</v>
      </c>
      <c r="D447" s="755" t="s">
        <v>212</v>
      </c>
      <c r="E447" s="752" t="s">
        <v>212</v>
      </c>
      <c r="F447" s="755" t="s">
        <v>212</v>
      </c>
      <c r="G447" s="752" t="s">
        <v>212</v>
      </c>
      <c r="H447" s="754" t="s">
        <v>212</v>
      </c>
      <c r="I447" s="752" t="s">
        <v>212</v>
      </c>
      <c r="J447" s="754" t="s">
        <v>212</v>
      </c>
      <c r="K447" s="752" t="s">
        <v>212</v>
      </c>
      <c r="L447" s="754" t="s">
        <v>212</v>
      </c>
      <c r="M447" s="752" t="s">
        <v>212</v>
      </c>
      <c r="N447" s="754" t="s">
        <v>212</v>
      </c>
      <c r="O447" s="752" t="s">
        <v>212</v>
      </c>
    </row>
    <row r="448" spans="1:15" ht="33" customHeight="1" x14ac:dyDescent="0.25">
      <c r="A448" s="765" t="s">
        <v>461</v>
      </c>
      <c r="B448" s="716" t="s">
        <v>3579</v>
      </c>
      <c r="C448" s="766" t="s">
        <v>212</v>
      </c>
      <c r="D448" s="755" t="s">
        <v>212</v>
      </c>
      <c r="E448" s="752" t="s">
        <v>212</v>
      </c>
      <c r="F448" s="755" t="s">
        <v>212</v>
      </c>
      <c r="G448" s="752" t="s">
        <v>212</v>
      </c>
      <c r="H448" s="754" t="s">
        <v>212</v>
      </c>
      <c r="I448" s="752" t="s">
        <v>212</v>
      </c>
      <c r="J448" s="754" t="s">
        <v>212</v>
      </c>
      <c r="K448" s="752" t="s">
        <v>212</v>
      </c>
      <c r="L448" s="754" t="s">
        <v>212</v>
      </c>
      <c r="M448" s="752" t="s">
        <v>212</v>
      </c>
      <c r="N448" s="754" t="s">
        <v>212</v>
      </c>
      <c r="O448" s="752" t="s">
        <v>212</v>
      </c>
    </row>
    <row r="449" spans="1:15" x14ac:dyDescent="0.25">
      <c r="A449" s="765" t="s">
        <v>1260</v>
      </c>
      <c r="B449" s="715" t="s">
        <v>3580</v>
      </c>
      <c r="C449" s="711" t="s">
        <v>2995</v>
      </c>
      <c r="D449" s="755" t="s">
        <v>212</v>
      </c>
      <c r="E449" s="752" t="s">
        <v>212</v>
      </c>
      <c r="F449" s="755" t="s">
        <v>212</v>
      </c>
      <c r="G449" s="752" t="s">
        <v>212</v>
      </c>
      <c r="H449" s="754" t="s">
        <v>212</v>
      </c>
      <c r="I449" s="752" t="s">
        <v>212</v>
      </c>
      <c r="J449" s="754" t="s">
        <v>212</v>
      </c>
      <c r="K449" s="752" t="s">
        <v>212</v>
      </c>
      <c r="L449" s="754" t="s">
        <v>212</v>
      </c>
      <c r="M449" s="752" t="s">
        <v>212</v>
      </c>
      <c r="N449" s="754" t="s">
        <v>212</v>
      </c>
      <c r="O449" s="752" t="s">
        <v>212</v>
      </c>
    </row>
    <row r="450" spans="1:15" x14ac:dyDescent="0.25">
      <c r="A450" s="765" t="s">
        <v>1261</v>
      </c>
      <c r="B450" s="715" t="s">
        <v>3581</v>
      </c>
      <c r="C450" s="711" t="s">
        <v>2995</v>
      </c>
      <c r="D450" s="755" t="s">
        <v>212</v>
      </c>
      <c r="E450" s="752" t="s">
        <v>212</v>
      </c>
      <c r="F450" s="755" t="s">
        <v>212</v>
      </c>
      <c r="G450" s="752" t="s">
        <v>212</v>
      </c>
      <c r="H450" s="754" t="s">
        <v>212</v>
      </c>
      <c r="I450" s="752" t="s">
        <v>212</v>
      </c>
      <c r="J450" s="754" t="s">
        <v>212</v>
      </c>
      <c r="K450" s="752" t="s">
        <v>212</v>
      </c>
      <c r="L450" s="754" t="s">
        <v>212</v>
      </c>
      <c r="M450" s="752" t="s">
        <v>212</v>
      </c>
      <c r="N450" s="754" t="s">
        <v>212</v>
      </c>
      <c r="O450" s="752" t="s">
        <v>212</v>
      </c>
    </row>
    <row r="451" spans="1:15" ht="16.5" thickBot="1" x14ac:dyDescent="0.3">
      <c r="A451" s="767" t="s">
        <v>1262</v>
      </c>
      <c r="B451" s="768" t="s">
        <v>3582</v>
      </c>
      <c r="C451" s="725" t="s">
        <v>2995</v>
      </c>
      <c r="D451" s="769" t="s">
        <v>212</v>
      </c>
      <c r="E451" s="770" t="s">
        <v>212</v>
      </c>
      <c r="F451" s="769" t="s">
        <v>212</v>
      </c>
      <c r="G451" s="770" t="s">
        <v>212</v>
      </c>
      <c r="H451" s="771" t="s">
        <v>212</v>
      </c>
      <c r="I451" s="770" t="s">
        <v>212</v>
      </c>
      <c r="J451" s="771" t="s">
        <v>212</v>
      </c>
      <c r="K451" s="770" t="s">
        <v>212</v>
      </c>
      <c r="L451" s="771" t="s">
        <v>212</v>
      </c>
      <c r="M451" s="770" t="s">
        <v>212</v>
      </c>
      <c r="N451" s="771" t="s">
        <v>212</v>
      </c>
      <c r="O451" s="770" t="s">
        <v>212</v>
      </c>
    </row>
    <row r="452" spans="1:15" x14ac:dyDescent="0.25">
      <c r="A452" s="666"/>
      <c r="B452" s="667"/>
    </row>
    <row r="453" spans="1:15" x14ac:dyDescent="0.25">
      <c r="A453" s="666"/>
      <c r="B453" s="667"/>
    </row>
    <row r="454" spans="1:15" x14ac:dyDescent="0.25">
      <c r="A454" s="668" t="s">
        <v>3583</v>
      </c>
      <c r="B454" s="667"/>
    </row>
    <row r="455" spans="1:15" x14ac:dyDescent="0.25">
      <c r="A455" s="822" t="s">
        <v>3584</v>
      </c>
      <c r="B455" s="822"/>
      <c r="C455" s="822"/>
      <c r="D455" s="822"/>
      <c r="E455" s="822"/>
      <c r="F455" s="822"/>
      <c r="G455" s="822"/>
      <c r="H455" s="822"/>
      <c r="I455" s="822"/>
      <c r="J455" s="822"/>
      <c r="K455" s="822"/>
      <c r="L455" s="822"/>
      <c r="M455" s="822"/>
      <c r="N455" s="822"/>
      <c r="O455" s="822"/>
    </row>
    <row r="456" spans="1:15" x14ac:dyDescent="0.25">
      <c r="A456" s="822" t="s">
        <v>3585</v>
      </c>
      <c r="B456" s="822"/>
      <c r="C456" s="822"/>
      <c r="D456" s="822"/>
      <c r="E456" s="822"/>
      <c r="F456" s="822"/>
      <c r="G456" s="822"/>
      <c r="H456" s="822"/>
      <c r="I456" s="822"/>
      <c r="J456" s="822"/>
      <c r="K456" s="822"/>
      <c r="L456" s="822"/>
      <c r="M456" s="822"/>
      <c r="N456" s="822"/>
      <c r="O456" s="822"/>
    </row>
    <row r="457" spans="1:15" x14ac:dyDescent="0.25">
      <c r="A457" s="822" t="s">
        <v>3586</v>
      </c>
      <c r="B457" s="822"/>
      <c r="C457" s="822"/>
      <c r="D457" s="822"/>
      <c r="E457" s="822"/>
      <c r="F457" s="822"/>
      <c r="G457" s="822"/>
      <c r="H457" s="822"/>
      <c r="I457" s="822"/>
      <c r="J457" s="822"/>
      <c r="K457" s="822"/>
      <c r="L457" s="822"/>
      <c r="M457" s="822"/>
      <c r="N457" s="822"/>
      <c r="O457" s="822"/>
    </row>
    <row r="458" spans="1:15" x14ac:dyDescent="0.25">
      <c r="A458" s="669" t="s">
        <v>3587</v>
      </c>
      <c r="B458" s="667"/>
    </row>
    <row r="459" spans="1:15" ht="53.25" customHeight="1" x14ac:dyDescent="0.25">
      <c r="A459" s="823" t="s">
        <v>3588</v>
      </c>
      <c r="B459" s="823"/>
      <c r="C459" s="823"/>
      <c r="D459" s="823"/>
      <c r="E459" s="823"/>
      <c r="F459" s="823"/>
      <c r="G459" s="823"/>
      <c r="H459" s="823"/>
      <c r="I459" s="823"/>
      <c r="J459" s="823"/>
      <c r="K459" s="823"/>
      <c r="L459" s="823"/>
      <c r="M459" s="823"/>
      <c r="N459" s="823"/>
      <c r="O459" s="823"/>
    </row>
    <row r="465" spans="1:7" x14ac:dyDescent="0.25">
      <c r="A465" s="662"/>
      <c r="B465" s="662"/>
      <c r="C465" s="688"/>
      <c r="D465" s="688"/>
      <c r="E465" s="688"/>
      <c r="F465" s="688"/>
      <c r="G465" s="688"/>
    </row>
    <row r="466" spans="1:7" x14ac:dyDescent="0.25">
      <c r="A466" s="662"/>
      <c r="B466" s="662"/>
      <c r="C466" s="688"/>
      <c r="D466" s="688"/>
      <c r="E466" s="688"/>
      <c r="F466" s="688"/>
      <c r="G466" s="688"/>
    </row>
    <row r="467" spans="1:7" x14ac:dyDescent="0.25">
      <c r="A467" s="662"/>
      <c r="B467" s="662"/>
      <c r="C467" s="688"/>
      <c r="D467" s="688"/>
      <c r="E467" s="688"/>
      <c r="F467" s="688"/>
      <c r="G467" s="688"/>
    </row>
  </sheetData>
  <mergeCells count="33">
    <mergeCell ref="A373:B373"/>
    <mergeCell ref="A455:O455"/>
    <mergeCell ref="A456:O456"/>
    <mergeCell ref="A457:O457"/>
    <mergeCell ref="A459:O459"/>
    <mergeCell ref="A22:O22"/>
    <mergeCell ref="A166:O166"/>
    <mergeCell ref="A318:O318"/>
    <mergeCell ref="A368:O369"/>
    <mergeCell ref="A370:A371"/>
    <mergeCell ref="B370:B371"/>
    <mergeCell ref="C370:C371"/>
    <mergeCell ref="N370:O370"/>
    <mergeCell ref="D370:E370"/>
    <mergeCell ref="F370:G370"/>
    <mergeCell ref="H370:I370"/>
    <mergeCell ref="J370:K370"/>
    <mergeCell ref="L370:M370"/>
    <mergeCell ref="A18:O18"/>
    <mergeCell ref="A19:A20"/>
    <mergeCell ref="B19:B20"/>
    <mergeCell ref="C19:C20"/>
    <mergeCell ref="N19:O19"/>
    <mergeCell ref="D19:E19"/>
    <mergeCell ref="F19:G19"/>
    <mergeCell ref="H19:I19"/>
    <mergeCell ref="J19:K19"/>
    <mergeCell ref="L19:M19"/>
    <mergeCell ref="A6:O7"/>
    <mergeCell ref="A9:B9"/>
    <mergeCell ref="A12:B12"/>
    <mergeCell ref="A14:B14"/>
    <mergeCell ref="A15:B15"/>
  </mergeCells>
  <printOptions horizontalCentered="1"/>
  <pageMargins left="0.78740157480314965" right="0.19685039370078741" top="0.19685039370078741" bottom="0.19685039370078741" header="0.23622047244094491" footer="0.23622047244094491"/>
  <pageSetup paperSize="9" scale="49" orientation="landscape" r:id="rId1"/>
  <headerFooter alignWithMargins="0"/>
  <rowBreaks count="1" manualBreakCount="1">
    <brk id="56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W51"/>
  <sheetViews>
    <sheetView view="pageBreakPreview" zoomScaleNormal="100" zoomScaleSheetLayoutView="100" workbookViewId="0">
      <selection activeCell="C43" sqref="C43"/>
    </sheetView>
  </sheetViews>
  <sheetFormatPr defaultColWidth="0.85546875" defaultRowHeight="12.75" outlineLevelRow="1" x14ac:dyDescent="0.2"/>
  <cols>
    <col min="1" max="1" width="7.7109375" style="424" customWidth="1"/>
    <col min="2" max="2" width="7.5703125" style="424" customWidth="1"/>
    <col min="3" max="3" width="57.42578125" style="424" customWidth="1"/>
    <col min="4" max="4" width="13.140625" style="424" customWidth="1"/>
    <col min="5" max="5" width="13.42578125" style="424" customWidth="1"/>
    <col min="6" max="6" width="15" style="424" customWidth="1"/>
    <col min="7" max="9" width="14.5703125" style="424" customWidth="1"/>
    <col min="10" max="10" width="17.5703125" style="424" customWidth="1"/>
    <col min="11" max="16384" width="0.85546875" style="424"/>
  </cols>
  <sheetData>
    <row r="1" spans="1:23" ht="17.25" customHeight="1" x14ac:dyDescent="0.2">
      <c r="D1" s="505"/>
      <c r="E1" s="505"/>
      <c r="F1" s="46"/>
      <c r="H1" s="425" t="s">
        <v>2760</v>
      </c>
      <c r="K1" s="505"/>
      <c r="L1" s="505"/>
      <c r="M1" s="505"/>
      <c r="N1" s="505"/>
      <c r="O1" s="505"/>
      <c r="P1" s="505"/>
      <c r="Q1" s="505"/>
      <c r="S1" s="505"/>
      <c r="T1" s="505"/>
      <c r="U1" s="505"/>
      <c r="V1" s="505"/>
      <c r="W1" s="505"/>
    </row>
    <row r="2" spans="1:23" ht="17.25" customHeight="1" x14ac:dyDescent="0.2">
      <c r="D2" s="505"/>
      <c r="E2" s="505"/>
      <c r="F2" s="46"/>
      <c r="H2" s="426" t="s">
        <v>2761</v>
      </c>
      <c r="K2" s="505"/>
      <c r="L2" s="505"/>
      <c r="M2" s="505"/>
      <c r="N2" s="505"/>
      <c r="O2" s="505"/>
      <c r="P2" s="505"/>
      <c r="Q2" s="505"/>
      <c r="S2" s="505"/>
      <c r="T2" s="505"/>
      <c r="U2" s="505"/>
      <c r="V2" s="505"/>
      <c r="W2" s="505"/>
    </row>
    <row r="3" spans="1:23" ht="17.25" customHeight="1" x14ac:dyDescent="0.2">
      <c r="D3" s="505"/>
      <c r="E3" s="505"/>
      <c r="F3" s="46"/>
      <c r="H3" s="426" t="s">
        <v>2762</v>
      </c>
      <c r="K3" s="505"/>
      <c r="L3" s="505"/>
      <c r="M3" s="505"/>
      <c r="N3" s="505"/>
      <c r="O3" s="505"/>
      <c r="P3" s="505"/>
      <c r="Q3" s="505"/>
      <c r="S3" s="505"/>
      <c r="T3" s="505"/>
      <c r="U3" s="505"/>
      <c r="V3" s="505"/>
      <c r="W3" s="505"/>
    </row>
    <row r="4" spans="1:23" ht="22.5" customHeight="1" x14ac:dyDescent="0.2">
      <c r="G4" s="506"/>
      <c r="H4" s="425" t="s">
        <v>1397</v>
      </c>
      <c r="I4" s="506"/>
    </row>
    <row r="5" spans="1:23" ht="18.75" customHeight="1" x14ac:dyDescent="0.2">
      <c r="D5" s="506"/>
      <c r="E5" s="506"/>
      <c r="F5" s="506"/>
      <c r="G5" s="506"/>
      <c r="H5" s="506"/>
      <c r="I5" s="506"/>
    </row>
    <row r="6" spans="1:23" ht="15.75" customHeight="1" x14ac:dyDescent="0.2"/>
    <row r="7" spans="1:23" s="429" customFormat="1" ht="57" customHeight="1" x14ac:dyDescent="0.3">
      <c r="A7" s="881" t="s">
        <v>2867</v>
      </c>
      <c r="B7" s="881"/>
      <c r="C7" s="881"/>
      <c r="D7" s="881"/>
      <c r="E7" s="881"/>
      <c r="F7" s="881"/>
      <c r="G7" s="881"/>
      <c r="H7" s="881"/>
      <c r="I7" s="881"/>
      <c r="J7" s="881"/>
    </row>
    <row r="8" spans="1:23" x14ac:dyDescent="0.2">
      <c r="A8" s="424" t="s">
        <v>2386</v>
      </c>
      <c r="D8" s="427"/>
      <c r="E8" s="427"/>
      <c r="F8" s="427"/>
      <c r="G8" s="427"/>
      <c r="H8" s="427"/>
      <c r="I8" s="427"/>
    </row>
    <row r="9" spans="1:23" ht="13.5" thickBot="1" x14ac:dyDescent="0.25">
      <c r="D9" s="427"/>
      <c r="E9" s="427"/>
      <c r="F9" s="427"/>
      <c r="G9" s="427"/>
      <c r="H9" s="427"/>
      <c r="I9" s="427"/>
    </row>
    <row r="10" spans="1:23" ht="27" customHeight="1" thickBot="1" x14ac:dyDescent="0.25">
      <c r="A10" s="507" t="s">
        <v>1493</v>
      </c>
      <c r="B10" s="433" t="s">
        <v>1494</v>
      </c>
      <c r="C10" s="433" t="s">
        <v>2868</v>
      </c>
      <c r="D10" s="433">
        <v>2014</v>
      </c>
      <c r="E10" s="433">
        <v>2015</v>
      </c>
      <c r="F10" s="433">
        <v>2016</v>
      </c>
      <c r="G10" s="433">
        <v>2017</v>
      </c>
      <c r="H10" s="433">
        <v>2018</v>
      </c>
      <c r="I10" s="433">
        <v>2019</v>
      </c>
      <c r="J10" s="508" t="s">
        <v>2869</v>
      </c>
    </row>
    <row r="11" spans="1:23" ht="10.5" customHeight="1" thickBot="1" x14ac:dyDescent="0.25">
      <c r="A11" s="509">
        <v>1</v>
      </c>
      <c r="B11" s="510">
        <v>2</v>
      </c>
      <c r="C11" s="511">
        <v>3</v>
      </c>
      <c r="D11" s="511">
        <v>4</v>
      </c>
      <c r="E11" s="511">
        <v>5</v>
      </c>
      <c r="F11" s="511">
        <v>6</v>
      </c>
      <c r="G11" s="511">
        <v>7</v>
      </c>
      <c r="H11" s="511">
        <v>8</v>
      </c>
      <c r="I11" s="511">
        <v>9</v>
      </c>
      <c r="J11" s="512">
        <v>10</v>
      </c>
    </row>
    <row r="12" spans="1:23" s="518" customFormat="1" x14ac:dyDescent="0.2">
      <c r="A12" s="513">
        <f t="shared" ref="A12:A38" si="0">A11+1</f>
        <v>2</v>
      </c>
      <c r="B12" s="514" t="s">
        <v>129</v>
      </c>
      <c r="C12" s="515" t="s">
        <v>2870</v>
      </c>
      <c r="D12" s="516">
        <f t="shared" ref="D12:J12" si="1">D13+D19</f>
        <v>330.20000000000005</v>
      </c>
      <c r="E12" s="516">
        <f t="shared" si="1"/>
        <v>392.8</v>
      </c>
      <c r="F12" s="516">
        <f t="shared" si="1"/>
        <v>419.65</v>
      </c>
      <c r="G12" s="516">
        <f t="shared" si="1"/>
        <v>452.4</v>
      </c>
      <c r="H12" s="516">
        <f t="shared" si="1"/>
        <v>464.7</v>
      </c>
      <c r="I12" s="516">
        <f t="shared" si="1"/>
        <v>599.4</v>
      </c>
      <c r="J12" s="517">
        <f t="shared" si="1"/>
        <v>2659.15</v>
      </c>
    </row>
    <row r="13" spans="1:23" s="518" customFormat="1" x14ac:dyDescent="0.2">
      <c r="A13" s="519">
        <f t="shared" si="0"/>
        <v>3</v>
      </c>
      <c r="B13" s="520" t="s">
        <v>131</v>
      </c>
      <c r="C13" s="521" t="s">
        <v>2871</v>
      </c>
      <c r="D13" s="453">
        <f t="shared" ref="D13:I13" si="2">D14+D16</f>
        <v>122.4</v>
      </c>
      <c r="E13" s="453">
        <f t="shared" si="2"/>
        <v>155</v>
      </c>
      <c r="F13" s="453">
        <f t="shared" si="2"/>
        <v>160.75</v>
      </c>
      <c r="G13" s="453">
        <f t="shared" si="2"/>
        <v>166.4</v>
      </c>
      <c r="H13" s="453">
        <f t="shared" si="2"/>
        <v>172.7</v>
      </c>
      <c r="I13" s="453">
        <f t="shared" si="2"/>
        <v>288.39999999999998</v>
      </c>
      <c r="J13" s="458">
        <f>G13+F13+E13+D13+H13+I13</f>
        <v>1065.6500000000001</v>
      </c>
    </row>
    <row r="14" spans="1:23" s="518" customFormat="1" x14ac:dyDescent="0.2">
      <c r="A14" s="519">
        <f t="shared" si="0"/>
        <v>4</v>
      </c>
      <c r="B14" s="520" t="s">
        <v>133</v>
      </c>
      <c r="C14" s="521" t="s">
        <v>2872</v>
      </c>
      <c r="D14" s="453">
        <f>91.7-9.3</f>
        <v>82.4</v>
      </c>
      <c r="E14" s="453">
        <f>E48+E49</f>
        <v>115</v>
      </c>
      <c r="F14" s="453">
        <v>120.75</v>
      </c>
      <c r="G14" s="453">
        <v>126.4</v>
      </c>
      <c r="H14" s="453">
        <v>132.69999999999999</v>
      </c>
      <c r="I14" s="453">
        <f>139.4+I49</f>
        <v>248.4</v>
      </c>
      <c r="J14" s="458">
        <f t="shared" ref="J14:J35" si="3">G14+F14+E14+D14+H14+I14</f>
        <v>825.65</v>
      </c>
    </row>
    <row r="15" spans="1:23" s="518" customFormat="1" x14ac:dyDescent="0.2">
      <c r="A15" s="519">
        <f t="shared" si="0"/>
        <v>5</v>
      </c>
      <c r="B15" s="520" t="s">
        <v>139</v>
      </c>
      <c r="C15" s="521" t="s">
        <v>2873</v>
      </c>
      <c r="D15" s="453">
        <v>0</v>
      </c>
      <c r="E15" s="453">
        <v>0</v>
      </c>
      <c r="F15" s="453">
        <v>0</v>
      </c>
      <c r="G15" s="453">
        <v>0</v>
      </c>
      <c r="H15" s="453">
        <v>0</v>
      </c>
      <c r="I15" s="472">
        <v>0</v>
      </c>
      <c r="J15" s="458">
        <f t="shared" si="3"/>
        <v>0</v>
      </c>
    </row>
    <row r="16" spans="1:23" s="518" customFormat="1" ht="25.5" customHeight="1" x14ac:dyDescent="0.2">
      <c r="A16" s="519">
        <f t="shared" si="0"/>
        <v>6</v>
      </c>
      <c r="B16" s="520" t="s">
        <v>141</v>
      </c>
      <c r="C16" s="522" t="s">
        <v>2874</v>
      </c>
      <c r="D16" s="453">
        <f>D17+D18</f>
        <v>40</v>
      </c>
      <c r="E16" s="453">
        <v>40</v>
      </c>
      <c r="F16" s="453">
        <v>40</v>
      </c>
      <c r="G16" s="453">
        <f>G17+G18</f>
        <v>40</v>
      </c>
      <c r="H16" s="453">
        <f>H17+H18</f>
        <v>40</v>
      </c>
      <c r="I16" s="453">
        <f>I17+I18</f>
        <v>40</v>
      </c>
      <c r="J16" s="458">
        <f t="shared" si="3"/>
        <v>240</v>
      </c>
    </row>
    <row r="17" spans="1:10" s="518" customFormat="1" x14ac:dyDescent="0.2">
      <c r="A17" s="519">
        <f t="shared" si="0"/>
        <v>7</v>
      </c>
      <c r="B17" s="520" t="s">
        <v>143</v>
      </c>
      <c r="C17" s="521" t="s">
        <v>2875</v>
      </c>
      <c r="D17" s="453">
        <v>0</v>
      </c>
      <c r="E17" s="453">
        <v>0</v>
      </c>
      <c r="F17" s="453">
        <v>0</v>
      </c>
      <c r="G17" s="453">
        <v>0</v>
      </c>
      <c r="H17" s="453">
        <v>0</v>
      </c>
      <c r="I17" s="472">
        <v>0</v>
      </c>
      <c r="J17" s="458">
        <f t="shared" si="3"/>
        <v>0</v>
      </c>
    </row>
    <row r="18" spans="1:10" s="518" customFormat="1" x14ac:dyDescent="0.2">
      <c r="A18" s="519">
        <f t="shared" si="0"/>
        <v>8</v>
      </c>
      <c r="B18" s="520" t="s">
        <v>144</v>
      </c>
      <c r="C18" s="521" t="s">
        <v>2876</v>
      </c>
      <c r="D18" s="453">
        <v>40</v>
      </c>
      <c r="E18" s="453">
        <f>E16</f>
        <v>40</v>
      </c>
      <c r="F18" s="453">
        <f>E18</f>
        <v>40</v>
      </c>
      <c r="G18" s="453">
        <f>F18</f>
        <v>40</v>
      </c>
      <c r="H18" s="453">
        <f>G18</f>
        <v>40</v>
      </c>
      <c r="I18" s="453">
        <f>H18</f>
        <v>40</v>
      </c>
      <c r="J18" s="458">
        <f t="shared" si="3"/>
        <v>240</v>
      </c>
    </row>
    <row r="19" spans="1:10" s="518" customFormat="1" x14ac:dyDescent="0.2">
      <c r="A19" s="519">
        <f>A18+1</f>
        <v>9</v>
      </c>
      <c r="B19" s="520" t="s">
        <v>149</v>
      </c>
      <c r="C19" s="521" t="s">
        <v>2877</v>
      </c>
      <c r="D19" s="453">
        <f t="shared" ref="D19:I19" si="4">D20</f>
        <v>207.8</v>
      </c>
      <c r="E19" s="453">
        <f t="shared" si="4"/>
        <v>237.8</v>
      </c>
      <c r="F19" s="453">
        <f t="shared" si="4"/>
        <v>258.89999999999998</v>
      </c>
      <c r="G19" s="453">
        <f t="shared" si="4"/>
        <v>286</v>
      </c>
      <c r="H19" s="453">
        <f t="shared" si="4"/>
        <v>292</v>
      </c>
      <c r="I19" s="453">
        <f t="shared" si="4"/>
        <v>311</v>
      </c>
      <c r="J19" s="458">
        <f t="shared" si="3"/>
        <v>1593.5</v>
      </c>
    </row>
    <row r="20" spans="1:10" s="518" customFormat="1" x14ac:dyDescent="0.2">
      <c r="A20" s="519">
        <f t="shared" si="0"/>
        <v>10</v>
      </c>
      <c r="B20" s="520" t="s">
        <v>150</v>
      </c>
      <c r="C20" s="521" t="s">
        <v>2878</v>
      </c>
      <c r="D20" s="453">
        <v>207.8</v>
      </c>
      <c r="E20" s="453">
        <v>237.8</v>
      </c>
      <c r="F20" s="453">
        <v>258.89999999999998</v>
      </c>
      <c r="G20" s="453">
        <v>286</v>
      </c>
      <c r="H20" s="472">
        <v>292</v>
      </c>
      <c r="I20" s="472">
        <v>311</v>
      </c>
      <c r="J20" s="458">
        <f t="shared" si="3"/>
        <v>1593.5</v>
      </c>
    </row>
    <row r="21" spans="1:10" s="518" customFormat="1" x14ac:dyDescent="0.2">
      <c r="A21" s="519">
        <f t="shared" si="0"/>
        <v>11</v>
      </c>
      <c r="B21" s="520" t="s">
        <v>151</v>
      </c>
      <c r="C21" s="521" t="s">
        <v>2879</v>
      </c>
      <c r="D21" s="523">
        <v>0</v>
      </c>
      <c r="E21" s="523">
        <v>0</v>
      </c>
      <c r="F21" s="523">
        <v>0</v>
      </c>
      <c r="G21" s="523">
        <v>0</v>
      </c>
      <c r="H21" s="523">
        <v>0</v>
      </c>
      <c r="I21" s="523">
        <v>0</v>
      </c>
      <c r="J21" s="458">
        <f t="shared" si="3"/>
        <v>0</v>
      </c>
    </row>
    <row r="22" spans="1:10" s="518" customFormat="1" x14ac:dyDescent="0.2">
      <c r="A22" s="519">
        <f t="shared" si="0"/>
        <v>12</v>
      </c>
      <c r="B22" s="520" t="s">
        <v>460</v>
      </c>
      <c r="C22" s="521" t="s">
        <v>2880</v>
      </c>
      <c r="D22" s="523">
        <v>0</v>
      </c>
      <c r="E22" s="523">
        <v>0</v>
      </c>
      <c r="F22" s="523">
        <v>0</v>
      </c>
      <c r="G22" s="523">
        <v>0</v>
      </c>
      <c r="H22" s="523">
        <v>0</v>
      </c>
      <c r="I22" s="523">
        <v>0</v>
      </c>
      <c r="J22" s="458">
        <f t="shared" si="3"/>
        <v>0</v>
      </c>
    </row>
    <row r="23" spans="1:10" s="518" customFormat="1" x14ac:dyDescent="0.2">
      <c r="A23" s="519">
        <f t="shared" si="0"/>
        <v>13</v>
      </c>
      <c r="B23" s="520" t="s">
        <v>153</v>
      </c>
      <c r="C23" s="521" t="s">
        <v>2881</v>
      </c>
      <c r="D23" s="523">
        <v>0</v>
      </c>
      <c r="E23" s="523">
        <v>0</v>
      </c>
      <c r="F23" s="523">
        <v>0</v>
      </c>
      <c r="G23" s="523">
        <v>0</v>
      </c>
      <c r="H23" s="523">
        <v>0</v>
      </c>
      <c r="I23" s="523">
        <v>0</v>
      </c>
      <c r="J23" s="458">
        <f t="shared" si="3"/>
        <v>0</v>
      </c>
    </row>
    <row r="24" spans="1:10" s="518" customFormat="1" x14ac:dyDescent="0.2">
      <c r="A24" s="519">
        <f t="shared" si="0"/>
        <v>14</v>
      </c>
      <c r="B24" s="520" t="s">
        <v>2786</v>
      </c>
      <c r="C24" s="521" t="s">
        <v>2882</v>
      </c>
      <c r="D24" s="523">
        <v>0</v>
      </c>
      <c r="E24" s="523">
        <v>0</v>
      </c>
      <c r="F24" s="523">
        <v>0</v>
      </c>
      <c r="G24" s="523">
        <v>0</v>
      </c>
      <c r="H24" s="523">
        <v>0</v>
      </c>
      <c r="I24" s="523">
        <v>0</v>
      </c>
      <c r="J24" s="458">
        <f t="shared" si="3"/>
        <v>0</v>
      </c>
    </row>
    <row r="25" spans="1:10" s="518" customFormat="1" x14ac:dyDescent="0.2">
      <c r="A25" s="519">
        <f t="shared" si="0"/>
        <v>15</v>
      </c>
      <c r="B25" s="520" t="s">
        <v>2883</v>
      </c>
      <c r="C25" s="521" t="s">
        <v>2884</v>
      </c>
      <c r="D25" s="523">
        <v>0</v>
      </c>
      <c r="E25" s="523">
        <v>0</v>
      </c>
      <c r="F25" s="523">
        <v>0</v>
      </c>
      <c r="G25" s="523">
        <v>0</v>
      </c>
      <c r="H25" s="523">
        <v>0</v>
      </c>
      <c r="I25" s="523">
        <v>0</v>
      </c>
      <c r="J25" s="458">
        <f t="shared" si="3"/>
        <v>0</v>
      </c>
    </row>
    <row r="26" spans="1:10" s="518" customFormat="1" x14ac:dyDescent="0.2">
      <c r="A26" s="519">
        <f t="shared" si="0"/>
        <v>16</v>
      </c>
      <c r="B26" s="520" t="s">
        <v>2885</v>
      </c>
      <c r="C26" s="521" t="s">
        <v>2886</v>
      </c>
      <c r="D26" s="523">
        <v>0</v>
      </c>
      <c r="E26" s="523">
        <v>0</v>
      </c>
      <c r="F26" s="523">
        <v>0</v>
      </c>
      <c r="G26" s="523">
        <v>0</v>
      </c>
      <c r="H26" s="523">
        <v>0</v>
      </c>
      <c r="I26" s="523">
        <v>0</v>
      </c>
      <c r="J26" s="458">
        <f t="shared" si="3"/>
        <v>0</v>
      </c>
    </row>
    <row r="27" spans="1:10" s="518" customFormat="1" x14ac:dyDescent="0.2">
      <c r="A27" s="519">
        <f t="shared" si="0"/>
        <v>17</v>
      </c>
      <c r="B27" s="520" t="s">
        <v>160</v>
      </c>
      <c r="C27" s="521" t="s">
        <v>2887</v>
      </c>
      <c r="D27" s="524">
        <f t="shared" ref="D27:I27" si="5">D28</f>
        <v>0</v>
      </c>
      <c r="E27" s="523">
        <f t="shared" si="5"/>
        <v>0</v>
      </c>
      <c r="F27" s="524">
        <f t="shared" si="5"/>
        <v>0</v>
      </c>
      <c r="G27" s="524">
        <f t="shared" si="5"/>
        <v>0</v>
      </c>
      <c r="H27" s="524">
        <f t="shared" si="5"/>
        <v>0</v>
      </c>
      <c r="I27" s="524">
        <f t="shared" si="5"/>
        <v>0</v>
      </c>
      <c r="J27" s="458">
        <f t="shared" si="3"/>
        <v>0</v>
      </c>
    </row>
    <row r="28" spans="1:10" s="518" customFormat="1" x14ac:dyDescent="0.2">
      <c r="A28" s="519">
        <f t="shared" si="0"/>
        <v>18</v>
      </c>
      <c r="B28" s="520" t="s">
        <v>162</v>
      </c>
      <c r="C28" s="521" t="s">
        <v>2888</v>
      </c>
      <c r="D28" s="524">
        <v>0</v>
      </c>
      <c r="E28" s="523">
        <v>0</v>
      </c>
      <c r="F28" s="524">
        <v>0</v>
      </c>
      <c r="G28" s="524">
        <v>0</v>
      </c>
      <c r="H28" s="524">
        <v>0</v>
      </c>
      <c r="I28" s="524">
        <v>0</v>
      </c>
      <c r="J28" s="458">
        <f t="shared" si="3"/>
        <v>0</v>
      </c>
    </row>
    <row r="29" spans="1:10" s="518" customFormat="1" x14ac:dyDescent="0.2">
      <c r="A29" s="519">
        <f t="shared" si="0"/>
        <v>19</v>
      </c>
      <c r="B29" s="520" t="s">
        <v>1211</v>
      </c>
      <c r="C29" s="521" t="s">
        <v>2889</v>
      </c>
      <c r="D29" s="523">
        <v>0</v>
      </c>
      <c r="E29" s="523">
        <v>0</v>
      </c>
      <c r="F29" s="523">
        <v>0</v>
      </c>
      <c r="G29" s="523">
        <v>0</v>
      </c>
      <c r="H29" s="523">
        <v>0</v>
      </c>
      <c r="I29" s="523">
        <v>0</v>
      </c>
      <c r="J29" s="458">
        <f t="shared" si="3"/>
        <v>0</v>
      </c>
    </row>
    <row r="30" spans="1:10" s="518" customFormat="1" x14ac:dyDescent="0.2">
      <c r="A30" s="519">
        <f t="shared" si="0"/>
        <v>20</v>
      </c>
      <c r="B30" s="520" t="s">
        <v>1214</v>
      </c>
      <c r="C30" s="521" t="s">
        <v>2890</v>
      </c>
      <c r="D30" s="523">
        <v>0</v>
      </c>
      <c r="E30" s="523">
        <v>0</v>
      </c>
      <c r="F30" s="523">
        <v>0</v>
      </c>
      <c r="G30" s="523">
        <v>0</v>
      </c>
      <c r="H30" s="523">
        <v>0</v>
      </c>
      <c r="I30" s="523">
        <v>0</v>
      </c>
      <c r="J30" s="458">
        <f t="shared" si="3"/>
        <v>0</v>
      </c>
    </row>
    <row r="31" spans="1:10" s="518" customFormat="1" x14ac:dyDescent="0.2">
      <c r="A31" s="519">
        <f t="shared" si="0"/>
        <v>21</v>
      </c>
      <c r="B31" s="520" t="s">
        <v>1217</v>
      </c>
      <c r="C31" s="521" t="s">
        <v>2891</v>
      </c>
      <c r="D31" s="523">
        <v>0</v>
      </c>
      <c r="E31" s="523">
        <v>0</v>
      </c>
      <c r="F31" s="523">
        <v>0</v>
      </c>
      <c r="G31" s="523">
        <v>0</v>
      </c>
      <c r="H31" s="523">
        <v>0</v>
      </c>
      <c r="I31" s="523">
        <v>0</v>
      </c>
      <c r="J31" s="458">
        <f t="shared" si="3"/>
        <v>0</v>
      </c>
    </row>
    <row r="32" spans="1:10" s="518" customFormat="1" x14ac:dyDescent="0.2">
      <c r="A32" s="519">
        <f t="shared" si="0"/>
        <v>22</v>
      </c>
      <c r="B32" s="520" t="s">
        <v>403</v>
      </c>
      <c r="C32" s="521" t="s">
        <v>2892</v>
      </c>
      <c r="D32" s="523">
        <v>0</v>
      </c>
      <c r="E32" s="523">
        <v>0</v>
      </c>
      <c r="F32" s="523">
        <v>0</v>
      </c>
      <c r="G32" s="523">
        <v>0</v>
      </c>
      <c r="H32" s="523">
        <v>0</v>
      </c>
      <c r="I32" s="523">
        <v>0</v>
      </c>
      <c r="J32" s="458">
        <f t="shared" si="3"/>
        <v>0</v>
      </c>
    </row>
    <row r="33" spans="1:10" s="518" customFormat="1" x14ac:dyDescent="0.2">
      <c r="A33" s="519">
        <f t="shared" si="0"/>
        <v>23</v>
      </c>
      <c r="B33" s="520" t="s">
        <v>2893</v>
      </c>
      <c r="C33" s="521" t="s">
        <v>2894</v>
      </c>
      <c r="D33" s="523">
        <v>0</v>
      </c>
      <c r="E33" s="523">
        <v>0</v>
      </c>
      <c r="F33" s="523">
        <v>0</v>
      </c>
      <c r="G33" s="523">
        <v>0</v>
      </c>
      <c r="H33" s="523">
        <v>0</v>
      </c>
      <c r="I33" s="523">
        <v>0</v>
      </c>
      <c r="J33" s="458">
        <f t="shared" si="3"/>
        <v>0</v>
      </c>
    </row>
    <row r="34" spans="1:10" s="518" customFormat="1" ht="13.5" thickBot="1" x14ac:dyDescent="0.25">
      <c r="A34" s="525">
        <f t="shared" si="0"/>
        <v>24</v>
      </c>
      <c r="B34" s="526" t="s">
        <v>2895</v>
      </c>
      <c r="C34" s="527" t="s">
        <v>2896</v>
      </c>
      <c r="D34" s="528">
        <v>0</v>
      </c>
      <c r="E34" s="528">
        <v>0</v>
      </c>
      <c r="F34" s="528">
        <v>0</v>
      </c>
      <c r="G34" s="528">
        <v>0</v>
      </c>
      <c r="H34" s="528">
        <v>0</v>
      </c>
      <c r="I34" s="528">
        <v>0</v>
      </c>
      <c r="J34" s="529">
        <f t="shared" si="3"/>
        <v>0</v>
      </c>
    </row>
    <row r="35" spans="1:10" s="534" customFormat="1" ht="13.5" thickBot="1" x14ac:dyDescent="0.25">
      <c r="A35" s="509">
        <f t="shared" si="0"/>
        <v>25</v>
      </c>
      <c r="B35" s="530"/>
      <c r="C35" s="531" t="s">
        <v>2897</v>
      </c>
      <c r="D35" s="532">
        <f t="shared" ref="D35:I35" si="6">D27+D12</f>
        <v>330.20000000000005</v>
      </c>
      <c r="E35" s="532">
        <f t="shared" si="6"/>
        <v>392.8</v>
      </c>
      <c r="F35" s="532">
        <f t="shared" si="6"/>
        <v>419.65</v>
      </c>
      <c r="G35" s="532">
        <f t="shared" si="6"/>
        <v>452.4</v>
      </c>
      <c r="H35" s="532">
        <f t="shared" si="6"/>
        <v>464.7</v>
      </c>
      <c r="I35" s="532">
        <f t="shared" si="6"/>
        <v>599.4</v>
      </c>
      <c r="J35" s="533">
        <f t="shared" si="3"/>
        <v>2659.15</v>
      </c>
    </row>
    <row r="36" spans="1:10" s="518" customFormat="1" x14ac:dyDescent="0.2">
      <c r="A36" s="513">
        <f t="shared" si="0"/>
        <v>26</v>
      </c>
      <c r="B36" s="514"/>
      <c r="C36" s="515" t="s">
        <v>2898</v>
      </c>
      <c r="D36" s="516"/>
      <c r="E36" s="516"/>
      <c r="F36" s="516"/>
      <c r="G36" s="516"/>
      <c r="H36" s="516"/>
      <c r="I36" s="516"/>
      <c r="J36" s="516"/>
    </row>
    <row r="37" spans="1:10" s="518" customFormat="1" x14ac:dyDescent="0.2">
      <c r="A37" s="519">
        <f t="shared" si="0"/>
        <v>27</v>
      </c>
      <c r="B37" s="520"/>
      <c r="C37" s="535" t="s">
        <v>2899</v>
      </c>
      <c r="D37" s="523"/>
      <c r="E37" s="523"/>
      <c r="F37" s="523"/>
      <c r="G37" s="523"/>
      <c r="H37" s="536"/>
      <c r="I37" s="536"/>
      <c r="J37" s="537"/>
    </row>
    <row r="38" spans="1:10" s="518" customFormat="1" ht="13.5" thickBot="1" x14ac:dyDescent="0.25">
      <c r="A38" s="538">
        <f t="shared" si="0"/>
        <v>28</v>
      </c>
      <c r="B38" s="539"/>
      <c r="C38" s="540" t="s">
        <v>2900</v>
      </c>
      <c r="D38" s="486"/>
      <c r="E38" s="486"/>
      <c r="F38" s="486"/>
      <c r="G38" s="486"/>
      <c r="H38" s="541"/>
      <c r="I38" s="541"/>
      <c r="J38" s="542"/>
    </row>
    <row r="39" spans="1:10" x14ac:dyDescent="0.2">
      <c r="B39" s="424" t="s">
        <v>434</v>
      </c>
      <c r="D39" s="543"/>
    </row>
    <row r="40" spans="1:10" s="497" customFormat="1" ht="18.75" customHeight="1" x14ac:dyDescent="0.2">
      <c r="C40" s="424"/>
      <c r="D40" s="544">
        <v>444.00399999999985</v>
      </c>
      <c r="E40" s="545">
        <v>456</v>
      </c>
      <c r="F40" s="544">
        <v>503.99560000000002</v>
      </c>
      <c r="G40" s="544">
        <v>568.60000000000014</v>
      </c>
      <c r="H40" s="546">
        <v>618.60000000000014</v>
      </c>
      <c r="I40" s="546"/>
      <c r="J40" s="547">
        <v>2591.2039999999997</v>
      </c>
    </row>
    <row r="41" spans="1:10" s="497" customFormat="1" ht="18.75" customHeight="1" x14ac:dyDescent="0.2">
      <c r="D41" s="547">
        <f t="shared" ref="D41:J41" si="7">D40-D35</f>
        <v>113.8039999999998</v>
      </c>
      <c r="E41" s="547">
        <f t="shared" si="7"/>
        <v>63.199999999999989</v>
      </c>
      <c r="F41" s="547">
        <f t="shared" si="7"/>
        <v>84.345600000000047</v>
      </c>
      <c r="G41" s="547">
        <f t="shared" si="7"/>
        <v>116.20000000000016</v>
      </c>
      <c r="H41" s="547">
        <f t="shared" si="7"/>
        <v>153.90000000000015</v>
      </c>
      <c r="I41" s="547"/>
      <c r="J41" s="547">
        <f t="shared" si="7"/>
        <v>-67.946000000000367</v>
      </c>
    </row>
    <row r="42" spans="1:10" s="497" customFormat="1" ht="18.75" customHeight="1" x14ac:dyDescent="0.25">
      <c r="C42" s="498" t="s">
        <v>2863</v>
      </c>
      <c r="D42" s="499"/>
      <c r="E42" s="498" t="s">
        <v>2864</v>
      </c>
      <c r="F42" s="424"/>
      <c r="J42" s="548">
        <f>J40-H40-G40-F40-E40-D40</f>
        <v>4.3999999996344741E-3</v>
      </c>
    </row>
    <row r="43" spans="1:10" s="497" customFormat="1" ht="18.75" customHeight="1" x14ac:dyDescent="0.2">
      <c r="D43" s="548">
        <v>474.29799999999983</v>
      </c>
      <c r="E43" s="502">
        <v>486.29800000000006</v>
      </c>
      <c r="F43" s="502">
        <v>534.30000000000007</v>
      </c>
      <c r="G43" s="548">
        <v>598.90000000000009</v>
      </c>
      <c r="H43" s="502">
        <v>648.90000000000009</v>
      </c>
      <c r="I43" s="502"/>
      <c r="J43" s="548">
        <f>SUM(D43:H43)</f>
        <v>2742.6960000000004</v>
      </c>
    </row>
    <row r="44" spans="1:10" s="497" customFormat="1" ht="18.75" customHeight="1" x14ac:dyDescent="0.25">
      <c r="A44" s="498" t="s">
        <v>2865</v>
      </c>
      <c r="C44" s="424"/>
      <c r="D44" s="548">
        <f t="shared" ref="D44:J44" si="8">D43-D35</f>
        <v>144.09799999999979</v>
      </c>
      <c r="E44" s="548">
        <f t="shared" si="8"/>
        <v>93.498000000000047</v>
      </c>
      <c r="F44" s="548">
        <f t="shared" si="8"/>
        <v>114.65000000000009</v>
      </c>
      <c r="G44" s="548">
        <f t="shared" si="8"/>
        <v>146.50000000000011</v>
      </c>
      <c r="H44" s="548">
        <f t="shared" si="8"/>
        <v>184.2000000000001</v>
      </c>
      <c r="I44" s="548"/>
      <c r="J44" s="548">
        <f t="shared" si="8"/>
        <v>83.546000000000276</v>
      </c>
    </row>
    <row r="45" spans="1:10" s="497" customFormat="1" ht="18.75" customHeight="1" x14ac:dyDescent="0.25">
      <c r="A45" s="498" t="s">
        <v>2866</v>
      </c>
      <c r="B45" s="424"/>
      <c r="D45" s="502">
        <v>435.1</v>
      </c>
      <c r="E45" s="502">
        <v>329.9</v>
      </c>
      <c r="F45" s="502">
        <v>377.79999999999995</v>
      </c>
      <c r="G45" s="502">
        <v>550.6</v>
      </c>
      <c r="H45" s="502">
        <v>648.9</v>
      </c>
      <c r="I45" s="502"/>
      <c r="J45" s="502">
        <v>2342.3000000000002</v>
      </c>
    </row>
    <row r="46" spans="1:10" hidden="1" outlineLevel="1" x14ac:dyDescent="0.2">
      <c r="D46" s="549">
        <f t="shared" ref="D46:J46" si="9">D45-D35</f>
        <v>104.89999999999998</v>
      </c>
      <c r="E46" s="549">
        <f t="shared" si="9"/>
        <v>-62.900000000000034</v>
      </c>
      <c r="F46" s="549">
        <f t="shared" si="9"/>
        <v>-41.850000000000023</v>
      </c>
      <c r="G46" s="549">
        <f t="shared" si="9"/>
        <v>98.200000000000045</v>
      </c>
      <c r="H46" s="549">
        <f t="shared" si="9"/>
        <v>184.2</v>
      </c>
      <c r="I46" s="549"/>
      <c r="J46" s="549">
        <f t="shared" si="9"/>
        <v>-316.84999999999991</v>
      </c>
    </row>
    <row r="47" spans="1:10" hidden="1" outlineLevel="1" x14ac:dyDescent="0.2"/>
    <row r="48" spans="1:10" hidden="1" outlineLevel="1" x14ac:dyDescent="0.2">
      <c r="C48" s="424" t="s">
        <v>2901</v>
      </c>
      <c r="D48" s="427">
        <v>91.655999999999878</v>
      </c>
      <c r="E48" s="427">
        <v>115</v>
      </c>
      <c r="F48" s="427">
        <v>120.75</v>
      </c>
      <c r="G48" s="427">
        <v>126.4</v>
      </c>
      <c r="H48" s="427">
        <v>132.69999999999999</v>
      </c>
      <c r="I48" s="427">
        <v>139.4</v>
      </c>
      <c r="J48" s="427"/>
    </row>
    <row r="49" spans="3:10" hidden="1" outlineLevel="1" x14ac:dyDescent="0.2">
      <c r="C49" s="424" t="s">
        <v>2902</v>
      </c>
      <c r="D49" s="424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109</v>
      </c>
      <c r="J49" s="427"/>
    </row>
    <row r="50" spans="3:10" hidden="1" outlineLevel="1" x14ac:dyDescent="0.2">
      <c r="D50" s="504"/>
      <c r="E50" s="504"/>
      <c r="F50" s="504"/>
      <c r="G50" s="504"/>
      <c r="H50" s="504"/>
      <c r="I50" s="504"/>
    </row>
    <row r="51" spans="3:10" collapsed="1" x14ac:dyDescent="0.2"/>
  </sheetData>
  <mergeCells count="1">
    <mergeCell ref="A7:J7"/>
  </mergeCells>
  <printOptions horizontalCentered="1"/>
  <pageMargins left="0.19685039370078741" right="0.19685039370078741" top="0.78740157480314965" bottom="0.19685039370078741" header="0.31496062992125984" footer="0.31496062992125984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77"/>
  <sheetViews>
    <sheetView view="pageBreakPreview" zoomScale="120" zoomScaleNormal="100" zoomScaleSheetLayoutView="120" workbookViewId="0">
      <selection activeCell="B61" sqref="B61"/>
    </sheetView>
  </sheetViews>
  <sheetFormatPr defaultColWidth="39.85546875" defaultRowHeight="12.75" outlineLevelRow="1" outlineLevelCol="1" x14ac:dyDescent="0.2"/>
  <cols>
    <col min="1" max="1" width="8.28515625" style="424" customWidth="1"/>
    <col min="2" max="2" width="39.85546875" style="424" customWidth="1"/>
    <col min="3" max="5" width="11.85546875" style="424" bestFit="1" customWidth="1"/>
    <col min="6" max="6" width="16.28515625" style="424" bestFit="1" customWidth="1"/>
    <col min="7" max="7" width="11.85546875" style="424" bestFit="1" customWidth="1"/>
    <col min="8" max="8" width="14.5703125" style="424" customWidth="1"/>
    <col min="9" max="9" width="6" style="424" customWidth="1"/>
    <col min="10" max="13" width="0.85546875" style="424" customWidth="1"/>
    <col min="14" max="14" width="8.7109375" style="424" hidden="1" customWidth="1" outlineLevel="1"/>
    <col min="15" max="15" width="7" style="424" hidden="1" customWidth="1" outlineLevel="1"/>
    <col min="16" max="16" width="5.42578125" style="424" hidden="1" customWidth="1" outlineLevel="1"/>
    <col min="17" max="17" width="8.140625" style="424" hidden="1" customWidth="1" outlineLevel="1"/>
    <col min="18" max="18" width="8.7109375" style="424" hidden="1" customWidth="1" outlineLevel="1"/>
    <col min="19" max="19" width="7.5703125" style="424" hidden="1" customWidth="1" outlineLevel="1"/>
    <col min="20" max="20" width="2.85546875" style="424" customWidth="1" collapsed="1"/>
    <col min="21" max="254" width="0.85546875" style="424" customWidth="1"/>
    <col min="255" max="255" width="8.28515625" style="424" customWidth="1"/>
    <col min="256" max="16384" width="39.85546875" style="424"/>
  </cols>
  <sheetData>
    <row r="1" spans="1:19" ht="15.75" x14ac:dyDescent="0.2">
      <c r="F1" s="425" t="s">
        <v>2760</v>
      </c>
    </row>
    <row r="2" spans="1:19" ht="15.75" x14ac:dyDescent="0.2">
      <c r="F2" s="426" t="s">
        <v>2761</v>
      </c>
    </row>
    <row r="3" spans="1:19" ht="15.75" x14ac:dyDescent="0.2">
      <c r="F3" s="426" t="s">
        <v>2762</v>
      </c>
    </row>
    <row r="4" spans="1:19" ht="15.75" x14ac:dyDescent="0.2">
      <c r="F4" s="425" t="s">
        <v>1397</v>
      </c>
    </row>
    <row r="5" spans="1:19" ht="31.5" hidden="1" customHeight="1" outlineLevel="1" x14ac:dyDescent="0.2">
      <c r="C5" s="550">
        <f>'У pril_10'!D20</f>
        <v>3707.2</v>
      </c>
      <c r="D5" s="550">
        <f>'У pril_10'!E20</f>
        <v>3963.4140000000002</v>
      </c>
      <c r="E5" s="550">
        <f>'У pril_10'!F20</f>
        <v>4231.2822600000009</v>
      </c>
      <c r="F5" s="550">
        <f>'У pril_10'!G20</f>
        <v>4518.1162542000011</v>
      </c>
      <c r="G5" s="550">
        <f>'У pril_10'!H20</f>
        <v>4832.2109894700006</v>
      </c>
      <c r="H5" s="550">
        <f>'У pril_10'!I20</f>
        <v>5161.4392328603417</v>
      </c>
    </row>
    <row r="6" spans="1:19" ht="25.5" customHeight="1" collapsed="1" x14ac:dyDescent="0.2">
      <c r="C6" s="491"/>
      <c r="D6" s="491"/>
      <c r="E6" s="491"/>
      <c r="F6" s="491"/>
      <c r="G6" s="491"/>
    </row>
    <row r="7" spans="1:19" ht="18.75" x14ac:dyDescent="0.3">
      <c r="A7" s="881" t="s">
        <v>2903</v>
      </c>
      <c r="B7" s="881"/>
      <c r="C7" s="881"/>
      <c r="D7" s="881"/>
      <c r="E7" s="881"/>
      <c r="F7" s="881"/>
      <c r="G7" s="881"/>
    </row>
    <row r="8" spans="1:19" ht="8.25" customHeight="1" thickBot="1" x14ac:dyDescent="0.25"/>
    <row r="9" spans="1:19" ht="13.5" thickBot="1" x14ac:dyDescent="0.25">
      <c r="A9" s="551" t="s">
        <v>1493</v>
      </c>
      <c r="B9" s="552" t="s">
        <v>1494</v>
      </c>
      <c r="C9" s="553">
        <v>2014</v>
      </c>
      <c r="D9" s="553">
        <v>2015</v>
      </c>
      <c r="E9" s="553">
        <v>2016</v>
      </c>
      <c r="F9" s="553">
        <v>2017</v>
      </c>
      <c r="G9" s="553">
        <v>2018</v>
      </c>
      <c r="H9" s="554">
        <v>2019</v>
      </c>
      <c r="N9" s="555">
        <f>2013</f>
        <v>2013</v>
      </c>
      <c r="O9" s="555">
        <f>N9+1</f>
        <v>2014</v>
      </c>
      <c r="P9" s="555">
        <f>O9+1</f>
        <v>2015</v>
      </c>
      <c r="Q9" s="555">
        <f>P9+1</f>
        <v>2016</v>
      </c>
      <c r="R9" s="555">
        <f>Q9+1</f>
        <v>2017</v>
      </c>
    </row>
    <row r="10" spans="1:19" x14ac:dyDescent="0.2">
      <c r="A10" s="556">
        <v>1</v>
      </c>
      <c r="B10" s="438">
        <v>2</v>
      </c>
      <c r="C10" s="438">
        <v>3</v>
      </c>
      <c r="D10" s="438">
        <v>4</v>
      </c>
      <c r="E10" s="438">
        <v>5</v>
      </c>
      <c r="F10" s="438">
        <v>6</v>
      </c>
      <c r="G10" s="438">
        <v>7</v>
      </c>
      <c r="H10" s="439">
        <v>8</v>
      </c>
    </row>
    <row r="11" spans="1:19" x14ac:dyDescent="0.2">
      <c r="A11" s="519">
        <f t="shared" ref="A11:A70" si="0">A10+1</f>
        <v>2</v>
      </c>
      <c r="B11" s="452" t="s">
        <v>2904</v>
      </c>
      <c r="C11" s="557">
        <f t="shared" ref="C11:H11" si="1">C12+C13+C14+C15+C16</f>
        <v>4119.8999999999996</v>
      </c>
      <c r="D11" s="557">
        <f t="shared" si="1"/>
        <v>4377.9040000000005</v>
      </c>
      <c r="E11" s="557">
        <f t="shared" si="1"/>
        <v>4402.1087278048744</v>
      </c>
      <c r="F11" s="557">
        <f t="shared" si="1"/>
        <v>4813.6337856828095</v>
      </c>
      <c r="G11" s="557">
        <f t="shared" si="1"/>
        <v>5099.1608340789699</v>
      </c>
      <c r="H11" s="558">
        <f t="shared" si="1"/>
        <v>4983.1786137179924</v>
      </c>
      <c r="N11" s="504">
        <f>D11/C11</f>
        <v>1.0626238500934491</v>
      </c>
      <c r="O11" s="504">
        <f>E11/D11</f>
        <v>1.0055288393269641</v>
      </c>
      <c r="P11" s="504">
        <f>F11/E11</f>
        <v>1.0934836196295277</v>
      </c>
      <c r="Q11" s="504">
        <f>G11/F11</f>
        <v>1.0593163213299281</v>
      </c>
      <c r="R11" s="504">
        <f>H11/G11</f>
        <v>0.9772546455907335</v>
      </c>
      <c r="S11" s="504"/>
    </row>
    <row r="12" spans="1:19" s="449" customFormat="1" x14ac:dyDescent="0.2">
      <c r="A12" s="559">
        <f t="shared" si="0"/>
        <v>3</v>
      </c>
      <c r="B12" s="560" t="s">
        <v>2770</v>
      </c>
      <c r="C12" s="561">
        <f>'У pril_10'!D14</f>
        <v>1381</v>
      </c>
      <c r="D12" s="561">
        <f>'У pril_10'!E14</f>
        <v>1477.67</v>
      </c>
      <c r="E12" s="561">
        <f>'У pril_10'!F14</f>
        <v>1330.8606878048749</v>
      </c>
      <c r="F12" s="561">
        <f>'У pril_10'!G14</f>
        <v>1559.7580488828085</v>
      </c>
      <c r="G12" s="561">
        <f>'У pril_10'!H14</f>
        <v>1651.6050416629682</v>
      </c>
      <c r="H12" s="562">
        <f>'У pril_10'!I14</f>
        <v>1290.2206365504708</v>
      </c>
      <c r="N12" s="563"/>
      <c r="O12" s="563"/>
    </row>
    <row r="13" spans="1:19" x14ac:dyDescent="0.2">
      <c r="A13" s="519">
        <f t="shared" si="0"/>
        <v>4</v>
      </c>
      <c r="B13" s="564" t="s">
        <v>2772</v>
      </c>
      <c r="C13" s="557">
        <f>'У pril_10'!D15</f>
        <v>1385.3</v>
      </c>
      <c r="D13" s="557">
        <f>'У pril_10'!E15</f>
        <v>1468.4180000000001</v>
      </c>
      <c r="E13" s="557">
        <f>'У pril_10'!F15</f>
        <v>1556.5230800000002</v>
      </c>
      <c r="F13" s="557">
        <f>'У pril_10'!G15</f>
        <v>1649.9144648000004</v>
      </c>
      <c r="G13" s="557">
        <f>'У pril_10'!H15</f>
        <v>1748.9093326880004</v>
      </c>
      <c r="H13" s="558">
        <f>'У pril_10'!I15</f>
        <v>1853.8438926492806</v>
      </c>
      <c r="N13" s="490"/>
      <c r="O13" s="490"/>
    </row>
    <row r="14" spans="1:19" x14ac:dyDescent="0.2">
      <c r="A14" s="519">
        <f t="shared" si="0"/>
        <v>5</v>
      </c>
      <c r="B14" s="564" t="s">
        <v>2774</v>
      </c>
      <c r="C14" s="557">
        <f>'У pril_10'!D16</f>
        <v>1183.2</v>
      </c>
      <c r="D14" s="557">
        <f>'У pril_10'!E16</f>
        <v>1254.192</v>
      </c>
      <c r="E14" s="557">
        <f>'У pril_10'!F16</f>
        <v>1329.44352</v>
      </c>
      <c r="F14" s="557">
        <f>'У pril_10'!G16</f>
        <v>1409.2101312000002</v>
      </c>
      <c r="G14" s="557">
        <f>'У pril_10'!H16</f>
        <v>1493.7627390720004</v>
      </c>
      <c r="H14" s="558">
        <f>'У pril_10'!I16</f>
        <v>1583.3885034163204</v>
      </c>
      <c r="N14" s="490"/>
      <c r="O14" s="490"/>
    </row>
    <row r="15" spans="1:19" x14ac:dyDescent="0.2">
      <c r="A15" s="519">
        <f t="shared" si="0"/>
        <v>6</v>
      </c>
      <c r="B15" s="564" t="s">
        <v>2905</v>
      </c>
      <c r="C15" s="557">
        <v>0</v>
      </c>
      <c r="D15" s="557">
        <v>0</v>
      </c>
      <c r="E15" s="557">
        <v>0</v>
      </c>
      <c r="F15" s="557">
        <v>0</v>
      </c>
      <c r="G15" s="557">
        <v>0</v>
      </c>
      <c r="H15" s="558">
        <v>0</v>
      </c>
      <c r="N15" s="490"/>
      <c r="O15" s="490"/>
    </row>
    <row r="16" spans="1:19" x14ac:dyDescent="0.2">
      <c r="A16" s="519">
        <f t="shared" si="0"/>
        <v>7</v>
      </c>
      <c r="B16" s="564" t="s">
        <v>2906</v>
      </c>
      <c r="C16" s="557">
        <f>'У pril_10'!D17</f>
        <v>170.4</v>
      </c>
      <c r="D16" s="557">
        <f>'У pril_10'!E17</f>
        <v>177.62400000000002</v>
      </c>
      <c r="E16" s="557">
        <f>'У pril_10'!F17</f>
        <v>185.28144</v>
      </c>
      <c r="F16" s="557">
        <f>'У pril_10'!G17</f>
        <v>194.7511408</v>
      </c>
      <c r="G16" s="557">
        <f>'У pril_10'!H17</f>
        <v>204.88372065600001</v>
      </c>
      <c r="H16" s="558">
        <f>'У pril_10'!I17</f>
        <v>255.72558110192003</v>
      </c>
      <c r="N16" s="490"/>
      <c r="O16" s="490"/>
    </row>
    <row r="17" spans="1:35" x14ac:dyDescent="0.2">
      <c r="A17" s="519">
        <f t="shared" si="0"/>
        <v>8</v>
      </c>
      <c r="B17" s="452" t="s">
        <v>2907</v>
      </c>
      <c r="C17" s="557">
        <f t="shared" ref="C17:H17" si="2">C18+C24</f>
        <v>3707.2</v>
      </c>
      <c r="D17" s="557">
        <f t="shared" si="2"/>
        <v>3963.4139999999998</v>
      </c>
      <c r="E17" s="557">
        <f t="shared" si="2"/>
        <v>4231.2822600000018</v>
      </c>
      <c r="F17" s="557">
        <f t="shared" si="2"/>
        <v>4518.1162542000011</v>
      </c>
      <c r="G17" s="557">
        <f t="shared" si="2"/>
        <v>4832.2109894700006</v>
      </c>
      <c r="H17" s="558">
        <f t="shared" si="2"/>
        <v>5161.4392328603417</v>
      </c>
      <c r="N17" s="504">
        <f>D17/C17</f>
        <v>1.0691125377643504</v>
      </c>
      <c r="O17" s="504">
        <f>E17/D17</f>
        <v>1.0675852333367148</v>
      </c>
      <c r="P17" s="504">
        <f>F17/E17</f>
        <v>1.0677889057205083</v>
      </c>
      <c r="Q17" s="504">
        <f>G17/F17</f>
        <v>1.0695189582556712</v>
      </c>
      <c r="R17" s="504">
        <f>H17/G17</f>
        <v>1.0681320091584932</v>
      </c>
      <c r="S17" s="504"/>
    </row>
    <row r="18" spans="1:35" x14ac:dyDescent="0.2">
      <c r="A18" s="519">
        <f t="shared" si="0"/>
        <v>9</v>
      </c>
      <c r="B18" s="565" t="s">
        <v>2908</v>
      </c>
      <c r="C18" s="557">
        <f t="shared" ref="C18:H18" si="3">C19+C20+C21+C22+C23</f>
        <v>3707.2</v>
      </c>
      <c r="D18" s="557">
        <f t="shared" si="3"/>
        <v>3963.4139999999998</v>
      </c>
      <c r="E18" s="557">
        <f t="shared" si="3"/>
        <v>4231.2822600000018</v>
      </c>
      <c r="F18" s="557">
        <f t="shared" si="3"/>
        <v>4518.1162542000011</v>
      </c>
      <c r="G18" s="557">
        <f t="shared" si="3"/>
        <v>4832.2109894700006</v>
      </c>
      <c r="H18" s="558">
        <f t="shared" si="3"/>
        <v>5161.4392328603417</v>
      </c>
      <c r="N18" s="490"/>
      <c r="O18" s="490"/>
    </row>
    <row r="19" spans="1:35" s="449" customFormat="1" x14ac:dyDescent="0.2">
      <c r="A19" s="559">
        <f t="shared" si="0"/>
        <v>10</v>
      </c>
      <c r="B19" s="560" t="s">
        <v>2770</v>
      </c>
      <c r="C19" s="561">
        <f t="shared" ref="C19:H19" si="4">C5*0.2</f>
        <v>741.44</v>
      </c>
      <c r="D19" s="561">
        <f t="shared" si="4"/>
        <v>792.68280000000004</v>
      </c>
      <c r="E19" s="561">
        <f t="shared" si="4"/>
        <v>846.25645200000019</v>
      </c>
      <c r="F19" s="561">
        <f t="shared" si="4"/>
        <v>903.62325084000031</v>
      </c>
      <c r="G19" s="561">
        <f t="shared" si="4"/>
        <v>966.44219789400017</v>
      </c>
      <c r="H19" s="562">
        <f t="shared" si="4"/>
        <v>1032.2878465720685</v>
      </c>
      <c r="N19" s="566">
        <f>0.2+0.442+0.334+0.024</f>
        <v>1</v>
      </c>
      <c r="O19" s="566">
        <f>1-N19</f>
        <v>0</v>
      </c>
      <c r="P19" s="567"/>
    </row>
    <row r="20" spans="1:35" x14ac:dyDescent="0.2">
      <c r="A20" s="519">
        <f t="shared" si="0"/>
        <v>11</v>
      </c>
      <c r="B20" s="560" t="s">
        <v>2772</v>
      </c>
      <c r="C20" s="557">
        <f t="shared" ref="C20:H20" si="5">C5*0.442</f>
        <v>1638.5824</v>
      </c>
      <c r="D20" s="557">
        <f t="shared" si="5"/>
        <v>1751.8289880000002</v>
      </c>
      <c r="E20" s="557">
        <f t="shared" si="5"/>
        <v>1870.2267589200003</v>
      </c>
      <c r="F20" s="557">
        <f t="shared" si="5"/>
        <v>1997.0073843564005</v>
      </c>
      <c r="G20" s="557">
        <f t="shared" si="5"/>
        <v>2135.8372573457405</v>
      </c>
      <c r="H20" s="558">
        <f t="shared" si="5"/>
        <v>2281.3561409242711</v>
      </c>
      <c r="N20" s="490"/>
      <c r="O20" s="490"/>
      <c r="P20" s="496"/>
    </row>
    <row r="21" spans="1:35" x14ac:dyDescent="0.2">
      <c r="A21" s="519">
        <f t="shared" si="0"/>
        <v>12</v>
      </c>
      <c r="B21" s="560" t="s">
        <v>2774</v>
      </c>
      <c r="C21" s="557">
        <f t="shared" ref="C21:H21" si="6">C5*0.334</f>
        <v>1238.2048</v>
      </c>
      <c r="D21" s="557">
        <f t="shared" si="6"/>
        <v>1323.7802760000002</v>
      </c>
      <c r="E21" s="557">
        <f t="shared" si="6"/>
        <v>1413.2482748400005</v>
      </c>
      <c r="F21" s="557">
        <f t="shared" si="6"/>
        <v>1509.0508289028005</v>
      </c>
      <c r="G21" s="557">
        <f t="shared" si="6"/>
        <v>1613.9584704829804</v>
      </c>
      <c r="H21" s="558">
        <f t="shared" si="6"/>
        <v>1723.9207037753542</v>
      </c>
      <c r="N21" s="490"/>
      <c r="O21" s="490"/>
      <c r="P21" s="496"/>
    </row>
    <row r="22" spans="1:35" x14ac:dyDescent="0.2">
      <c r="A22" s="519">
        <f t="shared" si="0"/>
        <v>13</v>
      </c>
      <c r="B22" s="564" t="s">
        <v>2905</v>
      </c>
      <c r="C22" s="557">
        <v>0</v>
      </c>
      <c r="D22" s="557">
        <v>0</v>
      </c>
      <c r="E22" s="557">
        <v>0</v>
      </c>
      <c r="F22" s="557">
        <v>0</v>
      </c>
      <c r="G22" s="557">
        <v>0</v>
      </c>
      <c r="H22" s="558">
        <v>0</v>
      </c>
      <c r="N22" s="490"/>
      <c r="O22" s="490"/>
    </row>
    <row r="23" spans="1:35" x14ac:dyDescent="0.2">
      <c r="A23" s="519">
        <f t="shared" si="0"/>
        <v>14</v>
      </c>
      <c r="B23" s="564" t="s">
        <v>2906</v>
      </c>
      <c r="C23" s="557">
        <f t="shared" ref="C23:H23" si="7">C5-C19-C20-C21</f>
        <v>88.972799999999779</v>
      </c>
      <c r="D23" s="557">
        <f t="shared" si="7"/>
        <v>95.121935999999778</v>
      </c>
      <c r="E23" s="557">
        <f t="shared" si="7"/>
        <v>101.55077424000001</v>
      </c>
      <c r="F23" s="557">
        <f t="shared" si="7"/>
        <v>108.43479010079977</v>
      </c>
      <c r="G23" s="557">
        <f t="shared" si="7"/>
        <v>115.97306374727987</v>
      </c>
      <c r="H23" s="558">
        <f t="shared" si="7"/>
        <v>123.87454158864762</v>
      </c>
      <c r="N23" s="490"/>
      <c r="O23" s="490"/>
    </row>
    <row r="24" spans="1:35" x14ac:dyDescent="0.2">
      <c r="A24" s="519">
        <f t="shared" si="0"/>
        <v>15</v>
      </c>
      <c r="B24" s="565" t="s">
        <v>2909</v>
      </c>
      <c r="C24" s="557">
        <v>0</v>
      </c>
      <c r="D24" s="557">
        <v>0</v>
      </c>
      <c r="E24" s="557">
        <f>D24*1.05</f>
        <v>0</v>
      </c>
      <c r="F24" s="557">
        <f>E24*1.05</f>
        <v>0</v>
      </c>
      <c r="G24" s="557">
        <f>F24*1.05</f>
        <v>0</v>
      </c>
      <c r="H24" s="558">
        <f>G24*1.05</f>
        <v>0</v>
      </c>
      <c r="N24" s="490"/>
      <c r="O24" s="490"/>
    </row>
    <row r="25" spans="1:35" x14ac:dyDescent="0.2">
      <c r="A25" s="519">
        <f t="shared" si="0"/>
        <v>16</v>
      </c>
      <c r="B25" s="452" t="s">
        <v>2910</v>
      </c>
      <c r="C25" s="557">
        <f t="shared" ref="C25:H25" si="8">C11-C17</f>
        <v>412.69999999999982</v>
      </c>
      <c r="D25" s="557">
        <f t="shared" si="8"/>
        <v>414.49000000000069</v>
      </c>
      <c r="E25" s="557">
        <f t="shared" si="8"/>
        <v>170.82646780487266</v>
      </c>
      <c r="F25" s="557">
        <f t="shared" si="8"/>
        <v>295.51753148280841</v>
      </c>
      <c r="G25" s="557">
        <f t="shared" si="8"/>
        <v>266.94984460896922</v>
      </c>
      <c r="H25" s="558">
        <f t="shared" si="8"/>
        <v>-178.26061914234924</v>
      </c>
      <c r="N25" s="490"/>
      <c r="O25" s="490"/>
    </row>
    <row r="26" spans="1:35" x14ac:dyDescent="0.2">
      <c r="A26" s="519">
        <f t="shared" si="0"/>
        <v>17</v>
      </c>
      <c r="B26" s="452" t="s">
        <v>2911</v>
      </c>
      <c r="C26" s="557">
        <f>'У pril_10'!D41</f>
        <v>151</v>
      </c>
      <c r="D26" s="557">
        <f>'У pril_10'!E41</f>
        <v>118.5</v>
      </c>
      <c r="E26" s="557">
        <f>'У pril_10'!F41</f>
        <v>104.2</v>
      </c>
      <c r="F26" s="557">
        <f>'У pril_10'!G41</f>
        <v>91.8</v>
      </c>
      <c r="G26" s="557">
        <f>'У pril_10'!H41</f>
        <v>80.8</v>
      </c>
      <c r="H26" s="558">
        <f>'У pril_10'!I41</f>
        <v>72.3</v>
      </c>
      <c r="N26" s="490"/>
      <c r="O26" s="490"/>
    </row>
    <row r="27" spans="1:35" s="449" customFormat="1" x14ac:dyDescent="0.2">
      <c r="A27" s="559">
        <f t="shared" si="0"/>
        <v>18</v>
      </c>
      <c r="B27" s="471" t="s">
        <v>2912</v>
      </c>
      <c r="C27" s="561">
        <f>'У pril_10'!D43</f>
        <v>151</v>
      </c>
      <c r="D27" s="561">
        <f>'У pril_10'!E43</f>
        <v>118.5</v>
      </c>
      <c r="E27" s="561">
        <f>'У pril_10'!F43</f>
        <v>104.2</v>
      </c>
      <c r="F27" s="561">
        <f>'У pril_10'!G43</f>
        <v>91.8</v>
      </c>
      <c r="G27" s="561">
        <f>'У pril_10'!H43</f>
        <v>80.8</v>
      </c>
      <c r="H27" s="562">
        <f>'У pril_10'!I43</f>
        <v>72.3</v>
      </c>
      <c r="N27" s="563"/>
      <c r="O27" s="563"/>
    </row>
    <row r="28" spans="1:35" x14ac:dyDescent="0.2">
      <c r="A28" s="519">
        <f t="shared" si="0"/>
        <v>19</v>
      </c>
      <c r="B28" s="452" t="s">
        <v>2810</v>
      </c>
      <c r="C28" s="557">
        <f t="shared" ref="C28:H28" si="9">(C25-C26)*0.2</f>
        <v>52.339999999999968</v>
      </c>
      <c r="D28" s="557">
        <f t="shared" si="9"/>
        <v>59.198000000000143</v>
      </c>
      <c r="E28" s="557">
        <f t="shared" si="9"/>
        <v>13.325293560974533</v>
      </c>
      <c r="F28" s="557">
        <f t="shared" si="9"/>
        <v>40.743506296561684</v>
      </c>
      <c r="G28" s="557">
        <f t="shared" si="9"/>
        <v>37.229968921793841</v>
      </c>
      <c r="H28" s="558">
        <f t="shared" si="9"/>
        <v>-50.112123828469855</v>
      </c>
      <c r="N28" s="490"/>
      <c r="O28" s="490"/>
    </row>
    <row r="29" spans="1:35" x14ac:dyDescent="0.2">
      <c r="A29" s="519">
        <f t="shared" si="0"/>
        <v>20</v>
      </c>
      <c r="B29" s="452" t="s">
        <v>2913</v>
      </c>
      <c r="C29" s="557">
        <f t="shared" ref="C29:H29" si="10">C25-C26-C28</f>
        <v>209.35999999999984</v>
      </c>
      <c r="D29" s="557">
        <f t="shared" si="10"/>
        <v>236.79200000000054</v>
      </c>
      <c r="E29" s="557">
        <f t="shared" si="10"/>
        <v>53.301174243898132</v>
      </c>
      <c r="F29" s="557">
        <f t="shared" si="10"/>
        <v>162.97402518624671</v>
      </c>
      <c r="G29" s="557">
        <f t="shared" si="10"/>
        <v>148.91987568717536</v>
      </c>
      <c r="H29" s="558">
        <f t="shared" si="10"/>
        <v>-200.44849531387939</v>
      </c>
      <c r="N29" s="490">
        <f t="shared" ref="N29:S29" si="11">C29/C11*100</f>
        <v>5.0816767397266895</v>
      </c>
      <c r="O29" s="490">
        <f t="shared" si="11"/>
        <v>5.4087983656105871</v>
      </c>
      <c r="P29" s="490">
        <f t="shared" si="11"/>
        <v>1.2108100353640501</v>
      </c>
      <c r="Q29" s="490">
        <f t="shared" si="11"/>
        <v>3.3856756131091723</v>
      </c>
      <c r="R29" s="490">
        <f t="shared" si="11"/>
        <v>2.9204781047874881</v>
      </c>
      <c r="S29" s="490">
        <f t="shared" si="11"/>
        <v>-4.022502720694634</v>
      </c>
    </row>
    <row r="30" spans="1:35" ht="25.5" x14ac:dyDescent="0.2">
      <c r="A30" s="519">
        <f t="shared" si="0"/>
        <v>21</v>
      </c>
      <c r="B30" s="457" t="s">
        <v>2914</v>
      </c>
      <c r="C30" s="557">
        <f t="shared" ref="C30:H30" si="12">C29</f>
        <v>209.35999999999984</v>
      </c>
      <c r="D30" s="557">
        <f t="shared" si="12"/>
        <v>236.79200000000054</v>
      </c>
      <c r="E30" s="557">
        <f t="shared" si="12"/>
        <v>53.301174243898132</v>
      </c>
      <c r="F30" s="557">
        <f t="shared" si="12"/>
        <v>162.97402518624671</v>
      </c>
      <c r="G30" s="557">
        <f t="shared" si="12"/>
        <v>148.91987568717536</v>
      </c>
      <c r="H30" s="558">
        <f t="shared" si="12"/>
        <v>-200.44849531387939</v>
      </c>
    </row>
    <row r="31" spans="1:35" x14ac:dyDescent="0.2">
      <c r="A31" s="519">
        <f t="shared" si="0"/>
        <v>22</v>
      </c>
      <c r="B31" s="452" t="s">
        <v>2915</v>
      </c>
      <c r="C31" s="557"/>
      <c r="D31" s="557"/>
      <c r="E31" s="557"/>
      <c r="F31" s="557"/>
      <c r="G31" s="557"/>
      <c r="H31" s="456"/>
      <c r="N31" s="504">
        <f t="shared" ref="N31:S31" si="13">D32/C32</f>
        <v>1.116389332473144</v>
      </c>
      <c r="O31" s="504">
        <f t="shared" si="13"/>
        <v>1.0273592347018028</v>
      </c>
      <c r="P31" s="504">
        <f t="shared" si="13"/>
        <v>1.063899258029934</v>
      </c>
      <c r="Q31" s="504">
        <f t="shared" si="13"/>
        <v>1.0728442019961242</v>
      </c>
      <c r="R31" s="504">
        <f t="shared" si="13"/>
        <v>0.99320771206869529</v>
      </c>
      <c r="S31" s="504">
        <f t="shared" si="13"/>
        <v>0</v>
      </c>
    </row>
    <row r="32" spans="1:35" x14ac:dyDescent="0.2">
      <c r="A32" s="519">
        <f t="shared" si="0"/>
        <v>23</v>
      </c>
      <c r="B32" s="452" t="s">
        <v>2916</v>
      </c>
      <c r="C32" s="557">
        <f t="shared" ref="C32:H32" si="14">C33+C34+C35+C36+C37</f>
        <v>3864.5000000000005</v>
      </c>
      <c r="D32" s="557">
        <f t="shared" si="14"/>
        <v>4314.2865753424658</v>
      </c>
      <c r="E32" s="557">
        <f t="shared" si="14"/>
        <v>4432.322154328097</v>
      </c>
      <c r="F32" s="557">
        <f t="shared" si="14"/>
        <v>4715.5442513393009</v>
      </c>
      <c r="G32" s="557">
        <f t="shared" si="14"/>
        <v>5059.0443093055228</v>
      </c>
      <c r="H32" s="558">
        <f t="shared" si="14"/>
        <v>5024.6818236994914</v>
      </c>
      <c r="N32" s="568">
        <f t="shared" ref="N32:S32" si="15">C32-C11</f>
        <v>-255.39999999999918</v>
      </c>
      <c r="O32" s="568">
        <f t="shared" si="15"/>
        <v>-63.617424657534684</v>
      </c>
      <c r="P32" s="568">
        <f t="shared" si="15"/>
        <v>30.213426523222552</v>
      </c>
      <c r="Q32" s="568">
        <f t="shared" si="15"/>
        <v>-98.089534343508603</v>
      </c>
      <c r="R32" s="568">
        <f t="shared" si="15"/>
        <v>-40.116524773447054</v>
      </c>
      <c r="S32" s="568">
        <f t="shared" si="15"/>
        <v>41.503209981498912</v>
      </c>
      <c r="T32" s="490"/>
      <c r="U32" s="490">
        <f t="shared" ref="U32:AI32" si="16">J32-J11</f>
        <v>0</v>
      </c>
      <c r="V32" s="490">
        <f t="shared" si="16"/>
        <v>0</v>
      </c>
      <c r="W32" s="490">
        <f t="shared" si="16"/>
        <v>0</v>
      </c>
      <c r="X32" s="490">
        <f t="shared" si="16"/>
        <v>0</v>
      </c>
      <c r="Y32" s="490">
        <f t="shared" si="16"/>
        <v>-256.46262385009265</v>
      </c>
      <c r="Z32" s="490">
        <f t="shared" si="16"/>
        <v>-64.622953496861655</v>
      </c>
      <c r="AA32" s="490">
        <f t="shared" si="16"/>
        <v>29.119942903593024</v>
      </c>
      <c r="AB32" s="490">
        <f t="shared" si="16"/>
        <v>-99.148850664838534</v>
      </c>
      <c r="AC32" s="490">
        <f t="shared" si="16"/>
        <v>-41.093779419037787</v>
      </c>
      <c r="AD32" s="490">
        <f t="shared" si="16"/>
        <v>41.503209981498912</v>
      </c>
      <c r="AE32" s="490">
        <f t="shared" si="16"/>
        <v>0</v>
      </c>
      <c r="AF32" s="490">
        <f t="shared" si="16"/>
        <v>0</v>
      </c>
      <c r="AG32" s="490">
        <f t="shared" si="16"/>
        <v>0</v>
      </c>
      <c r="AH32" s="490">
        <f t="shared" si="16"/>
        <v>0</v>
      </c>
      <c r="AI32" s="490">
        <f t="shared" si="16"/>
        <v>0</v>
      </c>
    </row>
    <row r="33" spans="1:19" s="449" customFormat="1" x14ac:dyDescent="0.2">
      <c r="A33" s="559">
        <f t="shared" si="0"/>
        <v>24</v>
      </c>
      <c r="B33" s="560" t="s">
        <v>2770</v>
      </c>
      <c r="C33" s="561">
        <f t="shared" ref="C33:H33" si="17">C12</f>
        <v>1381</v>
      </c>
      <c r="D33" s="561">
        <f t="shared" si="17"/>
        <v>1477.67</v>
      </c>
      <c r="E33" s="561">
        <f t="shared" si="17"/>
        <v>1330.8606878048749</v>
      </c>
      <c r="F33" s="561">
        <f t="shared" si="17"/>
        <v>1559.7580488828085</v>
      </c>
      <c r="G33" s="561">
        <f t="shared" si="17"/>
        <v>1651.6050416629682</v>
      </c>
      <c r="H33" s="562">
        <f t="shared" si="17"/>
        <v>1290.2206365504708</v>
      </c>
      <c r="I33" s="424"/>
      <c r="N33" s="569">
        <f>N32+'У pril_10'!D56</f>
        <v>8.2422957348171622E-13</v>
      </c>
      <c r="O33" s="569">
        <f>O32+'У pril_10'!E56</f>
        <v>-2.2737367544323206E-13</v>
      </c>
      <c r="P33" s="569">
        <f>P32+'У pril_10'!F56</f>
        <v>6.8212102632969618E-13</v>
      </c>
      <c r="Q33" s="569">
        <f>Q32+'У pril_10'!G56</f>
        <v>-6.8212102632969618E-13</v>
      </c>
      <c r="R33" s="569">
        <f>R32+'У pril_10'!H56</f>
        <v>-6.8212102632969618E-13</v>
      </c>
      <c r="S33" s="569">
        <f>S32+'У pril_10'!I56</f>
        <v>2.2737367544323206E-13</v>
      </c>
    </row>
    <row r="34" spans="1:19" x14ac:dyDescent="0.2">
      <c r="A34" s="519">
        <f t="shared" si="0"/>
        <v>25</v>
      </c>
      <c r="B34" s="564" t="s">
        <v>2772</v>
      </c>
      <c r="C34" s="561">
        <f>C13-'У pril_10'!D56*'У pril_12'!$N$34</f>
        <v>1247.5520459412107</v>
      </c>
      <c r="D34" s="561">
        <f>D13-'У pril_10'!E56*'У pril_12'!$N$34</f>
        <v>1434.106449142269</v>
      </c>
      <c r="E34" s="561">
        <f>E13-'У pril_10'!F56*'У pril_12'!$N$34</f>
        <v>1572.8184507465912</v>
      </c>
      <c r="F34" s="561">
        <f>F13-'У pril_10'!G56*'У pril_12'!$N$34</f>
        <v>1597.0106563802763</v>
      </c>
      <c r="G34" s="561">
        <f>G13-'У pril_10'!H56*'У pril_12'!$N$34</f>
        <v>1727.2728048434783</v>
      </c>
      <c r="H34" s="562">
        <f>H13-'У pril_10'!I56*'У pril_12'!$N$34</f>
        <v>1876.2283181066955</v>
      </c>
      <c r="N34" s="504">
        <f>C13/(C13+C14)</f>
        <v>0.53934202842125756</v>
      </c>
      <c r="O34" s="490"/>
    </row>
    <row r="35" spans="1:19" x14ac:dyDescent="0.2">
      <c r="A35" s="519">
        <f t="shared" si="0"/>
        <v>26</v>
      </c>
      <c r="B35" s="564" t="s">
        <v>2774</v>
      </c>
      <c r="C35" s="561">
        <f>C14-'У pril_10'!D56*'У pril_12'!$N$35</f>
        <v>1065.5479540587892</v>
      </c>
      <c r="D35" s="561">
        <f>D14-'У pril_10'!E56*'У pril_12'!$N$35</f>
        <v>1224.8861262001967</v>
      </c>
      <c r="E35" s="561">
        <f>E14-'У pril_10'!F56*'У pril_12'!$N$35</f>
        <v>1343.3615757766308</v>
      </c>
      <c r="F35" s="561">
        <f>F14-'У pril_10'!G56*'У pril_12'!$N$35</f>
        <v>1364.0244052762164</v>
      </c>
      <c r="G35" s="561">
        <f>G14-'У pril_10'!H56*'У pril_12'!$N$35</f>
        <v>1475.2827421430761</v>
      </c>
      <c r="H35" s="562">
        <f>H14-'У pril_10'!I56*'У pril_12'!$N$35</f>
        <v>1602.5072879404042</v>
      </c>
      <c r="N35" s="504">
        <f>1-N34</f>
        <v>0.46065797157874244</v>
      </c>
      <c r="O35" s="490"/>
    </row>
    <row r="36" spans="1:19" x14ac:dyDescent="0.2">
      <c r="A36" s="519">
        <f t="shared" si="0"/>
        <v>27</v>
      </c>
      <c r="B36" s="564" t="s">
        <v>2905</v>
      </c>
      <c r="C36" s="561">
        <f t="shared" ref="C36:H37" si="18">C15</f>
        <v>0</v>
      </c>
      <c r="D36" s="561">
        <f t="shared" si="18"/>
        <v>0</v>
      </c>
      <c r="E36" s="561">
        <f t="shared" si="18"/>
        <v>0</v>
      </c>
      <c r="F36" s="561">
        <f t="shared" si="18"/>
        <v>0</v>
      </c>
      <c r="G36" s="561">
        <f t="shared" si="18"/>
        <v>0</v>
      </c>
      <c r="H36" s="562">
        <f t="shared" si="18"/>
        <v>0</v>
      </c>
      <c r="N36" s="490"/>
      <c r="O36" s="490"/>
    </row>
    <row r="37" spans="1:19" x14ac:dyDescent="0.2">
      <c r="A37" s="519">
        <f t="shared" si="0"/>
        <v>28</v>
      </c>
      <c r="B37" s="564" t="s">
        <v>2906</v>
      </c>
      <c r="C37" s="561">
        <f t="shared" si="18"/>
        <v>170.4</v>
      </c>
      <c r="D37" s="561">
        <f t="shared" si="18"/>
        <v>177.62400000000002</v>
      </c>
      <c r="E37" s="561">
        <f t="shared" si="18"/>
        <v>185.28144</v>
      </c>
      <c r="F37" s="561">
        <f t="shared" si="18"/>
        <v>194.7511408</v>
      </c>
      <c r="G37" s="561">
        <f t="shared" si="18"/>
        <v>204.88372065600001</v>
      </c>
      <c r="H37" s="562">
        <f t="shared" si="18"/>
        <v>255.72558110192003</v>
      </c>
      <c r="N37" s="504">
        <f t="shared" ref="N37:S37" si="19">D38/C38</f>
        <v>1.1486770055182594</v>
      </c>
      <c r="O37" s="504">
        <f t="shared" si="19"/>
        <v>1.0241187882593441</v>
      </c>
      <c r="P37" s="504">
        <f t="shared" si="19"/>
        <v>1.0746336876562887</v>
      </c>
      <c r="Q37" s="504">
        <f t="shared" si="19"/>
        <v>1.094331831295988</v>
      </c>
      <c r="R37" s="504">
        <f t="shared" si="19"/>
        <v>0.97187507095733738</v>
      </c>
      <c r="S37" s="504">
        <f t="shared" si="19"/>
        <v>0</v>
      </c>
    </row>
    <row r="38" spans="1:19" x14ac:dyDescent="0.2">
      <c r="A38" s="519">
        <f t="shared" si="0"/>
        <v>29</v>
      </c>
      <c r="B38" s="452" t="s">
        <v>2917</v>
      </c>
      <c r="C38" s="561">
        <f t="shared" ref="C38:H38" si="20">C39+C45+C46</f>
        <v>3291.3399999999997</v>
      </c>
      <c r="D38" s="557">
        <f t="shared" si="20"/>
        <v>3780.6865753424672</v>
      </c>
      <c r="E38" s="557">
        <f t="shared" si="20"/>
        <v>3871.8721543280967</v>
      </c>
      <c r="F38" s="557">
        <f t="shared" si="20"/>
        <v>4160.844251339302</v>
      </c>
      <c r="G38" s="557">
        <f t="shared" si="20"/>
        <v>4553.3443093055221</v>
      </c>
      <c r="H38" s="558">
        <f t="shared" si="20"/>
        <v>4425.2818236994926</v>
      </c>
      <c r="N38" s="568">
        <f>C39-(C17-'У pril_10'!D28)</f>
        <v>-309.00000000000045</v>
      </c>
      <c r="O38" s="568">
        <f>D39-(D17-'У pril_10'!E28)</f>
        <v>-34.715424657532822</v>
      </c>
      <c r="P38" s="568">
        <f>E39-(E17-'У pril_10'!F28)</f>
        <v>-141.45409923287934</v>
      </c>
      <c r="Q38" s="568">
        <f>F39-(F17-'У pril_10'!G28)</f>
        <v>-144.26977015726015</v>
      </c>
      <c r="R38" s="568">
        <f>G39-(G17-'У pril_10'!H28)</f>
        <v>-34.073623136272545</v>
      </c>
      <c r="S38" s="568">
        <f>H39-(H17-'У pril_10'!I28)</f>
        <v>-384.63756860388003</v>
      </c>
    </row>
    <row r="39" spans="1:19" x14ac:dyDescent="0.2">
      <c r="A39" s="519">
        <f t="shared" si="0"/>
        <v>30</v>
      </c>
      <c r="B39" s="565" t="s">
        <v>2918</v>
      </c>
      <c r="C39" s="561">
        <f t="shared" ref="C39:H39" si="21">C40+C41+C42+C43+C44</f>
        <v>3087.9999999999995</v>
      </c>
      <c r="D39" s="557">
        <f t="shared" si="21"/>
        <v>3602.9885753424669</v>
      </c>
      <c r="E39" s="557">
        <f t="shared" si="21"/>
        <v>3754.3468607671225</v>
      </c>
      <c r="F39" s="557">
        <f t="shared" si="21"/>
        <v>4028.3007450427408</v>
      </c>
      <c r="G39" s="557">
        <f t="shared" si="21"/>
        <v>4435.3143403837284</v>
      </c>
      <c r="H39" s="558">
        <f t="shared" si="21"/>
        <v>4403.093947527962</v>
      </c>
      <c r="N39" s="569">
        <f>N38+'У pril_10'!D60</f>
        <v>-4.5474735088646412E-13</v>
      </c>
      <c r="O39" s="569">
        <f>O38+'У pril_10'!E60</f>
        <v>5.6843418860808015E-13</v>
      </c>
      <c r="P39" s="569">
        <f>P38+'У pril_10'!F60</f>
        <v>-1.2505552149377763E-12</v>
      </c>
      <c r="Q39" s="569">
        <f>Q38+'У pril_10'!G60</f>
        <v>4.5474735088646412E-13</v>
      </c>
      <c r="R39" s="569">
        <f>R38+'У pril_10'!H60</f>
        <v>2.2737367544323206E-13</v>
      </c>
      <c r="S39" s="569">
        <f>S38+'У pril_10'!I60</f>
        <v>0</v>
      </c>
    </row>
    <row r="40" spans="1:19" x14ac:dyDescent="0.2">
      <c r="A40" s="519">
        <f t="shared" si="0"/>
        <v>31</v>
      </c>
      <c r="B40" s="560" t="s">
        <v>2770</v>
      </c>
      <c r="C40" s="561">
        <f>C19-'У pril_10'!D28*0.2</f>
        <v>679.40000000000009</v>
      </c>
      <c r="D40" s="561">
        <f>D19-'У pril_10'!E28*0.2</f>
        <v>727.54079999999999</v>
      </c>
      <c r="E40" s="561">
        <f>E19-'У pril_10'!F28*0.2</f>
        <v>779.16019200000017</v>
      </c>
      <c r="F40" s="561">
        <f>F19-'У pril_10'!G28*0.2</f>
        <v>834.51410304000035</v>
      </c>
      <c r="G40" s="561">
        <f>G19-'У pril_10'!H28*0.2</f>
        <v>893.87759270400022</v>
      </c>
      <c r="H40" s="562">
        <f>H19-'У pril_10'!I28*0.2</f>
        <v>957.54630322636854</v>
      </c>
      <c r="N40" s="490"/>
      <c r="O40" s="490"/>
    </row>
    <row r="41" spans="1:19" x14ac:dyDescent="0.2">
      <c r="A41" s="519">
        <f t="shared" si="0"/>
        <v>32</v>
      </c>
      <c r="B41" s="560" t="s">
        <v>2772</v>
      </c>
      <c r="C41" s="561">
        <f>C20-'У pril_10'!D60*$N$41-'У pril_10'!D28*0.442</f>
        <v>1334.8173132178313</v>
      </c>
      <c r="D41" s="561">
        <f>D20-'У pril_10'!E60*$N$41-'У pril_10'!E28*0.442</f>
        <v>1589.1416804477008</v>
      </c>
      <c r="E41" s="561">
        <f>E20-'У pril_10'!F60*$N$41-'У pril_10'!F28*0.442</f>
        <v>1645.6518835112381</v>
      </c>
      <c r="F41" s="561">
        <f>F20-'У pril_10'!G60*$N$41-'У pril_10'!G28*0.442</f>
        <v>1766.465417241915</v>
      </c>
      <c r="G41" s="561">
        <f>G20-'У pril_10'!H60*$N$41-'У pril_10'!H28*0.442</f>
        <v>1957.0921428578617</v>
      </c>
      <c r="H41" s="562">
        <f>H20-'У pril_10'!I60*$N$41-'У pril_10'!I28*0.442</f>
        <v>1908.7261236724371</v>
      </c>
      <c r="N41" s="504">
        <f>C13/(C13+C14)</f>
        <v>0.53934202842125756</v>
      </c>
      <c r="O41" s="563"/>
      <c r="P41" s="563"/>
      <c r="Q41" s="563"/>
      <c r="R41" s="563"/>
      <c r="S41" s="563"/>
    </row>
    <row r="42" spans="1:19" x14ac:dyDescent="0.2">
      <c r="A42" s="519">
        <f t="shared" si="0"/>
        <v>33</v>
      </c>
      <c r="B42" s="560" t="s">
        <v>2774</v>
      </c>
      <c r="C42" s="561">
        <f>C21-'У pril_10'!D60*$N$42-'У pril_10'!D28*0.334</f>
        <v>992.25468678216862</v>
      </c>
      <c r="D42" s="561">
        <f>D21-'У pril_10'!E60*$N$42-'У pril_10'!E28*0.334</f>
        <v>1199.0011988947663</v>
      </c>
      <c r="E42" s="561">
        <f>E21-'У pril_10'!F60*$N$42-'У pril_10'!F28*0.334</f>
        <v>1236.0355622158847</v>
      </c>
      <c r="F42" s="561">
        <f>F21-'У pril_10'!G60*$N$42-'У pril_10'!G28*0.334</f>
        <v>1327.1795323960255</v>
      </c>
      <c r="G42" s="561">
        <f>G21-'У pril_10'!H60*$N$42-'У pril_10'!H28*0.334</f>
        <v>1477.0792936973864</v>
      </c>
      <c r="H42" s="562">
        <f>H21-'У pril_10'!I60*$N$42-'У pril_10'!I28*0.334</f>
        <v>1421.9159642419925</v>
      </c>
      <c r="N42" s="504">
        <f>1-N41</f>
        <v>0.46065797157874244</v>
      </c>
      <c r="O42" s="563"/>
      <c r="P42" s="563"/>
      <c r="Q42" s="563"/>
      <c r="R42" s="563"/>
      <c r="S42" s="563"/>
    </row>
    <row r="43" spans="1:19" x14ac:dyDescent="0.2">
      <c r="A43" s="519">
        <f t="shared" si="0"/>
        <v>34</v>
      </c>
      <c r="B43" s="564" t="s">
        <v>2905</v>
      </c>
      <c r="C43" s="557">
        <f t="shared" ref="C43:H43" si="22">C22</f>
        <v>0</v>
      </c>
      <c r="D43" s="557">
        <f t="shared" si="22"/>
        <v>0</v>
      </c>
      <c r="E43" s="557">
        <f t="shared" si="22"/>
        <v>0</v>
      </c>
      <c r="F43" s="557">
        <f t="shared" si="22"/>
        <v>0</v>
      </c>
      <c r="G43" s="557">
        <f t="shared" si="22"/>
        <v>0</v>
      </c>
      <c r="H43" s="558">
        <f t="shared" si="22"/>
        <v>0</v>
      </c>
      <c r="N43" s="490"/>
      <c r="O43" s="490"/>
    </row>
    <row r="44" spans="1:19" x14ac:dyDescent="0.2">
      <c r="A44" s="519">
        <f t="shared" si="0"/>
        <v>35</v>
      </c>
      <c r="B44" s="564" t="s">
        <v>2906</v>
      </c>
      <c r="C44" s="557">
        <f>C23-'У pril_10'!D28*0.024</f>
        <v>81.527999999999778</v>
      </c>
      <c r="D44" s="557">
        <f>D23-'У pril_10'!E28*0.024</f>
        <v>87.304895999999772</v>
      </c>
      <c r="E44" s="557">
        <f>E23-'У pril_10'!F28*0.024</f>
        <v>93.499223040000004</v>
      </c>
      <c r="F44" s="557">
        <f>F23-'У pril_10'!G28*0.024</f>
        <v>100.14169236479978</v>
      </c>
      <c r="G44" s="557">
        <f>G23-'У pril_10'!H28*0.024</f>
        <v>107.26531112447987</v>
      </c>
      <c r="H44" s="558">
        <f>H23-'У pril_10'!I28*0.024</f>
        <v>114.90555638716361</v>
      </c>
      <c r="N44" s="490"/>
      <c r="O44" s="490"/>
    </row>
    <row r="45" spans="1:19" x14ac:dyDescent="0.2">
      <c r="A45" s="519">
        <f t="shared" si="0"/>
        <v>36</v>
      </c>
      <c r="B45" s="565" t="s">
        <v>2810</v>
      </c>
      <c r="C45" s="557">
        <f t="shared" ref="C45:H45" si="23">C28</f>
        <v>52.339999999999968</v>
      </c>
      <c r="D45" s="557">
        <f t="shared" si="23"/>
        <v>59.198000000000143</v>
      </c>
      <c r="E45" s="557">
        <f t="shared" si="23"/>
        <v>13.325293560974533</v>
      </c>
      <c r="F45" s="557">
        <f t="shared" si="23"/>
        <v>40.743506296561684</v>
      </c>
      <c r="G45" s="557">
        <f t="shared" si="23"/>
        <v>37.229968921793841</v>
      </c>
      <c r="H45" s="558">
        <f t="shared" si="23"/>
        <v>-50.112123828469855</v>
      </c>
      <c r="N45" s="490"/>
      <c r="O45" s="490"/>
    </row>
    <row r="46" spans="1:19" s="449" customFormat="1" x14ac:dyDescent="0.2">
      <c r="A46" s="559">
        <f t="shared" si="0"/>
        <v>37</v>
      </c>
      <c r="B46" s="570" t="s">
        <v>2919</v>
      </c>
      <c r="C46" s="561">
        <f t="shared" ref="C46:H46" si="24">C27</f>
        <v>151</v>
      </c>
      <c r="D46" s="561">
        <f t="shared" si="24"/>
        <v>118.5</v>
      </c>
      <c r="E46" s="561">
        <f t="shared" si="24"/>
        <v>104.2</v>
      </c>
      <c r="F46" s="561">
        <f t="shared" si="24"/>
        <v>91.8</v>
      </c>
      <c r="G46" s="561">
        <f t="shared" si="24"/>
        <v>80.8</v>
      </c>
      <c r="H46" s="562">
        <f t="shared" si="24"/>
        <v>72.3</v>
      </c>
      <c r="N46" s="563"/>
      <c r="O46" s="563"/>
    </row>
    <row r="47" spans="1:19" x14ac:dyDescent="0.2">
      <c r="A47" s="519">
        <f t="shared" si="0"/>
        <v>38</v>
      </c>
      <c r="B47" s="462" t="s">
        <v>2920</v>
      </c>
      <c r="C47" s="571">
        <f t="shared" ref="C47:H47" si="25">C32-C38</f>
        <v>573.16000000000076</v>
      </c>
      <c r="D47" s="571">
        <f t="shared" si="25"/>
        <v>533.59999999999854</v>
      </c>
      <c r="E47" s="571">
        <f t="shared" si="25"/>
        <v>560.45000000000027</v>
      </c>
      <c r="F47" s="571">
        <f t="shared" si="25"/>
        <v>554.69999999999891</v>
      </c>
      <c r="G47" s="571">
        <f t="shared" si="25"/>
        <v>505.70000000000073</v>
      </c>
      <c r="H47" s="572">
        <f t="shared" si="25"/>
        <v>599.39999999999873</v>
      </c>
      <c r="N47" s="568">
        <f>'У pril_10'!D46+'У pril_10'!D28-'У pril_10'!D56+'У pril_10'!D60</f>
        <v>573.15999999999985</v>
      </c>
      <c r="O47" s="568">
        <f>'У pril_10'!E46+'У pril_10'!E28-'У pril_10'!E56+'У pril_10'!E60</f>
        <v>533.59999999999911</v>
      </c>
      <c r="P47" s="568">
        <f>'У pril_10'!F46+'У pril_10'!F28-'У pril_10'!F56+'У pril_10'!F60</f>
        <v>560.44999999999879</v>
      </c>
      <c r="Q47" s="568">
        <f>'У pril_10'!G46+'У pril_10'!G28-'У pril_10'!G56+'У pril_10'!G60</f>
        <v>554.69999999999936</v>
      </c>
      <c r="R47" s="568">
        <f>'У pril_10'!H46+'У pril_10'!H28-'У pril_10'!H56+'У pril_10'!H60</f>
        <v>505.70000000000175</v>
      </c>
      <c r="S47" s="568">
        <f>'У pril_10'!I46+'У pril_10'!I28-'У pril_10'!I56+'У pril_10'!I60</f>
        <v>599.39999999999895</v>
      </c>
    </row>
    <row r="48" spans="1:19" x14ac:dyDescent="0.2">
      <c r="A48" s="519">
        <f t="shared" si="0"/>
        <v>39</v>
      </c>
      <c r="B48" s="452" t="s">
        <v>2921</v>
      </c>
      <c r="C48" s="557"/>
      <c r="D48" s="557"/>
      <c r="E48" s="557"/>
      <c r="F48" s="557"/>
      <c r="G48" s="557"/>
      <c r="H48" s="456"/>
      <c r="N48" s="569">
        <f t="shared" ref="N48:S48" si="26">N47-C47</f>
        <v>-9.0949470177292824E-13</v>
      </c>
      <c r="O48" s="569">
        <f t="shared" si="26"/>
        <v>0</v>
      </c>
      <c r="P48" s="569">
        <f t="shared" si="26"/>
        <v>-1.4779288903810084E-12</v>
      </c>
      <c r="Q48" s="569">
        <f t="shared" si="26"/>
        <v>0</v>
      </c>
      <c r="R48" s="569">
        <f t="shared" si="26"/>
        <v>1.0231815394945443E-12</v>
      </c>
      <c r="S48" s="569">
        <f t="shared" si="26"/>
        <v>0</v>
      </c>
    </row>
    <row r="49" spans="1:15" x14ac:dyDescent="0.2">
      <c r="A49" s="519">
        <f t="shared" si="0"/>
        <v>40</v>
      </c>
      <c r="B49" s="452" t="s">
        <v>2922</v>
      </c>
      <c r="C49" s="557">
        <v>0</v>
      </c>
      <c r="D49" s="557">
        <v>0</v>
      </c>
      <c r="E49" s="557">
        <v>0</v>
      </c>
      <c r="F49" s="557">
        <v>0</v>
      </c>
      <c r="G49" s="557">
        <v>0</v>
      </c>
      <c r="H49" s="558">
        <v>0</v>
      </c>
      <c r="N49" s="490"/>
      <c r="O49" s="490"/>
    </row>
    <row r="50" spans="1:15" x14ac:dyDescent="0.2">
      <c r="A50" s="519">
        <f t="shared" si="0"/>
        <v>41</v>
      </c>
      <c r="B50" s="452" t="s">
        <v>2923</v>
      </c>
      <c r="C50" s="561">
        <f>'У pril_10'!D76</f>
        <v>330.20000000000005</v>
      </c>
      <c r="D50" s="561">
        <f>'У pril_10'!E76</f>
        <v>392.8</v>
      </c>
      <c r="E50" s="561">
        <f>'У pril_10'!F76</f>
        <v>419.65</v>
      </c>
      <c r="F50" s="561">
        <f>'У pril_10'!G76</f>
        <v>452.4</v>
      </c>
      <c r="G50" s="561">
        <f>'У pril_10'!H76</f>
        <v>464.7</v>
      </c>
      <c r="H50" s="562">
        <f>'У pril_10'!I76</f>
        <v>599.4</v>
      </c>
      <c r="N50" s="490"/>
      <c r="O50" s="490"/>
    </row>
    <row r="51" spans="1:15" x14ac:dyDescent="0.2">
      <c r="A51" s="519">
        <f t="shared" si="0"/>
        <v>42</v>
      </c>
      <c r="B51" s="462" t="s">
        <v>2924</v>
      </c>
      <c r="C51" s="571">
        <f t="shared" ref="C51:H51" si="27">C49-C50</f>
        <v>-330.20000000000005</v>
      </c>
      <c r="D51" s="571">
        <f t="shared" si="27"/>
        <v>-392.8</v>
      </c>
      <c r="E51" s="571">
        <f t="shared" si="27"/>
        <v>-419.65</v>
      </c>
      <c r="F51" s="571">
        <f t="shared" si="27"/>
        <v>-452.4</v>
      </c>
      <c r="G51" s="571">
        <f t="shared" si="27"/>
        <v>-464.7</v>
      </c>
      <c r="H51" s="572">
        <f t="shared" si="27"/>
        <v>-599.4</v>
      </c>
      <c r="N51" s="490"/>
      <c r="O51" s="490"/>
    </row>
    <row r="52" spans="1:15" x14ac:dyDescent="0.2">
      <c r="A52" s="519">
        <f t="shared" si="0"/>
        <v>43</v>
      </c>
      <c r="B52" s="452" t="s">
        <v>2925</v>
      </c>
      <c r="C52" s="557"/>
      <c r="D52" s="557"/>
      <c r="E52" s="557"/>
      <c r="F52" s="557"/>
      <c r="G52" s="557"/>
      <c r="H52" s="558"/>
      <c r="N52" s="490"/>
      <c r="O52" s="490"/>
    </row>
    <row r="53" spans="1:15" x14ac:dyDescent="0.2">
      <c r="A53" s="519">
        <f t="shared" si="0"/>
        <v>44</v>
      </c>
      <c r="B53" s="452" t="s">
        <v>2916</v>
      </c>
      <c r="C53" s="557">
        <f t="shared" ref="C53:H53" si="28">C54+C55</f>
        <v>0</v>
      </c>
      <c r="D53" s="557">
        <f t="shared" si="28"/>
        <v>0</v>
      </c>
      <c r="E53" s="557">
        <f t="shared" si="28"/>
        <v>0</v>
      </c>
      <c r="F53" s="557">
        <f t="shared" si="28"/>
        <v>0</v>
      </c>
      <c r="G53" s="557">
        <f t="shared" si="28"/>
        <v>0</v>
      </c>
      <c r="H53" s="558">
        <f t="shared" si="28"/>
        <v>0</v>
      </c>
      <c r="N53" s="490"/>
      <c r="O53" s="490"/>
    </row>
    <row r="54" spans="1:15" x14ac:dyDescent="0.2">
      <c r="A54" s="519">
        <f t="shared" si="0"/>
        <v>45</v>
      </c>
      <c r="B54" s="565" t="s">
        <v>2926</v>
      </c>
      <c r="C54" s="557">
        <v>0</v>
      </c>
      <c r="D54" s="557">
        <v>0</v>
      </c>
      <c r="E54" s="557">
        <v>0</v>
      </c>
      <c r="F54" s="557">
        <v>0</v>
      </c>
      <c r="G54" s="557">
        <v>0</v>
      </c>
      <c r="H54" s="558">
        <v>0</v>
      </c>
      <c r="N54" s="490"/>
      <c r="O54" s="490"/>
    </row>
    <row r="55" spans="1:15" x14ac:dyDescent="0.2">
      <c r="A55" s="519">
        <f t="shared" si="0"/>
        <v>46</v>
      </c>
      <c r="B55" s="565" t="s">
        <v>2927</v>
      </c>
      <c r="C55" s="557">
        <f>'У pril_10'!D61</f>
        <v>0</v>
      </c>
      <c r="D55" s="557">
        <f>'У pril_10'!E61</f>
        <v>0</v>
      </c>
      <c r="E55" s="557">
        <f>'У pril_10'!F61</f>
        <v>0</v>
      </c>
      <c r="F55" s="557">
        <f>'У pril_10'!G61</f>
        <v>0</v>
      </c>
      <c r="G55" s="557">
        <f>'У pril_10'!H61</f>
        <v>0</v>
      </c>
      <c r="H55" s="558">
        <f>'У pril_10'!I61</f>
        <v>0</v>
      </c>
      <c r="N55" s="490"/>
      <c r="O55" s="490"/>
    </row>
    <row r="56" spans="1:15" x14ac:dyDescent="0.2">
      <c r="A56" s="519">
        <f t="shared" si="0"/>
        <v>47</v>
      </c>
      <c r="B56" s="452" t="s">
        <v>2917</v>
      </c>
      <c r="C56" s="557">
        <f t="shared" ref="C56:H56" si="29">C57+C58</f>
        <v>243</v>
      </c>
      <c r="D56" s="557">
        <f t="shared" si="29"/>
        <v>140.80000000000001</v>
      </c>
      <c r="E56" s="557">
        <f t="shared" si="29"/>
        <v>140.80000000000001</v>
      </c>
      <c r="F56" s="557">
        <f t="shared" si="29"/>
        <v>102.3</v>
      </c>
      <c r="G56" s="557">
        <f t="shared" si="29"/>
        <v>41</v>
      </c>
      <c r="H56" s="558">
        <f t="shared" si="29"/>
        <v>0</v>
      </c>
      <c r="N56" s="490"/>
      <c r="O56" s="490"/>
    </row>
    <row r="57" spans="1:15" x14ac:dyDescent="0.2">
      <c r="A57" s="519">
        <f t="shared" si="0"/>
        <v>48</v>
      </c>
      <c r="B57" s="565" t="s">
        <v>2928</v>
      </c>
      <c r="C57" s="557">
        <f>'У pril_10'!D66</f>
        <v>243</v>
      </c>
      <c r="D57" s="557">
        <f>'У pril_10'!E66</f>
        <v>140.80000000000001</v>
      </c>
      <c r="E57" s="557">
        <f>'У pril_10'!F66</f>
        <v>140.80000000000001</v>
      </c>
      <c r="F57" s="557">
        <f>'У pril_10'!G66</f>
        <v>102.3</v>
      </c>
      <c r="G57" s="557">
        <f>'У pril_10'!H66</f>
        <v>41</v>
      </c>
      <c r="H57" s="558">
        <f>'У pril_10'!I66</f>
        <v>0</v>
      </c>
      <c r="N57" s="490"/>
      <c r="O57" s="490"/>
    </row>
    <row r="58" spans="1:15" x14ac:dyDescent="0.2">
      <c r="A58" s="519">
        <f t="shared" si="0"/>
        <v>49</v>
      </c>
      <c r="B58" s="565" t="s">
        <v>2929</v>
      </c>
      <c r="C58" s="557">
        <v>0</v>
      </c>
      <c r="D58" s="557">
        <v>0</v>
      </c>
      <c r="E58" s="557">
        <v>0</v>
      </c>
      <c r="F58" s="557">
        <v>0</v>
      </c>
      <c r="G58" s="557">
        <v>0</v>
      </c>
      <c r="H58" s="558">
        <v>0</v>
      </c>
      <c r="N58" s="490"/>
      <c r="O58" s="490"/>
    </row>
    <row r="59" spans="1:15" x14ac:dyDescent="0.2">
      <c r="A59" s="519">
        <f t="shared" si="0"/>
        <v>50</v>
      </c>
      <c r="B59" s="462" t="s">
        <v>2930</v>
      </c>
      <c r="C59" s="571">
        <f t="shared" ref="C59:H59" si="30">C53-C56</f>
        <v>-243</v>
      </c>
      <c r="D59" s="571">
        <f t="shared" si="30"/>
        <v>-140.80000000000001</v>
      </c>
      <c r="E59" s="571">
        <f t="shared" si="30"/>
        <v>-140.80000000000001</v>
      </c>
      <c r="F59" s="571">
        <f t="shared" si="30"/>
        <v>-102.3</v>
      </c>
      <c r="G59" s="571">
        <f t="shared" si="30"/>
        <v>-41</v>
      </c>
      <c r="H59" s="572">
        <f t="shared" si="30"/>
        <v>0</v>
      </c>
      <c r="N59" s="490"/>
      <c r="O59" s="490"/>
    </row>
    <row r="60" spans="1:15" x14ac:dyDescent="0.2">
      <c r="A60" s="519">
        <f t="shared" si="0"/>
        <v>51</v>
      </c>
      <c r="B60" s="462" t="s">
        <v>2931</v>
      </c>
      <c r="C60" s="573">
        <f t="shared" ref="C60:H60" si="31">C47+C51+C59</f>
        <v>-3.9999999999281499E-2</v>
      </c>
      <c r="D60" s="573">
        <f t="shared" si="31"/>
        <v>-1.4779288903810084E-12</v>
      </c>
      <c r="E60" s="573">
        <f t="shared" si="31"/>
        <v>2.8421709430404007E-13</v>
      </c>
      <c r="F60" s="573">
        <f t="shared" si="31"/>
        <v>-1.0658141036401503E-12</v>
      </c>
      <c r="G60" s="573">
        <f t="shared" si="31"/>
        <v>7.3896444519050419E-13</v>
      </c>
      <c r="H60" s="574">
        <f t="shared" si="31"/>
        <v>-1.2505552149377763E-12</v>
      </c>
      <c r="N60" s="490"/>
      <c r="O60" s="490"/>
    </row>
    <row r="61" spans="1:15" x14ac:dyDescent="0.2">
      <c r="A61" s="519">
        <f t="shared" si="0"/>
        <v>52</v>
      </c>
      <c r="B61" s="452" t="s">
        <v>2932</v>
      </c>
      <c r="C61" s="557">
        <v>0</v>
      </c>
      <c r="D61" s="557">
        <v>0</v>
      </c>
      <c r="E61" s="557">
        <v>0</v>
      </c>
      <c r="F61" s="557">
        <v>0</v>
      </c>
      <c r="G61" s="557">
        <v>0</v>
      </c>
      <c r="H61" s="558">
        <v>0</v>
      </c>
    </row>
    <row r="62" spans="1:15" x14ac:dyDescent="0.2">
      <c r="A62" s="519">
        <f t="shared" si="0"/>
        <v>53</v>
      </c>
      <c r="B62" s="564" t="s">
        <v>2933</v>
      </c>
      <c r="C62" s="557">
        <v>0</v>
      </c>
      <c r="D62" s="557">
        <v>0</v>
      </c>
      <c r="E62" s="557">
        <v>0</v>
      </c>
      <c r="F62" s="557">
        <v>0</v>
      </c>
      <c r="G62" s="557">
        <v>0</v>
      </c>
      <c r="H62" s="558">
        <v>0</v>
      </c>
    </row>
    <row r="63" spans="1:15" x14ac:dyDescent="0.2">
      <c r="A63" s="519">
        <f t="shared" si="0"/>
        <v>54</v>
      </c>
      <c r="B63" s="564" t="s">
        <v>2934</v>
      </c>
      <c r="C63" s="557">
        <v>0</v>
      </c>
      <c r="D63" s="557">
        <v>0</v>
      </c>
      <c r="E63" s="557">
        <v>0</v>
      </c>
      <c r="F63" s="557">
        <v>0</v>
      </c>
      <c r="G63" s="557">
        <v>0</v>
      </c>
      <c r="H63" s="558">
        <v>0</v>
      </c>
    </row>
    <row r="64" spans="1:15" x14ac:dyDescent="0.2">
      <c r="A64" s="519">
        <f t="shared" si="0"/>
        <v>55</v>
      </c>
      <c r="B64" s="564" t="s">
        <v>2935</v>
      </c>
      <c r="C64" s="557">
        <v>0</v>
      </c>
      <c r="D64" s="557">
        <v>0</v>
      </c>
      <c r="E64" s="557">
        <v>0</v>
      </c>
      <c r="F64" s="557">
        <v>0</v>
      </c>
      <c r="G64" s="557">
        <v>0</v>
      </c>
      <c r="H64" s="558">
        <v>0</v>
      </c>
    </row>
    <row r="65" spans="1:8" x14ac:dyDescent="0.2">
      <c r="A65" s="519">
        <f t="shared" si="0"/>
        <v>56</v>
      </c>
      <c r="B65" s="564" t="s">
        <v>2936</v>
      </c>
      <c r="C65" s="557">
        <v>0</v>
      </c>
      <c r="D65" s="557">
        <v>0</v>
      </c>
      <c r="E65" s="557">
        <v>0</v>
      </c>
      <c r="F65" s="557">
        <v>0</v>
      </c>
      <c r="G65" s="557">
        <v>0</v>
      </c>
      <c r="H65" s="558">
        <v>0</v>
      </c>
    </row>
    <row r="66" spans="1:8" x14ac:dyDescent="0.2">
      <c r="A66" s="519">
        <f t="shared" si="0"/>
        <v>57</v>
      </c>
      <c r="B66" s="452" t="s">
        <v>2931</v>
      </c>
      <c r="C66" s="557">
        <f t="shared" ref="C66:H66" si="32">C60+C61</f>
        <v>-3.9999999999281499E-2</v>
      </c>
      <c r="D66" s="557">
        <f t="shared" si="32"/>
        <v>-1.4779288903810084E-12</v>
      </c>
      <c r="E66" s="557">
        <f t="shared" si="32"/>
        <v>2.8421709430404007E-13</v>
      </c>
      <c r="F66" s="557">
        <f t="shared" si="32"/>
        <v>-1.0658141036401503E-12</v>
      </c>
      <c r="G66" s="557">
        <f t="shared" si="32"/>
        <v>7.3896444519050419E-13</v>
      </c>
      <c r="H66" s="558">
        <f t="shared" si="32"/>
        <v>-1.2505552149377763E-12</v>
      </c>
    </row>
    <row r="67" spans="1:8" x14ac:dyDescent="0.2">
      <c r="A67" s="519">
        <f t="shared" si="0"/>
        <v>58</v>
      </c>
      <c r="B67" s="452" t="s">
        <v>2937</v>
      </c>
      <c r="C67" s="557">
        <f>C66</f>
        <v>-3.9999999999281499E-2</v>
      </c>
      <c r="D67" s="557">
        <f>D66+C67</f>
        <v>-4.0000000000759428E-2</v>
      </c>
      <c r="E67" s="557">
        <f>E66+D67</f>
        <v>-4.0000000000475211E-2</v>
      </c>
      <c r="F67" s="557">
        <f>F66+E67</f>
        <v>-4.0000000001541025E-2</v>
      </c>
      <c r="G67" s="557">
        <f>G66+F67</f>
        <v>-4.0000000000802061E-2</v>
      </c>
      <c r="H67" s="558">
        <f>H66+G67</f>
        <v>-4.0000000002052616E-2</v>
      </c>
    </row>
    <row r="68" spans="1:8" ht="25.5" x14ac:dyDescent="0.2">
      <c r="A68" s="519">
        <f t="shared" si="0"/>
        <v>59</v>
      </c>
      <c r="B68" s="575" t="s">
        <v>2938</v>
      </c>
      <c r="C68" s="557">
        <v>3</v>
      </c>
      <c r="D68" s="557">
        <f>C68+C32+C49+C53-C38-C50-C56</f>
        <v>2.9600000000007185</v>
      </c>
      <c r="E68" s="557">
        <f>D68+D32+D49+D53-D38-D50-D56</f>
        <v>2.9599999999994679</v>
      </c>
      <c r="F68" s="557">
        <f>E68+E32+E49+E53-E38-E50-E56</f>
        <v>2.9599999999994111</v>
      </c>
      <c r="G68" s="557">
        <f>F68+F32+F49+F53-F38-F50-F56</f>
        <v>2.9599999999980611</v>
      </c>
      <c r="H68" s="558">
        <f>G68+G32+G49+G53-G38-G50-G56</f>
        <v>2.9599999999989564</v>
      </c>
    </row>
    <row r="69" spans="1:8" x14ac:dyDescent="0.2">
      <c r="A69" s="519">
        <f t="shared" si="0"/>
        <v>60</v>
      </c>
      <c r="B69" s="452" t="s">
        <v>2939</v>
      </c>
      <c r="C69" s="557">
        <f>1072.3+351.4</f>
        <v>1423.6999999999998</v>
      </c>
      <c r="D69" s="557">
        <f>C70</f>
        <v>1180.6999999999998</v>
      </c>
      <c r="E69" s="557">
        <f>D70</f>
        <v>1039.8999999999999</v>
      </c>
      <c r="F69" s="557">
        <f>E70</f>
        <v>899.09999999999991</v>
      </c>
      <c r="G69" s="557">
        <f>F70</f>
        <v>796.8</v>
      </c>
      <c r="H69" s="558">
        <f>G70</f>
        <v>755.8</v>
      </c>
    </row>
    <row r="70" spans="1:8" ht="13.5" thickBot="1" x14ac:dyDescent="0.25">
      <c r="A70" s="538">
        <f t="shared" si="0"/>
        <v>61</v>
      </c>
      <c r="B70" s="485" t="s">
        <v>2940</v>
      </c>
      <c r="C70" s="576">
        <f t="shared" ref="C70:H70" si="33">C69+C55-C57</f>
        <v>1180.6999999999998</v>
      </c>
      <c r="D70" s="576">
        <f t="shared" si="33"/>
        <v>1039.8999999999999</v>
      </c>
      <c r="E70" s="576">
        <f t="shared" si="33"/>
        <v>899.09999999999991</v>
      </c>
      <c r="F70" s="576">
        <f t="shared" si="33"/>
        <v>796.8</v>
      </c>
      <c r="G70" s="576">
        <f t="shared" si="33"/>
        <v>755.8</v>
      </c>
      <c r="H70" s="577">
        <f t="shared" si="33"/>
        <v>755.8</v>
      </c>
    </row>
    <row r="71" spans="1:8" x14ac:dyDescent="0.2">
      <c r="B71" s="424" t="s">
        <v>2941</v>
      </c>
      <c r="D71" s="543"/>
    </row>
    <row r="72" spans="1:8" x14ac:dyDescent="0.2">
      <c r="D72" s="543"/>
    </row>
    <row r="73" spans="1:8" hidden="1" outlineLevel="1" x14ac:dyDescent="0.2">
      <c r="C73" s="424">
        <v>1411</v>
      </c>
      <c r="D73" s="543"/>
    </row>
    <row r="74" spans="1:8" hidden="1" outlineLevel="1" x14ac:dyDescent="0.2">
      <c r="C74" s="578">
        <f>C73-C70</f>
        <v>230.30000000000018</v>
      </c>
      <c r="D74" s="578">
        <f>D73-D70</f>
        <v>-1039.8999999999999</v>
      </c>
      <c r="E74" s="578">
        <f>E73-E70</f>
        <v>-899.09999999999991</v>
      </c>
      <c r="F74" s="578">
        <f>F73-F70</f>
        <v>-796.8</v>
      </c>
      <c r="G74" s="578">
        <f>G73-G70</f>
        <v>-755.8</v>
      </c>
    </row>
    <row r="75" spans="1:8" s="579" customFormat="1" ht="33.75" customHeight="1" collapsed="1" x14ac:dyDescent="0.3">
      <c r="D75" s="580"/>
    </row>
    <row r="76" spans="1:8" s="579" customFormat="1" ht="18.75" x14ac:dyDescent="0.3">
      <c r="B76" s="498" t="s">
        <v>2863</v>
      </c>
      <c r="C76" s="499"/>
      <c r="E76" s="581"/>
      <c r="F76" s="498" t="s">
        <v>2864</v>
      </c>
    </row>
    <row r="77" spans="1:8" x14ac:dyDescent="0.2">
      <c r="B77" s="497"/>
      <c r="C77" s="497"/>
      <c r="D77" s="497"/>
      <c r="E77" s="499"/>
      <c r="F77" s="497"/>
    </row>
  </sheetData>
  <mergeCells count="1">
    <mergeCell ref="A7:G7"/>
  </mergeCells>
  <printOptions horizontalCentered="1"/>
  <pageMargins left="0" right="0" top="0.15748031496062992" bottom="0.15748031496062992" header="0" footer="0"/>
  <pageSetup paperSize="9" scale="81" orientation="portrait" r:id="rId1"/>
  <headerFooter alignWithMargins="0"/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D38"/>
  <sheetViews>
    <sheetView view="pageBreakPreview" zoomScale="80" zoomScaleSheetLayoutView="80" workbookViewId="0">
      <selection activeCell="M8" sqref="M8"/>
    </sheetView>
  </sheetViews>
  <sheetFormatPr defaultColWidth="0.85546875" defaultRowHeight="15.75" x14ac:dyDescent="0.25"/>
  <cols>
    <col min="1" max="1" width="12.5703125" style="636" customWidth="1"/>
    <col min="2" max="2" width="75.42578125" style="636" customWidth="1"/>
    <col min="3" max="3" width="19.85546875" style="636" customWidth="1"/>
    <col min="4" max="4" width="19.85546875" style="682" customWidth="1"/>
    <col min="5" max="9" width="19.85546875" style="636" customWidth="1"/>
    <col min="10" max="10" width="20.5703125" style="636" customWidth="1"/>
    <col min="11" max="30" width="10.7109375" style="636" customWidth="1"/>
    <col min="31" max="257" width="0.85546875" style="636"/>
    <col min="258" max="258" width="12.5703125" style="636" customWidth="1"/>
    <col min="259" max="259" width="75.42578125" style="636" customWidth="1"/>
    <col min="260" max="261" width="19.85546875" style="636" customWidth="1"/>
    <col min="262" max="286" width="10.7109375" style="636" customWidth="1"/>
    <col min="287" max="513" width="0.85546875" style="636"/>
    <col min="514" max="514" width="12.5703125" style="636" customWidth="1"/>
    <col min="515" max="515" width="75.42578125" style="636" customWidth="1"/>
    <col min="516" max="517" width="19.85546875" style="636" customWidth="1"/>
    <col min="518" max="542" width="10.7109375" style="636" customWidth="1"/>
    <col min="543" max="769" width="0.85546875" style="636"/>
    <col min="770" max="770" width="12.5703125" style="636" customWidth="1"/>
    <col min="771" max="771" width="75.42578125" style="636" customWidth="1"/>
    <col min="772" max="773" width="19.85546875" style="636" customWidth="1"/>
    <col min="774" max="798" width="10.7109375" style="636" customWidth="1"/>
    <col min="799" max="1025" width="0.85546875" style="636"/>
    <col min="1026" max="1026" width="12.5703125" style="636" customWidth="1"/>
    <col min="1027" max="1027" width="75.42578125" style="636" customWidth="1"/>
    <col min="1028" max="1029" width="19.85546875" style="636" customWidth="1"/>
    <col min="1030" max="1054" width="10.7109375" style="636" customWidth="1"/>
    <col min="1055" max="1281" width="0.85546875" style="636"/>
    <col min="1282" max="1282" width="12.5703125" style="636" customWidth="1"/>
    <col min="1283" max="1283" width="75.42578125" style="636" customWidth="1"/>
    <col min="1284" max="1285" width="19.85546875" style="636" customWidth="1"/>
    <col min="1286" max="1310" width="10.7109375" style="636" customWidth="1"/>
    <col min="1311" max="1537" width="0.85546875" style="636"/>
    <col min="1538" max="1538" width="12.5703125" style="636" customWidth="1"/>
    <col min="1539" max="1539" width="75.42578125" style="636" customWidth="1"/>
    <col min="1540" max="1541" width="19.85546875" style="636" customWidth="1"/>
    <col min="1542" max="1566" width="10.7109375" style="636" customWidth="1"/>
    <col min="1567" max="1793" width="0.85546875" style="636"/>
    <col min="1794" max="1794" width="12.5703125" style="636" customWidth="1"/>
    <col min="1795" max="1795" width="75.42578125" style="636" customWidth="1"/>
    <col min="1796" max="1797" width="19.85546875" style="636" customWidth="1"/>
    <col min="1798" max="1822" width="10.7109375" style="636" customWidth="1"/>
    <col min="1823" max="2049" width="0.85546875" style="636"/>
    <col min="2050" max="2050" width="12.5703125" style="636" customWidth="1"/>
    <col min="2051" max="2051" width="75.42578125" style="636" customWidth="1"/>
    <col min="2052" max="2053" width="19.85546875" style="636" customWidth="1"/>
    <col min="2054" max="2078" width="10.7109375" style="636" customWidth="1"/>
    <col min="2079" max="2305" width="0.85546875" style="636"/>
    <col min="2306" max="2306" width="12.5703125" style="636" customWidth="1"/>
    <col min="2307" max="2307" width="75.42578125" style="636" customWidth="1"/>
    <col min="2308" max="2309" width="19.85546875" style="636" customWidth="1"/>
    <col min="2310" max="2334" width="10.7109375" style="636" customWidth="1"/>
    <col min="2335" max="2561" width="0.85546875" style="636"/>
    <col min="2562" max="2562" width="12.5703125" style="636" customWidth="1"/>
    <col min="2563" max="2563" width="75.42578125" style="636" customWidth="1"/>
    <col min="2564" max="2565" width="19.85546875" style="636" customWidth="1"/>
    <col min="2566" max="2590" width="10.7109375" style="636" customWidth="1"/>
    <col min="2591" max="2817" width="0.85546875" style="636"/>
    <col min="2818" max="2818" width="12.5703125" style="636" customWidth="1"/>
    <col min="2819" max="2819" width="75.42578125" style="636" customWidth="1"/>
    <col min="2820" max="2821" width="19.85546875" style="636" customWidth="1"/>
    <col min="2822" max="2846" width="10.7109375" style="636" customWidth="1"/>
    <col min="2847" max="3073" width="0.85546875" style="636"/>
    <col min="3074" max="3074" width="12.5703125" style="636" customWidth="1"/>
    <col min="3075" max="3075" width="75.42578125" style="636" customWidth="1"/>
    <col min="3076" max="3077" width="19.85546875" style="636" customWidth="1"/>
    <col min="3078" max="3102" width="10.7109375" style="636" customWidth="1"/>
    <col min="3103" max="3329" width="0.85546875" style="636"/>
    <col min="3330" max="3330" width="12.5703125" style="636" customWidth="1"/>
    <col min="3331" max="3331" width="75.42578125" style="636" customWidth="1"/>
    <col min="3332" max="3333" width="19.85546875" style="636" customWidth="1"/>
    <col min="3334" max="3358" width="10.7109375" style="636" customWidth="1"/>
    <col min="3359" max="3585" width="0.85546875" style="636"/>
    <col min="3586" max="3586" width="12.5703125" style="636" customWidth="1"/>
    <col min="3587" max="3587" width="75.42578125" style="636" customWidth="1"/>
    <col min="3588" max="3589" width="19.85546875" style="636" customWidth="1"/>
    <col min="3590" max="3614" width="10.7109375" style="636" customWidth="1"/>
    <col min="3615" max="3841" width="0.85546875" style="636"/>
    <col min="3842" max="3842" width="12.5703125" style="636" customWidth="1"/>
    <col min="3843" max="3843" width="75.42578125" style="636" customWidth="1"/>
    <col min="3844" max="3845" width="19.85546875" style="636" customWidth="1"/>
    <col min="3846" max="3870" width="10.7109375" style="636" customWidth="1"/>
    <col min="3871" max="4097" width="0.85546875" style="636"/>
    <col min="4098" max="4098" width="12.5703125" style="636" customWidth="1"/>
    <col min="4099" max="4099" width="75.42578125" style="636" customWidth="1"/>
    <col min="4100" max="4101" width="19.85546875" style="636" customWidth="1"/>
    <col min="4102" max="4126" width="10.7109375" style="636" customWidth="1"/>
    <col min="4127" max="4353" width="0.85546875" style="636"/>
    <col min="4354" max="4354" width="12.5703125" style="636" customWidth="1"/>
    <col min="4355" max="4355" width="75.42578125" style="636" customWidth="1"/>
    <col min="4356" max="4357" width="19.85546875" style="636" customWidth="1"/>
    <col min="4358" max="4382" width="10.7109375" style="636" customWidth="1"/>
    <col min="4383" max="4609" width="0.85546875" style="636"/>
    <col min="4610" max="4610" width="12.5703125" style="636" customWidth="1"/>
    <col min="4611" max="4611" width="75.42578125" style="636" customWidth="1"/>
    <col min="4612" max="4613" width="19.85546875" style="636" customWidth="1"/>
    <col min="4614" max="4638" width="10.7109375" style="636" customWidth="1"/>
    <col min="4639" max="4865" width="0.85546875" style="636"/>
    <col min="4866" max="4866" width="12.5703125" style="636" customWidth="1"/>
    <col min="4867" max="4867" width="75.42578125" style="636" customWidth="1"/>
    <col min="4868" max="4869" width="19.85546875" style="636" customWidth="1"/>
    <col min="4870" max="4894" width="10.7109375" style="636" customWidth="1"/>
    <col min="4895" max="5121" width="0.85546875" style="636"/>
    <col min="5122" max="5122" width="12.5703125" style="636" customWidth="1"/>
    <col min="5123" max="5123" width="75.42578125" style="636" customWidth="1"/>
    <col min="5124" max="5125" width="19.85546875" style="636" customWidth="1"/>
    <col min="5126" max="5150" width="10.7109375" style="636" customWidth="1"/>
    <col min="5151" max="5377" width="0.85546875" style="636"/>
    <col min="5378" max="5378" width="12.5703125" style="636" customWidth="1"/>
    <col min="5379" max="5379" width="75.42578125" style="636" customWidth="1"/>
    <col min="5380" max="5381" width="19.85546875" style="636" customWidth="1"/>
    <col min="5382" max="5406" width="10.7109375" style="636" customWidth="1"/>
    <col min="5407" max="5633" width="0.85546875" style="636"/>
    <col min="5634" max="5634" width="12.5703125" style="636" customWidth="1"/>
    <col min="5635" max="5635" width="75.42578125" style="636" customWidth="1"/>
    <col min="5636" max="5637" width="19.85546875" style="636" customWidth="1"/>
    <col min="5638" max="5662" width="10.7109375" style="636" customWidth="1"/>
    <col min="5663" max="5889" width="0.85546875" style="636"/>
    <col min="5890" max="5890" width="12.5703125" style="636" customWidth="1"/>
    <col min="5891" max="5891" width="75.42578125" style="636" customWidth="1"/>
    <col min="5892" max="5893" width="19.85546875" style="636" customWidth="1"/>
    <col min="5894" max="5918" width="10.7109375" style="636" customWidth="1"/>
    <col min="5919" max="6145" width="0.85546875" style="636"/>
    <col min="6146" max="6146" width="12.5703125" style="636" customWidth="1"/>
    <col min="6147" max="6147" width="75.42578125" style="636" customWidth="1"/>
    <col min="6148" max="6149" width="19.85546875" style="636" customWidth="1"/>
    <col min="6150" max="6174" width="10.7109375" style="636" customWidth="1"/>
    <col min="6175" max="6401" width="0.85546875" style="636"/>
    <col min="6402" max="6402" width="12.5703125" style="636" customWidth="1"/>
    <col min="6403" max="6403" width="75.42578125" style="636" customWidth="1"/>
    <col min="6404" max="6405" width="19.85546875" style="636" customWidth="1"/>
    <col min="6406" max="6430" width="10.7109375" style="636" customWidth="1"/>
    <col min="6431" max="6657" width="0.85546875" style="636"/>
    <col min="6658" max="6658" width="12.5703125" style="636" customWidth="1"/>
    <col min="6659" max="6659" width="75.42578125" style="636" customWidth="1"/>
    <col min="6660" max="6661" width="19.85546875" style="636" customWidth="1"/>
    <col min="6662" max="6686" width="10.7109375" style="636" customWidth="1"/>
    <col min="6687" max="6913" width="0.85546875" style="636"/>
    <col min="6914" max="6914" width="12.5703125" style="636" customWidth="1"/>
    <col min="6915" max="6915" width="75.42578125" style="636" customWidth="1"/>
    <col min="6916" max="6917" width="19.85546875" style="636" customWidth="1"/>
    <col min="6918" max="6942" width="10.7109375" style="636" customWidth="1"/>
    <col min="6943" max="7169" width="0.85546875" style="636"/>
    <col min="7170" max="7170" width="12.5703125" style="636" customWidth="1"/>
    <col min="7171" max="7171" width="75.42578125" style="636" customWidth="1"/>
    <col min="7172" max="7173" width="19.85546875" style="636" customWidth="1"/>
    <col min="7174" max="7198" width="10.7109375" style="636" customWidth="1"/>
    <col min="7199" max="7425" width="0.85546875" style="636"/>
    <col min="7426" max="7426" width="12.5703125" style="636" customWidth="1"/>
    <col min="7427" max="7427" width="75.42578125" style="636" customWidth="1"/>
    <col min="7428" max="7429" width="19.85546875" style="636" customWidth="1"/>
    <col min="7430" max="7454" width="10.7109375" style="636" customWidth="1"/>
    <col min="7455" max="7681" width="0.85546875" style="636"/>
    <col min="7682" max="7682" width="12.5703125" style="636" customWidth="1"/>
    <col min="7683" max="7683" width="75.42578125" style="636" customWidth="1"/>
    <col min="7684" max="7685" width="19.85546875" style="636" customWidth="1"/>
    <col min="7686" max="7710" width="10.7109375" style="636" customWidth="1"/>
    <col min="7711" max="7937" width="0.85546875" style="636"/>
    <col min="7938" max="7938" width="12.5703125" style="636" customWidth="1"/>
    <col min="7939" max="7939" width="75.42578125" style="636" customWidth="1"/>
    <col min="7940" max="7941" width="19.85546875" style="636" customWidth="1"/>
    <col min="7942" max="7966" width="10.7109375" style="636" customWidth="1"/>
    <col min="7967" max="8193" width="0.85546875" style="636"/>
    <col min="8194" max="8194" width="12.5703125" style="636" customWidth="1"/>
    <col min="8195" max="8195" width="75.42578125" style="636" customWidth="1"/>
    <col min="8196" max="8197" width="19.85546875" style="636" customWidth="1"/>
    <col min="8198" max="8222" width="10.7109375" style="636" customWidth="1"/>
    <col min="8223" max="8449" width="0.85546875" style="636"/>
    <col min="8450" max="8450" width="12.5703125" style="636" customWidth="1"/>
    <col min="8451" max="8451" width="75.42578125" style="636" customWidth="1"/>
    <col min="8452" max="8453" width="19.85546875" style="636" customWidth="1"/>
    <col min="8454" max="8478" width="10.7109375" style="636" customWidth="1"/>
    <col min="8479" max="8705" width="0.85546875" style="636"/>
    <col min="8706" max="8706" width="12.5703125" style="636" customWidth="1"/>
    <col min="8707" max="8707" width="75.42578125" style="636" customWidth="1"/>
    <col min="8708" max="8709" width="19.85546875" style="636" customWidth="1"/>
    <col min="8710" max="8734" width="10.7109375" style="636" customWidth="1"/>
    <col min="8735" max="8961" width="0.85546875" style="636"/>
    <col min="8962" max="8962" width="12.5703125" style="636" customWidth="1"/>
    <col min="8963" max="8963" width="75.42578125" style="636" customWidth="1"/>
    <col min="8964" max="8965" width="19.85546875" style="636" customWidth="1"/>
    <col min="8966" max="8990" width="10.7109375" style="636" customWidth="1"/>
    <col min="8991" max="9217" width="0.85546875" style="636"/>
    <col min="9218" max="9218" width="12.5703125" style="636" customWidth="1"/>
    <col min="9219" max="9219" width="75.42578125" style="636" customWidth="1"/>
    <col min="9220" max="9221" width="19.85546875" style="636" customWidth="1"/>
    <col min="9222" max="9246" width="10.7109375" style="636" customWidth="1"/>
    <col min="9247" max="9473" width="0.85546875" style="636"/>
    <col min="9474" max="9474" width="12.5703125" style="636" customWidth="1"/>
    <col min="9475" max="9475" width="75.42578125" style="636" customWidth="1"/>
    <col min="9476" max="9477" width="19.85546875" style="636" customWidth="1"/>
    <col min="9478" max="9502" width="10.7109375" style="636" customWidth="1"/>
    <col min="9503" max="9729" width="0.85546875" style="636"/>
    <col min="9730" max="9730" width="12.5703125" style="636" customWidth="1"/>
    <col min="9731" max="9731" width="75.42578125" style="636" customWidth="1"/>
    <col min="9732" max="9733" width="19.85546875" style="636" customWidth="1"/>
    <col min="9734" max="9758" width="10.7109375" style="636" customWidth="1"/>
    <col min="9759" max="9985" width="0.85546875" style="636"/>
    <col min="9986" max="9986" width="12.5703125" style="636" customWidth="1"/>
    <col min="9987" max="9987" width="75.42578125" style="636" customWidth="1"/>
    <col min="9988" max="9989" width="19.85546875" style="636" customWidth="1"/>
    <col min="9990" max="10014" width="10.7109375" style="636" customWidth="1"/>
    <col min="10015" max="10241" width="0.85546875" style="636"/>
    <col min="10242" max="10242" width="12.5703125" style="636" customWidth="1"/>
    <col min="10243" max="10243" width="75.42578125" style="636" customWidth="1"/>
    <col min="10244" max="10245" width="19.85546875" style="636" customWidth="1"/>
    <col min="10246" max="10270" width="10.7109375" style="636" customWidth="1"/>
    <col min="10271" max="10497" width="0.85546875" style="636"/>
    <col min="10498" max="10498" width="12.5703125" style="636" customWidth="1"/>
    <col min="10499" max="10499" width="75.42578125" style="636" customWidth="1"/>
    <col min="10500" max="10501" width="19.85546875" style="636" customWidth="1"/>
    <col min="10502" max="10526" width="10.7109375" style="636" customWidth="1"/>
    <col min="10527" max="10753" width="0.85546875" style="636"/>
    <col min="10754" max="10754" width="12.5703125" style="636" customWidth="1"/>
    <col min="10755" max="10755" width="75.42578125" style="636" customWidth="1"/>
    <col min="10756" max="10757" width="19.85546875" style="636" customWidth="1"/>
    <col min="10758" max="10782" width="10.7109375" style="636" customWidth="1"/>
    <col min="10783" max="11009" width="0.85546875" style="636"/>
    <col min="11010" max="11010" width="12.5703125" style="636" customWidth="1"/>
    <col min="11011" max="11011" width="75.42578125" style="636" customWidth="1"/>
    <col min="11012" max="11013" width="19.85546875" style="636" customWidth="1"/>
    <col min="11014" max="11038" width="10.7109375" style="636" customWidth="1"/>
    <col min="11039" max="11265" width="0.85546875" style="636"/>
    <col min="11266" max="11266" width="12.5703125" style="636" customWidth="1"/>
    <col min="11267" max="11267" width="75.42578125" style="636" customWidth="1"/>
    <col min="11268" max="11269" width="19.85546875" style="636" customWidth="1"/>
    <col min="11270" max="11294" width="10.7109375" style="636" customWidth="1"/>
    <col min="11295" max="11521" width="0.85546875" style="636"/>
    <col min="11522" max="11522" width="12.5703125" style="636" customWidth="1"/>
    <col min="11523" max="11523" width="75.42578125" style="636" customWidth="1"/>
    <col min="11524" max="11525" width="19.85546875" style="636" customWidth="1"/>
    <col min="11526" max="11550" width="10.7109375" style="636" customWidth="1"/>
    <col min="11551" max="11777" width="0.85546875" style="636"/>
    <col min="11778" max="11778" width="12.5703125" style="636" customWidth="1"/>
    <col min="11779" max="11779" width="75.42578125" style="636" customWidth="1"/>
    <col min="11780" max="11781" width="19.85546875" style="636" customWidth="1"/>
    <col min="11782" max="11806" width="10.7109375" style="636" customWidth="1"/>
    <col min="11807" max="12033" width="0.85546875" style="636"/>
    <col min="12034" max="12034" width="12.5703125" style="636" customWidth="1"/>
    <col min="12035" max="12035" width="75.42578125" style="636" customWidth="1"/>
    <col min="12036" max="12037" width="19.85546875" style="636" customWidth="1"/>
    <col min="12038" max="12062" width="10.7109375" style="636" customWidth="1"/>
    <col min="12063" max="12289" width="0.85546875" style="636"/>
    <col min="12290" max="12290" width="12.5703125" style="636" customWidth="1"/>
    <col min="12291" max="12291" width="75.42578125" style="636" customWidth="1"/>
    <col min="12292" max="12293" width="19.85546875" style="636" customWidth="1"/>
    <col min="12294" max="12318" width="10.7109375" style="636" customWidth="1"/>
    <col min="12319" max="12545" width="0.85546875" style="636"/>
    <col min="12546" max="12546" width="12.5703125" style="636" customWidth="1"/>
    <col min="12547" max="12547" width="75.42578125" style="636" customWidth="1"/>
    <col min="12548" max="12549" width="19.85546875" style="636" customWidth="1"/>
    <col min="12550" max="12574" width="10.7109375" style="636" customWidth="1"/>
    <col min="12575" max="12801" width="0.85546875" style="636"/>
    <col min="12802" max="12802" width="12.5703125" style="636" customWidth="1"/>
    <col min="12803" max="12803" width="75.42578125" style="636" customWidth="1"/>
    <col min="12804" max="12805" width="19.85546875" style="636" customWidth="1"/>
    <col min="12806" max="12830" width="10.7109375" style="636" customWidth="1"/>
    <col min="12831" max="13057" width="0.85546875" style="636"/>
    <col min="13058" max="13058" width="12.5703125" style="636" customWidth="1"/>
    <col min="13059" max="13059" width="75.42578125" style="636" customWidth="1"/>
    <col min="13060" max="13061" width="19.85546875" style="636" customWidth="1"/>
    <col min="13062" max="13086" width="10.7109375" style="636" customWidth="1"/>
    <col min="13087" max="13313" width="0.85546875" style="636"/>
    <col min="13314" max="13314" width="12.5703125" style="636" customWidth="1"/>
    <col min="13315" max="13315" width="75.42578125" style="636" customWidth="1"/>
    <col min="13316" max="13317" width="19.85546875" style="636" customWidth="1"/>
    <col min="13318" max="13342" width="10.7109375" style="636" customWidth="1"/>
    <col min="13343" max="13569" width="0.85546875" style="636"/>
    <col min="13570" max="13570" width="12.5703125" style="636" customWidth="1"/>
    <col min="13571" max="13571" width="75.42578125" style="636" customWidth="1"/>
    <col min="13572" max="13573" width="19.85546875" style="636" customWidth="1"/>
    <col min="13574" max="13598" width="10.7109375" style="636" customWidth="1"/>
    <col min="13599" max="13825" width="0.85546875" style="636"/>
    <col min="13826" max="13826" width="12.5703125" style="636" customWidth="1"/>
    <col min="13827" max="13827" width="75.42578125" style="636" customWidth="1"/>
    <col min="13828" max="13829" width="19.85546875" style="636" customWidth="1"/>
    <col min="13830" max="13854" width="10.7109375" style="636" customWidth="1"/>
    <col min="13855" max="14081" width="0.85546875" style="636"/>
    <col min="14082" max="14082" width="12.5703125" style="636" customWidth="1"/>
    <col min="14083" max="14083" width="75.42578125" style="636" customWidth="1"/>
    <col min="14084" max="14085" width="19.85546875" style="636" customWidth="1"/>
    <col min="14086" max="14110" width="10.7109375" style="636" customWidth="1"/>
    <col min="14111" max="14337" width="0.85546875" style="636"/>
    <col min="14338" max="14338" width="12.5703125" style="636" customWidth="1"/>
    <col min="14339" max="14339" width="75.42578125" style="636" customWidth="1"/>
    <col min="14340" max="14341" width="19.85546875" style="636" customWidth="1"/>
    <col min="14342" max="14366" width="10.7109375" style="636" customWidth="1"/>
    <col min="14367" max="14593" width="0.85546875" style="636"/>
    <col min="14594" max="14594" width="12.5703125" style="636" customWidth="1"/>
    <col min="14595" max="14595" width="75.42578125" style="636" customWidth="1"/>
    <col min="14596" max="14597" width="19.85546875" style="636" customWidth="1"/>
    <col min="14598" max="14622" width="10.7109375" style="636" customWidth="1"/>
    <col min="14623" max="14849" width="0.85546875" style="636"/>
    <col min="14850" max="14850" width="12.5703125" style="636" customWidth="1"/>
    <col min="14851" max="14851" width="75.42578125" style="636" customWidth="1"/>
    <col min="14852" max="14853" width="19.85546875" style="636" customWidth="1"/>
    <col min="14854" max="14878" width="10.7109375" style="636" customWidth="1"/>
    <col min="14879" max="15105" width="0.85546875" style="636"/>
    <col min="15106" max="15106" width="12.5703125" style="636" customWidth="1"/>
    <col min="15107" max="15107" width="75.42578125" style="636" customWidth="1"/>
    <col min="15108" max="15109" width="19.85546875" style="636" customWidth="1"/>
    <col min="15110" max="15134" width="10.7109375" style="636" customWidth="1"/>
    <col min="15135" max="15361" width="0.85546875" style="636"/>
    <col min="15362" max="15362" width="12.5703125" style="636" customWidth="1"/>
    <col min="15363" max="15363" width="75.42578125" style="636" customWidth="1"/>
    <col min="15364" max="15365" width="19.85546875" style="636" customWidth="1"/>
    <col min="15366" max="15390" width="10.7109375" style="636" customWidth="1"/>
    <col min="15391" max="15617" width="0.85546875" style="636"/>
    <col min="15618" max="15618" width="12.5703125" style="636" customWidth="1"/>
    <col min="15619" max="15619" width="75.42578125" style="636" customWidth="1"/>
    <col min="15620" max="15621" width="19.85546875" style="636" customWidth="1"/>
    <col min="15622" max="15646" width="10.7109375" style="636" customWidth="1"/>
    <col min="15647" max="15873" width="0.85546875" style="636"/>
    <col min="15874" max="15874" width="12.5703125" style="636" customWidth="1"/>
    <col min="15875" max="15875" width="75.42578125" style="636" customWidth="1"/>
    <col min="15876" max="15877" width="19.85546875" style="636" customWidth="1"/>
    <col min="15878" max="15902" width="10.7109375" style="636" customWidth="1"/>
    <col min="15903" max="16129" width="0.85546875" style="636"/>
    <col min="16130" max="16130" width="12.5703125" style="636" customWidth="1"/>
    <col min="16131" max="16131" width="75.42578125" style="636" customWidth="1"/>
    <col min="16132" max="16133" width="19.85546875" style="636" customWidth="1"/>
    <col min="16134" max="16158" width="10.7109375" style="636" customWidth="1"/>
    <col min="16159" max="16384" width="0.85546875" style="636"/>
  </cols>
  <sheetData>
    <row r="1" spans="1:108" ht="65.25" customHeight="1" x14ac:dyDescent="0.25">
      <c r="C1" s="825"/>
      <c r="D1" s="825"/>
      <c r="E1" s="825"/>
      <c r="F1" s="825"/>
      <c r="G1" s="825"/>
      <c r="H1" s="825"/>
      <c r="I1" s="826"/>
      <c r="L1" s="637"/>
    </row>
    <row r="2" spans="1:108" ht="15.75" customHeight="1" x14ac:dyDescent="0.25">
      <c r="C2" s="670"/>
      <c r="D2" s="690"/>
      <c r="E2" s="670"/>
      <c r="F2" s="670"/>
      <c r="G2" s="670"/>
      <c r="H2" s="670"/>
      <c r="I2" s="638"/>
      <c r="L2" s="637"/>
    </row>
    <row r="3" spans="1:108" ht="15.75" customHeight="1" x14ac:dyDescent="0.25">
      <c r="I3" s="637"/>
      <c r="L3" s="637"/>
    </row>
    <row r="4" spans="1:108" ht="15.75" customHeight="1" x14ac:dyDescent="0.25">
      <c r="A4" s="824" t="s">
        <v>3596</v>
      </c>
      <c r="B4" s="824"/>
      <c r="C4" s="824"/>
      <c r="D4" s="824"/>
      <c r="E4" s="824"/>
      <c r="F4" s="824"/>
      <c r="G4" s="824"/>
      <c r="H4" s="824"/>
      <c r="I4" s="824"/>
      <c r="J4" s="639"/>
      <c r="K4" s="639"/>
      <c r="L4" s="639"/>
      <c r="M4" s="639"/>
      <c r="N4" s="639"/>
      <c r="O4" s="639"/>
      <c r="P4" s="639"/>
      <c r="Q4" s="639"/>
      <c r="R4" s="639"/>
      <c r="S4" s="639"/>
      <c r="T4" s="639"/>
      <c r="U4" s="639"/>
      <c r="V4" s="639"/>
      <c r="W4" s="639"/>
      <c r="X4" s="639"/>
      <c r="Y4" s="639"/>
      <c r="Z4" s="639"/>
      <c r="AA4" s="639"/>
      <c r="AB4" s="639"/>
      <c r="AC4" s="639"/>
      <c r="AD4" s="639"/>
      <c r="AE4" s="639"/>
      <c r="AF4" s="639"/>
      <c r="AG4" s="639"/>
      <c r="AH4" s="639"/>
      <c r="AI4" s="639"/>
      <c r="AJ4" s="639"/>
      <c r="AK4" s="639"/>
      <c r="AL4" s="639"/>
      <c r="AM4" s="639"/>
      <c r="AN4" s="639"/>
      <c r="AO4" s="639"/>
      <c r="AP4" s="639"/>
      <c r="AQ4" s="639"/>
      <c r="AR4" s="639"/>
      <c r="AS4" s="639"/>
      <c r="AT4" s="639"/>
      <c r="AU4" s="639"/>
      <c r="AV4" s="639"/>
      <c r="AW4" s="639"/>
      <c r="AX4" s="639"/>
      <c r="AY4" s="639"/>
      <c r="AZ4" s="639"/>
      <c r="BA4" s="639"/>
      <c r="BB4" s="639"/>
      <c r="BC4" s="639"/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</row>
    <row r="5" spans="1:108" ht="15.75" customHeight="1" x14ac:dyDescent="0.25">
      <c r="A5" s="824" t="s">
        <v>2978</v>
      </c>
      <c r="B5" s="824"/>
      <c r="C5" s="824"/>
      <c r="D5" s="824"/>
      <c r="E5" s="824"/>
      <c r="F5" s="824"/>
      <c r="G5" s="824"/>
      <c r="H5" s="824"/>
      <c r="I5" s="824"/>
      <c r="J5" s="639"/>
      <c r="K5" s="639"/>
      <c r="L5" s="639"/>
      <c r="M5" s="639"/>
      <c r="N5" s="639"/>
      <c r="O5" s="639"/>
      <c r="P5" s="639"/>
      <c r="Q5" s="639"/>
      <c r="R5" s="639"/>
      <c r="S5" s="639"/>
      <c r="T5" s="639"/>
      <c r="U5" s="639"/>
      <c r="V5" s="639"/>
      <c r="W5" s="639"/>
      <c r="X5" s="639"/>
      <c r="Y5" s="639"/>
      <c r="Z5" s="639"/>
      <c r="AA5" s="639"/>
      <c r="AB5" s="639"/>
      <c r="AC5" s="639"/>
      <c r="AD5" s="639"/>
      <c r="AE5" s="639"/>
      <c r="AF5" s="639"/>
      <c r="AG5" s="639"/>
      <c r="AH5" s="639"/>
      <c r="AI5" s="639"/>
      <c r="AJ5" s="639"/>
      <c r="AK5" s="639"/>
      <c r="AL5" s="639"/>
      <c r="AM5" s="639"/>
      <c r="AN5" s="639"/>
      <c r="AO5" s="639"/>
      <c r="AP5" s="639"/>
      <c r="AQ5" s="639"/>
      <c r="AR5" s="639"/>
      <c r="AS5" s="639"/>
      <c r="AT5" s="639"/>
      <c r="AU5" s="639"/>
      <c r="AV5" s="639"/>
      <c r="AW5" s="639"/>
      <c r="AX5" s="639"/>
      <c r="AY5" s="639"/>
      <c r="AZ5" s="639"/>
      <c r="BA5" s="639"/>
      <c r="BB5" s="639"/>
      <c r="BC5" s="639"/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</row>
    <row r="6" spans="1:108" ht="11.25" customHeight="1" thickBot="1" x14ac:dyDescent="0.3"/>
    <row r="7" spans="1:108" s="642" customFormat="1" ht="76.5" customHeight="1" thickBot="1" x14ac:dyDescent="0.3">
      <c r="A7" s="640" t="s">
        <v>2979</v>
      </c>
      <c r="B7" s="641" t="s">
        <v>2868</v>
      </c>
      <c r="C7" s="641" t="s">
        <v>3599</v>
      </c>
      <c r="D7" s="683" t="s">
        <v>3600</v>
      </c>
      <c r="E7" s="641" t="s">
        <v>3590</v>
      </c>
      <c r="F7" s="641" t="s">
        <v>3591</v>
      </c>
      <c r="G7" s="641" t="s">
        <v>3592</v>
      </c>
      <c r="H7" s="674" t="s">
        <v>3593</v>
      </c>
      <c r="I7" s="683" t="s">
        <v>3601</v>
      </c>
      <c r="J7" s="683" t="s">
        <v>3600</v>
      </c>
    </row>
    <row r="8" spans="1:108" ht="15.75" customHeight="1" x14ac:dyDescent="0.25">
      <c r="A8" s="643" t="s">
        <v>129</v>
      </c>
      <c r="B8" s="644" t="s">
        <v>2870</v>
      </c>
      <c r="C8" s="776">
        <f>C9+C16+C20+C21+C23</f>
        <v>370.9596374161797</v>
      </c>
      <c r="D8" s="776">
        <f>D9+D16+D20+D21+D23</f>
        <v>336.10803169538923</v>
      </c>
      <c r="E8" s="776">
        <v>385.79802307002916</v>
      </c>
      <c r="F8" s="776">
        <f>F9+F16+F20+F21+F23</f>
        <v>401.22994535759057</v>
      </c>
      <c r="G8" s="776">
        <f>G9+G16+G20+G21+G23</f>
        <v>417.27913561795862</v>
      </c>
      <c r="H8" s="777">
        <f>H9+H16+H20+H21+H23</f>
        <v>433.97030162845175</v>
      </c>
      <c r="I8" s="778">
        <f>C8+E8+F8+G8+H8</f>
        <v>2009.2370430902099</v>
      </c>
      <c r="J8" s="776">
        <f>J9+J16+J20+J21+J23</f>
        <v>336.10803169538923</v>
      </c>
    </row>
    <row r="9" spans="1:108" ht="15.75" customHeight="1" x14ac:dyDescent="0.25">
      <c r="A9" s="645" t="s">
        <v>131</v>
      </c>
      <c r="B9" s="646" t="s">
        <v>2871</v>
      </c>
      <c r="C9" s="779">
        <f>C10+C12</f>
        <v>110.0078882308398</v>
      </c>
      <c r="D9" s="779">
        <f>D10+D12</f>
        <v>80.964887683856304</v>
      </c>
      <c r="E9" s="779">
        <v>114.80645417697389</v>
      </c>
      <c r="F9" s="779">
        <f>F10+F12</f>
        <v>119.81209727811581</v>
      </c>
      <c r="G9" s="779">
        <f>G10+G12</f>
        <v>124.819121064814</v>
      </c>
      <c r="H9" s="780">
        <f>H10+H12</f>
        <v>130.0347998875024</v>
      </c>
      <c r="I9" s="781">
        <f t="shared" ref="I9:I34" si="0">C9+E9+F9+G9+H9</f>
        <v>599.48036063824588</v>
      </c>
      <c r="J9" s="779">
        <f>J10+J12</f>
        <v>80.964887683856304</v>
      </c>
    </row>
    <row r="10" spans="1:108" s="677" customFormat="1" x14ac:dyDescent="0.25">
      <c r="A10" s="675" t="s">
        <v>133</v>
      </c>
      <c r="B10" s="676" t="s">
        <v>2872</v>
      </c>
      <c r="C10" s="782">
        <v>14.216246479627102</v>
      </c>
      <c r="D10" s="782">
        <v>14.216246871031501</v>
      </c>
      <c r="E10" s="782">
        <v>15.183146755712698</v>
      </c>
      <c r="F10" s="782">
        <v>16.203857560004167</v>
      </c>
      <c r="G10" s="782">
        <v>17.066551757977891</v>
      </c>
      <c r="H10" s="783">
        <v>17.972127808392827</v>
      </c>
      <c r="I10" s="784">
        <f t="shared" si="0"/>
        <v>80.641930361714685</v>
      </c>
      <c r="J10" s="782">
        <v>14.216246871031501</v>
      </c>
    </row>
    <row r="11" spans="1:108" s="677" customFormat="1" ht="15.75" customHeight="1" x14ac:dyDescent="0.25">
      <c r="A11" s="675" t="s">
        <v>139</v>
      </c>
      <c r="B11" s="678" t="s">
        <v>2873</v>
      </c>
      <c r="C11" s="782">
        <v>0</v>
      </c>
      <c r="D11" s="782">
        <v>0</v>
      </c>
      <c r="E11" s="782">
        <v>0</v>
      </c>
      <c r="F11" s="782">
        <v>0</v>
      </c>
      <c r="G11" s="782">
        <v>0</v>
      </c>
      <c r="H11" s="783">
        <v>0</v>
      </c>
      <c r="I11" s="784">
        <f t="shared" si="0"/>
        <v>0</v>
      </c>
      <c r="J11" s="782">
        <v>0</v>
      </c>
    </row>
    <row r="12" spans="1:108" s="677" customFormat="1" ht="32.25" customHeight="1" x14ac:dyDescent="0.25">
      <c r="A12" s="675" t="s">
        <v>141</v>
      </c>
      <c r="B12" s="676" t="s">
        <v>2874</v>
      </c>
      <c r="C12" s="782">
        <f>C14</f>
        <v>95.791641751212694</v>
      </c>
      <c r="D12" s="782">
        <f>D14</f>
        <v>66.748640812824803</v>
      </c>
      <c r="E12" s="782">
        <v>99.623307421261188</v>
      </c>
      <c r="F12" s="782">
        <f>F14</f>
        <v>103.60823971811165</v>
      </c>
      <c r="G12" s="782">
        <f>G14</f>
        <v>107.75256930683611</v>
      </c>
      <c r="H12" s="783">
        <f>H14</f>
        <v>112.06267207910957</v>
      </c>
      <c r="I12" s="784">
        <f t="shared" si="0"/>
        <v>518.8384302765312</v>
      </c>
      <c r="J12" s="782">
        <f>J14</f>
        <v>66.748640812824803</v>
      </c>
    </row>
    <row r="13" spans="1:108" s="679" customFormat="1" ht="35.25" customHeight="1" x14ac:dyDescent="0.25">
      <c r="A13" s="675" t="s">
        <v>143</v>
      </c>
      <c r="B13" s="676" t="s">
        <v>2875</v>
      </c>
      <c r="C13" s="782">
        <v>0</v>
      </c>
      <c r="D13" s="782">
        <v>0</v>
      </c>
      <c r="E13" s="782">
        <v>0</v>
      </c>
      <c r="F13" s="782">
        <v>0</v>
      </c>
      <c r="G13" s="782">
        <v>0</v>
      </c>
      <c r="H13" s="783">
        <v>0</v>
      </c>
      <c r="I13" s="784">
        <f t="shared" si="0"/>
        <v>0</v>
      </c>
      <c r="J13" s="782">
        <v>0</v>
      </c>
    </row>
    <row r="14" spans="1:108" s="677" customFormat="1" ht="35.25" customHeight="1" x14ac:dyDescent="0.25">
      <c r="A14" s="675" t="s">
        <v>144</v>
      </c>
      <c r="B14" s="676" t="s">
        <v>2876</v>
      </c>
      <c r="C14" s="782">
        <v>95.791641751212694</v>
      </c>
      <c r="D14" s="782">
        <v>66.748640812824803</v>
      </c>
      <c r="E14" s="782">
        <v>99.623307421261188</v>
      </c>
      <c r="F14" s="782">
        <v>103.60823971811165</v>
      </c>
      <c r="G14" s="782">
        <v>107.75256930683611</v>
      </c>
      <c r="H14" s="783">
        <v>112.06267207910957</v>
      </c>
      <c r="I14" s="784">
        <f t="shared" si="0"/>
        <v>518.8384302765312</v>
      </c>
      <c r="J14" s="782">
        <v>66.748640812824803</v>
      </c>
    </row>
    <row r="15" spans="1:108" s="677" customFormat="1" ht="15.75" customHeight="1" x14ac:dyDescent="0.25">
      <c r="A15" s="675" t="s">
        <v>2972</v>
      </c>
      <c r="B15" s="676" t="s">
        <v>2980</v>
      </c>
      <c r="C15" s="782"/>
      <c r="D15" s="782"/>
      <c r="E15" s="782"/>
      <c r="F15" s="782"/>
      <c r="G15" s="782"/>
      <c r="H15" s="783"/>
      <c r="I15" s="784">
        <f t="shared" si="0"/>
        <v>0</v>
      </c>
      <c r="J15" s="782"/>
    </row>
    <row r="16" spans="1:108" s="677" customFormat="1" ht="15.75" customHeight="1" x14ac:dyDescent="0.25">
      <c r="A16" s="675" t="s">
        <v>149</v>
      </c>
      <c r="B16" s="678" t="s">
        <v>2877</v>
      </c>
      <c r="C16" s="782">
        <f>C17</f>
        <v>199.12514294930997</v>
      </c>
      <c r="D16" s="782">
        <f>D17</f>
        <v>199.12513872896801</v>
      </c>
      <c r="E16" s="782">
        <v>206.69189838138377</v>
      </c>
      <c r="F16" s="782">
        <f>F17</f>
        <v>214.54619051987635</v>
      </c>
      <c r="G16" s="782">
        <f>G17</f>
        <v>222.9134919501515</v>
      </c>
      <c r="H16" s="783">
        <f>H17</f>
        <v>231.60711813620739</v>
      </c>
      <c r="I16" s="784">
        <f t="shared" si="0"/>
        <v>1074.883841936929</v>
      </c>
      <c r="J16" s="782">
        <f>J17</f>
        <v>199.12513872896801</v>
      </c>
    </row>
    <row r="17" spans="1:10" s="677" customFormat="1" ht="15.75" customHeight="1" x14ac:dyDescent="0.25">
      <c r="A17" s="675" t="s">
        <v>150</v>
      </c>
      <c r="B17" s="678" t="s">
        <v>2878</v>
      </c>
      <c r="C17" s="782">
        <v>199.12514294930997</v>
      </c>
      <c r="D17" s="782">
        <v>199.12513872896801</v>
      </c>
      <c r="E17" s="782">
        <v>206.69189838138377</v>
      </c>
      <c r="F17" s="782">
        <v>214.54619051987635</v>
      </c>
      <c r="G17" s="782">
        <v>222.9134919501515</v>
      </c>
      <c r="H17" s="783">
        <v>231.60711813620739</v>
      </c>
      <c r="I17" s="784">
        <f t="shared" si="0"/>
        <v>1074.883841936929</v>
      </c>
      <c r="J17" s="782">
        <v>199.12513872896801</v>
      </c>
    </row>
    <row r="18" spans="1:10" s="677" customFormat="1" ht="15.75" customHeight="1" x14ac:dyDescent="0.25">
      <c r="A18" s="675" t="s">
        <v>151</v>
      </c>
      <c r="B18" s="678" t="s">
        <v>2879</v>
      </c>
      <c r="C18" s="782">
        <v>0</v>
      </c>
      <c r="D18" s="782">
        <v>0</v>
      </c>
      <c r="E18" s="782">
        <v>0</v>
      </c>
      <c r="F18" s="782">
        <v>0</v>
      </c>
      <c r="G18" s="782">
        <v>0</v>
      </c>
      <c r="H18" s="783">
        <v>0</v>
      </c>
      <c r="I18" s="784">
        <f t="shared" si="0"/>
        <v>0</v>
      </c>
      <c r="J18" s="782">
        <v>0</v>
      </c>
    </row>
    <row r="19" spans="1:10" s="677" customFormat="1" ht="15.75" customHeight="1" x14ac:dyDescent="0.25">
      <c r="A19" s="675" t="s">
        <v>460</v>
      </c>
      <c r="B19" s="678" t="s">
        <v>2880</v>
      </c>
      <c r="C19" s="782">
        <v>0</v>
      </c>
      <c r="D19" s="782">
        <v>0</v>
      </c>
      <c r="E19" s="782">
        <v>0</v>
      </c>
      <c r="F19" s="782">
        <v>0</v>
      </c>
      <c r="G19" s="782">
        <v>0</v>
      </c>
      <c r="H19" s="783">
        <v>0</v>
      </c>
      <c r="I19" s="784">
        <f t="shared" si="0"/>
        <v>0</v>
      </c>
      <c r="J19" s="782">
        <v>0</v>
      </c>
    </row>
    <row r="20" spans="1:10" s="679" customFormat="1" ht="15.75" customHeight="1" x14ac:dyDescent="0.25">
      <c r="A20" s="675" t="s">
        <v>153</v>
      </c>
      <c r="B20" s="678" t="s">
        <v>2881</v>
      </c>
      <c r="C20" s="782">
        <v>61.82660623602996</v>
      </c>
      <c r="D20" s="782">
        <v>56.018005282564907</v>
      </c>
      <c r="E20" s="782">
        <v>64.299670511671536</v>
      </c>
      <c r="F20" s="782">
        <v>66.871657559598418</v>
      </c>
      <c r="G20" s="782">
        <v>69.546522602993093</v>
      </c>
      <c r="H20" s="783">
        <v>72.328383604741973</v>
      </c>
      <c r="I20" s="784">
        <f t="shared" si="0"/>
        <v>334.87284051503497</v>
      </c>
      <c r="J20" s="782">
        <v>56.018005282564907</v>
      </c>
    </row>
    <row r="21" spans="1:10" s="648" customFormat="1" ht="15.75" customHeight="1" x14ac:dyDescent="0.2">
      <c r="A21" s="645" t="s">
        <v>2786</v>
      </c>
      <c r="B21" s="646" t="s">
        <v>2882</v>
      </c>
      <c r="C21" s="779">
        <v>0</v>
      </c>
      <c r="D21" s="779">
        <v>0</v>
      </c>
      <c r="E21" s="779">
        <v>0</v>
      </c>
      <c r="F21" s="779">
        <v>0</v>
      </c>
      <c r="G21" s="779">
        <v>0</v>
      </c>
      <c r="H21" s="780">
        <v>0</v>
      </c>
      <c r="I21" s="781">
        <f t="shared" si="0"/>
        <v>0</v>
      </c>
      <c r="J21" s="779">
        <v>0</v>
      </c>
    </row>
    <row r="22" spans="1:10" ht="15.75" customHeight="1" x14ac:dyDescent="0.25">
      <c r="A22" s="645" t="s">
        <v>2883</v>
      </c>
      <c r="B22" s="646" t="s">
        <v>2884</v>
      </c>
      <c r="C22" s="779">
        <v>0</v>
      </c>
      <c r="D22" s="779">
        <v>0</v>
      </c>
      <c r="E22" s="779">
        <v>0</v>
      </c>
      <c r="F22" s="779">
        <v>0</v>
      </c>
      <c r="G22" s="779">
        <v>0</v>
      </c>
      <c r="H22" s="780">
        <v>0</v>
      </c>
      <c r="I22" s="781">
        <f t="shared" si="0"/>
        <v>0</v>
      </c>
      <c r="J22" s="779">
        <v>0</v>
      </c>
    </row>
    <row r="23" spans="1:10" ht="15.75" customHeight="1" x14ac:dyDescent="0.25">
      <c r="A23" s="645" t="s">
        <v>2885</v>
      </c>
      <c r="B23" s="646" t="s">
        <v>2886</v>
      </c>
      <c r="C23" s="779">
        <v>0</v>
      </c>
      <c r="D23" s="779">
        <v>0</v>
      </c>
      <c r="E23" s="779">
        <v>0</v>
      </c>
      <c r="F23" s="779">
        <v>0</v>
      </c>
      <c r="G23" s="779">
        <v>0</v>
      </c>
      <c r="H23" s="780">
        <v>0</v>
      </c>
      <c r="I23" s="781">
        <f t="shared" si="0"/>
        <v>0</v>
      </c>
      <c r="J23" s="779">
        <v>0</v>
      </c>
    </row>
    <row r="24" spans="1:10" s="647" customFormat="1" ht="15.75" customHeight="1" x14ac:dyDescent="0.25">
      <c r="A24" s="645" t="s">
        <v>160</v>
      </c>
      <c r="B24" s="646" t="s">
        <v>2887</v>
      </c>
      <c r="C24" s="779">
        <v>0</v>
      </c>
      <c r="D24" s="779">
        <v>0</v>
      </c>
      <c r="E24" s="779">
        <v>0</v>
      </c>
      <c r="F24" s="779">
        <v>0</v>
      </c>
      <c r="G24" s="779">
        <v>0</v>
      </c>
      <c r="H24" s="780">
        <v>0</v>
      </c>
      <c r="I24" s="781">
        <f t="shared" si="0"/>
        <v>0</v>
      </c>
      <c r="J24" s="779">
        <v>0</v>
      </c>
    </row>
    <row r="25" spans="1:10" s="647" customFormat="1" ht="15.75" customHeight="1" x14ac:dyDescent="0.25">
      <c r="A25" s="645" t="s">
        <v>162</v>
      </c>
      <c r="B25" s="646" t="s">
        <v>2888</v>
      </c>
      <c r="C25" s="779">
        <v>0</v>
      </c>
      <c r="D25" s="779">
        <v>0</v>
      </c>
      <c r="E25" s="779">
        <v>0</v>
      </c>
      <c r="F25" s="779">
        <v>0</v>
      </c>
      <c r="G25" s="779">
        <v>0</v>
      </c>
      <c r="H25" s="780">
        <v>0</v>
      </c>
      <c r="I25" s="781">
        <f t="shared" si="0"/>
        <v>0</v>
      </c>
      <c r="J25" s="779">
        <v>0</v>
      </c>
    </row>
    <row r="26" spans="1:10" ht="15.75" customHeight="1" x14ac:dyDescent="0.25">
      <c r="A26" s="645" t="s">
        <v>1211</v>
      </c>
      <c r="B26" s="646" t="s">
        <v>2889</v>
      </c>
      <c r="C26" s="779">
        <v>0</v>
      </c>
      <c r="D26" s="779">
        <v>0</v>
      </c>
      <c r="E26" s="779">
        <v>0</v>
      </c>
      <c r="F26" s="779">
        <v>0</v>
      </c>
      <c r="G26" s="779">
        <v>0</v>
      </c>
      <c r="H26" s="780">
        <v>0</v>
      </c>
      <c r="I26" s="781">
        <f t="shared" si="0"/>
        <v>0</v>
      </c>
      <c r="J26" s="779">
        <v>0</v>
      </c>
    </row>
    <row r="27" spans="1:10" ht="15.75" customHeight="1" x14ac:dyDescent="0.25">
      <c r="A27" s="645" t="s">
        <v>1214</v>
      </c>
      <c r="B27" s="646" t="s">
        <v>2890</v>
      </c>
      <c r="C27" s="779">
        <v>0</v>
      </c>
      <c r="D27" s="779">
        <v>0</v>
      </c>
      <c r="E27" s="779">
        <v>0</v>
      </c>
      <c r="F27" s="779">
        <v>0</v>
      </c>
      <c r="G27" s="779">
        <v>0</v>
      </c>
      <c r="H27" s="780">
        <v>0</v>
      </c>
      <c r="I27" s="781">
        <f t="shared" si="0"/>
        <v>0</v>
      </c>
      <c r="J27" s="779">
        <v>0</v>
      </c>
    </row>
    <row r="28" spans="1:10" ht="15.75" customHeight="1" x14ac:dyDescent="0.25">
      <c r="A28" s="645" t="s">
        <v>1217</v>
      </c>
      <c r="B28" s="646" t="s">
        <v>2891</v>
      </c>
      <c r="C28" s="779">
        <v>0</v>
      </c>
      <c r="D28" s="779">
        <v>0</v>
      </c>
      <c r="E28" s="779">
        <v>0</v>
      </c>
      <c r="F28" s="779">
        <v>0</v>
      </c>
      <c r="G28" s="779">
        <v>0</v>
      </c>
      <c r="H28" s="780">
        <v>0</v>
      </c>
      <c r="I28" s="781">
        <f t="shared" si="0"/>
        <v>0</v>
      </c>
      <c r="J28" s="779">
        <v>0</v>
      </c>
    </row>
    <row r="29" spans="1:10" s="647" customFormat="1" ht="15.75" customHeight="1" x14ac:dyDescent="0.25">
      <c r="A29" s="645" t="s">
        <v>403</v>
      </c>
      <c r="B29" s="646" t="s">
        <v>2892</v>
      </c>
      <c r="C29" s="779">
        <v>0</v>
      </c>
      <c r="D29" s="779">
        <v>0</v>
      </c>
      <c r="E29" s="779">
        <v>0</v>
      </c>
      <c r="F29" s="779">
        <v>0</v>
      </c>
      <c r="G29" s="779">
        <v>0</v>
      </c>
      <c r="H29" s="780">
        <v>0</v>
      </c>
      <c r="I29" s="781">
        <f t="shared" si="0"/>
        <v>0</v>
      </c>
      <c r="J29" s="779">
        <v>0</v>
      </c>
    </row>
    <row r="30" spans="1:10" s="647" customFormat="1" ht="15.75" customHeight="1" x14ac:dyDescent="0.25">
      <c r="A30" s="645" t="s">
        <v>2893</v>
      </c>
      <c r="B30" s="646" t="s">
        <v>2894</v>
      </c>
      <c r="C30" s="779">
        <v>0</v>
      </c>
      <c r="D30" s="779">
        <v>0</v>
      </c>
      <c r="E30" s="779">
        <v>0</v>
      </c>
      <c r="F30" s="779">
        <v>0</v>
      </c>
      <c r="G30" s="779">
        <v>0</v>
      </c>
      <c r="H30" s="780">
        <v>0</v>
      </c>
      <c r="I30" s="781">
        <f t="shared" si="0"/>
        <v>0</v>
      </c>
      <c r="J30" s="779">
        <v>0</v>
      </c>
    </row>
    <row r="31" spans="1:10" s="647" customFormat="1" ht="15.75" customHeight="1" x14ac:dyDescent="0.25">
      <c r="A31" s="645" t="s">
        <v>2895</v>
      </c>
      <c r="B31" s="646" t="s">
        <v>2896</v>
      </c>
      <c r="C31" s="779">
        <v>0</v>
      </c>
      <c r="D31" s="779">
        <v>0</v>
      </c>
      <c r="E31" s="779">
        <v>0</v>
      </c>
      <c r="F31" s="779">
        <v>0</v>
      </c>
      <c r="G31" s="779">
        <v>0</v>
      </c>
      <c r="H31" s="780">
        <v>0</v>
      </c>
      <c r="I31" s="781">
        <f t="shared" si="0"/>
        <v>0</v>
      </c>
      <c r="J31" s="779">
        <v>0</v>
      </c>
    </row>
    <row r="32" spans="1:10" s="647" customFormat="1" ht="15.75" customHeight="1" x14ac:dyDescent="0.25">
      <c r="A32" s="645"/>
      <c r="B32" s="646" t="s">
        <v>2897</v>
      </c>
      <c r="C32" s="779">
        <f>C8</f>
        <v>370.9596374161797</v>
      </c>
      <c r="D32" s="779">
        <f>D8</f>
        <v>336.10803169538923</v>
      </c>
      <c r="E32" s="779">
        <v>385.79802307002916</v>
      </c>
      <c r="F32" s="779">
        <f>F8</f>
        <v>401.22994535759057</v>
      </c>
      <c r="G32" s="779">
        <f>G8</f>
        <v>417.27913561795862</v>
      </c>
      <c r="H32" s="780">
        <f>H8</f>
        <v>433.97030162845175</v>
      </c>
      <c r="I32" s="781">
        <f t="shared" si="0"/>
        <v>2009.2370430902099</v>
      </c>
      <c r="J32" s="779">
        <f>J8</f>
        <v>336.10803169538923</v>
      </c>
    </row>
    <row r="33" spans="1:26" s="647" customFormat="1" ht="15.75" customHeight="1" x14ac:dyDescent="0.25">
      <c r="A33" s="645"/>
      <c r="B33" s="646" t="s">
        <v>2898</v>
      </c>
      <c r="C33" s="779">
        <v>0</v>
      </c>
      <c r="D33" s="779">
        <v>0</v>
      </c>
      <c r="E33" s="779">
        <v>0</v>
      </c>
      <c r="F33" s="779">
        <v>0</v>
      </c>
      <c r="G33" s="779">
        <v>0</v>
      </c>
      <c r="H33" s="780">
        <v>0</v>
      </c>
      <c r="I33" s="781">
        <f t="shared" si="0"/>
        <v>0</v>
      </c>
      <c r="J33" s="779">
        <v>0</v>
      </c>
    </row>
    <row r="34" spans="1:26" s="647" customFormat="1" ht="33.75" customHeight="1" x14ac:dyDescent="0.25">
      <c r="A34" s="645"/>
      <c r="B34" s="649" t="s">
        <v>2899</v>
      </c>
      <c r="C34" s="779">
        <v>0</v>
      </c>
      <c r="D34" s="779">
        <v>0</v>
      </c>
      <c r="E34" s="779">
        <v>0</v>
      </c>
      <c r="F34" s="779">
        <v>0</v>
      </c>
      <c r="G34" s="779">
        <v>0</v>
      </c>
      <c r="H34" s="780">
        <v>0</v>
      </c>
      <c r="I34" s="781">
        <f t="shared" si="0"/>
        <v>0</v>
      </c>
      <c r="J34" s="779">
        <v>0</v>
      </c>
    </row>
    <row r="35" spans="1:26" s="647" customFormat="1" ht="15.75" customHeight="1" thickBot="1" x14ac:dyDescent="0.3">
      <c r="A35" s="650"/>
      <c r="B35" s="651" t="s">
        <v>2900</v>
      </c>
      <c r="C35" s="785">
        <v>0</v>
      </c>
      <c r="D35" s="785">
        <v>0</v>
      </c>
      <c r="E35" s="785">
        <v>0</v>
      </c>
      <c r="F35" s="785">
        <v>0</v>
      </c>
      <c r="G35" s="785">
        <v>0</v>
      </c>
      <c r="H35" s="786">
        <v>0</v>
      </c>
      <c r="I35" s="787">
        <v>0</v>
      </c>
      <c r="J35" s="785">
        <v>0</v>
      </c>
    </row>
    <row r="36" spans="1:26" x14ac:dyDescent="0.25">
      <c r="A36" s="652"/>
      <c r="B36" s="653"/>
      <c r="C36" s="654"/>
      <c r="D36" s="684"/>
      <c r="E36" s="654"/>
      <c r="F36" s="654"/>
      <c r="G36" s="654"/>
      <c r="H36" s="654"/>
      <c r="I36" s="654"/>
      <c r="J36" s="654"/>
      <c r="K36" s="654"/>
      <c r="L36" s="653"/>
      <c r="M36" s="655"/>
      <c r="N36" s="655"/>
      <c r="O36" s="655"/>
      <c r="P36" s="655"/>
      <c r="Q36" s="655"/>
      <c r="R36" s="655"/>
      <c r="S36" s="655"/>
      <c r="T36" s="655"/>
      <c r="U36" s="655"/>
      <c r="V36" s="655"/>
      <c r="W36" s="655"/>
      <c r="X36" s="655"/>
      <c r="Y36" s="655"/>
      <c r="Z36" s="655"/>
    </row>
    <row r="37" spans="1:26" x14ac:dyDescent="0.25">
      <c r="A37" s="652"/>
      <c r="B37" s="653"/>
      <c r="C37" s="654"/>
      <c r="D37" s="684"/>
      <c r="E37" s="654"/>
      <c r="F37" s="654"/>
      <c r="G37" s="654"/>
      <c r="H37" s="654"/>
      <c r="I37" s="654"/>
      <c r="J37" s="654"/>
      <c r="K37" s="654"/>
      <c r="L37" s="653"/>
      <c r="M37" s="655"/>
      <c r="N37" s="655"/>
      <c r="O37" s="655"/>
      <c r="P37" s="655"/>
      <c r="Q37" s="655"/>
      <c r="R37" s="655"/>
      <c r="S37" s="655"/>
      <c r="T37" s="655"/>
      <c r="U37" s="655"/>
      <c r="V37" s="655"/>
      <c r="W37" s="655"/>
      <c r="X37" s="655"/>
      <c r="Y37" s="655"/>
      <c r="Z37" s="655"/>
    </row>
    <row r="38" spans="1:26" s="658" customFormat="1" ht="12.75" x14ac:dyDescent="0.2">
      <c r="A38" s="656"/>
      <c r="B38" s="656"/>
      <c r="C38" s="657"/>
      <c r="D38" s="685"/>
      <c r="E38" s="657"/>
      <c r="F38" s="657"/>
      <c r="G38" s="657"/>
      <c r="H38" s="657"/>
      <c r="I38" s="657"/>
      <c r="K38" s="657"/>
      <c r="L38" s="657"/>
      <c r="M38" s="657"/>
      <c r="N38" s="657"/>
      <c r="O38" s="657"/>
      <c r="P38" s="657"/>
      <c r="Q38" s="657"/>
      <c r="R38" s="659"/>
      <c r="S38" s="659"/>
    </row>
  </sheetData>
  <mergeCells count="3">
    <mergeCell ref="A5:I5"/>
    <mergeCell ref="C1:I1"/>
    <mergeCell ref="A4:I4"/>
  </mergeCells>
  <printOptions horizontalCentered="1"/>
  <pageMargins left="0" right="0" top="0.19685039370078741" bottom="0.19685039370078741" header="0.31496062992125984" footer="0.31496062992125984"/>
  <pageSetup paperSize="8" scale="70" orientation="landscape" r:id="rId1"/>
  <headerFooter alignWithMargins="0">
    <oddFooter>&amp;C40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498"/>
  <sheetViews>
    <sheetView view="pageBreakPreview" topLeftCell="B6" zoomScale="70" zoomScaleNormal="70" zoomScaleSheetLayoutView="70" workbookViewId="0">
      <pane xSplit="4320" ySplit="2805" topLeftCell="O6" activePane="bottomRight"/>
      <selection activeCell="C28" sqref="C28"/>
      <selection pane="topRight" activeCell="AE12" sqref="AE12"/>
      <selection pane="bottomLeft" activeCell="E90" sqref="E90"/>
      <selection pane="bottomRight" activeCell="W19" sqref="W19"/>
    </sheetView>
  </sheetViews>
  <sheetFormatPr defaultRowHeight="12.75" outlineLevelRow="4" outlineLevelCol="2" x14ac:dyDescent="0.2"/>
  <cols>
    <col min="1" max="1" width="14.28515625" style="1" customWidth="1" outlineLevel="1"/>
    <col min="2" max="2" width="9.7109375" style="1" customWidth="1"/>
    <col min="3" max="3" width="32.7109375" style="1" customWidth="1"/>
    <col min="4" max="4" width="12.5703125" style="1" customWidth="1"/>
    <col min="5" max="5" width="14.7109375" style="1" customWidth="1"/>
    <col min="6" max="6" width="11.42578125" style="1" customWidth="1" collapsed="1"/>
    <col min="7" max="7" width="11.7109375" style="1" customWidth="1"/>
    <col min="8" max="8" width="18.28515625" style="1" customWidth="1"/>
    <col min="9" max="9" width="16.5703125" style="1" customWidth="1"/>
    <col min="10" max="10" width="15" style="1" customWidth="1"/>
    <col min="11" max="13" width="13.7109375" style="1" customWidth="1" outlineLevel="1"/>
    <col min="14" max="16" width="13.85546875" style="1" customWidth="1" outlineLevel="1"/>
    <col min="17" max="17" width="14.7109375" style="1" customWidth="1" outlineLevel="1" collapsed="1"/>
    <col min="18" max="18" width="12.85546875" style="64" customWidth="1" outlineLevel="1"/>
    <col min="19" max="27" width="12.42578125" style="64" customWidth="1" outlineLevel="1"/>
    <col min="28" max="28" width="12.42578125" style="304" customWidth="1" outlineLevel="1"/>
    <col min="29" max="30" width="12.42578125" style="220" customWidth="1" outlineLevel="1"/>
    <col min="31" max="31" width="12.42578125" style="64" customWidth="1" outlineLevel="1"/>
    <col min="32" max="32" width="12.5703125" style="2" customWidth="1" outlineLevel="2"/>
    <col min="33" max="37" width="12.42578125" style="2" customWidth="1" outlineLevel="2"/>
    <col min="38" max="38" width="12.42578125" style="47" customWidth="1" outlineLevel="2"/>
    <col min="39" max="39" width="8.28515625" style="83" customWidth="1"/>
    <col min="40" max="40" width="7.85546875" style="83" customWidth="1"/>
    <col min="41" max="41" width="8.28515625" style="86" customWidth="1" collapsed="1"/>
    <col min="42" max="42" width="7.28515625" style="86" customWidth="1"/>
    <col min="43" max="43" width="8.28515625" style="83" customWidth="1" collapsed="1"/>
    <col min="44" max="44" width="6.85546875" style="83" customWidth="1"/>
    <col min="45" max="45" width="8" style="86" customWidth="1" collapsed="1"/>
    <col min="46" max="46" width="7.28515625" style="86" customWidth="1"/>
    <col min="47" max="47" width="8.7109375" style="83" customWidth="1" collapsed="1"/>
    <col min="48" max="48" width="6.85546875" style="83" customWidth="1"/>
    <col min="49" max="49" width="8.7109375" style="83" customWidth="1"/>
    <col min="50" max="50" width="6.85546875" style="83" customWidth="1"/>
    <col min="51" max="51" width="10.7109375" style="51" customWidth="1"/>
    <col min="52" max="52" width="10.42578125" style="1" customWidth="1"/>
    <col min="53" max="53" width="14.5703125" style="1" customWidth="1"/>
    <col min="54" max="54" width="61.140625" style="1" customWidth="1"/>
    <col min="55" max="55" width="18.5703125" style="1" customWidth="1"/>
    <col min="56" max="57" width="9.140625" style="1"/>
    <col min="58" max="58" width="12.85546875" style="64" customWidth="1"/>
    <col min="59" max="64" width="12.42578125" style="64" customWidth="1" outlineLevel="1"/>
    <col min="65" max="16384" width="9.140625" style="1"/>
  </cols>
  <sheetData>
    <row r="1" spans="1:64" ht="15.75" outlineLevel="1" x14ac:dyDescent="0.2">
      <c r="R1" s="1"/>
      <c r="S1" s="1"/>
      <c r="T1" s="46" t="s">
        <v>330</v>
      </c>
      <c r="U1" s="2"/>
      <c r="V1" s="2"/>
      <c r="W1" s="2"/>
      <c r="X1" s="1"/>
      <c r="Y1" s="2"/>
      <c r="Z1" s="2"/>
      <c r="AA1" s="2"/>
      <c r="AB1" s="2"/>
      <c r="AC1" s="2"/>
      <c r="AD1" s="2"/>
      <c r="AE1" s="2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BF1" s="1"/>
      <c r="BG1" s="1"/>
      <c r="BH1" s="1"/>
      <c r="BI1" s="1"/>
      <c r="BJ1" s="1"/>
      <c r="BK1" s="1"/>
      <c r="BL1" s="1"/>
    </row>
    <row r="2" spans="1:64" ht="15.75" outlineLevel="1" x14ac:dyDescent="0.2">
      <c r="R2" s="1"/>
      <c r="S2" s="1"/>
      <c r="T2" s="46" t="s">
        <v>438</v>
      </c>
      <c r="U2" s="2"/>
      <c r="V2" s="2"/>
      <c r="W2" s="2"/>
      <c r="X2" s="1"/>
      <c r="Y2" s="2"/>
      <c r="Z2" s="2"/>
      <c r="AA2" s="2"/>
      <c r="AB2" s="2"/>
      <c r="AC2" s="2"/>
      <c r="AD2" s="2"/>
      <c r="AE2" s="2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BF2" s="1"/>
      <c r="BG2" s="1"/>
      <c r="BH2" s="1"/>
      <c r="BI2" s="1"/>
      <c r="BJ2" s="1"/>
      <c r="BK2" s="1"/>
      <c r="BL2" s="1"/>
    </row>
    <row r="3" spans="1:64" ht="15.75" outlineLevel="1" x14ac:dyDescent="0.2">
      <c r="R3" s="1"/>
      <c r="S3" s="1"/>
      <c r="T3" s="46" t="s">
        <v>496</v>
      </c>
      <c r="U3" s="2"/>
      <c r="V3" s="2"/>
      <c r="W3" s="2"/>
      <c r="X3" s="1"/>
      <c r="Y3" s="2"/>
      <c r="Z3" s="2"/>
      <c r="AA3" s="2"/>
      <c r="AB3" s="2"/>
      <c r="AC3" s="2"/>
      <c r="AD3" s="2"/>
      <c r="AE3" s="2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BF3" s="1"/>
      <c r="BG3" s="1"/>
      <c r="BH3" s="1"/>
      <c r="BI3" s="1"/>
      <c r="BJ3" s="1"/>
      <c r="BK3" s="1"/>
      <c r="BL3" s="1"/>
    </row>
    <row r="4" spans="1:64" ht="15.75" outlineLevel="1" x14ac:dyDescent="0.2">
      <c r="Q4" s="144"/>
      <c r="R4" s="325"/>
      <c r="U4" s="144"/>
      <c r="BI4" s="144" t="s">
        <v>1397</v>
      </c>
    </row>
    <row r="5" spans="1:64" outlineLevel="1" x14ac:dyDescent="0.2">
      <c r="O5" s="64"/>
      <c r="P5" s="64"/>
      <c r="Q5" s="64"/>
    </row>
    <row r="6" spans="1:64" s="47" customFormat="1" ht="38.25" customHeight="1" x14ac:dyDescent="0.3">
      <c r="A6" s="152"/>
      <c r="B6" s="845" t="s">
        <v>2360</v>
      </c>
      <c r="C6" s="845"/>
      <c r="D6" s="845"/>
      <c r="E6" s="845"/>
      <c r="F6" s="845"/>
      <c r="G6" s="845"/>
      <c r="H6" s="845"/>
      <c r="I6" s="845"/>
      <c r="J6" s="845"/>
      <c r="K6" s="845"/>
      <c r="L6" s="845"/>
      <c r="M6" s="845"/>
      <c r="N6" s="845"/>
      <c r="O6" s="845"/>
      <c r="P6" s="845"/>
      <c r="Q6" s="845"/>
      <c r="R6" s="845"/>
      <c r="S6" s="845"/>
      <c r="T6" s="845"/>
      <c r="U6" s="845"/>
      <c r="V6" s="845"/>
      <c r="W6" s="845"/>
      <c r="X6" s="845"/>
      <c r="Y6" s="206"/>
      <c r="Z6" s="206"/>
      <c r="AA6" s="206"/>
      <c r="AB6" s="305"/>
      <c r="AC6" s="221"/>
      <c r="AD6" s="221"/>
      <c r="AE6" s="217"/>
      <c r="BF6" s="206"/>
      <c r="BG6" s="206"/>
      <c r="BH6" s="206"/>
      <c r="BI6" s="206"/>
      <c r="BJ6" s="206"/>
      <c r="BK6" s="206"/>
      <c r="BL6" s="206"/>
    </row>
    <row r="7" spans="1:64" s="47" customFormat="1" ht="18.75" hidden="1" outlineLevel="1" x14ac:dyDescent="0.3">
      <c r="A7" s="152"/>
      <c r="B7" s="212" t="s">
        <v>2638</v>
      </c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13" t="s">
        <v>2639</v>
      </c>
      <c r="R7" s="268">
        <v>207.8</v>
      </c>
      <c r="S7" s="268">
        <v>237.8</v>
      </c>
      <c r="T7" s="268">
        <v>258.89999999999998</v>
      </c>
      <c r="U7" s="268">
        <v>286</v>
      </c>
      <c r="V7" s="268">
        <f>292</f>
        <v>292</v>
      </c>
      <c r="W7" s="268">
        <f>311+109</f>
        <v>420</v>
      </c>
      <c r="X7" s="269">
        <f>R7+S7+T7+U7+V7+W7</f>
        <v>1702.5</v>
      </c>
      <c r="Y7" s="269"/>
      <c r="Z7" s="269"/>
      <c r="AA7" s="269"/>
      <c r="AB7" s="269"/>
      <c r="AC7" s="222"/>
      <c r="AD7" s="222"/>
      <c r="AE7" s="218"/>
      <c r="BF7" s="214">
        <v>207.79697999999996</v>
      </c>
      <c r="BG7" s="214">
        <v>237.80542199999999</v>
      </c>
      <c r="BH7" s="214">
        <v>258.89850000000001</v>
      </c>
      <c r="BI7" s="214">
        <v>285.99739999999997</v>
      </c>
      <c r="BJ7" s="214">
        <v>292.00300000000004</v>
      </c>
      <c r="BK7" s="214">
        <v>572.94000000000005</v>
      </c>
      <c r="BL7" s="215">
        <v>1855.4413019999997</v>
      </c>
    </row>
    <row r="8" spans="1:64" s="47" customFormat="1" ht="18.75" hidden="1" outlineLevel="1" x14ac:dyDescent="0.3">
      <c r="A8" s="152"/>
      <c r="B8" s="212" t="s">
        <v>2638</v>
      </c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13" t="s">
        <v>2640</v>
      </c>
      <c r="R8" s="268">
        <f t="shared" ref="R8:X8" si="0">R16+R48+R122</f>
        <v>207.79998999999995</v>
      </c>
      <c r="S8" s="268">
        <f t="shared" si="0"/>
        <v>237.80003200000002</v>
      </c>
      <c r="T8" s="268">
        <f t="shared" si="0"/>
        <v>258.90000000000003</v>
      </c>
      <c r="U8" s="268">
        <f t="shared" si="0"/>
        <v>286</v>
      </c>
      <c r="V8" s="268">
        <f t="shared" si="0"/>
        <v>292</v>
      </c>
      <c r="W8" s="268">
        <f>W16+W48+W122</f>
        <v>420</v>
      </c>
      <c r="X8" s="268">
        <f t="shared" si="0"/>
        <v>1702.5000220000002</v>
      </c>
      <c r="Y8" s="268"/>
      <c r="Z8" s="268"/>
      <c r="AA8" s="268"/>
      <c r="AB8" s="269"/>
      <c r="AC8" s="222"/>
      <c r="AD8" s="222"/>
      <c r="AE8" s="218"/>
      <c r="BF8" s="214">
        <f>BF16+BF48+BF122-BF92</f>
        <v>221.07694999999995</v>
      </c>
      <c r="BG8" s="214">
        <f t="shared" ref="BG8:BL8" si="1">BG16+BG48+BG122</f>
        <v>272.339022</v>
      </c>
      <c r="BH8" s="214">
        <f t="shared" si="1"/>
        <v>254.67750000000001</v>
      </c>
      <c r="BI8" s="214">
        <f t="shared" si="1"/>
        <v>326.76940000000002</v>
      </c>
      <c r="BJ8" s="214">
        <f t="shared" si="1"/>
        <v>415.803</v>
      </c>
      <c r="BK8" s="214">
        <f t="shared" si="1"/>
        <v>788.65949999999998</v>
      </c>
      <c r="BL8" s="215">
        <f t="shared" si="1"/>
        <v>2355.0153719999998</v>
      </c>
    </row>
    <row r="9" spans="1:64" s="47" customFormat="1" ht="18.75" hidden="1" outlineLevel="1" x14ac:dyDescent="0.3">
      <c r="A9" s="152"/>
      <c r="B9" s="212" t="s">
        <v>2638</v>
      </c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13" t="s">
        <v>2641</v>
      </c>
      <c r="R9" s="270">
        <f>R7-R8</f>
        <v>1.0000000060017555E-5</v>
      </c>
      <c r="S9" s="270">
        <f t="shared" ref="S9:X9" si="2">S7-S8</f>
        <v>-3.2000000004472895E-5</v>
      </c>
      <c r="T9" s="270">
        <f t="shared" si="2"/>
        <v>0</v>
      </c>
      <c r="U9" s="268">
        <f t="shared" si="2"/>
        <v>0</v>
      </c>
      <c r="V9" s="268">
        <f>V7-V8</f>
        <v>0</v>
      </c>
      <c r="W9" s="268">
        <f t="shared" si="2"/>
        <v>0</v>
      </c>
      <c r="X9" s="268">
        <f t="shared" si="2"/>
        <v>-2.2000000171829015E-5</v>
      </c>
      <c r="Y9" s="268"/>
      <c r="Z9" s="268"/>
      <c r="AA9" s="268"/>
      <c r="AB9" s="269"/>
      <c r="AC9" s="222"/>
      <c r="AD9" s="222"/>
      <c r="AE9" s="218"/>
      <c r="BF9" s="214">
        <f>BF7-BF8</f>
        <v>-13.279969999999992</v>
      </c>
      <c r="BG9" s="214">
        <f t="shared" ref="BG9:BL9" si="3">BG7-BG8</f>
        <v>-34.533600000000007</v>
      </c>
      <c r="BH9" s="214">
        <f t="shared" si="3"/>
        <v>4.2210000000000036</v>
      </c>
      <c r="BI9" s="214">
        <f t="shared" si="3"/>
        <v>-40.772000000000048</v>
      </c>
      <c r="BJ9" s="214">
        <f t="shared" si="3"/>
        <v>-123.79999999999995</v>
      </c>
      <c r="BK9" s="214">
        <f t="shared" si="3"/>
        <v>-215.71949999999993</v>
      </c>
      <c r="BL9" s="214">
        <f t="shared" si="3"/>
        <v>-499.57407000000012</v>
      </c>
    </row>
    <row r="10" spans="1:64" s="51" customFormat="1" ht="13.5" collapsed="1" thickBot="1" x14ac:dyDescent="0.25">
      <c r="N10" s="153"/>
      <c r="O10" s="153"/>
      <c r="P10" s="153"/>
      <c r="Q10" s="153"/>
      <c r="R10" s="211"/>
      <c r="S10" s="211"/>
      <c r="T10" s="211"/>
      <c r="U10" s="211"/>
      <c r="V10" s="211"/>
      <c r="W10" s="211"/>
      <c r="X10" s="154"/>
      <c r="Y10" s="154"/>
      <c r="Z10" s="154"/>
      <c r="AA10" s="154"/>
      <c r="AB10" s="306"/>
      <c r="AC10" s="223"/>
      <c r="AD10" s="223"/>
      <c r="AE10" s="154"/>
      <c r="AF10" s="155"/>
      <c r="AG10" s="155"/>
      <c r="AH10" s="155"/>
      <c r="AI10" s="155"/>
      <c r="AJ10" s="155"/>
      <c r="AK10" s="155"/>
      <c r="AL10" s="155"/>
      <c r="AM10" s="84" t="s">
        <v>2160</v>
      </c>
      <c r="AN10" s="177" t="s">
        <v>2161</v>
      </c>
      <c r="AO10" s="84" t="s">
        <v>2160</v>
      </c>
      <c r="AP10" s="182" t="s">
        <v>2161</v>
      </c>
      <c r="AQ10" s="84" t="s">
        <v>2160</v>
      </c>
      <c r="AR10" s="182" t="s">
        <v>2161</v>
      </c>
      <c r="AS10" s="84" t="s">
        <v>2160</v>
      </c>
      <c r="AT10" s="182" t="s">
        <v>2161</v>
      </c>
      <c r="AU10" s="84" t="s">
        <v>2160</v>
      </c>
      <c r="AV10" s="182" t="s">
        <v>2161</v>
      </c>
      <c r="AW10" s="84" t="s">
        <v>2160</v>
      </c>
      <c r="AX10" s="182" t="s">
        <v>2161</v>
      </c>
      <c r="AY10" s="84" t="s">
        <v>2160</v>
      </c>
      <c r="AZ10" s="182" t="s">
        <v>2161</v>
      </c>
      <c r="BF10" s="211"/>
      <c r="BG10" s="211"/>
      <c r="BH10" s="211"/>
      <c r="BI10" s="211"/>
      <c r="BJ10" s="211"/>
      <c r="BK10" s="211"/>
      <c r="BL10" s="154"/>
    </row>
    <row r="11" spans="1:64" s="2" customFormat="1" ht="25.5" customHeight="1" x14ac:dyDescent="0.2">
      <c r="A11" s="147"/>
      <c r="B11" s="831" t="s">
        <v>1494</v>
      </c>
      <c r="C11" s="831" t="s">
        <v>119</v>
      </c>
      <c r="D11" s="831" t="s">
        <v>120</v>
      </c>
      <c r="E11" s="831" t="s">
        <v>1467</v>
      </c>
      <c r="F11" s="831" t="s">
        <v>121</v>
      </c>
      <c r="G11" s="831" t="s">
        <v>122</v>
      </c>
      <c r="H11" s="831" t="s">
        <v>399</v>
      </c>
      <c r="I11" s="831" t="s">
        <v>123</v>
      </c>
      <c r="J11" s="831" t="s">
        <v>458</v>
      </c>
      <c r="K11" s="831" t="s">
        <v>124</v>
      </c>
      <c r="L11" s="831"/>
      <c r="M11" s="831"/>
      <c r="N11" s="831"/>
      <c r="O11" s="831"/>
      <c r="P11" s="831"/>
      <c r="Q11" s="831"/>
      <c r="R11" s="844" t="s">
        <v>1388</v>
      </c>
      <c r="S11" s="844"/>
      <c r="T11" s="844"/>
      <c r="U11" s="844"/>
      <c r="V11" s="844"/>
      <c r="W11" s="844"/>
      <c r="X11" s="844"/>
      <c r="Y11" s="841" t="s">
        <v>2590</v>
      </c>
      <c r="Z11" s="841"/>
      <c r="AA11" s="841"/>
      <c r="AB11" s="829" t="s">
        <v>2591</v>
      </c>
      <c r="AC11" s="835" t="s">
        <v>1918</v>
      </c>
      <c r="AD11" s="836"/>
      <c r="AE11" s="157" t="s">
        <v>1921</v>
      </c>
      <c r="AF11" s="839" t="s">
        <v>2445</v>
      </c>
      <c r="AG11" s="839"/>
      <c r="AH11" s="839"/>
      <c r="AI11" s="839"/>
      <c r="AJ11" s="839"/>
      <c r="AK11" s="839"/>
      <c r="AL11" s="840"/>
      <c r="AM11" s="837" t="s">
        <v>2446</v>
      </c>
      <c r="AN11" s="837"/>
      <c r="AO11" s="838"/>
      <c r="AP11" s="838"/>
      <c r="AQ11" s="837"/>
      <c r="AR11" s="837"/>
      <c r="AS11" s="837"/>
      <c r="AT11" s="837"/>
      <c r="AU11" s="837"/>
      <c r="AV11" s="837"/>
      <c r="AW11" s="837"/>
      <c r="AX11" s="837"/>
      <c r="AY11" s="837"/>
      <c r="AZ11" s="837"/>
      <c r="BA11" s="49" t="s">
        <v>2633</v>
      </c>
      <c r="BB11" s="49" t="s">
        <v>2634</v>
      </c>
      <c r="BF11" s="844" t="s">
        <v>1917</v>
      </c>
      <c r="BG11" s="844"/>
      <c r="BH11" s="844"/>
      <c r="BI11" s="844"/>
      <c r="BJ11" s="844"/>
      <c r="BK11" s="844"/>
      <c r="BL11" s="844"/>
    </row>
    <row r="12" spans="1:64" s="2" customFormat="1" ht="47.25" customHeight="1" x14ac:dyDescent="0.2">
      <c r="A12" s="68"/>
      <c r="B12" s="831"/>
      <c r="C12" s="831"/>
      <c r="D12" s="831"/>
      <c r="E12" s="831"/>
      <c r="F12" s="831"/>
      <c r="G12" s="831"/>
      <c r="H12" s="831"/>
      <c r="I12" s="831"/>
      <c r="J12" s="831"/>
      <c r="K12" s="68" t="s">
        <v>463</v>
      </c>
      <c r="L12" s="68" t="s">
        <v>464</v>
      </c>
      <c r="M12" s="68" t="s">
        <v>465</v>
      </c>
      <c r="N12" s="68" t="s">
        <v>1462</v>
      </c>
      <c r="O12" s="68" t="s">
        <v>1784</v>
      </c>
      <c r="P12" s="68" t="s">
        <v>1783</v>
      </c>
      <c r="Q12" s="56" t="s">
        <v>125</v>
      </c>
      <c r="R12" s="48" t="s">
        <v>463</v>
      </c>
      <c r="S12" s="48" t="s">
        <v>464</v>
      </c>
      <c r="T12" s="48" t="s">
        <v>465</v>
      </c>
      <c r="U12" s="48" t="s">
        <v>1462</v>
      </c>
      <c r="V12" s="48" t="s">
        <v>1784</v>
      </c>
      <c r="W12" s="48" t="s">
        <v>1783</v>
      </c>
      <c r="X12" s="48" t="s">
        <v>125</v>
      </c>
      <c r="Y12" s="842"/>
      <c r="Z12" s="842"/>
      <c r="AA12" s="842"/>
      <c r="AB12" s="830"/>
      <c r="AC12" s="287" t="s">
        <v>1919</v>
      </c>
      <c r="AD12" s="224" t="s">
        <v>1920</v>
      </c>
      <c r="AE12" s="48" t="s">
        <v>1922</v>
      </c>
      <c r="AF12" s="68" t="s">
        <v>463</v>
      </c>
      <c r="AG12" s="68" t="s">
        <v>464</v>
      </c>
      <c r="AH12" s="68" t="s">
        <v>465</v>
      </c>
      <c r="AI12" s="68" t="s">
        <v>1462</v>
      </c>
      <c r="AJ12" s="68" t="s">
        <v>1784</v>
      </c>
      <c r="AK12" s="68" t="s">
        <v>1783</v>
      </c>
      <c r="AL12" s="175" t="s">
        <v>2358</v>
      </c>
      <c r="AM12" s="834">
        <v>2014</v>
      </c>
      <c r="AN12" s="833"/>
      <c r="AO12" s="832">
        <v>2015</v>
      </c>
      <c r="AP12" s="833"/>
      <c r="AQ12" s="832">
        <v>2016</v>
      </c>
      <c r="AR12" s="833"/>
      <c r="AS12" s="832">
        <v>2017</v>
      </c>
      <c r="AT12" s="833"/>
      <c r="AU12" s="832">
        <v>2018</v>
      </c>
      <c r="AV12" s="833"/>
      <c r="AW12" s="832">
        <v>2019</v>
      </c>
      <c r="AX12" s="833"/>
      <c r="AY12" s="186"/>
      <c r="AZ12" s="187"/>
      <c r="BA12" s="87"/>
      <c r="BB12" s="87"/>
      <c r="BF12" s="48" t="s">
        <v>463</v>
      </c>
      <c r="BG12" s="48" t="s">
        <v>464</v>
      </c>
      <c r="BH12" s="48" t="s">
        <v>465</v>
      </c>
      <c r="BI12" s="48" t="s">
        <v>1462</v>
      </c>
      <c r="BJ12" s="48" t="s">
        <v>1784</v>
      </c>
      <c r="BK12" s="48" t="s">
        <v>1783</v>
      </c>
      <c r="BL12" s="48" t="s">
        <v>125</v>
      </c>
    </row>
    <row r="13" spans="1:64" s="2" customFormat="1" ht="25.5" x14ac:dyDescent="0.2">
      <c r="A13" s="68"/>
      <c r="B13" s="68"/>
      <c r="C13" s="68"/>
      <c r="D13" s="25" t="s">
        <v>126</v>
      </c>
      <c r="E13" s="25" t="s">
        <v>459</v>
      </c>
      <c r="F13" s="68"/>
      <c r="G13" s="68"/>
      <c r="H13" s="25" t="s">
        <v>127</v>
      </c>
      <c r="I13" s="25" t="s">
        <v>127</v>
      </c>
      <c r="J13" s="25" t="s">
        <v>127</v>
      </c>
      <c r="K13" s="25" t="s">
        <v>459</v>
      </c>
      <c r="L13" s="25" t="s">
        <v>459</v>
      </c>
      <c r="M13" s="25" t="s">
        <v>459</v>
      </c>
      <c r="N13" s="25" t="s">
        <v>459</v>
      </c>
      <c r="O13" s="25" t="s">
        <v>459</v>
      </c>
      <c r="P13" s="25" t="s">
        <v>459</v>
      </c>
      <c r="Q13" s="25" t="s">
        <v>459</v>
      </c>
      <c r="R13" s="5" t="s">
        <v>127</v>
      </c>
      <c r="S13" s="5" t="s">
        <v>127</v>
      </c>
      <c r="T13" s="5" t="s">
        <v>127</v>
      </c>
      <c r="U13" s="5" t="s">
        <v>127</v>
      </c>
      <c r="V13" s="5" t="s">
        <v>127</v>
      </c>
      <c r="W13" s="5" t="s">
        <v>127</v>
      </c>
      <c r="X13" s="5" t="s">
        <v>127</v>
      </c>
      <c r="Y13" s="843"/>
      <c r="Z13" s="843"/>
      <c r="AA13" s="843"/>
      <c r="AB13" s="830"/>
      <c r="AC13" s="296"/>
      <c r="AD13" s="113"/>
      <c r="AE13" s="5"/>
      <c r="AF13" s="25" t="s">
        <v>127</v>
      </c>
      <c r="AG13" s="25" t="s">
        <v>127</v>
      </c>
      <c r="AH13" s="25" t="s">
        <v>127</v>
      </c>
      <c r="AI13" s="25" t="s">
        <v>127</v>
      </c>
      <c r="AJ13" s="25" t="s">
        <v>127</v>
      </c>
      <c r="AK13" s="174" t="s">
        <v>127</v>
      </c>
      <c r="AL13" s="174" t="s">
        <v>127</v>
      </c>
      <c r="AM13" s="84" t="s">
        <v>2160</v>
      </c>
      <c r="AN13" s="177" t="s">
        <v>2161</v>
      </c>
      <c r="AO13" s="84" t="s">
        <v>2160</v>
      </c>
      <c r="AP13" s="182" t="s">
        <v>2161</v>
      </c>
      <c r="AQ13" s="84" t="s">
        <v>2160</v>
      </c>
      <c r="AR13" s="182" t="s">
        <v>2161</v>
      </c>
      <c r="AS13" s="84" t="s">
        <v>2160</v>
      </c>
      <c r="AT13" s="182" t="s">
        <v>2161</v>
      </c>
      <c r="AU13" s="84" t="s">
        <v>2160</v>
      </c>
      <c r="AV13" s="182" t="s">
        <v>2161</v>
      </c>
      <c r="AW13" s="84" t="s">
        <v>2160</v>
      </c>
      <c r="AX13" s="182" t="s">
        <v>2161</v>
      </c>
      <c r="AY13" s="84" t="s">
        <v>2160</v>
      </c>
      <c r="AZ13" s="182" t="s">
        <v>2161</v>
      </c>
      <c r="BA13" s="87"/>
      <c r="BB13" s="87"/>
      <c r="BF13" s="5" t="s">
        <v>127</v>
      </c>
      <c r="BG13" s="5" t="s">
        <v>127</v>
      </c>
      <c r="BH13" s="5" t="s">
        <v>127</v>
      </c>
      <c r="BI13" s="5" t="s">
        <v>127</v>
      </c>
      <c r="BJ13" s="5" t="s">
        <v>127</v>
      </c>
      <c r="BK13" s="5" t="s">
        <v>127</v>
      </c>
      <c r="BL13" s="5" t="s">
        <v>127</v>
      </c>
    </row>
    <row r="14" spans="1:64" s="2" customFormat="1" ht="16.5" thickBot="1" x14ac:dyDescent="0.25">
      <c r="A14" s="25"/>
      <c r="B14" s="146" t="s">
        <v>129</v>
      </c>
      <c r="C14" s="146" t="s">
        <v>160</v>
      </c>
      <c r="D14" s="146" t="s">
        <v>99</v>
      </c>
      <c r="E14" s="146" t="s">
        <v>1472</v>
      </c>
      <c r="F14" s="146" t="s">
        <v>1473</v>
      </c>
      <c r="G14" s="146" t="s">
        <v>1474</v>
      </c>
      <c r="H14" s="146" t="s">
        <v>1475</v>
      </c>
      <c r="I14" s="146" t="s">
        <v>1476</v>
      </c>
      <c r="J14" s="146" t="s">
        <v>1477</v>
      </c>
      <c r="K14" s="146" t="s">
        <v>1478</v>
      </c>
      <c r="L14" s="146" t="s">
        <v>1479</v>
      </c>
      <c r="M14" s="146" t="s">
        <v>1480</v>
      </c>
      <c r="N14" s="146" t="s">
        <v>1481</v>
      </c>
      <c r="O14" s="146" t="s">
        <v>1482</v>
      </c>
      <c r="P14" s="146" t="s">
        <v>1483</v>
      </c>
      <c r="Q14" s="146" t="s">
        <v>1484</v>
      </c>
      <c r="R14" s="146" t="s">
        <v>1485</v>
      </c>
      <c r="S14" s="146" t="s">
        <v>1486</v>
      </c>
      <c r="T14" s="146" t="s">
        <v>1487</v>
      </c>
      <c r="U14" s="146" t="s">
        <v>1488</v>
      </c>
      <c r="V14" s="146" t="s">
        <v>1489</v>
      </c>
      <c r="W14" s="146" t="s">
        <v>1490</v>
      </c>
      <c r="X14" s="146" t="s">
        <v>1491</v>
      </c>
      <c r="Y14" s="313"/>
      <c r="Z14" s="146"/>
      <c r="AA14" s="294"/>
      <c r="AB14" s="307"/>
      <c r="AC14" s="297"/>
      <c r="AD14" s="225"/>
      <c r="AE14" s="205"/>
      <c r="AF14" s="25"/>
      <c r="AG14" s="25"/>
      <c r="AH14" s="25"/>
      <c r="AI14" s="25"/>
      <c r="AJ14" s="25"/>
      <c r="AK14" s="174"/>
      <c r="AL14" s="174"/>
      <c r="AM14" s="84"/>
      <c r="AN14" s="177"/>
      <c r="AO14" s="84"/>
      <c r="AP14" s="182"/>
      <c r="AQ14" s="84"/>
      <c r="AR14" s="182"/>
      <c r="AS14" s="84"/>
      <c r="AT14" s="182"/>
      <c r="AU14" s="84"/>
      <c r="AV14" s="182"/>
      <c r="AW14" s="84"/>
      <c r="AX14" s="182"/>
      <c r="AY14" s="196"/>
      <c r="AZ14" s="197"/>
      <c r="BA14" s="87"/>
      <c r="BB14" s="87"/>
      <c r="BF14" s="146" t="s">
        <v>1485</v>
      </c>
      <c r="BG14" s="146" t="s">
        <v>1486</v>
      </c>
      <c r="BH14" s="146" t="s">
        <v>1487</v>
      </c>
      <c r="BI14" s="146" t="s">
        <v>1488</v>
      </c>
      <c r="BJ14" s="146" t="s">
        <v>1489</v>
      </c>
      <c r="BK14" s="146" t="s">
        <v>1490</v>
      </c>
      <c r="BL14" s="146" t="s">
        <v>1491</v>
      </c>
    </row>
    <row r="15" spans="1:64" s="2" customFormat="1" ht="32.25" thickBot="1" x14ac:dyDescent="0.25">
      <c r="A15" s="65"/>
      <c r="B15" s="65"/>
      <c r="C15" s="66" t="s">
        <v>128</v>
      </c>
      <c r="D15" s="52"/>
      <c r="E15" s="24"/>
      <c r="F15" s="24"/>
      <c r="G15" s="24"/>
      <c r="H15" s="67">
        <f>H16+H48+H121</f>
        <v>1851.4664775324072</v>
      </c>
      <c r="I15" s="67">
        <f>I16+I48+I121</f>
        <v>1455.1499506254577</v>
      </c>
      <c r="J15" s="67">
        <f>J16+J48+J121</f>
        <v>330.19776599800002</v>
      </c>
      <c r="K15" s="24" t="s">
        <v>2744</v>
      </c>
      <c r="L15" s="24" t="s">
        <v>2742</v>
      </c>
      <c r="M15" s="24" t="s">
        <v>2745</v>
      </c>
      <c r="N15" s="24" t="s">
        <v>2720</v>
      </c>
      <c r="O15" s="24" t="s">
        <v>2444</v>
      </c>
      <c r="P15" s="24" t="s">
        <v>1938</v>
      </c>
      <c r="Q15" s="24" t="s">
        <v>2743</v>
      </c>
      <c r="R15" s="67">
        <f t="shared" ref="R15:AX15" si="4">R16+R48+R121</f>
        <v>330.20006599800013</v>
      </c>
      <c r="S15" s="67">
        <f t="shared" si="4"/>
        <v>392.79647700000004</v>
      </c>
      <c r="T15" s="67">
        <f t="shared" si="4"/>
        <v>419.64927277999999</v>
      </c>
      <c r="U15" s="67">
        <f t="shared" si="4"/>
        <v>452.40000000000003</v>
      </c>
      <c r="V15" s="67">
        <f t="shared" si="4"/>
        <v>464.70000000000005</v>
      </c>
      <c r="W15" s="67">
        <f t="shared" si="4"/>
        <v>599.40000000000009</v>
      </c>
      <c r="X15" s="67">
        <f t="shared" si="4"/>
        <v>2659.1458157780003</v>
      </c>
      <c r="Y15" s="133"/>
      <c r="Z15" s="67"/>
      <c r="AA15" s="93"/>
      <c r="AB15" s="308"/>
      <c r="AC15" s="298">
        <f t="shared" si="4"/>
        <v>120.66309999999999</v>
      </c>
      <c r="AD15" s="226">
        <f t="shared" si="4"/>
        <v>4.2283999999999997</v>
      </c>
      <c r="AE15" s="226">
        <f t="shared" si="4"/>
        <v>-7.3922000000000025</v>
      </c>
      <c r="AF15" s="67">
        <f t="shared" si="4"/>
        <v>425.00953725799985</v>
      </c>
      <c r="AG15" s="67">
        <f t="shared" si="4"/>
        <v>496.46737749440678</v>
      </c>
      <c r="AH15" s="67">
        <f t="shared" si="4"/>
        <v>413.32504778000003</v>
      </c>
      <c r="AI15" s="67">
        <f t="shared" si="4"/>
        <v>568.54665</v>
      </c>
      <c r="AJ15" s="67">
        <f t="shared" si="4"/>
        <v>491.36194999999992</v>
      </c>
      <c r="AK15" s="93">
        <f t="shared" si="4"/>
        <v>464.90924999999993</v>
      </c>
      <c r="AL15" s="93">
        <f t="shared" si="4"/>
        <v>2859.6198125324067</v>
      </c>
      <c r="AM15" s="198">
        <f t="shared" si="4"/>
        <v>124.58699999999999</v>
      </c>
      <c r="AN15" s="199">
        <f t="shared" si="4"/>
        <v>33.074999999999996</v>
      </c>
      <c r="AO15" s="198">
        <f t="shared" si="4"/>
        <v>116.59600000000003</v>
      </c>
      <c r="AP15" s="200">
        <f t="shared" si="4"/>
        <v>40.270000000000003</v>
      </c>
      <c r="AQ15" s="198">
        <f t="shared" si="4"/>
        <v>101.134</v>
      </c>
      <c r="AR15" s="200">
        <f t="shared" si="4"/>
        <v>24.740000000000002</v>
      </c>
      <c r="AS15" s="198">
        <f t="shared" si="4"/>
        <v>100.02999999999999</v>
      </c>
      <c r="AT15" s="200">
        <f t="shared" si="4"/>
        <v>13.72</v>
      </c>
      <c r="AU15" s="198">
        <f t="shared" si="4"/>
        <v>94.289999999999992</v>
      </c>
      <c r="AV15" s="200">
        <f t="shared" si="4"/>
        <v>15.850000000000001</v>
      </c>
      <c r="AW15" s="198">
        <f t="shared" si="4"/>
        <v>89.72</v>
      </c>
      <c r="AX15" s="200">
        <f t="shared" si="4"/>
        <v>18.48</v>
      </c>
      <c r="AY15" s="201">
        <f>AM15+AO15+AQ15+AS15+AU15+AW15</f>
        <v>626.35699999999997</v>
      </c>
      <c r="AZ15" s="202">
        <f>AN15+AP15+AR15+AT15+AV15+AX15</f>
        <v>146.13499999999999</v>
      </c>
      <c r="BA15" s="87"/>
      <c r="BB15" s="87"/>
      <c r="BF15" s="67">
        <f t="shared" ref="BF15:BL15" si="5">BF16+BF48+BF121</f>
        <v>419.26702599800018</v>
      </c>
      <c r="BG15" s="67">
        <f t="shared" si="5"/>
        <v>429.83528699999999</v>
      </c>
      <c r="BH15" s="67">
        <f t="shared" si="5"/>
        <v>547.67695278000008</v>
      </c>
      <c r="BI15" s="67">
        <f t="shared" si="5"/>
        <v>605.76940000000002</v>
      </c>
      <c r="BJ15" s="67">
        <f t="shared" si="5"/>
        <v>673.90300000000002</v>
      </c>
      <c r="BK15" s="67">
        <f t="shared" si="5"/>
        <v>1171.6595</v>
      </c>
      <c r="BL15" s="67">
        <f t="shared" si="5"/>
        <v>3848.1111657779993</v>
      </c>
    </row>
    <row r="16" spans="1:64" s="42" customFormat="1" ht="33" customHeight="1" thickBot="1" x14ac:dyDescent="0.25">
      <c r="A16" s="39"/>
      <c r="B16" s="39" t="s">
        <v>129</v>
      </c>
      <c r="C16" s="40" t="s">
        <v>130</v>
      </c>
      <c r="D16" s="104"/>
      <c r="E16" s="104"/>
      <c r="F16" s="104"/>
      <c r="G16" s="104"/>
      <c r="H16" s="41">
        <f>H17+H37+H41</f>
        <v>489.3133600000001</v>
      </c>
      <c r="I16" s="41">
        <f>I17+I37+I41</f>
        <v>436.89846</v>
      </c>
      <c r="J16" s="41">
        <f>J17+J37+J41</f>
        <v>24.539259999999999</v>
      </c>
      <c r="K16" s="41" t="s">
        <v>1915</v>
      </c>
      <c r="L16" s="41" t="s">
        <v>2574</v>
      </c>
      <c r="M16" s="41" t="s">
        <v>2403</v>
      </c>
      <c r="N16" s="41" t="s">
        <v>2404</v>
      </c>
      <c r="O16" s="41" t="s">
        <v>2359</v>
      </c>
      <c r="P16" s="41" t="s">
        <v>1409</v>
      </c>
      <c r="Q16" s="41" t="s">
        <v>2575</v>
      </c>
      <c r="R16" s="41">
        <f t="shared" ref="R16:AX16" si="6">R17+R37+R41</f>
        <v>24.539259999999999</v>
      </c>
      <c r="S16" s="41">
        <f t="shared" si="6"/>
        <v>34.419699999999999</v>
      </c>
      <c r="T16" s="41">
        <f t="shared" si="6"/>
        <v>12.508999999999999</v>
      </c>
      <c r="U16" s="41">
        <f t="shared" si="6"/>
        <v>26.759899999999998</v>
      </c>
      <c r="V16" s="41">
        <f t="shared" si="6"/>
        <v>112.75</v>
      </c>
      <c r="W16" s="41">
        <f t="shared" si="6"/>
        <v>177.49799999999999</v>
      </c>
      <c r="X16" s="41">
        <f t="shared" si="6"/>
        <v>388.47586000000001</v>
      </c>
      <c r="Y16" s="129"/>
      <c r="Z16" s="41"/>
      <c r="AA16" s="110"/>
      <c r="AB16" s="309"/>
      <c r="AC16" s="299">
        <f t="shared" si="6"/>
        <v>52.415299999999995</v>
      </c>
      <c r="AD16" s="227">
        <f t="shared" si="6"/>
        <v>3.1703999999999999</v>
      </c>
      <c r="AE16" s="227">
        <f t="shared" si="6"/>
        <v>-4.0000000000439684E-4</v>
      </c>
      <c r="AF16" s="41">
        <f t="shared" si="6"/>
        <v>26.450459999999996</v>
      </c>
      <c r="AG16" s="41">
        <f t="shared" si="6"/>
        <v>76.873500000000007</v>
      </c>
      <c r="AH16" s="41">
        <f t="shared" si="6"/>
        <v>12.718999999999999</v>
      </c>
      <c r="AI16" s="41">
        <f t="shared" si="6"/>
        <v>6.3129999999999997</v>
      </c>
      <c r="AJ16" s="41">
        <f t="shared" si="6"/>
        <v>0.89500000000000002</v>
      </c>
      <c r="AK16" s="110">
        <f t="shared" si="6"/>
        <v>16.891500000000001</v>
      </c>
      <c r="AL16" s="110">
        <f t="shared" si="6"/>
        <v>140.14246</v>
      </c>
      <c r="AM16" s="188">
        <f t="shared" si="6"/>
        <v>29.311999999999998</v>
      </c>
      <c r="AN16" s="190">
        <f t="shared" si="6"/>
        <v>0</v>
      </c>
      <c r="AO16" s="188">
        <f t="shared" si="6"/>
        <v>20</v>
      </c>
      <c r="AP16" s="189">
        <f t="shared" si="6"/>
        <v>1.26</v>
      </c>
      <c r="AQ16" s="188">
        <f t="shared" si="6"/>
        <v>4.4889999999999999</v>
      </c>
      <c r="AR16" s="189">
        <f t="shared" si="6"/>
        <v>0</v>
      </c>
      <c r="AS16" s="188">
        <f t="shared" si="6"/>
        <v>0.8</v>
      </c>
      <c r="AT16" s="189">
        <f t="shared" si="6"/>
        <v>0</v>
      </c>
      <c r="AU16" s="188">
        <f t="shared" si="6"/>
        <v>0.05</v>
      </c>
      <c r="AV16" s="189">
        <f t="shared" si="6"/>
        <v>0</v>
      </c>
      <c r="AW16" s="188">
        <f t="shared" si="6"/>
        <v>0</v>
      </c>
      <c r="AX16" s="189">
        <f t="shared" si="6"/>
        <v>2</v>
      </c>
      <c r="AY16" s="193">
        <f>AM16+AO16+AQ16+AS16+AU16+AW16</f>
        <v>54.650999999999989</v>
      </c>
      <c r="AZ16" s="195">
        <f>AN16+AP16+AR16+AT16+AV16+AX16</f>
        <v>3.26</v>
      </c>
      <c r="BF16" s="41">
        <f t="shared" ref="BF16:BL16" si="7">BF17+BF37+BF41</f>
        <v>33.258659999999999</v>
      </c>
      <c r="BG16" s="41">
        <f t="shared" si="7"/>
        <v>67.626999999999995</v>
      </c>
      <c r="BH16" s="41">
        <f t="shared" si="7"/>
        <v>14.196</v>
      </c>
      <c r="BI16" s="41">
        <f t="shared" si="7"/>
        <v>70.190000000000012</v>
      </c>
      <c r="BJ16" s="41">
        <f t="shared" si="7"/>
        <v>190.91300000000001</v>
      </c>
      <c r="BK16" s="41">
        <f t="shared" si="7"/>
        <v>417.60949999999997</v>
      </c>
      <c r="BL16" s="41">
        <f t="shared" si="7"/>
        <v>793.79415999999992</v>
      </c>
    </row>
    <row r="17" spans="1:64" s="2" customFormat="1" ht="25.5" x14ac:dyDescent="0.2">
      <c r="A17" s="28"/>
      <c r="B17" s="28" t="s">
        <v>131</v>
      </c>
      <c r="C17" s="29" t="s">
        <v>132</v>
      </c>
      <c r="D17" s="30"/>
      <c r="E17" s="30"/>
      <c r="F17" s="30"/>
      <c r="G17" s="30"/>
      <c r="H17" s="31">
        <f>H18+H27+H30</f>
        <v>442.45630000000006</v>
      </c>
      <c r="I17" s="31">
        <f>I18+I27+I30</f>
        <v>416.78520000000003</v>
      </c>
      <c r="J17" s="31">
        <f>J18+J27+J30</f>
        <v>6.7159999999999993</v>
      </c>
      <c r="K17" s="31"/>
      <c r="L17" s="31"/>
      <c r="M17" s="31"/>
      <c r="N17" s="31"/>
      <c r="O17" s="31"/>
      <c r="P17" s="31"/>
      <c r="Q17" s="31"/>
      <c r="R17" s="31">
        <f t="shared" ref="R17:AX17" si="8">R18+R27+R30</f>
        <v>6.7159999999999993</v>
      </c>
      <c r="S17" s="31">
        <f t="shared" si="8"/>
        <v>34.419699999999999</v>
      </c>
      <c r="T17" s="31">
        <f t="shared" si="8"/>
        <v>12.508999999999999</v>
      </c>
      <c r="U17" s="31">
        <f t="shared" si="8"/>
        <v>26.169899999999998</v>
      </c>
      <c r="V17" s="31">
        <f t="shared" si="8"/>
        <v>111.5</v>
      </c>
      <c r="W17" s="31">
        <f t="shared" si="8"/>
        <v>177.048</v>
      </c>
      <c r="X17" s="31">
        <f t="shared" si="8"/>
        <v>368.36260000000004</v>
      </c>
      <c r="Y17" s="132"/>
      <c r="Z17" s="31"/>
      <c r="AA17" s="95"/>
      <c r="AB17" s="310"/>
      <c r="AC17" s="300">
        <f t="shared" si="8"/>
        <v>25.671099999999999</v>
      </c>
      <c r="AD17" s="228">
        <f t="shared" si="8"/>
        <v>1.5618000000000001</v>
      </c>
      <c r="AE17" s="228">
        <f t="shared" si="8"/>
        <v>-4.4408920985006262E-15</v>
      </c>
      <c r="AF17" s="31">
        <f t="shared" si="8"/>
        <v>1.7339</v>
      </c>
      <c r="AG17" s="31">
        <f t="shared" si="8"/>
        <v>57.973500000000001</v>
      </c>
      <c r="AH17" s="31">
        <f t="shared" si="8"/>
        <v>12.718999999999999</v>
      </c>
      <c r="AI17" s="31">
        <f t="shared" si="8"/>
        <v>5.7229999999999999</v>
      </c>
      <c r="AJ17" s="31">
        <f t="shared" si="8"/>
        <v>9.5000000000000001E-2</v>
      </c>
      <c r="AK17" s="95">
        <f t="shared" si="8"/>
        <v>15.9915</v>
      </c>
      <c r="AL17" s="95">
        <f t="shared" si="8"/>
        <v>94.235900000000001</v>
      </c>
      <c r="AM17" s="85">
        <f t="shared" si="8"/>
        <v>0.56899999999999995</v>
      </c>
      <c r="AN17" s="179">
        <f t="shared" si="8"/>
        <v>0</v>
      </c>
      <c r="AO17" s="85">
        <f t="shared" si="8"/>
        <v>20</v>
      </c>
      <c r="AP17" s="183">
        <f t="shared" si="8"/>
        <v>1.26</v>
      </c>
      <c r="AQ17" s="85">
        <f t="shared" si="8"/>
        <v>4.4889999999999999</v>
      </c>
      <c r="AR17" s="183">
        <f t="shared" si="8"/>
        <v>0</v>
      </c>
      <c r="AS17" s="85">
        <f t="shared" si="8"/>
        <v>0.8</v>
      </c>
      <c r="AT17" s="183">
        <f t="shared" si="8"/>
        <v>0</v>
      </c>
      <c r="AU17" s="85">
        <f t="shared" si="8"/>
        <v>0.05</v>
      </c>
      <c r="AV17" s="183">
        <f t="shared" si="8"/>
        <v>0</v>
      </c>
      <c r="AW17" s="85">
        <f t="shared" si="8"/>
        <v>0</v>
      </c>
      <c r="AX17" s="183">
        <f t="shared" si="8"/>
        <v>2</v>
      </c>
      <c r="AY17" s="191">
        <f t="shared" ref="AY17:AY77" si="9">AM17+AO17+AQ17+AS17+AU17+AW17</f>
        <v>25.908000000000001</v>
      </c>
      <c r="AZ17" s="192">
        <f t="shared" ref="AZ17:AZ78" si="10">AN17+AP17+AR17+AT17+AV17+AX17</f>
        <v>3.26</v>
      </c>
      <c r="BF17" s="31">
        <f t="shared" ref="BF17:BL17" si="11">BF18+BF27+BF30</f>
        <v>18.693800000000003</v>
      </c>
      <c r="BG17" s="31">
        <f t="shared" si="11"/>
        <v>67.626999999999995</v>
      </c>
      <c r="BH17" s="31">
        <f t="shared" si="11"/>
        <v>14.196</v>
      </c>
      <c r="BI17" s="31">
        <f t="shared" si="11"/>
        <v>69.600000000000009</v>
      </c>
      <c r="BJ17" s="31">
        <f t="shared" si="11"/>
        <v>189.66300000000001</v>
      </c>
      <c r="BK17" s="31">
        <f t="shared" si="11"/>
        <v>417.15949999999998</v>
      </c>
      <c r="BL17" s="31">
        <f t="shared" si="11"/>
        <v>776.93929999999989</v>
      </c>
    </row>
    <row r="18" spans="1:64" s="54" customFormat="1" ht="15.75" x14ac:dyDescent="0.2">
      <c r="A18" s="28"/>
      <c r="B18" s="28" t="s">
        <v>133</v>
      </c>
      <c r="C18" s="33" t="s">
        <v>134</v>
      </c>
      <c r="D18" s="30"/>
      <c r="E18" s="30"/>
      <c r="F18" s="30"/>
      <c r="G18" s="30"/>
      <c r="H18" s="31">
        <f>SUM(H19:H26)</f>
        <v>198.24100000000004</v>
      </c>
      <c r="I18" s="31">
        <f>SUM(I19:I26)</f>
        <v>193.25460000000004</v>
      </c>
      <c r="J18" s="31">
        <f>SUM(J19:J26)</f>
        <v>0.09</v>
      </c>
      <c r="K18" s="31"/>
      <c r="L18" s="31"/>
      <c r="M18" s="31"/>
      <c r="N18" s="31"/>
      <c r="O18" s="31"/>
      <c r="P18" s="31"/>
      <c r="Q18" s="31"/>
      <c r="R18" s="31">
        <f t="shared" ref="R18:AX18" si="12">SUM(R19:R26)</f>
        <v>0.09</v>
      </c>
      <c r="S18" s="31">
        <f t="shared" si="12"/>
        <v>0.61</v>
      </c>
      <c r="T18" s="31">
        <f t="shared" si="12"/>
        <v>12.508999999999999</v>
      </c>
      <c r="U18" s="31">
        <f t="shared" si="12"/>
        <v>5.3229999999999995</v>
      </c>
      <c r="V18" s="31">
        <f t="shared" si="12"/>
        <v>59.519999999999996</v>
      </c>
      <c r="W18" s="31">
        <f t="shared" si="12"/>
        <v>66.78</v>
      </c>
      <c r="X18" s="31">
        <f t="shared" si="12"/>
        <v>144.83200000000002</v>
      </c>
      <c r="Y18" s="132"/>
      <c r="Z18" s="31"/>
      <c r="AA18" s="95"/>
      <c r="AB18" s="310"/>
      <c r="AC18" s="132">
        <f t="shared" si="12"/>
        <v>4.9863999999999997</v>
      </c>
      <c r="AD18" s="31">
        <f t="shared" si="12"/>
        <v>1.38E-2</v>
      </c>
      <c r="AE18" s="31">
        <f t="shared" si="12"/>
        <v>0</v>
      </c>
      <c r="AF18" s="31">
        <f t="shared" si="12"/>
        <v>1.7339</v>
      </c>
      <c r="AG18" s="31">
        <f t="shared" si="12"/>
        <v>0</v>
      </c>
      <c r="AH18" s="31">
        <f t="shared" si="12"/>
        <v>12.718999999999999</v>
      </c>
      <c r="AI18" s="31">
        <f t="shared" si="12"/>
        <v>5.7229999999999999</v>
      </c>
      <c r="AJ18" s="31">
        <f t="shared" si="12"/>
        <v>9.5000000000000001E-2</v>
      </c>
      <c r="AK18" s="31">
        <f t="shared" si="12"/>
        <v>0</v>
      </c>
      <c r="AL18" s="31">
        <f t="shared" si="12"/>
        <v>20.270899999999997</v>
      </c>
      <c r="AM18" s="85">
        <f t="shared" si="12"/>
        <v>0.56899999999999995</v>
      </c>
      <c r="AN18" s="179">
        <f t="shared" si="12"/>
        <v>0</v>
      </c>
      <c r="AO18" s="85">
        <f t="shared" si="12"/>
        <v>0</v>
      </c>
      <c r="AP18" s="183">
        <f t="shared" si="12"/>
        <v>0</v>
      </c>
      <c r="AQ18" s="85">
        <f t="shared" si="12"/>
        <v>4.4889999999999999</v>
      </c>
      <c r="AR18" s="183">
        <f t="shared" si="12"/>
        <v>0</v>
      </c>
      <c r="AS18" s="85">
        <f t="shared" si="12"/>
        <v>0.8</v>
      </c>
      <c r="AT18" s="183">
        <f t="shared" si="12"/>
        <v>0</v>
      </c>
      <c r="AU18" s="85">
        <f t="shared" si="12"/>
        <v>0.05</v>
      </c>
      <c r="AV18" s="183">
        <f t="shared" si="12"/>
        <v>0</v>
      </c>
      <c r="AW18" s="85">
        <f t="shared" si="12"/>
        <v>0</v>
      </c>
      <c r="AX18" s="183">
        <f t="shared" si="12"/>
        <v>0</v>
      </c>
      <c r="AY18" s="188">
        <f>AM18+AO18+AQ18+AS18+AU18+AW18</f>
        <v>5.9079999999999995</v>
      </c>
      <c r="AZ18" s="190">
        <f t="shared" si="10"/>
        <v>0</v>
      </c>
      <c r="BF18" s="31">
        <f t="shared" ref="BF18:BL18" si="13">SUM(BF19:BF36)</f>
        <v>12.763800000000002</v>
      </c>
      <c r="BG18" s="31">
        <f t="shared" si="13"/>
        <v>50.318999999999996</v>
      </c>
      <c r="BH18" s="31">
        <f t="shared" si="13"/>
        <v>14.196</v>
      </c>
      <c r="BI18" s="31">
        <f t="shared" si="13"/>
        <v>48.330000000000005</v>
      </c>
      <c r="BJ18" s="31">
        <f t="shared" si="13"/>
        <v>127.76300000000001</v>
      </c>
      <c r="BK18" s="31">
        <f t="shared" si="13"/>
        <v>308.01299999999998</v>
      </c>
      <c r="BL18" s="31">
        <f t="shared" si="13"/>
        <v>561.38479999999993</v>
      </c>
    </row>
    <row r="19" spans="1:64" s="2" customFormat="1" ht="40.5" customHeight="1" outlineLevel="1" x14ac:dyDescent="0.2">
      <c r="A19" s="592" t="s">
        <v>2512</v>
      </c>
      <c r="B19" s="605" t="s">
        <v>135</v>
      </c>
      <c r="C19" s="7" t="s">
        <v>2511</v>
      </c>
      <c r="D19" s="8" t="s">
        <v>136</v>
      </c>
      <c r="E19" s="23" t="s">
        <v>1905</v>
      </c>
      <c r="F19" s="8">
        <v>2018</v>
      </c>
      <c r="G19" s="8">
        <v>2020</v>
      </c>
      <c r="H19" s="267">
        <v>177.9701</v>
      </c>
      <c r="I19" s="267">
        <v>174.6276</v>
      </c>
      <c r="J19" s="5">
        <f t="shared" ref="J19:J26" si="14">R19</f>
        <v>0</v>
      </c>
      <c r="K19" s="8"/>
      <c r="L19" s="8"/>
      <c r="M19" s="8"/>
      <c r="N19" s="8"/>
      <c r="O19" s="8"/>
      <c r="P19" s="23"/>
      <c r="Q19" s="23"/>
      <c r="R19" s="267"/>
      <c r="S19" s="267"/>
      <c r="T19" s="267"/>
      <c r="U19" s="267"/>
      <c r="V19" s="267">
        <f>3.763+20.025+35.637</f>
        <v>59.424999999999997</v>
      </c>
      <c r="W19" s="267">
        <v>66.78</v>
      </c>
      <c r="X19" s="5">
        <f>SUM(R19:W19)</f>
        <v>126.205</v>
      </c>
      <c r="Y19" s="302"/>
      <c r="Z19" s="5"/>
      <c r="AA19" s="94"/>
      <c r="AB19" s="311">
        <f>I19-X19</f>
        <v>48.422600000000003</v>
      </c>
      <c r="AC19" s="296">
        <v>3.3424999999999998</v>
      </c>
      <c r="AD19" s="113"/>
      <c r="AE19" s="5">
        <f>H19-I19-AC19</f>
        <v>0</v>
      </c>
      <c r="AF19" s="5"/>
      <c r="AG19" s="5"/>
      <c r="AH19" s="5"/>
      <c r="AI19" s="5"/>
      <c r="AJ19" s="5"/>
      <c r="AK19" s="94"/>
      <c r="AL19" s="94">
        <f>SUM(AF19:AK19)</f>
        <v>0</v>
      </c>
      <c r="AM19" s="122"/>
      <c r="AN19" s="180"/>
      <c r="AO19" s="122"/>
      <c r="AP19" s="184"/>
      <c r="AQ19" s="122"/>
      <c r="AR19" s="184"/>
      <c r="AS19" s="122"/>
      <c r="AT19" s="184"/>
      <c r="AU19" s="122"/>
      <c r="AV19" s="184"/>
      <c r="AW19" s="122"/>
      <c r="AX19" s="184"/>
      <c r="AY19" s="111">
        <f t="shared" si="9"/>
        <v>0</v>
      </c>
      <c r="AZ19" s="178">
        <f t="shared" si="10"/>
        <v>0</v>
      </c>
      <c r="BA19" s="64"/>
      <c r="BB19" s="64"/>
      <c r="BF19" s="267"/>
      <c r="BG19" s="267"/>
      <c r="BH19" s="267"/>
      <c r="BI19" s="267"/>
      <c r="BJ19" s="267">
        <v>3.7629999999999999</v>
      </c>
      <c r="BK19" s="267">
        <v>88.72</v>
      </c>
      <c r="BL19" s="5">
        <f t="shared" ref="BL19:BL26" si="15">SUM(BF19:BK19)</f>
        <v>92.483000000000004</v>
      </c>
    </row>
    <row r="20" spans="1:64" s="2" customFormat="1" ht="25.5" outlineLevel="1" x14ac:dyDescent="0.2">
      <c r="A20" s="592" t="s">
        <v>1769</v>
      </c>
      <c r="B20" s="605" t="s">
        <v>137</v>
      </c>
      <c r="C20" s="7" t="s">
        <v>1927</v>
      </c>
      <c r="D20" s="8" t="s">
        <v>136</v>
      </c>
      <c r="E20" s="23" t="s">
        <v>1906</v>
      </c>
      <c r="F20" s="8">
        <v>2012</v>
      </c>
      <c r="G20" s="8">
        <v>2014</v>
      </c>
      <c r="H20" s="5">
        <v>1.7339</v>
      </c>
      <c r="I20" s="267">
        <v>0.09</v>
      </c>
      <c r="J20" s="5">
        <f t="shared" si="14"/>
        <v>0.09</v>
      </c>
      <c r="K20" s="8" t="s">
        <v>1906</v>
      </c>
      <c r="L20" s="8"/>
      <c r="M20" s="8"/>
      <c r="N20" s="8"/>
      <c r="O20" s="8"/>
      <c r="P20" s="8"/>
      <c r="Q20" s="8" t="s">
        <v>1906</v>
      </c>
      <c r="R20" s="5">
        <f>I20</f>
        <v>0.09</v>
      </c>
      <c r="S20" s="267"/>
      <c r="T20" s="267"/>
      <c r="U20" s="267"/>
      <c r="V20" s="267"/>
      <c r="W20" s="267"/>
      <c r="X20" s="5">
        <f t="shared" ref="X20:X26" si="16">SUM(R20:W20)</f>
        <v>0.09</v>
      </c>
      <c r="Y20" s="302"/>
      <c r="Z20" s="5"/>
      <c r="AA20" s="94"/>
      <c r="AB20" s="311">
        <f t="shared" ref="AB20:AB83" si="17">I20-X20</f>
        <v>0</v>
      </c>
      <c r="AC20" s="296">
        <v>1.6438999999999999</v>
      </c>
      <c r="AD20" s="113">
        <v>1.38E-2</v>
      </c>
      <c r="AE20" s="5">
        <f t="shared" ref="AE20:AE47" si="18">H20-I20-AC20</f>
        <v>0</v>
      </c>
      <c r="AF20" s="5">
        <f>H20</f>
        <v>1.7339</v>
      </c>
      <c r="AG20" s="5"/>
      <c r="AH20" s="5"/>
      <c r="AI20" s="5"/>
      <c r="AJ20" s="5"/>
      <c r="AK20" s="94"/>
      <c r="AL20" s="94">
        <f t="shared" ref="AL20:AL47" si="19">SUM(AF20:AK20)</f>
        <v>1.7339</v>
      </c>
      <c r="AM20" s="122">
        <v>0.56899999999999995</v>
      </c>
      <c r="AN20" s="180"/>
      <c r="AO20" s="122"/>
      <c r="AP20" s="184"/>
      <c r="AQ20" s="122"/>
      <c r="AR20" s="184"/>
      <c r="AS20" s="122"/>
      <c r="AT20" s="184"/>
      <c r="AU20" s="122"/>
      <c r="AV20" s="184"/>
      <c r="AW20" s="122"/>
      <c r="AX20" s="184"/>
      <c r="AY20" s="111">
        <f t="shared" si="9"/>
        <v>0.56899999999999995</v>
      </c>
      <c r="AZ20" s="178">
        <f t="shared" si="10"/>
        <v>0</v>
      </c>
      <c r="BA20" s="64"/>
      <c r="BB20" s="64"/>
      <c r="BF20" s="5">
        <v>0.1038</v>
      </c>
      <c r="BG20" s="5"/>
      <c r="BH20" s="5"/>
      <c r="BI20" s="5"/>
      <c r="BJ20" s="5"/>
      <c r="BK20" s="5"/>
      <c r="BL20" s="5">
        <f t="shared" si="15"/>
        <v>0.1038</v>
      </c>
    </row>
    <row r="21" spans="1:64" s="2" customFormat="1" ht="38.25" outlineLevel="1" x14ac:dyDescent="0.2">
      <c r="A21" s="6" t="s">
        <v>916</v>
      </c>
      <c r="B21" s="605" t="s">
        <v>916</v>
      </c>
      <c r="C21" s="288" t="s">
        <v>2654</v>
      </c>
      <c r="D21" s="8" t="s">
        <v>145</v>
      </c>
      <c r="E21" s="23" t="s">
        <v>212</v>
      </c>
      <c r="F21" s="8">
        <v>2015</v>
      </c>
      <c r="G21" s="8">
        <v>2016</v>
      </c>
      <c r="H21" s="5">
        <v>9.8000000000000004E-2</v>
      </c>
      <c r="I21" s="5">
        <v>9.8000000000000004E-2</v>
      </c>
      <c r="J21" s="5">
        <f t="shared" si="14"/>
        <v>0</v>
      </c>
      <c r="K21" s="8"/>
      <c r="L21" s="5"/>
      <c r="M21" s="5"/>
      <c r="N21" s="5"/>
      <c r="O21" s="8"/>
      <c r="P21" s="8"/>
      <c r="Q21" s="8"/>
      <c r="R21" s="5"/>
      <c r="S21" s="267">
        <v>0.01</v>
      </c>
      <c r="T21" s="634">
        <f>I21-R21-S21</f>
        <v>8.8000000000000009E-2</v>
      </c>
      <c r="U21" s="267"/>
      <c r="V21" s="267"/>
      <c r="W21" s="267"/>
      <c r="X21" s="5">
        <f t="shared" si="16"/>
        <v>9.8000000000000004E-2</v>
      </c>
      <c r="Y21" s="302"/>
      <c r="Z21" s="5"/>
      <c r="AA21" s="94"/>
      <c r="AB21" s="311">
        <f t="shared" si="17"/>
        <v>0</v>
      </c>
      <c r="AC21" s="296"/>
      <c r="AD21" s="113"/>
      <c r="AE21" s="5">
        <f t="shared" si="18"/>
        <v>0</v>
      </c>
      <c r="AF21" s="5"/>
      <c r="AG21" s="5"/>
      <c r="AH21" s="5">
        <f>H21</f>
        <v>9.8000000000000004E-2</v>
      </c>
      <c r="AI21" s="5"/>
      <c r="AJ21" s="5"/>
      <c r="AK21" s="94"/>
      <c r="AL21" s="94">
        <f t="shared" si="19"/>
        <v>9.8000000000000004E-2</v>
      </c>
      <c r="AM21" s="122"/>
      <c r="AN21" s="180"/>
      <c r="AO21" s="122"/>
      <c r="AP21" s="184"/>
      <c r="AQ21" s="122"/>
      <c r="AR21" s="184"/>
      <c r="AS21" s="122"/>
      <c r="AT21" s="184"/>
      <c r="AU21" s="122"/>
      <c r="AV21" s="184"/>
      <c r="AW21" s="122"/>
      <c r="AX21" s="184"/>
      <c r="AY21" s="111">
        <f t="shared" si="9"/>
        <v>0</v>
      </c>
      <c r="AZ21" s="178">
        <f t="shared" si="10"/>
        <v>0</v>
      </c>
      <c r="BA21" s="64"/>
      <c r="BB21" s="64"/>
      <c r="BF21" s="5"/>
      <c r="BG21" s="5">
        <v>0.01</v>
      </c>
      <c r="BH21" s="5">
        <v>9.6000000000000002E-2</v>
      </c>
      <c r="BI21" s="5"/>
      <c r="BJ21" s="5"/>
      <c r="BK21" s="5"/>
      <c r="BL21" s="5">
        <f t="shared" si="15"/>
        <v>0.106</v>
      </c>
    </row>
    <row r="22" spans="1:64" s="2" customFormat="1" ht="51" outlineLevel="1" x14ac:dyDescent="0.2">
      <c r="A22" s="6" t="s">
        <v>917</v>
      </c>
      <c r="B22" s="605" t="s">
        <v>917</v>
      </c>
      <c r="C22" s="288" t="s">
        <v>2390</v>
      </c>
      <c r="D22" s="8" t="s">
        <v>145</v>
      </c>
      <c r="E22" s="23" t="s">
        <v>212</v>
      </c>
      <c r="F22" s="8">
        <v>2015</v>
      </c>
      <c r="G22" s="8">
        <v>2016</v>
      </c>
      <c r="H22" s="5">
        <v>0.19589999999999999</v>
      </c>
      <c r="I22" s="5">
        <v>0.19589999999999999</v>
      </c>
      <c r="J22" s="5">
        <f t="shared" si="14"/>
        <v>0</v>
      </c>
      <c r="K22" s="8"/>
      <c r="L22" s="5"/>
      <c r="M22" s="5"/>
      <c r="N22" s="5"/>
      <c r="O22" s="8"/>
      <c r="P22" s="8"/>
      <c r="Q22" s="8"/>
      <c r="R22" s="5"/>
      <c r="S22" s="267">
        <v>0.02</v>
      </c>
      <c r="T22" s="634">
        <f>I22-R22-S22</f>
        <v>0.1759</v>
      </c>
      <c r="U22" s="267"/>
      <c r="V22" s="267"/>
      <c r="W22" s="267"/>
      <c r="X22" s="5">
        <f t="shared" si="16"/>
        <v>0.19589999999999999</v>
      </c>
      <c r="Y22" s="302"/>
      <c r="Z22" s="5"/>
      <c r="AA22" s="94"/>
      <c r="AB22" s="311">
        <f t="shared" si="17"/>
        <v>0</v>
      </c>
      <c r="AC22" s="296"/>
      <c r="AD22" s="113"/>
      <c r="AE22" s="5">
        <f t="shared" si="18"/>
        <v>0</v>
      </c>
      <c r="AF22" s="5"/>
      <c r="AG22" s="5"/>
      <c r="AH22" s="5">
        <f>H22</f>
        <v>0.19589999999999999</v>
      </c>
      <c r="AI22" s="5"/>
      <c r="AJ22" s="5"/>
      <c r="AK22" s="94"/>
      <c r="AL22" s="94">
        <f t="shared" si="19"/>
        <v>0.19589999999999999</v>
      </c>
      <c r="AM22" s="122"/>
      <c r="AN22" s="180"/>
      <c r="AO22" s="122"/>
      <c r="AP22" s="184"/>
      <c r="AQ22" s="122"/>
      <c r="AR22" s="184"/>
      <c r="AS22" s="122"/>
      <c r="AT22" s="184"/>
      <c r="AU22" s="122"/>
      <c r="AV22" s="184"/>
      <c r="AW22" s="122"/>
      <c r="AX22" s="184"/>
      <c r="AY22" s="111">
        <f t="shared" si="9"/>
        <v>0</v>
      </c>
      <c r="AZ22" s="178">
        <f t="shared" si="10"/>
        <v>0</v>
      </c>
      <c r="BA22" s="64"/>
      <c r="BB22" s="64"/>
      <c r="BF22" s="5"/>
      <c r="BG22" s="5">
        <v>0.03</v>
      </c>
      <c r="BH22" s="5">
        <v>0.19</v>
      </c>
      <c r="BI22" s="5"/>
      <c r="BJ22" s="5"/>
      <c r="BK22" s="5"/>
      <c r="BL22" s="5">
        <f t="shared" si="15"/>
        <v>0.22</v>
      </c>
    </row>
    <row r="23" spans="1:64" s="2" customFormat="1" ht="25.5" outlineLevel="1" x14ac:dyDescent="0.2">
      <c r="A23" s="6" t="s">
        <v>938</v>
      </c>
      <c r="B23" s="605" t="s">
        <v>938</v>
      </c>
      <c r="C23" s="288" t="s">
        <v>1785</v>
      </c>
      <c r="D23" s="8" t="s">
        <v>145</v>
      </c>
      <c r="E23" s="23" t="s">
        <v>2566</v>
      </c>
      <c r="F23" s="8">
        <v>2015</v>
      </c>
      <c r="G23" s="8">
        <v>2016</v>
      </c>
      <c r="H23" s="5">
        <v>9.0010999999999992</v>
      </c>
      <c r="I23" s="5">
        <v>9.0010999999999992</v>
      </c>
      <c r="J23" s="5">
        <f t="shared" si="14"/>
        <v>0</v>
      </c>
      <c r="K23" s="8"/>
      <c r="L23" s="5"/>
      <c r="M23" s="5" t="s">
        <v>2566</v>
      </c>
      <c r="N23" s="5"/>
      <c r="O23" s="8"/>
      <c r="P23" s="8"/>
      <c r="Q23" s="8" t="s">
        <v>2566</v>
      </c>
      <c r="R23" s="5"/>
      <c r="S23" s="267">
        <v>0.34</v>
      </c>
      <c r="T23" s="267">
        <f>I23-R23-S23</f>
        <v>8.6610999999999994</v>
      </c>
      <c r="U23" s="267"/>
      <c r="V23" s="267"/>
      <c r="W23" s="267"/>
      <c r="X23" s="5">
        <f t="shared" si="16"/>
        <v>9.0010999999999992</v>
      </c>
      <c r="Y23" s="302"/>
      <c r="Z23" s="5"/>
      <c r="AA23" s="94"/>
      <c r="AB23" s="311">
        <f t="shared" si="17"/>
        <v>0</v>
      </c>
      <c r="AC23" s="296"/>
      <c r="AD23" s="113"/>
      <c r="AE23" s="5">
        <f t="shared" si="18"/>
        <v>0</v>
      </c>
      <c r="AF23" s="5"/>
      <c r="AG23" s="5"/>
      <c r="AH23" s="5">
        <f>H23</f>
        <v>9.0010999999999992</v>
      </c>
      <c r="AI23" s="5"/>
      <c r="AJ23" s="5"/>
      <c r="AK23" s="94"/>
      <c r="AL23" s="94">
        <f t="shared" si="19"/>
        <v>9.0010999999999992</v>
      </c>
      <c r="AM23" s="122"/>
      <c r="AN23" s="180"/>
      <c r="AO23" s="122"/>
      <c r="AP23" s="184"/>
      <c r="AQ23" s="122">
        <f>0.62+2.157</f>
        <v>2.7770000000000001</v>
      </c>
      <c r="AR23" s="184"/>
      <c r="AS23" s="122"/>
      <c r="AT23" s="184"/>
      <c r="AU23" s="122"/>
      <c r="AV23" s="184"/>
      <c r="AW23" s="122"/>
      <c r="AX23" s="184"/>
      <c r="AY23" s="111">
        <f t="shared" si="9"/>
        <v>2.7770000000000001</v>
      </c>
      <c r="AZ23" s="178">
        <f t="shared" si="10"/>
        <v>0</v>
      </c>
      <c r="BA23" s="64"/>
      <c r="BB23" s="64"/>
      <c r="BF23" s="5"/>
      <c r="BG23" s="5">
        <v>0.34</v>
      </c>
      <c r="BH23" s="5">
        <v>10</v>
      </c>
      <c r="BI23" s="5"/>
      <c r="BJ23" s="5"/>
      <c r="BK23" s="5"/>
      <c r="BL23" s="5">
        <f t="shared" si="15"/>
        <v>10.34</v>
      </c>
    </row>
    <row r="24" spans="1:64" s="2" customFormat="1" ht="25.5" outlineLevel="1" x14ac:dyDescent="0.2">
      <c r="A24" s="6" t="s">
        <v>944</v>
      </c>
      <c r="B24" s="605" t="s">
        <v>944</v>
      </c>
      <c r="C24" s="288" t="s">
        <v>1786</v>
      </c>
      <c r="D24" s="8" t="s">
        <v>145</v>
      </c>
      <c r="E24" s="23" t="s">
        <v>2553</v>
      </c>
      <c r="F24" s="8">
        <v>2015</v>
      </c>
      <c r="G24" s="8">
        <v>2016</v>
      </c>
      <c r="H24" s="5">
        <v>3.4239999999999999</v>
      </c>
      <c r="I24" s="5">
        <v>3.4239999999999999</v>
      </c>
      <c r="J24" s="5">
        <f t="shared" si="14"/>
        <v>0</v>
      </c>
      <c r="K24" s="8"/>
      <c r="L24" s="8"/>
      <c r="M24" s="5" t="s">
        <v>2553</v>
      </c>
      <c r="N24" s="5"/>
      <c r="O24" s="8"/>
      <c r="P24" s="8"/>
      <c r="Q24" s="8" t="s">
        <v>2553</v>
      </c>
      <c r="R24" s="5"/>
      <c r="S24" s="267">
        <v>0.24</v>
      </c>
      <c r="T24" s="267">
        <f>I24-R24-S24</f>
        <v>3.1840000000000002</v>
      </c>
      <c r="U24" s="267"/>
      <c r="V24" s="267"/>
      <c r="W24" s="267"/>
      <c r="X24" s="5">
        <f t="shared" si="16"/>
        <v>3.4240000000000004</v>
      </c>
      <c r="Y24" s="302"/>
      <c r="Z24" s="5"/>
      <c r="AA24" s="94"/>
      <c r="AB24" s="311">
        <f t="shared" si="17"/>
        <v>0</v>
      </c>
      <c r="AC24" s="296"/>
      <c r="AD24" s="113"/>
      <c r="AE24" s="5">
        <f t="shared" si="18"/>
        <v>0</v>
      </c>
      <c r="AF24" s="5"/>
      <c r="AG24" s="5"/>
      <c r="AH24" s="5">
        <f>H24</f>
        <v>3.4239999999999999</v>
      </c>
      <c r="AI24" s="5"/>
      <c r="AJ24" s="5"/>
      <c r="AK24" s="94"/>
      <c r="AL24" s="94">
        <f t="shared" si="19"/>
        <v>3.4239999999999999</v>
      </c>
      <c r="AM24" s="122"/>
      <c r="AN24" s="180"/>
      <c r="AO24" s="122"/>
      <c r="AP24" s="184"/>
      <c r="AQ24" s="122">
        <f>2*0.856</f>
        <v>1.712</v>
      </c>
      <c r="AR24" s="184"/>
      <c r="AS24" s="122"/>
      <c r="AT24" s="184"/>
      <c r="AU24" s="122"/>
      <c r="AV24" s="184"/>
      <c r="AW24" s="122"/>
      <c r="AX24" s="184"/>
      <c r="AY24" s="111">
        <f t="shared" si="9"/>
        <v>1.712</v>
      </c>
      <c r="AZ24" s="178">
        <f t="shared" si="10"/>
        <v>0</v>
      </c>
      <c r="BA24" s="64"/>
      <c r="BB24" s="64"/>
      <c r="BF24" s="5"/>
      <c r="BG24" s="5">
        <v>0.36</v>
      </c>
      <c r="BH24" s="5">
        <v>3.27</v>
      </c>
      <c r="BI24" s="5"/>
      <c r="BJ24" s="5"/>
      <c r="BK24" s="5"/>
      <c r="BL24" s="5">
        <f t="shared" si="15"/>
        <v>3.63</v>
      </c>
    </row>
    <row r="25" spans="1:64" s="2" customFormat="1" ht="25.5" outlineLevel="1" x14ac:dyDescent="0.2">
      <c r="A25" s="592" t="s">
        <v>2525</v>
      </c>
      <c r="B25" s="605" t="s">
        <v>2525</v>
      </c>
      <c r="C25" s="288" t="s">
        <v>1787</v>
      </c>
      <c r="D25" s="8" t="s">
        <v>145</v>
      </c>
      <c r="E25" s="23" t="s">
        <v>169</v>
      </c>
      <c r="F25" s="8">
        <v>2016</v>
      </c>
      <c r="G25" s="8">
        <v>2017</v>
      </c>
      <c r="H25" s="5">
        <v>5.7229999999999999</v>
      </c>
      <c r="I25" s="5">
        <v>5.7229999999999999</v>
      </c>
      <c r="J25" s="5">
        <f t="shared" si="14"/>
        <v>0</v>
      </c>
      <c r="K25" s="8"/>
      <c r="L25" s="8"/>
      <c r="M25" s="5"/>
      <c r="N25" s="5" t="s">
        <v>169</v>
      </c>
      <c r="O25" s="8"/>
      <c r="P25" s="8"/>
      <c r="Q25" s="8" t="s">
        <v>169</v>
      </c>
      <c r="R25" s="5"/>
      <c r="S25" s="267"/>
      <c r="T25" s="267">
        <v>0.4</v>
      </c>
      <c r="U25" s="267">
        <f>I25-R25-S25-T25</f>
        <v>5.3229999999999995</v>
      </c>
      <c r="V25" s="267"/>
      <c r="W25" s="267"/>
      <c r="X25" s="5">
        <f t="shared" si="16"/>
        <v>5.7229999999999999</v>
      </c>
      <c r="Y25" s="302"/>
      <c r="Z25" s="5"/>
      <c r="AA25" s="94"/>
      <c r="AB25" s="311">
        <f t="shared" si="17"/>
        <v>0</v>
      </c>
      <c r="AC25" s="296"/>
      <c r="AD25" s="113"/>
      <c r="AE25" s="5">
        <f t="shared" si="18"/>
        <v>0</v>
      </c>
      <c r="AF25" s="5"/>
      <c r="AG25" s="5"/>
      <c r="AH25" s="5"/>
      <c r="AI25" s="5">
        <f>H25</f>
        <v>5.7229999999999999</v>
      </c>
      <c r="AJ25" s="5"/>
      <c r="AK25" s="94"/>
      <c r="AL25" s="94">
        <f t="shared" si="19"/>
        <v>5.7229999999999999</v>
      </c>
      <c r="AM25" s="122"/>
      <c r="AN25" s="180"/>
      <c r="AO25" s="122"/>
      <c r="AP25" s="184"/>
      <c r="AQ25" s="122"/>
      <c r="AR25" s="184"/>
      <c r="AS25" s="122">
        <v>0.8</v>
      </c>
      <c r="AT25" s="184"/>
      <c r="AU25" s="122"/>
      <c r="AV25" s="184"/>
      <c r="AW25" s="122"/>
      <c r="AX25" s="184"/>
      <c r="AY25" s="111">
        <f t="shared" si="9"/>
        <v>0.8</v>
      </c>
      <c r="AZ25" s="178">
        <f t="shared" si="10"/>
        <v>0</v>
      </c>
      <c r="BA25" s="64"/>
      <c r="BB25" s="64"/>
      <c r="BF25" s="5"/>
      <c r="BG25" s="5"/>
      <c r="BH25" s="267">
        <v>0.64</v>
      </c>
      <c r="BI25" s="267">
        <v>5.79</v>
      </c>
      <c r="BJ25" s="5"/>
      <c r="BK25" s="5"/>
      <c r="BL25" s="5">
        <f t="shared" si="15"/>
        <v>6.43</v>
      </c>
    </row>
    <row r="26" spans="1:64" s="2" customFormat="1" ht="25.5" outlineLevel="1" x14ac:dyDescent="0.2">
      <c r="A26" s="350" t="s">
        <v>2971</v>
      </c>
      <c r="B26" s="605" t="s">
        <v>2526</v>
      </c>
      <c r="C26" s="7" t="s">
        <v>1603</v>
      </c>
      <c r="D26" s="8" t="s">
        <v>145</v>
      </c>
      <c r="E26" s="23" t="s">
        <v>942</v>
      </c>
      <c r="F26" s="8">
        <v>2018</v>
      </c>
      <c r="G26" s="8">
        <v>2018</v>
      </c>
      <c r="H26" s="5">
        <v>9.5000000000000001E-2</v>
      </c>
      <c r="I26" s="5">
        <v>9.5000000000000001E-2</v>
      </c>
      <c r="J26" s="5">
        <f t="shared" si="14"/>
        <v>0</v>
      </c>
      <c r="K26" s="8"/>
      <c r="L26" s="8"/>
      <c r="M26" s="8"/>
      <c r="N26" s="8"/>
      <c r="O26" s="8" t="s">
        <v>942</v>
      </c>
      <c r="P26" s="8"/>
      <c r="Q26" s="8" t="s">
        <v>942</v>
      </c>
      <c r="R26" s="5"/>
      <c r="S26" s="267"/>
      <c r="T26" s="267"/>
      <c r="U26" s="267"/>
      <c r="V26" s="267">
        <v>9.5000000000000001E-2</v>
      </c>
      <c r="W26" s="267"/>
      <c r="X26" s="5">
        <f t="shared" si="16"/>
        <v>9.5000000000000001E-2</v>
      </c>
      <c r="Y26" s="302"/>
      <c r="Z26" s="5"/>
      <c r="AA26" s="94"/>
      <c r="AB26" s="311">
        <f t="shared" si="17"/>
        <v>0</v>
      </c>
      <c r="AC26" s="296"/>
      <c r="AD26" s="113"/>
      <c r="AE26" s="5">
        <f t="shared" si="18"/>
        <v>0</v>
      </c>
      <c r="AF26" s="5"/>
      <c r="AG26" s="5"/>
      <c r="AH26" s="5"/>
      <c r="AI26" s="5"/>
      <c r="AJ26" s="5">
        <f>H26</f>
        <v>9.5000000000000001E-2</v>
      </c>
      <c r="AK26" s="94"/>
      <c r="AL26" s="94">
        <f t="shared" si="19"/>
        <v>9.5000000000000001E-2</v>
      </c>
      <c r="AM26" s="122"/>
      <c r="AN26" s="180"/>
      <c r="AO26" s="122"/>
      <c r="AP26" s="184"/>
      <c r="AQ26" s="122"/>
      <c r="AR26" s="184"/>
      <c r="AS26" s="122"/>
      <c r="AT26" s="184"/>
      <c r="AU26" s="122">
        <v>0.05</v>
      </c>
      <c r="AV26" s="184"/>
      <c r="AW26" s="122"/>
      <c r="AX26" s="184"/>
      <c r="AY26" s="111">
        <f t="shared" si="9"/>
        <v>0.05</v>
      </c>
      <c r="AZ26" s="178">
        <f t="shared" si="10"/>
        <v>0</v>
      </c>
      <c r="BF26" s="5"/>
      <c r="BG26" s="5"/>
      <c r="BH26" s="5"/>
      <c r="BI26" s="5"/>
      <c r="BJ26" s="5">
        <v>0.1</v>
      </c>
      <c r="BK26" s="5"/>
      <c r="BL26" s="5">
        <f t="shared" si="15"/>
        <v>0.1</v>
      </c>
    </row>
    <row r="27" spans="1:64" s="54" customFormat="1" ht="15.75" x14ac:dyDescent="0.2">
      <c r="A27" s="28"/>
      <c r="B27" s="28" t="s">
        <v>139</v>
      </c>
      <c r="C27" s="33" t="s">
        <v>140</v>
      </c>
      <c r="D27" s="30"/>
      <c r="E27" s="30"/>
      <c r="F27" s="30"/>
      <c r="G27" s="30"/>
      <c r="H27" s="31">
        <f>SUM(H28:H29)</f>
        <v>22.620799999999999</v>
      </c>
      <c r="I27" s="31">
        <f>SUM(I28:I29)</f>
        <v>5.0830000000000002</v>
      </c>
      <c r="J27" s="31">
        <f>SUM(J28:J29)</f>
        <v>5.0259999999999998</v>
      </c>
      <c r="K27" s="31"/>
      <c r="L27" s="31"/>
      <c r="M27" s="31"/>
      <c r="N27" s="31"/>
      <c r="O27" s="31"/>
      <c r="P27" s="31"/>
      <c r="Q27" s="31"/>
      <c r="R27" s="31">
        <f>SUM(R28:R29)</f>
        <v>5.0259999999999998</v>
      </c>
      <c r="S27" s="31">
        <f t="shared" ref="S27:AX27" si="20">SUM(S28:S29)</f>
        <v>5.7000000000000009E-2</v>
      </c>
      <c r="T27" s="31">
        <f t="shared" si="20"/>
        <v>0</v>
      </c>
      <c r="U27" s="31">
        <f t="shared" si="20"/>
        <v>0</v>
      </c>
      <c r="V27" s="31">
        <f t="shared" si="20"/>
        <v>0</v>
      </c>
      <c r="W27" s="31">
        <f t="shared" si="20"/>
        <v>0</v>
      </c>
      <c r="X27" s="31">
        <f t="shared" si="20"/>
        <v>5.0830000000000002</v>
      </c>
      <c r="Y27" s="132"/>
      <c r="Z27" s="31"/>
      <c r="AA27" s="95"/>
      <c r="AB27" s="310">
        <f t="shared" si="17"/>
        <v>0</v>
      </c>
      <c r="AC27" s="300">
        <f t="shared" si="20"/>
        <v>17.537800000000001</v>
      </c>
      <c r="AD27" s="228">
        <f t="shared" si="20"/>
        <v>1.548</v>
      </c>
      <c r="AE27" s="31">
        <f t="shared" si="20"/>
        <v>0</v>
      </c>
      <c r="AF27" s="31">
        <f t="shared" si="20"/>
        <v>0</v>
      </c>
      <c r="AG27" s="31">
        <f t="shared" si="20"/>
        <v>22.620799999999999</v>
      </c>
      <c r="AH27" s="31">
        <f t="shared" si="20"/>
        <v>0</v>
      </c>
      <c r="AI27" s="31">
        <f t="shared" si="20"/>
        <v>0</v>
      </c>
      <c r="AJ27" s="31">
        <f t="shared" si="20"/>
        <v>0</v>
      </c>
      <c r="AK27" s="95">
        <f t="shared" si="20"/>
        <v>0</v>
      </c>
      <c r="AL27" s="95">
        <f t="shared" si="20"/>
        <v>22.620799999999999</v>
      </c>
      <c r="AM27" s="85">
        <f t="shared" si="20"/>
        <v>0</v>
      </c>
      <c r="AN27" s="179">
        <f t="shared" si="20"/>
        <v>0</v>
      </c>
      <c r="AO27" s="85">
        <f t="shared" si="20"/>
        <v>20</v>
      </c>
      <c r="AP27" s="183">
        <f t="shared" si="20"/>
        <v>0</v>
      </c>
      <c r="AQ27" s="85">
        <f t="shared" si="20"/>
        <v>0</v>
      </c>
      <c r="AR27" s="183">
        <f t="shared" si="20"/>
        <v>0</v>
      </c>
      <c r="AS27" s="85">
        <f t="shared" si="20"/>
        <v>0</v>
      </c>
      <c r="AT27" s="183">
        <f t="shared" si="20"/>
        <v>0</v>
      </c>
      <c r="AU27" s="85">
        <f t="shared" si="20"/>
        <v>0</v>
      </c>
      <c r="AV27" s="183">
        <f t="shared" si="20"/>
        <v>0</v>
      </c>
      <c r="AW27" s="85">
        <f t="shared" si="20"/>
        <v>0</v>
      </c>
      <c r="AX27" s="183">
        <f t="shared" si="20"/>
        <v>0</v>
      </c>
      <c r="AY27" s="188">
        <f t="shared" si="9"/>
        <v>20</v>
      </c>
      <c r="AZ27" s="190">
        <f t="shared" si="10"/>
        <v>0</v>
      </c>
      <c r="BF27" s="31">
        <f>SUM(BF28:BF29)</f>
        <v>5.13</v>
      </c>
      <c r="BG27" s="31">
        <f t="shared" ref="BG27:BL27" si="21">SUM(BG28:BG29)</f>
        <v>0.10799999999999998</v>
      </c>
      <c r="BH27" s="31">
        <f t="shared" si="21"/>
        <v>0</v>
      </c>
      <c r="BI27" s="31">
        <f t="shared" si="21"/>
        <v>0</v>
      </c>
      <c r="BJ27" s="31">
        <f t="shared" si="21"/>
        <v>0</v>
      </c>
      <c r="BK27" s="31">
        <f t="shared" si="21"/>
        <v>0</v>
      </c>
      <c r="BL27" s="31">
        <f t="shared" si="21"/>
        <v>5.2379999999999995</v>
      </c>
    </row>
    <row r="28" spans="1:64" s="69" customFormat="1" ht="189" customHeight="1" outlineLevel="1" x14ac:dyDescent="0.2">
      <c r="A28" s="230" t="s">
        <v>1770</v>
      </c>
      <c r="B28" s="605" t="s">
        <v>1466</v>
      </c>
      <c r="C28" s="239" t="s">
        <v>501</v>
      </c>
      <c r="D28" s="207" t="s">
        <v>136</v>
      </c>
      <c r="E28" s="209" t="s">
        <v>443</v>
      </c>
      <c r="F28" s="207">
        <v>2013</v>
      </c>
      <c r="G28" s="207">
        <v>2015</v>
      </c>
      <c r="H28" s="208">
        <v>22.537800000000001</v>
      </c>
      <c r="I28" s="205">
        <v>5</v>
      </c>
      <c r="J28" s="205">
        <f>R28</f>
        <v>5</v>
      </c>
      <c r="K28" s="207"/>
      <c r="L28" s="207" t="s">
        <v>443</v>
      </c>
      <c r="M28" s="240"/>
      <c r="N28" s="207"/>
      <c r="O28" s="207"/>
      <c r="P28" s="207"/>
      <c r="Q28" s="207" t="s">
        <v>443</v>
      </c>
      <c r="R28" s="205">
        <v>5</v>
      </c>
      <c r="S28" s="208"/>
      <c r="T28" s="208"/>
      <c r="U28" s="208"/>
      <c r="V28" s="208"/>
      <c r="W28" s="208"/>
      <c r="X28" s="205">
        <f>SUM(R28:W28)</f>
        <v>5</v>
      </c>
      <c r="Y28" s="314"/>
      <c r="Z28" s="205"/>
      <c r="AA28" s="232"/>
      <c r="AB28" s="307">
        <f t="shared" si="17"/>
        <v>0</v>
      </c>
      <c r="AC28" s="297">
        <v>17.537800000000001</v>
      </c>
      <c r="AD28" s="225">
        <v>1.548</v>
      </c>
      <c r="AE28" s="205">
        <f t="shared" si="18"/>
        <v>0</v>
      </c>
      <c r="AF28" s="205"/>
      <c r="AG28" s="205">
        <f>H28</f>
        <v>22.537800000000001</v>
      </c>
      <c r="AH28" s="205"/>
      <c r="AI28" s="205"/>
      <c r="AJ28" s="205"/>
      <c r="AK28" s="232"/>
      <c r="AL28" s="232">
        <f t="shared" si="19"/>
        <v>22.537800000000001</v>
      </c>
      <c r="AM28" s="233"/>
      <c r="AN28" s="234"/>
      <c r="AO28" s="233">
        <v>20</v>
      </c>
      <c r="AP28" s="235"/>
      <c r="AQ28" s="233"/>
      <c r="AR28" s="235"/>
      <c r="AS28" s="233"/>
      <c r="AT28" s="235"/>
      <c r="AU28" s="233"/>
      <c r="AV28" s="235"/>
      <c r="AW28" s="233"/>
      <c r="AX28" s="235"/>
      <c r="AY28" s="236">
        <f t="shared" si="9"/>
        <v>20</v>
      </c>
      <c r="AZ28" s="237">
        <f t="shared" si="10"/>
        <v>0</v>
      </c>
      <c r="BF28" s="205">
        <v>5</v>
      </c>
      <c r="BG28" s="205"/>
      <c r="BH28" s="205"/>
      <c r="BI28" s="205"/>
      <c r="BJ28" s="205"/>
      <c r="BK28" s="205"/>
      <c r="BL28" s="205">
        <f>SUM(BF28:BK28)</f>
        <v>5</v>
      </c>
    </row>
    <row r="29" spans="1:64" s="69" customFormat="1" ht="38.25" outlineLevel="1" collapsed="1" x14ac:dyDescent="0.2">
      <c r="A29" s="230" t="s">
        <v>918</v>
      </c>
      <c r="B29" s="605" t="s">
        <v>918</v>
      </c>
      <c r="C29" s="210" t="s">
        <v>2655</v>
      </c>
      <c r="D29" s="207" t="s">
        <v>145</v>
      </c>
      <c r="E29" s="209" t="s">
        <v>212</v>
      </c>
      <c r="F29" s="207">
        <v>2014</v>
      </c>
      <c r="G29" s="207">
        <v>2015</v>
      </c>
      <c r="H29" s="241">
        <v>8.3000000000000004E-2</v>
      </c>
      <c r="I29" s="241">
        <v>8.3000000000000004E-2</v>
      </c>
      <c r="J29" s="241">
        <f>R29</f>
        <v>2.5999999999999999E-2</v>
      </c>
      <c r="K29" s="207"/>
      <c r="L29" s="207"/>
      <c r="M29" s="207"/>
      <c r="N29" s="207"/>
      <c r="O29" s="207"/>
      <c r="P29" s="207"/>
      <c r="Q29" s="207"/>
      <c r="R29" s="241">
        <v>2.5999999999999999E-2</v>
      </c>
      <c r="S29" s="332">
        <f>I29-R29</f>
        <v>5.7000000000000009E-2</v>
      </c>
      <c r="T29" s="208"/>
      <c r="U29" s="208"/>
      <c r="V29" s="208"/>
      <c r="W29" s="208"/>
      <c r="X29" s="205">
        <f>SUM(R29:W29)</f>
        <v>8.3000000000000004E-2</v>
      </c>
      <c r="Y29" s="314"/>
      <c r="Z29" s="205"/>
      <c r="AA29" s="232"/>
      <c r="AB29" s="307">
        <f t="shared" si="17"/>
        <v>0</v>
      </c>
      <c r="AC29" s="297"/>
      <c r="AD29" s="225"/>
      <c r="AE29" s="205">
        <f t="shared" si="18"/>
        <v>0</v>
      </c>
      <c r="AF29" s="205"/>
      <c r="AG29" s="205">
        <f>H29</f>
        <v>8.3000000000000004E-2</v>
      </c>
      <c r="AH29" s="205"/>
      <c r="AI29" s="205"/>
      <c r="AJ29" s="205"/>
      <c r="AK29" s="232"/>
      <c r="AL29" s="232">
        <f t="shared" si="19"/>
        <v>8.3000000000000004E-2</v>
      </c>
      <c r="AM29" s="233"/>
      <c r="AN29" s="234"/>
      <c r="AO29" s="233"/>
      <c r="AP29" s="235"/>
      <c r="AQ29" s="233"/>
      <c r="AR29" s="235"/>
      <c r="AS29" s="233"/>
      <c r="AT29" s="235"/>
      <c r="AU29" s="233"/>
      <c r="AV29" s="235"/>
      <c r="AW29" s="233"/>
      <c r="AX29" s="235"/>
      <c r="AY29" s="236">
        <f t="shared" si="9"/>
        <v>0</v>
      </c>
      <c r="AZ29" s="237">
        <f t="shared" si="10"/>
        <v>0</v>
      </c>
      <c r="BF29" s="241">
        <v>0.13</v>
      </c>
      <c r="BG29" s="205">
        <v>0.10799999999999998</v>
      </c>
      <c r="BH29" s="205"/>
      <c r="BI29" s="205"/>
      <c r="BJ29" s="205"/>
      <c r="BK29" s="205"/>
      <c r="BL29" s="205">
        <f>SUM(BF29:BK29)</f>
        <v>0.23799999999999999</v>
      </c>
    </row>
    <row r="30" spans="1:64" s="2" customFormat="1" ht="15.75" x14ac:dyDescent="0.2">
      <c r="A30" s="28"/>
      <c r="B30" s="28" t="s">
        <v>141</v>
      </c>
      <c r="C30" s="29" t="s">
        <v>142</v>
      </c>
      <c r="D30" s="30"/>
      <c r="E30" s="30"/>
      <c r="F30" s="30"/>
      <c r="G30" s="30"/>
      <c r="H30" s="31">
        <f>SUM(H31:H36)</f>
        <v>221.59449999999998</v>
      </c>
      <c r="I30" s="31">
        <f>SUM(I31:I36)</f>
        <v>218.44759999999999</v>
      </c>
      <c r="J30" s="31">
        <f>SUM(J31:J36)</f>
        <v>1.6</v>
      </c>
      <c r="K30" s="31"/>
      <c r="L30" s="31"/>
      <c r="M30" s="31"/>
      <c r="N30" s="31"/>
      <c r="O30" s="31"/>
      <c r="P30" s="31"/>
      <c r="Q30" s="31"/>
      <c r="R30" s="31">
        <f t="shared" ref="R30:AZ30" si="22">SUM(R31:R36)</f>
        <v>1.6</v>
      </c>
      <c r="S30" s="31">
        <f t="shared" si="22"/>
        <v>33.752699999999997</v>
      </c>
      <c r="T30" s="31">
        <f t="shared" si="22"/>
        <v>0</v>
      </c>
      <c r="U30" s="31">
        <f t="shared" si="22"/>
        <v>20.846899999999998</v>
      </c>
      <c r="V30" s="31">
        <f t="shared" si="22"/>
        <v>51.98</v>
      </c>
      <c r="W30" s="31">
        <f t="shared" si="22"/>
        <v>110.268</v>
      </c>
      <c r="X30" s="31">
        <f t="shared" si="22"/>
        <v>218.44759999999999</v>
      </c>
      <c r="Y30" s="132"/>
      <c r="Z30" s="31"/>
      <c r="AA30" s="95"/>
      <c r="AB30" s="310">
        <f t="shared" si="17"/>
        <v>0</v>
      </c>
      <c r="AC30" s="300">
        <f t="shared" si="22"/>
        <v>3.1469</v>
      </c>
      <c r="AD30" s="228">
        <f t="shared" si="22"/>
        <v>0</v>
      </c>
      <c r="AE30" s="31">
        <f t="shared" si="22"/>
        <v>-4.4408920985006262E-15</v>
      </c>
      <c r="AF30" s="31">
        <f t="shared" si="22"/>
        <v>0</v>
      </c>
      <c r="AG30" s="31">
        <f t="shared" si="22"/>
        <v>35.352699999999999</v>
      </c>
      <c r="AH30" s="31">
        <f t="shared" si="22"/>
        <v>0</v>
      </c>
      <c r="AI30" s="31">
        <f t="shared" si="22"/>
        <v>0</v>
      </c>
      <c r="AJ30" s="31">
        <f t="shared" si="22"/>
        <v>0</v>
      </c>
      <c r="AK30" s="95">
        <f t="shared" si="22"/>
        <v>15.9915</v>
      </c>
      <c r="AL30" s="95">
        <f t="shared" si="22"/>
        <v>51.344200000000001</v>
      </c>
      <c r="AM30" s="85">
        <f t="shared" si="22"/>
        <v>0</v>
      </c>
      <c r="AN30" s="179">
        <f t="shared" si="22"/>
        <v>0</v>
      </c>
      <c r="AO30" s="85">
        <f t="shared" si="22"/>
        <v>0</v>
      </c>
      <c r="AP30" s="183">
        <f t="shared" si="22"/>
        <v>1.26</v>
      </c>
      <c r="AQ30" s="85">
        <f t="shared" si="22"/>
        <v>0</v>
      </c>
      <c r="AR30" s="183">
        <f t="shared" si="22"/>
        <v>0</v>
      </c>
      <c r="AS30" s="85">
        <f t="shared" si="22"/>
        <v>0</v>
      </c>
      <c r="AT30" s="183">
        <f t="shared" si="22"/>
        <v>0</v>
      </c>
      <c r="AU30" s="85">
        <f t="shared" si="22"/>
        <v>0</v>
      </c>
      <c r="AV30" s="183">
        <f t="shared" si="22"/>
        <v>0</v>
      </c>
      <c r="AW30" s="85">
        <f t="shared" si="22"/>
        <v>0</v>
      </c>
      <c r="AX30" s="183">
        <f t="shared" si="22"/>
        <v>2</v>
      </c>
      <c r="AY30" s="188">
        <f t="shared" si="22"/>
        <v>0</v>
      </c>
      <c r="AZ30" s="190">
        <f t="shared" si="22"/>
        <v>3.26</v>
      </c>
      <c r="BF30" s="31">
        <f t="shared" ref="BF30:BL30" si="23">SUM(BF31:BF33)</f>
        <v>0.8</v>
      </c>
      <c r="BG30" s="31">
        <f t="shared" si="23"/>
        <v>17.2</v>
      </c>
      <c r="BH30" s="31">
        <f t="shared" si="23"/>
        <v>0</v>
      </c>
      <c r="BI30" s="31">
        <f t="shared" si="23"/>
        <v>21.270000000000003</v>
      </c>
      <c r="BJ30" s="31">
        <f t="shared" si="23"/>
        <v>61.9</v>
      </c>
      <c r="BK30" s="31">
        <f t="shared" si="23"/>
        <v>109.14649999999999</v>
      </c>
      <c r="BL30" s="31">
        <f t="shared" si="23"/>
        <v>210.31650000000002</v>
      </c>
    </row>
    <row r="31" spans="1:64" s="2" customFormat="1" ht="51" outlineLevel="1" x14ac:dyDescent="0.2">
      <c r="A31" s="592" t="s">
        <v>2513</v>
      </c>
      <c r="B31" s="603" t="s">
        <v>143</v>
      </c>
      <c r="C31" s="7" t="s">
        <v>2656</v>
      </c>
      <c r="D31" s="8" t="s">
        <v>136</v>
      </c>
      <c r="E31" s="23" t="s">
        <v>148</v>
      </c>
      <c r="F31" s="8">
        <v>2017</v>
      </c>
      <c r="G31" s="8">
        <v>2020</v>
      </c>
      <c r="H31" s="267">
        <v>170.25030000000001</v>
      </c>
      <c r="I31" s="267">
        <v>167.67680000000001</v>
      </c>
      <c r="J31" s="5">
        <f t="shared" ref="J31:J36" si="24">R31</f>
        <v>0</v>
      </c>
      <c r="K31" s="8"/>
      <c r="L31" s="8"/>
      <c r="M31" s="8"/>
      <c r="N31" s="8"/>
      <c r="O31" s="8"/>
      <c r="P31" s="8"/>
      <c r="Q31" s="8"/>
      <c r="R31" s="267"/>
      <c r="S31" s="267"/>
      <c r="T31" s="267"/>
      <c r="U31" s="267">
        <f>21.27-0.4231</f>
        <v>20.846899999999998</v>
      </c>
      <c r="V31" s="267">
        <v>51.9</v>
      </c>
      <c r="W31" s="267">
        <f>I31-R31-S31-T31-U31-V31</f>
        <v>94.929900000000004</v>
      </c>
      <c r="X31" s="5">
        <f t="shared" ref="X31:X36" si="25">SUM(R31:W31)</f>
        <v>167.67680000000001</v>
      </c>
      <c r="Y31" s="302"/>
      <c r="Z31" s="5"/>
      <c r="AA31" s="94"/>
      <c r="AB31" s="311">
        <f t="shared" si="17"/>
        <v>0</v>
      </c>
      <c r="AC31" s="296">
        <v>2.5735000000000001</v>
      </c>
      <c r="AD31" s="113"/>
      <c r="AE31" s="5">
        <f t="shared" si="18"/>
        <v>-4.4408920985006262E-15</v>
      </c>
      <c r="AF31" s="5"/>
      <c r="AG31" s="5"/>
      <c r="AH31" s="5"/>
      <c r="AI31" s="5"/>
      <c r="AJ31" s="5"/>
      <c r="AK31" s="94"/>
      <c r="AL31" s="94">
        <f t="shared" si="19"/>
        <v>0</v>
      </c>
      <c r="AM31" s="122"/>
      <c r="AN31" s="180"/>
      <c r="AO31" s="122"/>
      <c r="AP31" s="184"/>
      <c r="AQ31" s="122"/>
      <c r="AR31" s="184"/>
      <c r="AS31" s="122"/>
      <c r="AT31" s="184"/>
      <c r="AU31" s="122"/>
      <c r="AV31" s="184"/>
      <c r="AW31" s="122"/>
      <c r="AX31" s="184"/>
      <c r="AY31" s="111">
        <f t="shared" si="9"/>
        <v>0</v>
      </c>
      <c r="AZ31" s="178">
        <f t="shared" si="10"/>
        <v>0</v>
      </c>
      <c r="BF31" s="267"/>
      <c r="BG31" s="267"/>
      <c r="BH31" s="267"/>
      <c r="BI31" s="267">
        <v>21.270000000000003</v>
      </c>
      <c r="BJ31" s="267">
        <v>61.9</v>
      </c>
      <c r="BK31" s="267">
        <f>177.7665-BI31-BJ31</f>
        <v>94.596499999999992</v>
      </c>
      <c r="BL31" s="5">
        <f t="shared" ref="BL31:BL36" si="26">SUM(BF31:BK31)</f>
        <v>177.76650000000001</v>
      </c>
    </row>
    <row r="32" spans="1:64" s="2" customFormat="1" ht="15.75" customHeight="1" outlineLevel="1" x14ac:dyDescent="0.2">
      <c r="A32" s="592" t="s">
        <v>1806</v>
      </c>
      <c r="B32" s="603" t="s">
        <v>144</v>
      </c>
      <c r="C32" s="277" t="s">
        <v>1807</v>
      </c>
      <c r="D32" s="8" t="s">
        <v>145</v>
      </c>
      <c r="E32" s="23" t="s">
        <v>147</v>
      </c>
      <c r="F32" s="8">
        <v>2014</v>
      </c>
      <c r="G32" s="8">
        <v>2015</v>
      </c>
      <c r="H32" s="5">
        <v>19.5913</v>
      </c>
      <c r="I32" s="5">
        <v>19.5913</v>
      </c>
      <c r="J32" s="5">
        <f t="shared" si="24"/>
        <v>0.8</v>
      </c>
      <c r="K32" s="8"/>
      <c r="L32" s="8" t="str">
        <f>E32</f>
        <v>2х0,63 МВА</v>
      </c>
      <c r="M32" s="5"/>
      <c r="N32" s="5"/>
      <c r="O32" s="8"/>
      <c r="P32" s="8"/>
      <c r="Q32" s="5" t="s">
        <v>2357</v>
      </c>
      <c r="R32" s="5">
        <v>0.8</v>
      </c>
      <c r="S32" s="267">
        <f>I32-R32</f>
        <v>18.7913</v>
      </c>
      <c r="T32" s="267"/>
      <c r="U32" s="267"/>
      <c r="V32" s="267"/>
      <c r="W32" s="267"/>
      <c r="X32" s="5">
        <f t="shared" si="25"/>
        <v>19.5913</v>
      </c>
      <c r="Y32" s="302"/>
      <c r="Z32" s="5"/>
      <c r="AA32" s="94"/>
      <c r="AB32" s="311">
        <f t="shared" si="17"/>
        <v>0</v>
      </c>
      <c r="AC32" s="296"/>
      <c r="AD32" s="113"/>
      <c r="AE32" s="5">
        <f t="shared" si="18"/>
        <v>0</v>
      </c>
      <c r="AF32" s="5"/>
      <c r="AG32" s="5">
        <f>H32</f>
        <v>19.5913</v>
      </c>
      <c r="AH32" s="5"/>
      <c r="AI32" s="5"/>
      <c r="AJ32" s="5"/>
      <c r="AK32" s="94"/>
      <c r="AL32" s="94">
        <f t="shared" si="19"/>
        <v>19.5913</v>
      </c>
      <c r="AM32" s="122"/>
      <c r="AN32" s="180"/>
      <c r="AO32" s="122"/>
      <c r="AP32" s="184">
        <f>2*0.63</f>
        <v>1.26</v>
      </c>
      <c r="AQ32" s="122"/>
      <c r="AR32" s="184"/>
      <c r="AS32" s="122"/>
      <c r="AT32" s="184"/>
      <c r="AU32" s="122"/>
      <c r="AV32" s="184"/>
      <c r="AW32" s="122"/>
      <c r="AX32" s="184"/>
      <c r="AY32" s="111">
        <f t="shared" si="9"/>
        <v>0</v>
      </c>
      <c r="AZ32" s="178">
        <f t="shared" si="10"/>
        <v>1.26</v>
      </c>
      <c r="BA32" s="64"/>
      <c r="BB32" s="64"/>
      <c r="BF32" s="5">
        <v>0.8</v>
      </c>
      <c r="BG32" s="5">
        <v>17.2</v>
      </c>
      <c r="BH32" s="5"/>
      <c r="BI32" s="5"/>
      <c r="BJ32" s="5"/>
      <c r="BK32" s="5"/>
      <c r="BL32" s="5">
        <f t="shared" si="26"/>
        <v>18</v>
      </c>
    </row>
    <row r="33" spans="1:64" s="2" customFormat="1" ht="38.25" outlineLevel="1" x14ac:dyDescent="0.2">
      <c r="A33" s="592" t="s">
        <v>1924</v>
      </c>
      <c r="B33" s="603" t="s">
        <v>945</v>
      </c>
      <c r="C33" s="7" t="s">
        <v>2657</v>
      </c>
      <c r="D33" s="8" t="s">
        <v>136</v>
      </c>
      <c r="E33" s="23" t="s">
        <v>911</v>
      </c>
      <c r="F33" s="8">
        <v>2019</v>
      </c>
      <c r="G33" s="8">
        <v>2019</v>
      </c>
      <c r="H33" s="5">
        <v>15.118699999999999</v>
      </c>
      <c r="I33" s="5">
        <v>14.545299999999999</v>
      </c>
      <c r="J33" s="5">
        <f t="shared" si="24"/>
        <v>0</v>
      </c>
      <c r="K33" s="5"/>
      <c r="L33" s="8"/>
      <c r="M33" s="8"/>
      <c r="N33" s="8"/>
      <c r="O33" s="8"/>
      <c r="P33" s="8" t="s">
        <v>911</v>
      </c>
      <c r="Q33" s="8" t="s">
        <v>911</v>
      </c>
      <c r="R33" s="5"/>
      <c r="S33" s="267"/>
      <c r="T33" s="267"/>
      <c r="U33" s="267"/>
      <c r="V33" s="267"/>
      <c r="W33" s="267">
        <f>I33</f>
        <v>14.545299999999999</v>
      </c>
      <c r="X33" s="5">
        <f t="shared" si="25"/>
        <v>14.545299999999999</v>
      </c>
      <c r="Y33" s="302"/>
      <c r="Z33" s="5"/>
      <c r="AA33" s="94"/>
      <c r="AB33" s="311">
        <f t="shared" si="17"/>
        <v>0</v>
      </c>
      <c r="AC33" s="301">
        <v>0.57340000000000002</v>
      </c>
      <c r="AD33" s="113"/>
      <c r="AE33" s="5">
        <f t="shared" si="18"/>
        <v>0</v>
      </c>
      <c r="AF33" s="5"/>
      <c r="AG33" s="12"/>
      <c r="AH33" s="5"/>
      <c r="AI33" s="5"/>
      <c r="AJ33" s="5"/>
      <c r="AK33" s="94">
        <f>H33</f>
        <v>15.118699999999999</v>
      </c>
      <c r="AL33" s="94">
        <f t="shared" si="19"/>
        <v>15.118699999999999</v>
      </c>
      <c r="AM33" s="122"/>
      <c r="AN33" s="180"/>
      <c r="AO33" s="122"/>
      <c r="AP33" s="184"/>
      <c r="AQ33" s="122"/>
      <c r="AR33" s="184"/>
      <c r="AS33" s="122"/>
      <c r="AT33" s="184"/>
      <c r="AU33" s="122"/>
      <c r="AV33" s="184"/>
      <c r="AW33" s="122"/>
      <c r="AX33" s="184">
        <v>2</v>
      </c>
      <c r="AY33" s="111">
        <f t="shared" si="9"/>
        <v>0</v>
      </c>
      <c r="AZ33" s="178">
        <f t="shared" si="10"/>
        <v>2</v>
      </c>
      <c r="BF33" s="5"/>
      <c r="BG33" s="5"/>
      <c r="BH33" s="5"/>
      <c r="BI33" s="5"/>
      <c r="BJ33" s="5"/>
      <c r="BK33" s="5">
        <v>14.55</v>
      </c>
      <c r="BL33" s="5">
        <f t="shared" si="26"/>
        <v>14.55</v>
      </c>
    </row>
    <row r="34" spans="1:64" s="2" customFormat="1" ht="25.5" outlineLevel="1" x14ac:dyDescent="0.2">
      <c r="A34" s="592" t="s">
        <v>1804</v>
      </c>
      <c r="B34" s="603" t="s">
        <v>2563</v>
      </c>
      <c r="C34" s="277" t="s">
        <v>1805</v>
      </c>
      <c r="D34" s="8" t="s">
        <v>145</v>
      </c>
      <c r="E34" s="23" t="s">
        <v>212</v>
      </c>
      <c r="F34" s="8">
        <v>2014</v>
      </c>
      <c r="G34" s="8">
        <v>2015</v>
      </c>
      <c r="H34" s="5">
        <v>15.7614</v>
      </c>
      <c r="I34" s="5">
        <v>15.7614</v>
      </c>
      <c r="J34" s="5">
        <f t="shared" si="24"/>
        <v>0.8</v>
      </c>
      <c r="K34" s="8"/>
      <c r="L34" s="8"/>
      <c r="M34" s="5"/>
      <c r="N34" s="5"/>
      <c r="O34" s="8"/>
      <c r="P34" s="8"/>
      <c r="Q34" s="8"/>
      <c r="R34" s="5">
        <v>0.8</v>
      </c>
      <c r="S34" s="267">
        <f>I34-R34</f>
        <v>14.961399999999999</v>
      </c>
      <c r="T34" s="267"/>
      <c r="U34" s="267"/>
      <c r="V34" s="267"/>
      <c r="W34" s="267"/>
      <c r="X34" s="5">
        <f t="shared" si="25"/>
        <v>15.7614</v>
      </c>
      <c r="Y34" s="302"/>
      <c r="Z34" s="5"/>
      <c r="AA34" s="94"/>
      <c r="AB34" s="311">
        <f t="shared" si="17"/>
        <v>0</v>
      </c>
      <c r="AC34" s="296"/>
      <c r="AD34" s="113"/>
      <c r="AE34" s="5">
        <f>H34-I34-AC34</f>
        <v>0</v>
      </c>
      <c r="AF34" s="5"/>
      <c r="AG34" s="5">
        <f>H34</f>
        <v>15.7614</v>
      </c>
      <c r="AH34" s="5"/>
      <c r="AI34" s="5"/>
      <c r="AJ34" s="5"/>
      <c r="AK34" s="94"/>
      <c r="AL34" s="94">
        <f>SUM(AF34:AK34)</f>
        <v>15.7614</v>
      </c>
      <c r="AM34" s="122"/>
      <c r="AN34" s="180"/>
      <c r="AO34" s="122"/>
      <c r="AP34" s="184"/>
      <c r="AQ34" s="122"/>
      <c r="AR34" s="184"/>
      <c r="AS34" s="122"/>
      <c r="AT34" s="184"/>
      <c r="AU34" s="122"/>
      <c r="AV34" s="184"/>
      <c r="AW34" s="122"/>
      <c r="AX34" s="184"/>
      <c r="AY34" s="111">
        <f t="shared" ref="AY34:AZ36" si="27">AM34+AO34+AQ34+AS34+AU34+AW34</f>
        <v>0</v>
      </c>
      <c r="AZ34" s="178">
        <f t="shared" si="27"/>
        <v>0</v>
      </c>
      <c r="BA34" s="64"/>
      <c r="BB34" s="64"/>
      <c r="BF34" s="5">
        <v>0.8</v>
      </c>
      <c r="BG34" s="5">
        <v>14.962999999999999</v>
      </c>
      <c r="BH34" s="5"/>
      <c r="BI34" s="5"/>
      <c r="BJ34" s="5"/>
      <c r="BK34" s="5"/>
      <c r="BL34" s="5">
        <f t="shared" si="26"/>
        <v>15.763</v>
      </c>
    </row>
    <row r="35" spans="1:64" s="2" customFormat="1" ht="15.75" outlineLevel="1" x14ac:dyDescent="0.2">
      <c r="A35" s="114" t="s">
        <v>2564</v>
      </c>
      <c r="B35" s="603" t="s">
        <v>2564</v>
      </c>
      <c r="C35" s="7" t="s">
        <v>940</v>
      </c>
      <c r="D35" s="8" t="s">
        <v>145</v>
      </c>
      <c r="E35" s="23" t="s">
        <v>212</v>
      </c>
      <c r="F35" s="8">
        <v>2018</v>
      </c>
      <c r="G35" s="8">
        <v>2019</v>
      </c>
      <c r="H35" s="5">
        <v>0.43640000000000001</v>
      </c>
      <c r="I35" s="5">
        <v>0.43640000000000001</v>
      </c>
      <c r="J35" s="5">
        <f t="shared" si="24"/>
        <v>0</v>
      </c>
      <c r="K35" s="8"/>
      <c r="L35" s="8"/>
      <c r="M35" s="8"/>
      <c r="N35" s="8"/>
      <c r="O35" s="8"/>
      <c r="P35" s="8"/>
      <c r="Q35" s="8"/>
      <c r="R35" s="5"/>
      <c r="S35" s="267"/>
      <c r="T35" s="267"/>
      <c r="U35" s="267"/>
      <c r="V35" s="267">
        <v>0.04</v>
      </c>
      <c r="W35" s="267">
        <f>I35-R35-S35-T35-U35-V35</f>
        <v>0.39640000000000003</v>
      </c>
      <c r="X35" s="5">
        <f t="shared" si="25"/>
        <v>0.43640000000000001</v>
      </c>
      <c r="Y35" s="302"/>
      <c r="Z35" s="5"/>
      <c r="AA35" s="94"/>
      <c r="AB35" s="311">
        <f t="shared" si="17"/>
        <v>0</v>
      </c>
      <c r="AC35" s="296"/>
      <c r="AD35" s="113"/>
      <c r="AE35" s="5">
        <f>H35-I35-AC35</f>
        <v>0</v>
      </c>
      <c r="AF35" s="5"/>
      <c r="AG35" s="5"/>
      <c r="AH35" s="5"/>
      <c r="AI35" s="5"/>
      <c r="AJ35" s="5"/>
      <c r="AK35" s="94">
        <f>H35</f>
        <v>0.43640000000000001</v>
      </c>
      <c r="AL35" s="94">
        <f>SUM(AF35:AK35)</f>
        <v>0.43640000000000001</v>
      </c>
      <c r="AM35" s="122"/>
      <c r="AN35" s="180"/>
      <c r="AO35" s="122"/>
      <c r="AP35" s="184"/>
      <c r="AQ35" s="122"/>
      <c r="AR35" s="184"/>
      <c r="AS35" s="122"/>
      <c r="AT35" s="184"/>
      <c r="AU35" s="122"/>
      <c r="AV35" s="184"/>
      <c r="AW35" s="122"/>
      <c r="AX35" s="184"/>
      <c r="AY35" s="111">
        <f t="shared" si="27"/>
        <v>0</v>
      </c>
      <c r="AZ35" s="178">
        <f t="shared" si="27"/>
        <v>0</v>
      </c>
      <c r="BF35" s="5"/>
      <c r="BG35" s="5"/>
      <c r="BH35" s="5"/>
      <c r="BI35" s="5"/>
      <c r="BJ35" s="5">
        <v>0.05</v>
      </c>
      <c r="BK35" s="5">
        <v>0.5</v>
      </c>
      <c r="BL35" s="5">
        <f t="shared" si="26"/>
        <v>0.55000000000000004</v>
      </c>
    </row>
    <row r="36" spans="1:64" s="2" customFormat="1" ht="15.75" outlineLevel="1" x14ac:dyDescent="0.2">
      <c r="A36" s="114" t="s">
        <v>2565</v>
      </c>
      <c r="B36" s="603" t="s">
        <v>2565</v>
      </c>
      <c r="C36" s="7" t="s">
        <v>941</v>
      </c>
      <c r="D36" s="8" t="s">
        <v>145</v>
      </c>
      <c r="E36" s="23" t="s">
        <v>212</v>
      </c>
      <c r="F36" s="8">
        <v>2018</v>
      </c>
      <c r="G36" s="8">
        <v>2019</v>
      </c>
      <c r="H36" s="5">
        <v>0.43640000000000001</v>
      </c>
      <c r="I36" s="5">
        <v>0.43640000000000001</v>
      </c>
      <c r="J36" s="5">
        <f t="shared" si="24"/>
        <v>0</v>
      </c>
      <c r="K36" s="8"/>
      <c r="L36" s="8"/>
      <c r="M36" s="8"/>
      <c r="N36" s="8"/>
      <c r="O36" s="8"/>
      <c r="P36" s="8"/>
      <c r="Q36" s="8"/>
      <c r="R36" s="5"/>
      <c r="S36" s="267"/>
      <c r="T36" s="267"/>
      <c r="U36" s="267"/>
      <c r="V36" s="267">
        <v>0.04</v>
      </c>
      <c r="W36" s="267">
        <f>I36-R36-S36-T36-U36-V36</f>
        <v>0.39640000000000003</v>
      </c>
      <c r="X36" s="5">
        <f t="shared" si="25"/>
        <v>0.43640000000000001</v>
      </c>
      <c r="Y36" s="302"/>
      <c r="Z36" s="5"/>
      <c r="AA36" s="94"/>
      <c r="AB36" s="311">
        <f t="shared" si="17"/>
        <v>0</v>
      </c>
      <c r="AC36" s="296"/>
      <c r="AD36" s="113"/>
      <c r="AE36" s="5">
        <f>H36-I36-AC36</f>
        <v>0</v>
      </c>
      <c r="AF36" s="5"/>
      <c r="AG36" s="5"/>
      <c r="AH36" s="5"/>
      <c r="AI36" s="5"/>
      <c r="AJ36" s="5"/>
      <c r="AK36" s="94">
        <f>H36</f>
        <v>0.43640000000000001</v>
      </c>
      <c r="AL36" s="94">
        <f>SUM(AF36:AK36)</f>
        <v>0.43640000000000001</v>
      </c>
      <c r="AM36" s="122"/>
      <c r="AN36" s="180"/>
      <c r="AO36" s="122"/>
      <c r="AP36" s="184"/>
      <c r="AQ36" s="122"/>
      <c r="AR36" s="184"/>
      <c r="AS36" s="122"/>
      <c r="AT36" s="184"/>
      <c r="AU36" s="122"/>
      <c r="AV36" s="184"/>
      <c r="AW36" s="122"/>
      <c r="AX36" s="184"/>
      <c r="AY36" s="111">
        <f t="shared" si="27"/>
        <v>0</v>
      </c>
      <c r="AZ36" s="178">
        <f t="shared" si="27"/>
        <v>0</v>
      </c>
      <c r="BF36" s="5"/>
      <c r="BG36" s="5"/>
      <c r="BH36" s="5"/>
      <c r="BI36" s="5"/>
      <c r="BJ36" s="5">
        <v>0.05</v>
      </c>
      <c r="BK36" s="5">
        <v>0.5</v>
      </c>
      <c r="BL36" s="5">
        <f t="shared" si="26"/>
        <v>0.55000000000000004</v>
      </c>
    </row>
    <row r="37" spans="1:64" s="2" customFormat="1" ht="51" x14ac:dyDescent="0.2">
      <c r="A37" s="28"/>
      <c r="B37" s="28" t="s">
        <v>149</v>
      </c>
      <c r="C37" s="29" t="s">
        <v>1470</v>
      </c>
      <c r="D37" s="30"/>
      <c r="E37" s="30"/>
      <c r="F37" s="30"/>
      <c r="G37" s="30"/>
      <c r="H37" s="31">
        <f>SUM(H38:H40)</f>
        <v>40.51169999999999</v>
      </c>
      <c r="I37" s="31">
        <f>SUM(I38:I40)</f>
        <v>14.7578</v>
      </c>
      <c r="J37" s="31">
        <f>SUM(J38:J40)</f>
        <v>14.7578</v>
      </c>
      <c r="K37" s="31"/>
      <c r="L37" s="31"/>
      <c r="M37" s="31"/>
      <c r="N37" s="31"/>
      <c r="O37" s="31"/>
      <c r="P37" s="31"/>
      <c r="Q37" s="31"/>
      <c r="R37" s="31">
        <f>SUM(R38:R40)</f>
        <v>14.7578</v>
      </c>
      <c r="S37" s="31">
        <f t="shared" ref="S37:AX37" si="28">SUM(S38:S40)</f>
        <v>0</v>
      </c>
      <c r="T37" s="31">
        <f t="shared" si="28"/>
        <v>0</v>
      </c>
      <c r="U37" s="31">
        <f t="shared" si="28"/>
        <v>0</v>
      </c>
      <c r="V37" s="31">
        <f t="shared" si="28"/>
        <v>0</v>
      </c>
      <c r="W37" s="31">
        <f t="shared" si="28"/>
        <v>0</v>
      </c>
      <c r="X37" s="31">
        <f t="shared" si="28"/>
        <v>14.7578</v>
      </c>
      <c r="Y37" s="132"/>
      <c r="Z37" s="31"/>
      <c r="AA37" s="95"/>
      <c r="AB37" s="310">
        <f t="shared" si="17"/>
        <v>0</v>
      </c>
      <c r="AC37" s="300">
        <f t="shared" si="28"/>
        <v>25.754299999999997</v>
      </c>
      <c r="AD37" s="228">
        <f t="shared" si="28"/>
        <v>1.6086</v>
      </c>
      <c r="AE37" s="31">
        <f t="shared" si="28"/>
        <v>-3.9999999999995595E-4</v>
      </c>
      <c r="AF37" s="31">
        <f t="shared" si="28"/>
        <v>20.661199999999997</v>
      </c>
      <c r="AG37" s="31">
        <f t="shared" si="28"/>
        <v>18.899999999999999</v>
      </c>
      <c r="AH37" s="31">
        <f t="shared" si="28"/>
        <v>0</v>
      </c>
      <c r="AI37" s="31">
        <f t="shared" si="28"/>
        <v>0</v>
      </c>
      <c r="AJ37" s="31">
        <f t="shared" si="28"/>
        <v>0</v>
      </c>
      <c r="AK37" s="95">
        <f t="shared" si="28"/>
        <v>0</v>
      </c>
      <c r="AL37" s="95">
        <f t="shared" si="28"/>
        <v>39.561199999999999</v>
      </c>
      <c r="AM37" s="85">
        <f t="shared" si="28"/>
        <v>28.742999999999999</v>
      </c>
      <c r="AN37" s="179">
        <f t="shared" si="28"/>
        <v>0</v>
      </c>
      <c r="AO37" s="85">
        <f t="shared" si="28"/>
        <v>0</v>
      </c>
      <c r="AP37" s="183">
        <f t="shared" si="28"/>
        <v>0</v>
      </c>
      <c r="AQ37" s="85">
        <f t="shared" si="28"/>
        <v>0</v>
      </c>
      <c r="AR37" s="183">
        <f t="shared" si="28"/>
        <v>0</v>
      </c>
      <c r="AS37" s="85">
        <f t="shared" si="28"/>
        <v>0</v>
      </c>
      <c r="AT37" s="183">
        <f t="shared" si="28"/>
        <v>0</v>
      </c>
      <c r="AU37" s="85">
        <f t="shared" si="28"/>
        <v>0</v>
      </c>
      <c r="AV37" s="183">
        <f t="shared" si="28"/>
        <v>0</v>
      </c>
      <c r="AW37" s="85">
        <f t="shared" si="28"/>
        <v>0</v>
      </c>
      <c r="AX37" s="183">
        <f t="shared" si="28"/>
        <v>0</v>
      </c>
      <c r="AY37" s="188">
        <f>SUM(AY38:AY40)</f>
        <v>28.742999999999999</v>
      </c>
      <c r="AZ37" s="190">
        <f>SUM(AZ38:AZ40)</f>
        <v>0</v>
      </c>
      <c r="BF37" s="31">
        <f t="shared" ref="BF37:BL37" si="29">SUM(BF38:BF40)</f>
        <v>11.567400000000001</v>
      </c>
      <c r="BG37" s="31">
        <f t="shared" si="29"/>
        <v>0</v>
      </c>
      <c r="BH37" s="31">
        <f t="shared" si="29"/>
        <v>0</v>
      </c>
      <c r="BI37" s="31">
        <f t="shared" si="29"/>
        <v>0</v>
      </c>
      <c r="BJ37" s="31">
        <f t="shared" si="29"/>
        <v>0</v>
      </c>
      <c r="BK37" s="31">
        <f t="shared" si="29"/>
        <v>0</v>
      </c>
      <c r="BL37" s="31">
        <f t="shared" si="29"/>
        <v>11.567400000000001</v>
      </c>
    </row>
    <row r="38" spans="1:64" s="69" customFormat="1" ht="25.5" outlineLevel="1" x14ac:dyDescent="0.2">
      <c r="A38" s="230" t="s">
        <v>1771</v>
      </c>
      <c r="B38" s="603" t="s">
        <v>150</v>
      </c>
      <c r="C38" s="210" t="s">
        <v>152</v>
      </c>
      <c r="D38" s="207" t="s">
        <v>145</v>
      </c>
      <c r="E38" s="209" t="s">
        <v>2532</v>
      </c>
      <c r="F38" s="207">
        <v>2013</v>
      </c>
      <c r="G38" s="207">
        <v>2014</v>
      </c>
      <c r="H38" s="205">
        <v>2.3405</v>
      </c>
      <c r="I38" s="205">
        <v>1.3900000000000001</v>
      </c>
      <c r="J38" s="205">
        <f>R38</f>
        <v>1.39</v>
      </c>
      <c r="K38" s="207" t="s">
        <v>947</v>
      </c>
      <c r="L38" s="207"/>
      <c r="M38" s="207"/>
      <c r="N38" s="207"/>
      <c r="O38" s="207"/>
      <c r="P38" s="207"/>
      <c r="Q38" s="207" t="s">
        <v>947</v>
      </c>
      <c r="R38" s="205">
        <v>1.39</v>
      </c>
      <c r="S38" s="208"/>
      <c r="T38" s="208"/>
      <c r="U38" s="208"/>
      <c r="V38" s="208"/>
      <c r="W38" s="208"/>
      <c r="X38" s="205">
        <f>SUM(R38:W38)</f>
        <v>1.39</v>
      </c>
      <c r="Y38" s="314"/>
      <c r="Z38" s="205"/>
      <c r="AA38" s="232"/>
      <c r="AB38" s="307">
        <f t="shared" si="17"/>
        <v>0</v>
      </c>
      <c r="AC38" s="297">
        <v>0.9504999999999999</v>
      </c>
      <c r="AD38" s="225"/>
      <c r="AE38" s="205">
        <f t="shared" si="18"/>
        <v>0</v>
      </c>
      <c r="AF38" s="242">
        <f>R38</f>
        <v>1.39</v>
      </c>
      <c r="AG38" s="242"/>
      <c r="AH38" s="242"/>
      <c r="AI38" s="242"/>
      <c r="AJ38" s="242"/>
      <c r="AK38" s="243"/>
      <c r="AL38" s="232">
        <f t="shared" si="19"/>
        <v>1.39</v>
      </c>
      <c r="AM38" s="233"/>
      <c r="AN38" s="234"/>
      <c r="AO38" s="233"/>
      <c r="AP38" s="235"/>
      <c r="AQ38" s="233"/>
      <c r="AR38" s="235"/>
      <c r="AS38" s="233"/>
      <c r="AT38" s="235"/>
      <c r="AU38" s="233"/>
      <c r="AV38" s="235"/>
      <c r="AW38" s="233"/>
      <c r="AX38" s="235"/>
      <c r="AY38" s="236">
        <f t="shared" si="9"/>
        <v>0</v>
      </c>
      <c r="AZ38" s="237">
        <f t="shared" si="10"/>
        <v>0</v>
      </c>
      <c r="BF38" s="205">
        <v>1.39</v>
      </c>
      <c r="BG38" s="205"/>
      <c r="BH38" s="205"/>
      <c r="BI38" s="205"/>
      <c r="BJ38" s="205"/>
      <c r="BK38" s="205"/>
      <c r="BL38" s="205">
        <f>SUM(BF38:BK38)</f>
        <v>1.39</v>
      </c>
    </row>
    <row r="39" spans="1:64" s="246" customFormat="1" ht="38.25" outlineLevel="1" x14ac:dyDescent="0.2">
      <c r="A39" s="230" t="s">
        <v>1772</v>
      </c>
      <c r="B39" s="603" t="s">
        <v>151</v>
      </c>
      <c r="C39" s="210" t="s">
        <v>1946</v>
      </c>
      <c r="D39" s="207" t="s">
        <v>136</v>
      </c>
      <c r="E39" s="209" t="s">
        <v>447</v>
      </c>
      <c r="F39" s="207">
        <v>2013</v>
      </c>
      <c r="G39" s="207">
        <v>2015</v>
      </c>
      <c r="H39" s="205">
        <v>18.899999999999999</v>
      </c>
      <c r="I39" s="205">
        <v>13.200999999999999</v>
      </c>
      <c r="J39" s="205">
        <f>R39</f>
        <v>13.200999999999999</v>
      </c>
      <c r="K39" s="207"/>
      <c r="L39" s="207" t="s">
        <v>447</v>
      </c>
      <c r="M39" s="240"/>
      <c r="N39" s="207"/>
      <c r="O39" s="207"/>
      <c r="P39" s="207"/>
      <c r="Q39" s="207" t="s">
        <v>447</v>
      </c>
      <c r="R39" s="208">
        <v>13.200999999999999</v>
      </c>
      <c r="S39" s="208"/>
      <c r="T39" s="208"/>
      <c r="U39" s="208"/>
      <c r="V39" s="208"/>
      <c r="W39" s="208"/>
      <c r="X39" s="205">
        <f>SUM(R39:W39)</f>
        <v>13.200999999999999</v>
      </c>
      <c r="Y39" s="314"/>
      <c r="Z39" s="205"/>
      <c r="AA39" s="232"/>
      <c r="AB39" s="307">
        <f t="shared" si="17"/>
        <v>0</v>
      </c>
      <c r="AC39" s="297">
        <v>5.6993999999999998</v>
      </c>
      <c r="AD39" s="225">
        <v>1.5987</v>
      </c>
      <c r="AE39" s="205">
        <f t="shared" si="18"/>
        <v>-3.9999999999995595E-4</v>
      </c>
      <c r="AF39" s="205"/>
      <c r="AG39" s="205">
        <f>H39</f>
        <v>18.899999999999999</v>
      </c>
      <c r="AH39" s="205"/>
      <c r="AI39" s="205"/>
      <c r="AJ39" s="205"/>
      <c r="AK39" s="232"/>
      <c r="AL39" s="232">
        <f t="shared" si="19"/>
        <v>18.899999999999999</v>
      </c>
      <c r="AM39" s="233"/>
      <c r="AN39" s="244"/>
      <c r="AO39" s="233"/>
      <c r="AP39" s="245"/>
      <c r="AQ39" s="233"/>
      <c r="AR39" s="245"/>
      <c r="AS39" s="233"/>
      <c r="AT39" s="245"/>
      <c r="AU39" s="233"/>
      <c r="AV39" s="245"/>
      <c r="AW39" s="233"/>
      <c r="AX39" s="245"/>
      <c r="AY39" s="236">
        <f>AM39+AO39+AQ39+AS39+AU39+AW39</f>
        <v>0</v>
      </c>
      <c r="AZ39" s="237">
        <f t="shared" si="10"/>
        <v>0</v>
      </c>
      <c r="BF39" s="205">
        <v>10.0106</v>
      </c>
      <c r="BG39" s="205"/>
      <c r="BH39" s="205"/>
      <c r="BI39" s="205"/>
      <c r="BJ39" s="205"/>
      <c r="BK39" s="205"/>
      <c r="BL39" s="205">
        <f>SUM(BF39:BK39)</f>
        <v>10.0106</v>
      </c>
    </row>
    <row r="40" spans="1:64" s="246" customFormat="1" ht="39" customHeight="1" outlineLevel="1" x14ac:dyDescent="0.2">
      <c r="A40" s="230" t="s">
        <v>1773</v>
      </c>
      <c r="B40" s="603" t="s">
        <v>460</v>
      </c>
      <c r="C40" s="210" t="s">
        <v>2658</v>
      </c>
      <c r="D40" s="207" t="s">
        <v>136</v>
      </c>
      <c r="E40" s="209" t="s">
        <v>1925</v>
      </c>
      <c r="F40" s="207">
        <v>2009</v>
      </c>
      <c r="G40" s="207">
        <v>2014</v>
      </c>
      <c r="H40" s="205">
        <v>19.271199999999997</v>
      </c>
      <c r="I40" s="205">
        <v>0.1668</v>
      </c>
      <c r="J40" s="205">
        <f>R40</f>
        <v>0.1668</v>
      </c>
      <c r="K40" s="209" t="s">
        <v>1925</v>
      </c>
      <c r="L40" s="207"/>
      <c r="M40" s="207"/>
      <c r="N40" s="207"/>
      <c r="O40" s="207"/>
      <c r="P40" s="207"/>
      <c r="Q40" s="209" t="s">
        <v>1925</v>
      </c>
      <c r="R40" s="205">
        <v>0.1668</v>
      </c>
      <c r="S40" s="208"/>
      <c r="T40" s="208"/>
      <c r="U40" s="208"/>
      <c r="V40" s="208"/>
      <c r="W40" s="208"/>
      <c r="X40" s="205">
        <f>SUM(R40:W40)</f>
        <v>0.1668</v>
      </c>
      <c r="Y40" s="314"/>
      <c r="Z40" s="205"/>
      <c r="AA40" s="232"/>
      <c r="AB40" s="307">
        <f t="shared" si="17"/>
        <v>0</v>
      </c>
      <c r="AC40" s="297">
        <v>19.104399999999998</v>
      </c>
      <c r="AD40" s="225">
        <v>9.9000000000000008E-3</v>
      </c>
      <c r="AE40" s="205">
        <f t="shared" si="18"/>
        <v>0</v>
      </c>
      <c r="AF40" s="205">
        <f>H40</f>
        <v>19.271199999999997</v>
      </c>
      <c r="AG40" s="241"/>
      <c r="AH40" s="241"/>
      <c r="AI40" s="241"/>
      <c r="AJ40" s="241"/>
      <c r="AK40" s="247"/>
      <c r="AL40" s="232">
        <f t="shared" si="19"/>
        <v>19.271199999999997</v>
      </c>
      <c r="AM40" s="233">
        <v>28.742999999999999</v>
      </c>
      <c r="AN40" s="244"/>
      <c r="AO40" s="233"/>
      <c r="AP40" s="245"/>
      <c r="AQ40" s="233"/>
      <c r="AR40" s="245"/>
      <c r="AS40" s="233"/>
      <c r="AT40" s="245"/>
      <c r="AU40" s="233"/>
      <c r="AV40" s="245"/>
      <c r="AW40" s="233"/>
      <c r="AX40" s="245"/>
      <c r="AY40" s="236">
        <f t="shared" si="9"/>
        <v>28.742999999999999</v>
      </c>
      <c r="AZ40" s="237">
        <f t="shared" si="10"/>
        <v>0</v>
      </c>
      <c r="BF40" s="205">
        <v>0.1668</v>
      </c>
      <c r="BG40" s="205"/>
      <c r="BH40" s="205"/>
      <c r="BI40" s="205"/>
      <c r="BJ40" s="205"/>
      <c r="BK40" s="205"/>
      <c r="BL40" s="205">
        <f>SUM(BF40:BK40)</f>
        <v>0.1668</v>
      </c>
    </row>
    <row r="41" spans="1:64" s="2" customFormat="1" ht="25.5" customHeight="1" x14ac:dyDescent="0.2">
      <c r="A41" s="28"/>
      <c r="B41" s="28" t="s">
        <v>153</v>
      </c>
      <c r="C41" s="29" t="s">
        <v>154</v>
      </c>
      <c r="D41" s="30"/>
      <c r="E41" s="30"/>
      <c r="F41" s="30"/>
      <c r="G41" s="30"/>
      <c r="H41" s="31">
        <f>SUM(H42:H47)</f>
        <v>6.3453600000000003</v>
      </c>
      <c r="I41" s="31">
        <f>SUM(I42:I47)</f>
        <v>5.3554599999999999</v>
      </c>
      <c r="J41" s="31">
        <f>SUM(J42:J47)</f>
        <v>3.0654599999999999</v>
      </c>
      <c r="K41" s="31"/>
      <c r="L41" s="31"/>
      <c r="M41" s="31"/>
      <c r="N41" s="31"/>
      <c r="O41" s="31"/>
      <c r="P41" s="31"/>
      <c r="Q41" s="31"/>
      <c r="R41" s="31">
        <f>SUM(R42:R47)</f>
        <v>3.0654599999999999</v>
      </c>
      <c r="S41" s="31">
        <f t="shared" ref="S41:AZ41" si="30">SUM(S42:S47)</f>
        <v>0</v>
      </c>
      <c r="T41" s="31">
        <f t="shared" si="30"/>
        <v>0</v>
      </c>
      <c r="U41" s="31">
        <f t="shared" si="30"/>
        <v>0.59</v>
      </c>
      <c r="V41" s="31">
        <f t="shared" si="30"/>
        <v>1.25</v>
      </c>
      <c r="W41" s="31">
        <f t="shared" si="30"/>
        <v>0.45</v>
      </c>
      <c r="X41" s="31">
        <f t="shared" si="30"/>
        <v>5.3554599999999999</v>
      </c>
      <c r="Y41" s="132"/>
      <c r="Z41" s="31"/>
      <c r="AA41" s="95"/>
      <c r="AB41" s="310">
        <f t="shared" si="17"/>
        <v>0</v>
      </c>
      <c r="AC41" s="300">
        <f t="shared" si="30"/>
        <v>0.9899</v>
      </c>
      <c r="AD41" s="228">
        <f t="shared" si="30"/>
        <v>0</v>
      </c>
      <c r="AE41" s="31">
        <f t="shared" si="30"/>
        <v>0</v>
      </c>
      <c r="AF41" s="31">
        <f t="shared" si="30"/>
        <v>4.0553600000000003</v>
      </c>
      <c r="AG41" s="31">
        <f t="shared" si="30"/>
        <v>0</v>
      </c>
      <c r="AH41" s="31">
        <f t="shared" si="30"/>
        <v>0</v>
      </c>
      <c r="AI41" s="31">
        <f t="shared" si="30"/>
        <v>0.59</v>
      </c>
      <c r="AJ41" s="31">
        <f t="shared" si="30"/>
        <v>0.8</v>
      </c>
      <c r="AK41" s="95">
        <f t="shared" si="30"/>
        <v>0.9</v>
      </c>
      <c r="AL41" s="95">
        <f t="shared" si="30"/>
        <v>6.3453600000000003</v>
      </c>
      <c r="AM41" s="85">
        <f t="shared" si="30"/>
        <v>0</v>
      </c>
      <c r="AN41" s="179">
        <f t="shared" si="30"/>
        <v>0</v>
      </c>
      <c r="AO41" s="85">
        <f t="shared" si="30"/>
        <v>0</v>
      </c>
      <c r="AP41" s="183">
        <f t="shared" si="30"/>
        <v>0</v>
      </c>
      <c r="AQ41" s="85">
        <f t="shared" si="30"/>
        <v>0</v>
      </c>
      <c r="AR41" s="183">
        <f t="shared" si="30"/>
        <v>0</v>
      </c>
      <c r="AS41" s="85">
        <f t="shared" si="30"/>
        <v>0</v>
      </c>
      <c r="AT41" s="183">
        <f t="shared" si="30"/>
        <v>0</v>
      </c>
      <c r="AU41" s="85">
        <f t="shared" si="30"/>
        <v>0</v>
      </c>
      <c r="AV41" s="183">
        <f t="shared" si="30"/>
        <v>0</v>
      </c>
      <c r="AW41" s="85">
        <f t="shared" si="30"/>
        <v>0</v>
      </c>
      <c r="AX41" s="183">
        <f t="shared" si="30"/>
        <v>0</v>
      </c>
      <c r="AY41" s="188">
        <f>SUM(AY42:AY47)</f>
        <v>0</v>
      </c>
      <c r="AZ41" s="190">
        <f t="shared" si="30"/>
        <v>0</v>
      </c>
      <c r="BF41" s="31">
        <f t="shared" ref="BF41:BL41" si="31">SUM(BF42:BF47)</f>
        <v>2.9974599999999998</v>
      </c>
      <c r="BG41" s="31">
        <f t="shared" si="31"/>
        <v>0</v>
      </c>
      <c r="BH41" s="31">
        <f t="shared" si="31"/>
        <v>0</v>
      </c>
      <c r="BI41" s="31">
        <f t="shared" si="31"/>
        <v>0.59</v>
      </c>
      <c r="BJ41" s="31">
        <f t="shared" si="31"/>
        <v>1.25</v>
      </c>
      <c r="BK41" s="31">
        <f t="shared" si="31"/>
        <v>0.45</v>
      </c>
      <c r="BL41" s="31">
        <f t="shared" si="31"/>
        <v>5.2874599999999994</v>
      </c>
    </row>
    <row r="42" spans="1:64" s="11" customFormat="1" ht="38.25" outlineLevel="1" x14ac:dyDescent="0.2">
      <c r="A42" s="592" t="s">
        <v>1774</v>
      </c>
      <c r="B42" s="603" t="s">
        <v>155</v>
      </c>
      <c r="C42" s="7" t="s">
        <v>2531</v>
      </c>
      <c r="D42" s="8"/>
      <c r="E42" s="23" t="s">
        <v>212</v>
      </c>
      <c r="F42" s="8">
        <v>2013</v>
      </c>
      <c r="G42" s="8">
        <v>2014</v>
      </c>
      <c r="H42" s="5">
        <v>1.8373599999999999</v>
      </c>
      <c r="I42" s="289">
        <v>0.84745999999999988</v>
      </c>
      <c r="J42" s="5">
        <f t="shared" ref="J42:J47" si="32">R42</f>
        <v>0.84745999999999999</v>
      </c>
      <c r="K42" s="8"/>
      <c r="L42" s="8"/>
      <c r="M42" s="8"/>
      <c r="N42" s="8"/>
      <c r="O42" s="8"/>
      <c r="P42" s="8"/>
      <c r="Q42" s="8"/>
      <c r="R42" s="5">
        <v>0.84745999999999999</v>
      </c>
      <c r="S42" s="267"/>
      <c r="T42" s="267"/>
      <c r="U42" s="267"/>
      <c r="V42" s="267"/>
      <c r="W42" s="267"/>
      <c r="X42" s="5">
        <f t="shared" ref="X42:X47" si="33">SUM(R42:W42)</f>
        <v>0.84745999999999999</v>
      </c>
      <c r="Y42" s="302"/>
      <c r="Z42" s="5"/>
      <c r="AA42" s="94"/>
      <c r="AB42" s="311">
        <f t="shared" si="17"/>
        <v>0</v>
      </c>
      <c r="AC42" s="296">
        <v>0.9899</v>
      </c>
      <c r="AD42" s="113"/>
      <c r="AE42" s="5">
        <f t="shared" si="18"/>
        <v>0</v>
      </c>
      <c r="AF42" s="5">
        <f>H42</f>
        <v>1.8373599999999999</v>
      </c>
      <c r="AG42" s="275"/>
      <c r="AH42" s="275"/>
      <c r="AI42" s="275"/>
      <c r="AJ42" s="275"/>
      <c r="AK42" s="276"/>
      <c r="AL42" s="94">
        <f t="shared" si="19"/>
        <v>1.8373599999999999</v>
      </c>
      <c r="AM42" s="122"/>
      <c r="AN42" s="280"/>
      <c r="AO42" s="122"/>
      <c r="AP42" s="281"/>
      <c r="AQ42" s="122"/>
      <c r="AR42" s="281"/>
      <c r="AS42" s="122"/>
      <c r="AT42" s="281"/>
      <c r="AU42" s="122"/>
      <c r="AV42" s="281"/>
      <c r="AW42" s="122"/>
      <c r="AX42" s="281"/>
      <c r="AY42" s="111">
        <f t="shared" si="9"/>
        <v>0</v>
      </c>
      <c r="AZ42" s="178">
        <f t="shared" si="10"/>
        <v>0</v>
      </c>
      <c r="BF42" s="5">
        <v>0.84745999999999999</v>
      </c>
      <c r="BG42" s="5"/>
      <c r="BH42" s="5"/>
      <c r="BI42" s="5"/>
      <c r="BJ42" s="5"/>
      <c r="BK42" s="5"/>
      <c r="BL42" s="5">
        <f t="shared" ref="BL42:BL47" si="34">SUM(BF42:BK42)</f>
        <v>0.84745999999999999</v>
      </c>
    </row>
    <row r="43" spans="1:64" s="2" customFormat="1" ht="25.5" outlineLevel="1" x14ac:dyDescent="0.2">
      <c r="A43" s="592" t="s">
        <v>1799</v>
      </c>
      <c r="B43" s="603" t="s">
        <v>156</v>
      </c>
      <c r="C43" s="290" t="s">
        <v>1798</v>
      </c>
      <c r="D43" s="8"/>
      <c r="E43" s="23" t="s">
        <v>212</v>
      </c>
      <c r="F43" s="8">
        <v>2014</v>
      </c>
      <c r="G43" s="8">
        <v>2014</v>
      </c>
      <c r="H43" s="5">
        <v>0.33</v>
      </c>
      <c r="I43" s="5">
        <v>0.33</v>
      </c>
      <c r="J43" s="5">
        <f t="shared" si="32"/>
        <v>0.33</v>
      </c>
      <c r="K43" s="8"/>
      <c r="L43" s="8"/>
      <c r="M43" s="5"/>
      <c r="N43" s="5"/>
      <c r="O43" s="8"/>
      <c r="P43" s="8"/>
      <c r="Q43" s="8"/>
      <c r="R43" s="5">
        <v>0.33</v>
      </c>
      <c r="S43" s="267"/>
      <c r="T43" s="267"/>
      <c r="U43" s="267"/>
      <c r="V43" s="267"/>
      <c r="W43" s="267"/>
      <c r="X43" s="5">
        <f t="shared" si="33"/>
        <v>0.33</v>
      </c>
      <c r="Y43" s="302"/>
      <c r="Z43" s="5"/>
      <c r="AA43" s="94"/>
      <c r="AB43" s="311">
        <f t="shared" si="17"/>
        <v>0</v>
      </c>
      <c r="AC43" s="296"/>
      <c r="AD43" s="113"/>
      <c r="AE43" s="5">
        <f t="shared" si="18"/>
        <v>0</v>
      </c>
      <c r="AF43" s="5">
        <f>H43</f>
        <v>0.33</v>
      </c>
      <c r="AG43" s="5"/>
      <c r="AH43" s="5"/>
      <c r="AI43" s="5"/>
      <c r="AJ43" s="5"/>
      <c r="AK43" s="94"/>
      <c r="AL43" s="94">
        <f t="shared" si="19"/>
        <v>0.33</v>
      </c>
      <c r="AM43" s="122"/>
      <c r="AN43" s="180"/>
      <c r="AO43" s="122"/>
      <c r="AP43" s="184"/>
      <c r="AQ43" s="122"/>
      <c r="AR43" s="184"/>
      <c r="AS43" s="122"/>
      <c r="AT43" s="184"/>
      <c r="AU43" s="122"/>
      <c r="AV43" s="184"/>
      <c r="AW43" s="122"/>
      <c r="AX43" s="184"/>
      <c r="AY43" s="111">
        <f t="shared" si="9"/>
        <v>0</v>
      </c>
      <c r="AZ43" s="178">
        <f t="shared" si="10"/>
        <v>0</v>
      </c>
      <c r="BA43" s="64"/>
      <c r="BB43" s="64"/>
      <c r="BF43" s="5">
        <v>0.5</v>
      </c>
      <c r="BG43" s="5"/>
      <c r="BH43" s="5"/>
      <c r="BI43" s="5"/>
      <c r="BJ43" s="5"/>
      <c r="BK43" s="5"/>
      <c r="BL43" s="5">
        <f t="shared" si="34"/>
        <v>0.5</v>
      </c>
    </row>
    <row r="44" spans="1:64" s="2" customFormat="1" ht="25.5" outlineLevel="1" x14ac:dyDescent="0.2">
      <c r="A44" s="592" t="s">
        <v>1800</v>
      </c>
      <c r="B44" s="603" t="s">
        <v>157</v>
      </c>
      <c r="C44" s="611" t="s">
        <v>1801</v>
      </c>
      <c r="D44" s="8"/>
      <c r="E44" s="23" t="s">
        <v>212</v>
      </c>
      <c r="F44" s="8">
        <v>2014</v>
      </c>
      <c r="G44" s="8">
        <v>2014</v>
      </c>
      <c r="H44" s="5">
        <f>1.65+0.143+0.095</f>
        <v>1.8879999999999999</v>
      </c>
      <c r="I44" s="5">
        <v>1.8879999999999999</v>
      </c>
      <c r="J44" s="5">
        <f t="shared" si="32"/>
        <v>1.8879999999999999</v>
      </c>
      <c r="K44" s="8"/>
      <c r="L44" s="8"/>
      <c r="M44" s="5"/>
      <c r="N44" s="5"/>
      <c r="O44" s="8"/>
      <c r="P44" s="8"/>
      <c r="Q44" s="8"/>
      <c r="R44" s="5">
        <v>1.8879999999999999</v>
      </c>
      <c r="S44" s="267"/>
      <c r="T44" s="267"/>
      <c r="U44" s="267"/>
      <c r="V44" s="267"/>
      <c r="W44" s="267"/>
      <c r="X44" s="5">
        <f t="shared" si="33"/>
        <v>1.8879999999999999</v>
      </c>
      <c r="Y44" s="302"/>
      <c r="Z44" s="5"/>
      <c r="AA44" s="94"/>
      <c r="AB44" s="311">
        <f t="shared" si="17"/>
        <v>0</v>
      </c>
      <c r="AC44" s="296"/>
      <c r="AD44" s="113"/>
      <c r="AE44" s="5">
        <f t="shared" si="18"/>
        <v>0</v>
      </c>
      <c r="AF44" s="5">
        <f>H44</f>
        <v>1.8879999999999999</v>
      </c>
      <c r="AG44" s="5"/>
      <c r="AH44" s="5"/>
      <c r="AI44" s="5"/>
      <c r="AJ44" s="5"/>
      <c r="AK44" s="94"/>
      <c r="AL44" s="94">
        <f t="shared" si="19"/>
        <v>1.8879999999999999</v>
      </c>
      <c r="AM44" s="122"/>
      <c r="AN44" s="180"/>
      <c r="AO44" s="122"/>
      <c r="AP44" s="184"/>
      <c r="AQ44" s="122"/>
      <c r="AR44" s="184"/>
      <c r="AS44" s="122"/>
      <c r="AT44" s="184"/>
      <c r="AU44" s="122"/>
      <c r="AV44" s="184"/>
      <c r="AW44" s="122"/>
      <c r="AX44" s="184"/>
      <c r="AY44" s="111">
        <f t="shared" si="9"/>
        <v>0</v>
      </c>
      <c r="AZ44" s="178">
        <f t="shared" si="10"/>
        <v>0</v>
      </c>
      <c r="BA44" s="64"/>
      <c r="BB44" s="64"/>
      <c r="BF44" s="5">
        <v>1.65</v>
      </c>
      <c r="BG44" s="5"/>
      <c r="BH44" s="5"/>
      <c r="BI44" s="5"/>
      <c r="BJ44" s="5"/>
      <c r="BK44" s="5"/>
      <c r="BL44" s="5">
        <f t="shared" si="34"/>
        <v>1.65</v>
      </c>
    </row>
    <row r="45" spans="1:64" s="11" customFormat="1" ht="39.75" customHeight="1" outlineLevel="1" x14ac:dyDescent="0.2">
      <c r="A45" s="6" t="s">
        <v>158</v>
      </c>
      <c r="B45" s="603" t="s">
        <v>158</v>
      </c>
      <c r="C45" s="7" t="s">
        <v>1506</v>
      </c>
      <c r="D45" s="8"/>
      <c r="E45" s="23" t="s">
        <v>212</v>
      </c>
      <c r="F45" s="8">
        <v>2017</v>
      </c>
      <c r="G45" s="8">
        <f>2017</f>
        <v>2017</v>
      </c>
      <c r="H45" s="5">
        <v>0.59</v>
      </c>
      <c r="I45" s="289">
        <v>0.59</v>
      </c>
      <c r="J45" s="5">
        <f t="shared" si="32"/>
        <v>0</v>
      </c>
      <c r="K45" s="8"/>
      <c r="L45" s="8"/>
      <c r="M45" s="8"/>
      <c r="N45" s="8"/>
      <c r="O45" s="8"/>
      <c r="P45" s="8"/>
      <c r="Q45" s="8"/>
      <c r="R45" s="5"/>
      <c r="S45" s="267"/>
      <c r="T45" s="267"/>
      <c r="U45" s="267">
        <v>0.59</v>
      </c>
      <c r="V45" s="267"/>
      <c r="W45" s="267"/>
      <c r="X45" s="5">
        <f t="shared" si="33"/>
        <v>0.59</v>
      </c>
      <c r="Y45" s="302"/>
      <c r="Z45" s="5"/>
      <c r="AA45" s="94"/>
      <c r="AB45" s="311">
        <f t="shared" si="17"/>
        <v>0</v>
      </c>
      <c r="AC45" s="296"/>
      <c r="AD45" s="113"/>
      <c r="AE45" s="5">
        <f t="shared" si="18"/>
        <v>0</v>
      </c>
      <c r="AF45" s="275"/>
      <c r="AG45" s="275"/>
      <c r="AH45" s="275"/>
      <c r="AI45" s="5">
        <f>H45</f>
        <v>0.59</v>
      </c>
      <c r="AJ45" s="275"/>
      <c r="AK45" s="276"/>
      <c r="AL45" s="94">
        <f t="shared" si="19"/>
        <v>0.59</v>
      </c>
      <c r="AM45" s="122"/>
      <c r="AN45" s="280"/>
      <c r="AO45" s="122"/>
      <c r="AP45" s="281"/>
      <c r="AQ45" s="122"/>
      <c r="AR45" s="281"/>
      <c r="AS45" s="122"/>
      <c r="AT45" s="281"/>
      <c r="AU45" s="122"/>
      <c r="AV45" s="281"/>
      <c r="AW45" s="122"/>
      <c r="AX45" s="281"/>
      <c r="AY45" s="111">
        <f t="shared" si="9"/>
        <v>0</v>
      </c>
      <c r="AZ45" s="178">
        <f t="shared" si="10"/>
        <v>0</v>
      </c>
      <c r="BF45" s="5"/>
      <c r="BG45" s="5"/>
      <c r="BH45" s="5"/>
      <c r="BI45" s="5">
        <v>0.59</v>
      </c>
      <c r="BJ45" s="5"/>
      <c r="BK45" s="5"/>
      <c r="BL45" s="5">
        <f t="shared" si="34"/>
        <v>0.59</v>
      </c>
    </row>
    <row r="46" spans="1:64" s="2" customFormat="1" ht="25.5" outlineLevel="1" x14ac:dyDescent="0.2">
      <c r="A46" s="6" t="s">
        <v>159</v>
      </c>
      <c r="B46" s="603" t="s">
        <v>159</v>
      </c>
      <c r="C46" s="290" t="s">
        <v>2523</v>
      </c>
      <c r="D46" s="8"/>
      <c r="E46" s="23" t="s">
        <v>212</v>
      </c>
      <c r="F46" s="8">
        <v>2018</v>
      </c>
      <c r="G46" s="8">
        <v>2019</v>
      </c>
      <c r="H46" s="5">
        <v>0.9</v>
      </c>
      <c r="I46" s="5">
        <v>0.9</v>
      </c>
      <c r="J46" s="5">
        <f t="shared" si="32"/>
        <v>0</v>
      </c>
      <c r="K46" s="8"/>
      <c r="L46" s="8"/>
      <c r="M46" s="5"/>
      <c r="N46" s="5" t="s">
        <v>2386</v>
      </c>
      <c r="O46" s="8"/>
      <c r="P46" s="8"/>
      <c r="Q46" s="8"/>
      <c r="R46" s="5"/>
      <c r="S46" s="267"/>
      <c r="T46" s="267"/>
      <c r="U46" s="267"/>
      <c r="V46" s="267">
        <v>0.45</v>
      </c>
      <c r="W46" s="267">
        <v>0.45</v>
      </c>
      <c r="X46" s="5">
        <f t="shared" si="33"/>
        <v>0.9</v>
      </c>
      <c r="Y46" s="302"/>
      <c r="Z46" s="5"/>
      <c r="AA46" s="94"/>
      <c r="AB46" s="311">
        <f t="shared" si="17"/>
        <v>0</v>
      </c>
      <c r="AC46" s="296"/>
      <c r="AD46" s="113"/>
      <c r="AE46" s="5">
        <f t="shared" si="18"/>
        <v>0</v>
      </c>
      <c r="AF46" s="5"/>
      <c r="AG46" s="5"/>
      <c r="AH46" s="5"/>
      <c r="AI46" s="5"/>
      <c r="AJ46" s="5"/>
      <c r="AK46" s="94">
        <f>H46</f>
        <v>0.9</v>
      </c>
      <c r="AL46" s="94">
        <f t="shared" si="19"/>
        <v>0.9</v>
      </c>
      <c r="AM46" s="122"/>
      <c r="AN46" s="180"/>
      <c r="AO46" s="122"/>
      <c r="AP46" s="184"/>
      <c r="AQ46" s="122"/>
      <c r="AR46" s="184"/>
      <c r="AS46" s="122"/>
      <c r="AT46" s="184"/>
      <c r="AU46" s="122"/>
      <c r="AV46" s="184"/>
      <c r="AW46" s="122"/>
      <c r="AX46" s="184"/>
      <c r="AY46" s="111">
        <f t="shared" si="9"/>
        <v>0</v>
      </c>
      <c r="AZ46" s="178">
        <f t="shared" si="10"/>
        <v>0</v>
      </c>
      <c r="BA46" s="64"/>
      <c r="BB46" s="64"/>
      <c r="BF46" s="5"/>
      <c r="BG46" s="5"/>
      <c r="BH46" s="5"/>
      <c r="BI46" s="5"/>
      <c r="BJ46" s="5">
        <v>0.45</v>
      </c>
      <c r="BK46" s="5">
        <v>0.45</v>
      </c>
      <c r="BL46" s="5">
        <f t="shared" si="34"/>
        <v>0.9</v>
      </c>
    </row>
    <row r="47" spans="1:64" s="2" customFormat="1" ht="26.25" outlineLevel="1" thickBot="1" x14ac:dyDescent="0.25">
      <c r="A47" s="6" t="s">
        <v>946</v>
      </c>
      <c r="B47" s="603" t="s">
        <v>946</v>
      </c>
      <c r="C47" s="290" t="s">
        <v>2524</v>
      </c>
      <c r="D47" s="8"/>
      <c r="E47" s="23" t="s">
        <v>212</v>
      </c>
      <c r="F47" s="8">
        <v>2018</v>
      </c>
      <c r="G47" s="8">
        <v>2018</v>
      </c>
      <c r="H47" s="5">
        <v>0.8</v>
      </c>
      <c r="I47" s="5">
        <v>0.8</v>
      </c>
      <c r="J47" s="5">
        <f t="shared" si="32"/>
        <v>0</v>
      </c>
      <c r="K47" s="8"/>
      <c r="L47" s="8"/>
      <c r="M47" s="5"/>
      <c r="N47" s="5"/>
      <c r="O47" s="8"/>
      <c r="P47" s="8"/>
      <c r="Q47" s="8"/>
      <c r="R47" s="5"/>
      <c r="S47" s="267"/>
      <c r="T47" s="267"/>
      <c r="U47" s="267"/>
      <c r="V47" s="267">
        <v>0.8</v>
      </c>
      <c r="W47" s="267"/>
      <c r="X47" s="5">
        <f t="shared" si="33"/>
        <v>0.8</v>
      </c>
      <c r="Y47" s="302"/>
      <c r="Z47" s="5"/>
      <c r="AA47" s="94"/>
      <c r="AB47" s="311">
        <f t="shared" si="17"/>
        <v>0</v>
      </c>
      <c r="AC47" s="296"/>
      <c r="AD47" s="113"/>
      <c r="AE47" s="5">
        <f t="shared" si="18"/>
        <v>0</v>
      </c>
      <c r="AF47" s="5"/>
      <c r="AG47" s="5"/>
      <c r="AH47" s="5"/>
      <c r="AI47" s="5"/>
      <c r="AJ47" s="5">
        <f>H47</f>
        <v>0.8</v>
      </c>
      <c r="AK47" s="94"/>
      <c r="AL47" s="94">
        <f t="shared" si="19"/>
        <v>0.8</v>
      </c>
      <c r="AM47" s="122"/>
      <c r="AN47" s="180"/>
      <c r="AO47" s="122"/>
      <c r="AP47" s="184"/>
      <c r="AQ47" s="122"/>
      <c r="AR47" s="184"/>
      <c r="AS47" s="122"/>
      <c r="AT47" s="184"/>
      <c r="AU47" s="122"/>
      <c r="AV47" s="184"/>
      <c r="AW47" s="122"/>
      <c r="AX47" s="184"/>
      <c r="AY47" s="282">
        <f t="shared" si="9"/>
        <v>0</v>
      </c>
      <c r="AZ47" s="283">
        <f t="shared" si="10"/>
        <v>0</v>
      </c>
      <c r="BA47" s="64"/>
      <c r="BB47" s="64"/>
      <c r="BF47" s="5"/>
      <c r="BG47" s="5"/>
      <c r="BH47" s="5"/>
      <c r="BI47" s="5"/>
      <c r="BJ47" s="5">
        <v>0.8</v>
      </c>
      <c r="BK47" s="5"/>
      <c r="BL47" s="5">
        <f t="shared" si="34"/>
        <v>0.8</v>
      </c>
    </row>
    <row r="48" spans="1:64" s="42" customFormat="1" ht="26.25" thickBot="1" x14ac:dyDescent="0.25">
      <c r="A48" s="39"/>
      <c r="B48" s="39" t="s">
        <v>160</v>
      </c>
      <c r="C48" s="43" t="s">
        <v>161</v>
      </c>
      <c r="D48" s="102"/>
      <c r="E48" s="102"/>
      <c r="F48" s="104"/>
      <c r="G48" s="104"/>
      <c r="H48" s="41">
        <f>H49+H90+H91+H95+H106</f>
        <v>378.05055000000004</v>
      </c>
      <c r="I48" s="41">
        <f>I49+I90+I91+I95+I106</f>
        <v>317.19455000000005</v>
      </c>
      <c r="J48" s="41">
        <f>J49+J90+J91+J95+J106</f>
        <v>30.207949999999997</v>
      </c>
      <c r="K48" s="41" t="s">
        <v>2576</v>
      </c>
      <c r="L48" s="41" t="s">
        <v>1932</v>
      </c>
      <c r="M48" s="41" t="s">
        <v>1933</v>
      </c>
      <c r="N48" s="41" t="s">
        <v>2405</v>
      </c>
      <c r="O48" s="41" t="s">
        <v>2391</v>
      </c>
      <c r="P48" s="41" t="s">
        <v>1937</v>
      </c>
      <c r="Q48" s="41" t="s">
        <v>2577</v>
      </c>
      <c r="R48" s="41">
        <f t="shared" ref="R48:AX48" si="35">R49+R90+R91+R95+R106</f>
        <v>30.207949999999997</v>
      </c>
      <c r="S48" s="41">
        <f t="shared" si="35"/>
        <v>61.587300000000006</v>
      </c>
      <c r="T48" s="41">
        <f t="shared" si="35"/>
        <v>111.04580000000001</v>
      </c>
      <c r="U48" s="41">
        <f t="shared" si="35"/>
        <v>89.931499999999986</v>
      </c>
      <c r="V48" s="41">
        <f t="shared" si="35"/>
        <v>2.7199999999999998</v>
      </c>
      <c r="W48" s="41">
        <f t="shared" si="35"/>
        <v>21.701999999999998</v>
      </c>
      <c r="X48" s="41">
        <f t="shared" si="35"/>
        <v>317.19455000000005</v>
      </c>
      <c r="Y48" s="129"/>
      <c r="Z48" s="41"/>
      <c r="AA48" s="110"/>
      <c r="AB48" s="309">
        <f t="shared" si="17"/>
        <v>0</v>
      </c>
      <c r="AC48" s="299">
        <f t="shared" si="35"/>
        <v>68.247799999999998</v>
      </c>
      <c r="AD48" s="227">
        <f t="shared" si="35"/>
        <v>1.0579999999999998</v>
      </c>
      <c r="AE48" s="41">
        <f t="shared" si="35"/>
        <v>-7.3917999999999981</v>
      </c>
      <c r="AF48" s="41">
        <f t="shared" si="35"/>
        <v>70.523949999999999</v>
      </c>
      <c r="AG48" s="41">
        <f t="shared" si="35"/>
        <v>11.419</v>
      </c>
      <c r="AH48" s="41">
        <f t="shared" si="35"/>
        <v>128.28530000000001</v>
      </c>
      <c r="AI48" s="41">
        <f t="shared" si="35"/>
        <v>100.3379</v>
      </c>
      <c r="AJ48" s="41">
        <f t="shared" si="35"/>
        <v>44.471200000000003</v>
      </c>
      <c r="AK48" s="110">
        <f t="shared" si="35"/>
        <v>22.922000000000001</v>
      </c>
      <c r="AL48" s="110">
        <f t="shared" si="35"/>
        <v>377.95935000000003</v>
      </c>
      <c r="AM48" s="188">
        <f t="shared" si="35"/>
        <v>1.3199999999999998</v>
      </c>
      <c r="AN48" s="190">
        <f t="shared" si="35"/>
        <v>2.8</v>
      </c>
      <c r="AO48" s="188">
        <f t="shared" si="35"/>
        <v>1.4450000000000001</v>
      </c>
      <c r="AP48" s="189">
        <f t="shared" si="35"/>
        <v>0.63</v>
      </c>
      <c r="AQ48" s="188">
        <f t="shared" si="35"/>
        <v>15.615</v>
      </c>
      <c r="AR48" s="189">
        <f t="shared" si="35"/>
        <v>12</v>
      </c>
      <c r="AS48" s="188">
        <f t="shared" si="35"/>
        <v>10.28</v>
      </c>
      <c r="AT48" s="189">
        <f t="shared" si="35"/>
        <v>1.6600000000000001</v>
      </c>
      <c r="AU48" s="188">
        <f t="shared" si="35"/>
        <v>5.0200000000000005</v>
      </c>
      <c r="AV48" s="189">
        <f t="shared" si="35"/>
        <v>0</v>
      </c>
      <c r="AW48" s="188">
        <f t="shared" si="35"/>
        <v>0.5</v>
      </c>
      <c r="AX48" s="189">
        <f t="shared" si="35"/>
        <v>0.63</v>
      </c>
      <c r="AY48" s="193">
        <f t="shared" si="9"/>
        <v>34.18</v>
      </c>
      <c r="AZ48" s="194">
        <f t="shared" si="10"/>
        <v>17.72</v>
      </c>
      <c r="BF48" s="41">
        <f t="shared" ref="BF48:BL48" si="36">BF49+BF90+BF91+BF95+BF106</f>
        <v>113.00779999999999</v>
      </c>
      <c r="BG48" s="41">
        <f t="shared" si="36"/>
        <v>65.153400000000005</v>
      </c>
      <c r="BH48" s="41">
        <f t="shared" si="36"/>
        <v>111.43549999999999</v>
      </c>
      <c r="BI48" s="41">
        <f t="shared" si="36"/>
        <v>83.468999999999994</v>
      </c>
      <c r="BJ48" s="41">
        <f t="shared" si="36"/>
        <v>48.360000000000007</v>
      </c>
      <c r="BK48" s="41">
        <f t="shared" si="36"/>
        <v>150.25</v>
      </c>
      <c r="BL48" s="41">
        <f t="shared" si="36"/>
        <v>571.67569999999989</v>
      </c>
    </row>
    <row r="49" spans="1:64" s="2" customFormat="1" ht="25.5" x14ac:dyDescent="0.2">
      <c r="A49" s="28"/>
      <c r="B49" s="28" t="s">
        <v>162</v>
      </c>
      <c r="C49" s="29" t="s">
        <v>132</v>
      </c>
      <c r="D49" s="30"/>
      <c r="E49" s="30"/>
      <c r="F49" s="30"/>
      <c r="G49" s="30"/>
      <c r="H49" s="31">
        <f>H50+H78+H83+H89</f>
        <v>252.84180000000001</v>
      </c>
      <c r="I49" s="31">
        <f>I50+I78+I83+I89</f>
        <v>203.3451</v>
      </c>
      <c r="J49" s="31">
        <f>J50+J78+J83+J89</f>
        <v>9.1789999999999985</v>
      </c>
      <c r="K49" s="31"/>
      <c r="L49" s="31"/>
      <c r="M49" s="31"/>
      <c r="N49" s="31"/>
      <c r="O49" s="31"/>
      <c r="P49" s="31"/>
      <c r="Q49" s="31"/>
      <c r="R49" s="31">
        <f t="shared" ref="R49:AX49" si="37">R50+R78+R83+R89</f>
        <v>9.1789999999999985</v>
      </c>
      <c r="S49" s="31">
        <f t="shared" si="37"/>
        <v>19.177300000000002</v>
      </c>
      <c r="T49" s="31">
        <f t="shared" si="37"/>
        <v>77.405300000000011</v>
      </c>
      <c r="U49" s="31">
        <f t="shared" si="37"/>
        <v>88.791499999999985</v>
      </c>
      <c r="V49" s="31">
        <f t="shared" si="37"/>
        <v>1.22</v>
      </c>
      <c r="W49" s="31">
        <f t="shared" si="37"/>
        <v>7.5720000000000001</v>
      </c>
      <c r="X49" s="31">
        <f t="shared" si="37"/>
        <v>203.3451</v>
      </c>
      <c r="Y49" s="132"/>
      <c r="Z49" s="31"/>
      <c r="AA49" s="95"/>
      <c r="AB49" s="310">
        <f t="shared" si="17"/>
        <v>0</v>
      </c>
      <c r="AC49" s="300">
        <f t="shared" si="37"/>
        <v>56.888300000000001</v>
      </c>
      <c r="AD49" s="228">
        <f t="shared" si="37"/>
        <v>0.82299999999999984</v>
      </c>
      <c r="AE49" s="31">
        <f t="shared" si="37"/>
        <v>-7.3915999999999986</v>
      </c>
      <c r="AF49" s="31">
        <f t="shared" si="37"/>
        <v>50.295200000000001</v>
      </c>
      <c r="AG49" s="31">
        <f t="shared" si="37"/>
        <v>7.5690000000000008</v>
      </c>
      <c r="AH49" s="31">
        <f t="shared" si="37"/>
        <v>43.9253</v>
      </c>
      <c r="AI49" s="31">
        <f t="shared" si="37"/>
        <v>99.197900000000004</v>
      </c>
      <c r="AJ49" s="31">
        <f t="shared" si="37"/>
        <v>42.971200000000003</v>
      </c>
      <c r="AK49" s="95">
        <f t="shared" si="37"/>
        <v>8.7919999999999998</v>
      </c>
      <c r="AL49" s="95">
        <f t="shared" si="37"/>
        <v>252.75060000000002</v>
      </c>
      <c r="AM49" s="85">
        <f t="shared" si="37"/>
        <v>1.3199999999999998</v>
      </c>
      <c r="AN49" s="179">
        <f t="shared" si="37"/>
        <v>2.8</v>
      </c>
      <c r="AO49" s="85">
        <f t="shared" si="37"/>
        <v>1.4450000000000001</v>
      </c>
      <c r="AP49" s="183">
        <f t="shared" si="37"/>
        <v>0.63</v>
      </c>
      <c r="AQ49" s="85">
        <f t="shared" si="37"/>
        <v>8.0150000000000006</v>
      </c>
      <c r="AR49" s="183">
        <f t="shared" si="37"/>
        <v>0</v>
      </c>
      <c r="AS49" s="85">
        <f t="shared" si="37"/>
        <v>10.28</v>
      </c>
      <c r="AT49" s="183">
        <f t="shared" si="37"/>
        <v>1.6600000000000001</v>
      </c>
      <c r="AU49" s="85">
        <f t="shared" si="37"/>
        <v>5.0200000000000005</v>
      </c>
      <c r="AV49" s="183">
        <f t="shared" si="37"/>
        <v>0</v>
      </c>
      <c r="AW49" s="85">
        <f t="shared" si="37"/>
        <v>0.5</v>
      </c>
      <c r="AX49" s="183">
        <f t="shared" si="37"/>
        <v>0.63</v>
      </c>
      <c r="AY49" s="191">
        <f t="shared" si="9"/>
        <v>26.580000000000002</v>
      </c>
      <c r="AZ49" s="192">
        <f t="shared" si="10"/>
        <v>5.72</v>
      </c>
      <c r="BF49" s="31">
        <f t="shared" ref="BF49:BL49" si="38">BF50+BF78+BF83+BF89</f>
        <v>9.7238000000000007</v>
      </c>
      <c r="BG49" s="31">
        <f t="shared" si="38"/>
        <v>26.592399999999998</v>
      </c>
      <c r="BH49" s="31">
        <f t="shared" si="38"/>
        <v>74.686499999999995</v>
      </c>
      <c r="BI49" s="31">
        <f t="shared" si="38"/>
        <v>81.968999999999994</v>
      </c>
      <c r="BJ49" s="31">
        <f t="shared" si="38"/>
        <v>46.860000000000007</v>
      </c>
      <c r="BK49" s="31">
        <f t="shared" si="38"/>
        <v>140.52000000000001</v>
      </c>
      <c r="BL49" s="31">
        <f t="shared" si="38"/>
        <v>380.35169999999999</v>
      </c>
    </row>
    <row r="50" spans="1:64" s="2" customFormat="1" ht="15.75" x14ac:dyDescent="0.2">
      <c r="A50" s="28"/>
      <c r="B50" s="28" t="s">
        <v>163</v>
      </c>
      <c r="C50" s="29" t="s">
        <v>134</v>
      </c>
      <c r="D50" s="30"/>
      <c r="E50" s="30"/>
      <c r="F50" s="30"/>
      <c r="G50" s="30"/>
      <c r="H50" s="31">
        <f>SUM(H51:H77)</f>
        <v>191.11780000000002</v>
      </c>
      <c r="I50" s="31">
        <f>SUM(I51:I77)</f>
        <v>173.67789999999999</v>
      </c>
      <c r="J50" s="31">
        <f>SUM(J51:J77)</f>
        <v>8.0367999999999995</v>
      </c>
      <c r="K50" s="31"/>
      <c r="L50" s="31"/>
      <c r="M50" s="31"/>
      <c r="N50" s="31"/>
      <c r="O50" s="31"/>
      <c r="P50" s="31"/>
      <c r="Q50" s="31"/>
      <c r="R50" s="31">
        <f>SUM(R51:R77)</f>
        <v>8.0367999999999995</v>
      </c>
      <c r="S50" s="31">
        <f t="shared" ref="S50:AX50" si="39">SUM(S51:S77)</f>
        <v>16.3902</v>
      </c>
      <c r="T50" s="31">
        <f t="shared" si="39"/>
        <v>76.488500000000016</v>
      </c>
      <c r="U50" s="31">
        <f t="shared" si="39"/>
        <v>71.296699999999987</v>
      </c>
      <c r="V50" s="31">
        <f t="shared" si="39"/>
        <v>0.59</v>
      </c>
      <c r="W50" s="31">
        <f t="shared" si="39"/>
        <v>0.87570000000000003</v>
      </c>
      <c r="X50" s="31">
        <f t="shared" si="39"/>
        <v>173.67789999999999</v>
      </c>
      <c r="Y50" s="132"/>
      <c r="Z50" s="31"/>
      <c r="AA50" s="95"/>
      <c r="AB50" s="310">
        <f t="shared" si="17"/>
        <v>0</v>
      </c>
      <c r="AC50" s="300">
        <f t="shared" si="39"/>
        <v>24.904499999999999</v>
      </c>
      <c r="AD50" s="228">
        <f t="shared" si="39"/>
        <v>0.79949999999999988</v>
      </c>
      <c r="AE50" s="31">
        <f t="shared" si="39"/>
        <v>-7.4645999999999999</v>
      </c>
      <c r="AF50" s="31">
        <f t="shared" si="39"/>
        <v>18.605</v>
      </c>
      <c r="AG50" s="31">
        <f t="shared" si="39"/>
        <v>4.0890000000000004</v>
      </c>
      <c r="AH50" s="31">
        <f t="shared" si="39"/>
        <v>43.513800000000003</v>
      </c>
      <c r="AI50" s="31">
        <f t="shared" si="39"/>
        <v>80.473100000000002</v>
      </c>
      <c r="AJ50" s="31">
        <f t="shared" si="39"/>
        <v>42.971200000000003</v>
      </c>
      <c r="AK50" s="95">
        <f t="shared" si="39"/>
        <v>1.4657</v>
      </c>
      <c r="AL50" s="95">
        <f t="shared" si="39"/>
        <v>191.11780000000002</v>
      </c>
      <c r="AM50" s="85">
        <f t="shared" si="39"/>
        <v>1.3199999999999998</v>
      </c>
      <c r="AN50" s="179">
        <f t="shared" si="39"/>
        <v>0.8</v>
      </c>
      <c r="AO50" s="85">
        <f t="shared" si="39"/>
        <v>1.23</v>
      </c>
      <c r="AP50" s="183">
        <f t="shared" si="39"/>
        <v>0</v>
      </c>
      <c r="AQ50" s="85">
        <f t="shared" si="39"/>
        <v>7.9</v>
      </c>
      <c r="AR50" s="183">
        <f t="shared" si="39"/>
        <v>0</v>
      </c>
      <c r="AS50" s="85">
        <f t="shared" si="39"/>
        <v>9.58</v>
      </c>
      <c r="AT50" s="183">
        <f t="shared" si="39"/>
        <v>0</v>
      </c>
      <c r="AU50" s="85">
        <f t="shared" si="39"/>
        <v>5.0200000000000005</v>
      </c>
      <c r="AV50" s="183">
        <f t="shared" si="39"/>
        <v>0</v>
      </c>
      <c r="AW50" s="85">
        <f t="shared" si="39"/>
        <v>0.5</v>
      </c>
      <c r="AX50" s="183">
        <f t="shared" si="39"/>
        <v>0</v>
      </c>
      <c r="AY50" s="188">
        <f t="shared" si="9"/>
        <v>25.55</v>
      </c>
      <c r="AZ50" s="190">
        <f t="shared" si="10"/>
        <v>0.8</v>
      </c>
      <c r="BF50" s="31">
        <f t="shared" ref="BF50:BL50" si="40">SUM(BF51:BF77)</f>
        <v>8.5815999999999999</v>
      </c>
      <c r="BG50" s="31">
        <f t="shared" si="40"/>
        <v>17.808599999999998</v>
      </c>
      <c r="BH50" s="31">
        <f t="shared" si="40"/>
        <v>73.756640000000004</v>
      </c>
      <c r="BI50" s="31">
        <f t="shared" si="40"/>
        <v>64.698999999999998</v>
      </c>
      <c r="BJ50" s="31">
        <f t="shared" si="40"/>
        <v>46.230000000000004</v>
      </c>
      <c r="BK50" s="31">
        <f t="shared" si="40"/>
        <v>131.9</v>
      </c>
      <c r="BL50" s="31">
        <f t="shared" si="40"/>
        <v>342.97584000000001</v>
      </c>
    </row>
    <row r="51" spans="1:64" s="2" customFormat="1" ht="27" customHeight="1" outlineLevel="1" x14ac:dyDescent="0.2">
      <c r="A51" s="592" t="s">
        <v>2510</v>
      </c>
      <c r="B51" s="603" t="s">
        <v>164</v>
      </c>
      <c r="C51" s="7" t="s">
        <v>2509</v>
      </c>
      <c r="D51" s="8" t="s">
        <v>136</v>
      </c>
      <c r="E51" s="8" t="s">
        <v>1907</v>
      </c>
      <c r="F51" s="8">
        <v>2014</v>
      </c>
      <c r="G51" s="8">
        <v>2015</v>
      </c>
      <c r="H51" s="5">
        <v>1.758</v>
      </c>
      <c r="I51" s="267">
        <v>1.6043000000000001</v>
      </c>
      <c r="J51" s="5">
        <f>R51</f>
        <v>3.5799999999999998E-2</v>
      </c>
      <c r="K51" s="8"/>
      <c r="L51" s="8" t="s">
        <v>1907</v>
      </c>
      <c r="M51" s="8"/>
      <c r="N51" s="8"/>
      <c r="O51" s="8"/>
      <c r="P51" s="8"/>
      <c r="Q51" s="8" t="s">
        <v>1907</v>
      </c>
      <c r="R51" s="5">
        <v>3.5799999999999998E-2</v>
      </c>
      <c r="S51" s="267">
        <v>1.5685</v>
      </c>
      <c r="T51" s="267"/>
      <c r="U51" s="267"/>
      <c r="V51" s="267"/>
      <c r="W51" s="267"/>
      <c r="X51" s="5">
        <f>SUM(R51:W51)</f>
        <v>1.6043000000000001</v>
      </c>
      <c r="Y51" s="302"/>
      <c r="Z51" s="5"/>
      <c r="AA51" s="94"/>
      <c r="AB51" s="311">
        <f t="shared" si="17"/>
        <v>0</v>
      </c>
      <c r="AC51" s="296">
        <v>0.1537</v>
      </c>
      <c r="AD51" s="113">
        <v>8.0999999999999996E-3</v>
      </c>
      <c r="AE51" s="5">
        <f>H51-I51-AC51</f>
        <v>0</v>
      </c>
      <c r="AF51" s="5"/>
      <c r="AG51" s="5">
        <f>H51</f>
        <v>1.758</v>
      </c>
      <c r="AH51" s="5"/>
      <c r="AI51" s="5"/>
      <c r="AJ51" s="5"/>
      <c r="AK51" s="94"/>
      <c r="AL51" s="94">
        <f t="shared" ref="AL51:AL88" si="41">SUM(AF51:AK51)</f>
        <v>1.758</v>
      </c>
      <c r="AM51" s="122"/>
      <c r="AN51" s="180"/>
      <c r="AO51" s="122">
        <v>0.45</v>
      </c>
      <c r="AP51" s="184"/>
      <c r="AQ51" s="122"/>
      <c r="AR51" s="184"/>
      <c r="AS51" s="122"/>
      <c r="AT51" s="184"/>
      <c r="AU51" s="122"/>
      <c r="AV51" s="184"/>
      <c r="AW51" s="122"/>
      <c r="AX51" s="184"/>
      <c r="AY51" s="111">
        <f t="shared" si="9"/>
        <v>0.45</v>
      </c>
      <c r="AZ51" s="178">
        <f t="shared" si="10"/>
        <v>0</v>
      </c>
      <c r="BF51" s="5">
        <v>3.5799999999999998E-2</v>
      </c>
      <c r="BG51" s="5">
        <f>1.6423-BF51</f>
        <v>1.6065</v>
      </c>
      <c r="BH51" s="5"/>
      <c r="BI51" s="5"/>
      <c r="BJ51" s="5"/>
      <c r="BK51" s="5"/>
      <c r="BL51" s="5">
        <f>SUM(BF51:BK51)</f>
        <v>1.6423000000000001</v>
      </c>
    </row>
    <row r="52" spans="1:64" s="2" customFormat="1" ht="25.5" outlineLevel="1" x14ac:dyDescent="0.2">
      <c r="A52" s="592" t="s">
        <v>1916</v>
      </c>
      <c r="B52" s="603" t="s">
        <v>165</v>
      </c>
      <c r="C52" s="7" t="s">
        <v>915</v>
      </c>
      <c r="D52" s="8" t="s">
        <v>136</v>
      </c>
      <c r="E52" s="8" t="s">
        <v>1908</v>
      </c>
      <c r="F52" s="8">
        <v>2015</v>
      </c>
      <c r="G52" s="8">
        <v>2015</v>
      </c>
      <c r="H52" s="5">
        <v>2.331</v>
      </c>
      <c r="I52" s="267">
        <v>2.1381000000000001</v>
      </c>
      <c r="J52" s="5">
        <f>R52</f>
        <v>0</v>
      </c>
      <c r="K52" s="8"/>
      <c r="L52" s="8" t="s">
        <v>1908</v>
      </c>
      <c r="M52" s="8"/>
      <c r="N52" s="8"/>
      <c r="O52" s="8"/>
      <c r="P52" s="8"/>
      <c r="Q52" s="8" t="s">
        <v>1908</v>
      </c>
      <c r="R52" s="5"/>
      <c r="S52" s="267">
        <v>2.1381000000000001</v>
      </c>
      <c r="T52" s="267"/>
      <c r="U52" s="267"/>
      <c r="V52" s="267"/>
      <c r="W52" s="267"/>
      <c r="X52" s="5">
        <f>SUM(R52:W52)</f>
        <v>2.1381000000000001</v>
      </c>
      <c r="Y52" s="302"/>
      <c r="Z52" s="5"/>
      <c r="AA52" s="94"/>
      <c r="AB52" s="311">
        <f t="shared" si="17"/>
        <v>0</v>
      </c>
      <c r="AC52" s="296">
        <v>0.19289999999999999</v>
      </c>
      <c r="AD52" s="113"/>
      <c r="AE52" s="5">
        <f>H52-I52-AC52</f>
        <v>0</v>
      </c>
      <c r="AF52" s="5"/>
      <c r="AG52" s="5">
        <f>H52</f>
        <v>2.331</v>
      </c>
      <c r="AH52" s="5"/>
      <c r="AI52" s="5"/>
      <c r="AJ52" s="5"/>
      <c r="AK52" s="94"/>
      <c r="AL52" s="94">
        <f>SUM(AF52:AK52)</f>
        <v>2.331</v>
      </c>
      <c r="AM52" s="122"/>
      <c r="AN52" s="180"/>
      <c r="AO52" s="122">
        <v>0.78</v>
      </c>
      <c r="AP52" s="184"/>
      <c r="AQ52" s="122"/>
      <c r="AR52" s="184"/>
      <c r="AS52" s="122"/>
      <c r="AT52" s="184"/>
      <c r="AU52" s="122"/>
      <c r="AV52" s="184"/>
      <c r="AW52" s="122"/>
      <c r="AX52" s="184"/>
      <c r="AY52" s="111">
        <f>AM52+AO52+AQ52+AS52+AU52+AW52</f>
        <v>0.78</v>
      </c>
      <c r="AZ52" s="178">
        <f>AN52+AP52+AR52+AT52+AV52+AX52</f>
        <v>0</v>
      </c>
      <c r="BF52" s="5"/>
      <c r="BG52" s="5">
        <v>2.1831</v>
      </c>
      <c r="BH52" s="5"/>
      <c r="BI52" s="5"/>
      <c r="BJ52" s="5"/>
      <c r="BK52" s="5"/>
      <c r="BL52" s="5">
        <f>SUM(BF52:BK52)</f>
        <v>2.1831</v>
      </c>
    </row>
    <row r="53" spans="1:64" s="2" customFormat="1" ht="27" customHeight="1" outlineLevel="1" x14ac:dyDescent="0.2">
      <c r="A53" s="592" t="s">
        <v>1775</v>
      </c>
      <c r="B53" s="603" t="s">
        <v>166</v>
      </c>
      <c r="C53" s="7" t="s">
        <v>1222</v>
      </c>
      <c r="D53" s="8" t="s">
        <v>136</v>
      </c>
      <c r="E53" s="23" t="s">
        <v>1909</v>
      </c>
      <c r="F53" s="8">
        <v>2013</v>
      </c>
      <c r="G53" s="8">
        <v>2014</v>
      </c>
      <c r="H53" s="267">
        <v>3.9449999999999998</v>
      </c>
      <c r="I53" s="267">
        <v>3.4710000000000001</v>
      </c>
      <c r="J53" s="267">
        <f>R53</f>
        <v>3.4710000000000001</v>
      </c>
      <c r="K53" s="23" t="s">
        <v>1909</v>
      </c>
      <c r="L53" s="8"/>
      <c r="M53" s="8"/>
      <c r="N53" s="8"/>
      <c r="O53" s="8"/>
      <c r="P53" s="8"/>
      <c r="Q53" s="23" t="s">
        <v>1909</v>
      </c>
      <c r="R53" s="267">
        <v>3.4710000000000001</v>
      </c>
      <c r="S53" s="267"/>
      <c r="T53" s="267"/>
      <c r="U53" s="267"/>
      <c r="V53" s="267"/>
      <c r="W53" s="267"/>
      <c r="X53" s="5">
        <f>SUM(R53:W53)</f>
        <v>3.4710000000000001</v>
      </c>
      <c r="Y53" s="302"/>
      <c r="Z53" s="5"/>
      <c r="AA53" s="94"/>
      <c r="AB53" s="311">
        <f t="shared" si="17"/>
        <v>0</v>
      </c>
      <c r="AC53" s="296">
        <v>0.4738</v>
      </c>
      <c r="AD53" s="113">
        <v>0.69350000000000001</v>
      </c>
      <c r="AE53" s="5">
        <f>H53-I53-AC53</f>
        <v>1.9999999999975593E-4</v>
      </c>
      <c r="AF53" s="5">
        <f>H53</f>
        <v>3.9449999999999998</v>
      </c>
      <c r="AG53" s="5"/>
      <c r="AH53" s="5"/>
      <c r="AI53" s="5"/>
      <c r="AJ53" s="5"/>
      <c r="AK53" s="94"/>
      <c r="AL53" s="94">
        <f t="shared" si="41"/>
        <v>3.9449999999999998</v>
      </c>
      <c r="AM53" s="122">
        <v>0.85</v>
      </c>
      <c r="AN53" s="180"/>
      <c r="AO53" s="122"/>
      <c r="AP53" s="184"/>
      <c r="AQ53" s="122"/>
      <c r="AR53" s="184"/>
      <c r="AS53" s="122"/>
      <c r="AT53" s="184"/>
      <c r="AU53" s="122"/>
      <c r="AV53" s="184"/>
      <c r="AW53" s="122"/>
      <c r="AX53" s="184"/>
      <c r="AY53" s="111">
        <f t="shared" si="9"/>
        <v>0.85</v>
      </c>
      <c r="AZ53" s="178">
        <f t="shared" si="10"/>
        <v>0</v>
      </c>
      <c r="BF53" s="267">
        <v>3.07</v>
      </c>
      <c r="BG53" s="5"/>
      <c r="BH53" s="5"/>
      <c r="BI53" s="5"/>
      <c r="BJ53" s="5"/>
      <c r="BK53" s="5"/>
      <c r="BL53" s="5">
        <f>SUM(BF53:BK53)</f>
        <v>3.07</v>
      </c>
    </row>
    <row r="54" spans="1:64" s="2" customFormat="1" ht="38.25" outlineLevel="1" x14ac:dyDescent="0.2">
      <c r="A54" s="592" t="s">
        <v>1776</v>
      </c>
      <c r="B54" s="603" t="s">
        <v>168</v>
      </c>
      <c r="C54" s="7" t="s">
        <v>1213</v>
      </c>
      <c r="D54" s="8" t="s">
        <v>136</v>
      </c>
      <c r="E54" s="23" t="s">
        <v>1910</v>
      </c>
      <c r="F54" s="8">
        <v>2012</v>
      </c>
      <c r="G54" s="8">
        <v>2014</v>
      </c>
      <c r="H54" s="5">
        <v>14.66</v>
      </c>
      <c r="I54" s="267">
        <v>0</v>
      </c>
      <c r="J54" s="5">
        <v>0</v>
      </c>
      <c r="K54" s="23" t="s">
        <v>1910</v>
      </c>
      <c r="L54" s="8"/>
      <c r="M54" s="8"/>
      <c r="N54" s="8"/>
      <c r="O54" s="8"/>
      <c r="P54" s="8"/>
      <c r="Q54" s="23" t="s">
        <v>1910</v>
      </c>
      <c r="R54" s="5">
        <v>0</v>
      </c>
      <c r="S54" s="267"/>
      <c r="T54" s="267"/>
      <c r="U54" s="267"/>
      <c r="V54" s="267"/>
      <c r="W54" s="267"/>
      <c r="X54" s="5">
        <f>SUM(R54:W54)</f>
        <v>0</v>
      </c>
      <c r="Y54" s="302"/>
      <c r="Z54" s="5"/>
      <c r="AA54" s="94"/>
      <c r="AB54" s="311">
        <f t="shared" si="17"/>
        <v>0</v>
      </c>
      <c r="AC54" s="296">
        <v>14.645899999999999</v>
      </c>
      <c r="AD54" s="113">
        <v>6.4999999999999997E-3</v>
      </c>
      <c r="AE54" s="5">
        <f>H54-I54-AC54</f>
        <v>1.410000000000089E-2</v>
      </c>
      <c r="AF54" s="5">
        <f>H54</f>
        <v>14.66</v>
      </c>
      <c r="AG54" s="5"/>
      <c r="AH54" s="5"/>
      <c r="AI54" s="5"/>
      <c r="AJ54" s="5"/>
      <c r="AK54" s="94"/>
      <c r="AL54" s="94">
        <f t="shared" si="41"/>
        <v>14.66</v>
      </c>
      <c r="AM54" s="122">
        <f>2*0.235</f>
        <v>0.47</v>
      </c>
      <c r="AN54" s="180">
        <f>2*0.4</f>
        <v>0.8</v>
      </c>
      <c r="AO54" s="122"/>
      <c r="AP54" s="184"/>
      <c r="AQ54" s="122"/>
      <c r="AR54" s="184"/>
      <c r="AS54" s="122"/>
      <c r="AT54" s="184"/>
      <c r="AU54" s="122"/>
      <c r="AV54" s="184"/>
      <c r="AW54" s="122"/>
      <c r="AX54" s="184"/>
      <c r="AY54" s="111">
        <f t="shared" si="9"/>
        <v>0.47</v>
      </c>
      <c r="AZ54" s="178">
        <f t="shared" si="10"/>
        <v>0.8</v>
      </c>
      <c r="BF54" s="5">
        <v>0.94680000000000031</v>
      </c>
      <c r="BG54" s="5"/>
      <c r="BH54" s="5"/>
      <c r="BI54" s="5"/>
      <c r="BJ54" s="5"/>
      <c r="BK54" s="5"/>
      <c r="BL54" s="5">
        <f>SUM(BF54:BK54)</f>
        <v>0.94680000000000031</v>
      </c>
    </row>
    <row r="55" spans="1:64" s="14" customFormat="1" ht="36.75" hidden="1" customHeight="1" outlineLevel="3" x14ac:dyDescent="0.2">
      <c r="A55" s="10"/>
      <c r="B55" s="603"/>
      <c r="C55" s="16" t="s">
        <v>386</v>
      </c>
      <c r="D55" s="13"/>
      <c r="E55" s="271"/>
      <c r="F55" s="13"/>
      <c r="G55" s="13"/>
      <c r="H55" s="50"/>
      <c r="I55" s="50"/>
      <c r="J55" s="5"/>
      <c r="K55" s="13"/>
      <c r="L55" s="13"/>
      <c r="M55" s="13"/>
      <c r="N55" s="13"/>
      <c r="O55" s="13"/>
      <c r="P55" s="13"/>
      <c r="Q55" s="13"/>
      <c r="R55" s="50"/>
      <c r="S55" s="267"/>
      <c r="T55" s="267"/>
      <c r="U55" s="267"/>
      <c r="V55" s="267"/>
      <c r="W55" s="267"/>
      <c r="X55" s="5"/>
      <c r="Y55" s="302"/>
      <c r="Z55" s="5"/>
      <c r="AA55" s="94"/>
      <c r="AB55" s="311">
        <f t="shared" si="17"/>
        <v>0</v>
      </c>
      <c r="AC55" s="296"/>
      <c r="AD55" s="113"/>
      <c r="AE55" s="5"/>
      <c r="AF55" s="5"/>
      <c r="AG55" s="5"/>
      <c r="AH55" s="5"/>
      <c r="AI55" s="5"/>
      <c r="AJ55" s="5"/>
      <c r="AK55" s="94"/>
      <c r="AL55" s="94">
        <f t="shared" si="41"/>
        <v>0</v>
      </c>
      <c r="AM55" s="124"/>
      <c r="AN55" s="272"/>
      <c r="AO55" s="124"/>
      <c r="AP55" s="273"/>
      <c r="AQ55" s="124"/>
      <c r="AR55" s="273"/>
      <c r="AS55" s="124"/>
      <c r="AT55" s="273"/>
      <c r="AU55" s="124"/>
      <c r="AV55" s="273"/>
      <c r="AW55" s="124"/>
      <c r="AX55" s="273"/>
      <c r="AY55" s="111">
        <f t="shared" si="9"/>
        <v>0</v>
      </c>
      <c r="AZ55" s="178">
        <f t="shared" si="10"/>
        <v>0</v>
      </c>
      <c r="BF55" s="50"/>
      <c r="BG55" s="50"/>
      <c r="BH55" s="50"/>
      <c r="BI55" s="50"/>
      <c r="BJ55" s="50"/>
      <c r="BK55" s="50"/>
      <c r="BL55" s="5"/>
    </row>
    <row r="56" spans="1:64" s="14" customFormat="1" ht="26.25" hidden="1" customHeight="1" outlineLevel="3" x14ac:dyDescent="0.2">
      <c r="A56" s="10"/>
      <c r="B56" s="603"/>
      <c r="C56" s="16" t="s">
        <v>387</v>
      </c>
      <c r="D56" s="13"/>
      <c r="E56" s="271"/>
      <c r="F56" s="13"/>
      <c r="G56" s="13"/>
      <c r="H56" s="50"/>
      <c r="I56" s="50"/>
      <c r="J56" s="5"/>
      <c r="K56" s="13"/>
      <c r="L56" s="13"/>
      <c r="M56" s="13"/>
      <c r="N56" s="13"/>
      <c r="O56" s="13"/>
      <c r="P56" s="13"/>
      <c r="Q56" s="13"/>
      <c r="R56" s="50"/>
      <c r="S56" s="267"/>
      <c r="T56" s="267"/>
      <c r="U56" s="267"/>
      <c r="V56" s="267"/>
      <c r="W56" s="267"/>
      <c r="X56" s="5"/>
      <c r="Y56" s="302"/>
      <c r="Z56" s="5"/>
      <c r="AA56" s="94"/>
      <c r="AB56" s="311">
        <f t="shared" si="17"/>
        <v>0</v>
      </c>
      <c r="AC56" s="296"/>
      <c r="AD56" s="113"/>
      <c r="AE56" s="5"/>
      <c r="AF56" s="48"/>
      <c r="AG56" s="48"/>
      <c r="AH56" s="48"/>
      <c r="AI56" s="48"/>
      <c r="AJ56" s="48"/>
      <c r="AK56" s="158"/>
      <c r="AL56" s="94">
        <f t="shared" si="41"/>
        <v>0</v>
      </c>
      <c r="AM56" s="124"/>
      <c r="AN56" s="272"/>
      <c r="AO56" s="124"/>
      <c r="AP56" s="273"/>
      <c r="AQ56" s="124"/>
      <c r="AR56" s="273"/>
      <c r="AS56" s="124"/>
      <c r="AT56" s="273"/>
      <c r="AU56" s="124"/>
      <c r="AV56" s="273"/>
      <c r="AW56" s="124"/>
      <c r="AX56" s="273"/>
      <c r="AY56" s="111">
        <f t="shared" si="9"/>
        <v>0</v>
      </c>
      <c r="AZ56" s="178">
        <f t="shared" si="10"/>
        <v>0</v>
      </c>
      <c r="BF56" s="50"/>
      <c r="BG56" s="50"/>
      <c r="BH56" s="50"/>
      <c r="BI56" s="50"/>
      <c r="BJ56" s="50"/>
      <c r="BK56" s="50"/>
      <c r="BL56" s="5"/>
    </row>
    <row r="57" spans="1:64" s="14" customFormat="1" ht="22.5" hidden="1" customHeight="1" outlineLevel="3" x14ac:dyDescent="0.2">
      <c r="A57" s="10"/>
      <c r="B57" s="603"/>
      <c r="C57" s="16" t="s">
        <v>388</v>
      </c>
      <c r="D57" s="13"/>
      <c r="E57" s="271"/>
      <c r="F57" s="13"/>
      <c r="G57" s="13"/>
      <c r="H57" s="50"/>
      <c r="I57" s="50"/>
      <c r="J57" s="5"/>
      <c r="K57" s="13"/>
      <c r="L57" s="13"/>
      <c r="M57" s="13"/>
      <c r="N57" s="13"/>
      <c r="O57" s="13"/>
      <c r="P57" s="13"/>
      <c r="Q57" s="13"/>
      <c r="R57" s="50"/>
      <c r="S57" s="267"/>
      <c r="T57" s="267"/>
      <c r="U57" s="267"/>
      <c r="V57" s="267"/>
      <c r="W57" s="267"/>
      <c r="X57" s="5"/>
      <c r="Y57" s="302"/>
      <c r="Z57" s="5"/>
      <c r="AA57" s="94"/>
      <c r="AB57" s="311">
        <f t="shared" si="17"/>
        <v>0</v>
      </c>
      <c r="AC57" s="296"/>
      <c r="AD57" s="113"/>
      <c r="AE57" s="5"/>
      <c r="AF57" s="5"/>
      <c r="AG57" s="5"/>
      <c r="AH57" s="5"/>
      <c r="AI57" s="5"/>
      <c r="AJ57" s="5"/>
      <c r="AK57" s="94"/>
      <c r="AL57" s="94">
        <f t="shared" si="41"/>
        <v>0</v>
      </c>
      <c r="AM57" s="124"/>
      <c r="AN57" s="272"/>
      <c r="AO57" s="124"/>
      <c r="AP57" s="273"/>
      <c r="AQ57" s="124"/>
      <c r="AR57" s="273"/>
      <c r="AS57" s="124"/>
      <c r="AT57" s="273"/>
      <c r="AU57" s="124"/>
      <c r="AV57" s="273"/>
      <c r="AW57" s="124"/>
      <c r="AX57" s="273"/>
      <c r="AY57" s="111">
        <f t="shared" si="9"/>
        <v>0</v>
      </c>
      <c r="AZ57" s="178">
        <f t="shared" si="10"/>
        <v>0</v>
      </c>
      <c r="BF57" s="50"/>
      <c r="BG57" s="50"/>
      <c r="BH57" s="50"/>
      <c r="BI57" s="50"/>
      <c r="BJ57" s="50"/>
      <c r="BK57" s="50"/>
      <c r="BL57" s="5"/>
    </row>
    <row r="58" spans="1:64" s="14" customFormat="1" ht="22.5" hidden="1" customHeight="1" outlineLevel="3" x14ac:dyDescent="0.2">
      <c r="A58" s="10"/>
      <c r="B58" s="603"/>
      <c r="C58" s="16" t="s">
        <v>389</v>
      </c>
      <c r="D58" s="13"/>
      <c r="E58" s="271"/>
      <c r="F58" s="13"/>
      <c r="G58" s="13"/>
      <c r="H58" s="50"/>
      <c r="I58" s="50"/>
      <c r="J58" s="5"/>
      <c r="K58" s="13"/>
      <c r="L58" s="13"/>
      <c r="M58" s="13"/>
      <c r="N58" s="13"/>
      <c r="O58" s="13"/>
      <c r="P58" s="13"/>
      <c r="Q58" s="13"/>
      <c r="R58" s="50"/>
      <c r="S58" s="267"/>
      <c r="T58" s="267"/>
      <c r="U58" s="267"/>
      <c r="V58" s="267"/>
      <c r="W58" s="267"/>
      <c r="X58" s="5"/>
      <c r="Y58" s="302"/>
      <c r="Z58" s="5"/>
      <c r="AA58" s="94"/>
      <c r="AB58" s="311">
        <f t="shared" si="17"/>
        <v>0</v>
      </c>
      <c r="AC58" s="296"/>
      <c r="AD58" s="113"/>
      <c r="AE58" s="5"/>
      <c r="AF58" s="50"/>
      <c r="AG58" s="50"/>
      <c r="AH58" s="50"/>
      <c r="AI58" s="50"/>
      <c r="AJ58" s="50"/>
      <c r="AK58" s="274"/>
      <c r="AL58" s="94">
        <f t="shared" si="41"/>
        <v>0</v>
      </c>
      <c r="AM58" s="124"/>
      <c r="AN58" s="272"/>
      <c r="AO58" s="124"/>
      <c r="AP58" s="273"/>
      <c r="AQ58" s="124"/>
      <c r="AR58" s="273"/>
      <c r="AS58" s="124"/>
      <c r="AT58" s="273"/>
      <c r="AU58" s="124"/>
      <c r="AV58" s="273"/>
      <c r="AW58" s="124"/>
      <c r="AX58" s="273"/>
      <c r="AY58" s="111">
        <f t="shared" si="9"/>
        <v>0</v>
      </c>
      <c r="AZ58" s="178">
        <f t="shared" si="10"/>
        <v>0</v>
      </c>
      <c r="BF58" s="50"/>
      <c r="BG58" s="50"/>
      <c r="BH58" s="50"/>
      <c r="BI58" s="50"/>
      <c r="BJ58" s="50"/>
      <c r="BK58" s="50"/>
      <c r="BL58" s="5"/>
    </row>
    <row r="59" spans="1:64" s="14" customFormat="1" ht="22.5" hidden="1" customHeight="1" outlineLevel="3" x14ac:dyDescent="0.2">
      <c r="A59" s="10"/>
      <c r="B59" s="603"/>
      <c r="C59" s="16" t="s">
        <v>390</v>
      </c>
      <c r="D59" s="13"/>
      <c r="E59" s="271"/>
      <c r="F59" s="13"/>
      <c r="G59" s="13"/>
      <c r="H59" s="50"/>
      <c r="I59" s="50"/>
      <c r="J59" s="5"/>
      <c r="K59" s="13"/>
      <c r="L59" s="13"/>
      <c r="M59" s="13"/>
      <c r="N59" s="13"/>
      <c r="O59" s="13"/>
      <c r="P59" s="13"/>
      <c r="Q59" s="13"/>
      <c r="R59" s="50"/>
      <c r="S59" s="267"/>
      <c r="T59" s="267"/>
      <c r="U59" s="267"/>
      <c r="V59" s="267"/>
      <c r="W59" s="267"/>
      <c r="X59" s="5"/>
      <c r="Y59" s="302"/>
      <c r="Z59" s="5"/>
      <c r="AA59" s="94"/>
      <c r="AB59" s="311">
        <f t="shared" si="17"/>
        <v>0</v>
      </c>
      <c r="AC59" s="296"/>
      <c r="AD59" s="113"/>
      <c r="AE59" s="5"/>
      <c r="AF59" s="50"/>
      <c r="AG59" s="50"/>
      <c r="AH59" s="50"/>
      <c r="AI59" s="50"/>
      <c r="AJ59" s="50"/>
      <c r="AK59" s="274"/>
      <c r="AL59" s="94">
        <f t="shared" si="41"/>
        <v>0</v>
      </c>
      <c r="AM59" s="124"/>
      <c r="AN59" s="272"/>
      <c r="AO59" s="124"/>
      <c r="AP59" s="273"/>
      <c r="AQ59" s="124"/>
      <c r="AR59" s="273"/>
      <c r="AS59" s="124"/>
      <c r="AT59" s="273"/>
      <c r="AU59" s="124"/>
      <c r="AV59" s="273"/>
      <c r="AW59" s="124"/>
      <c r="AX59" s="273"/>
      <c r="AY59" s="111">
        <f t="shared" si="9"/>
        <v>0</v>
      </c>
      <c r="AZ59" s="178">
        <f t="shared" si="10"/>
        <v>0</v>
      </c>
      <c r="BF59" s="50"/>
      <c r="BG59" s="50"/>
      <c r="BH59" s="50"/>
      <c r="BI59" s="50"/>
      <c r="BJ59" s="50"/>
      <c r="BK59" s="50"/>
      <c r="BL59" s="5"/>
    </row>
    <row r="60" spans="1:64" s="14" customFormat="1" ht="22.5" hidden="1" customHeight="1" outlineLevel="3" x14ac:dyDescent="0.2">
      <c r="A60" s="10"/>
      <c r="B60" s="603"/>
      <c r="C60" s="16" t="s">
        <v>391</v>
      </c>
      <c r="D60" s="13"/>
      <c r="E60" s="271"/>
      <c r="F60" s="13"/>
      <c r="G60" s="13"/>
      <c r="H60" s="50"/>
      <c r="I60" s="50"/>
      <c r="J60" s="5"/>
      <c r="K60" s="13"/>
      <c r="L60" s="13"/>
      <c r="M60" s="13"/>
      <c r="N60" s="13"/>
      <c r="O60" s="13"/>
      <c r="P60" s="13"/>
      <c r="Q60" s="13"/>
      <c r="R60" s="50"/>
      <c r="S60" s="267"/>
      <c r="T60" s="267"/>
      <c r="U60" s="267"/>
      <c r="V60" s="267"/>
      <c r="W60" s="267"/>
      <c r="X60" s="5"/>
      <c r="Y60" s="302"/>
      <c r="Z60" s="5"/>
      <c r="AA60" s="94"/>
      <c r="AB60" s="311">
        <f t="shared" si="17"/>
        <v>0</v>
      </c>
      <c r="AC60" s="296"/>
      <c r="AD60" s="113"/>
      <c r="AE60" s="5"/>
      <c r="AF60" s="50"/>
      <c r="AG60" s="50"/>
      <c r="AH60" s="50"/>
      <c r="AI60" s="50"/>
      <c r="AJ60" s="50"/>
      <c r="AK60" s="274"/>
      <c r="AL60" s="94">
        <f t="shared" si="41"/>
        <v>0</v>
      </c>
      <c r="AM60" s="124"/>
      <c r="AN60" s="272"/>
      <c r="AO60" s="124"/>
      <c r="AP60" s="273"/>
      <c r="AQ60" s="124"/>
      <c r="AR60" s="273"/>
      <c r="AS60" s="124"/>
      <c r="AT60" s="273"/>
      <c r="AU60" s="124"/>
      <c r="AV60" s="273"/>
      <c r="AW60" s="124"/>
      <c r="AX60" s="273"/>
      <c r="AY60" s="111">
        <f t="shared" si="9"/>
        <v>0</v>
      </c>
      <c r="AZ60" s="178">
        <f t="shared" si="10"/>
        <v>0</v>
      </c>
      <c r="BF60" s="50"/>
      <c r="BG60" s="50"/>
      <c r="BH60" s="50"/>
      <c r="BI60" s="50"/>
      <c r="BJ60" s="50"/>
      <c r="BK60" s="50"/>
      <c r="BL60" s="5"/>
    </row>
    <row r="61" spans="1:64" s="14" customFormat="1" ht="22.5" hidden="1" customHeight="1" outlineLevel="3" x14ac:dyDescent="0.2">
      <c r="A61" s="10"/>
      <c r="B61" s="603"/>
      <c r="C61" s="16" t="s">
        <v>392</v>
      </c>
      <c r="D61" s="13"/>
      <c r="E61" s="271"/>
      <c r="F61" s="13"/>
      <c r="G61" s="13"/>
      <c r="H61" s="50"/>
      <c r="I61" s="50"/>
      <c r="J61" s="5"/>
      <c r="K61" s="13"/>
      <c r="L61" s="13"/>
      <c r="M61" s="13"/>
      <c r="N61" s="13"/>
      <c r="O61" s="13"/>
      <c r="P61" s="13"/>
      <c r="Q61" s="13"/>
      <c r="R61" s="50"/>
      <c r="S61" s="267"/>
      <c r="T61" s="267"/>
      <c r="U61" s="267"/>
      <c r="V61" s="267"/>
      <c r="W61" s="267"/>
      <c r="X61" s="5"/>
      <c r="Y61" s="302"/>
      <c r="Z61" s="5"/>
      <c r="AA61" s="94"/>
      <c r="AB61" s="311">
        <f t="shared" si="17"/>
        <v>0</v>
      </c>
      <c r="AC61" s="296"/>
      <c r="AD61" s="113"/>
      <c r="AE61" s="5"/>
      <c r="AF61" s="50"/>
      <c r="AG61" s="50"/>
      <c r="AH61" s="50"/>
      <c r="AI61" s="50"/>
      <c r="AJ61" s="50"/>
      <c r="AK61" s="274"/>
      <c r="AL61" s="94">
        <f t="shared" si="41"/>
        <v>0</v>
      </c>
      <c r="AM61" s="124"/>
      <c r="AN61" s="272"/>
      <c r="AO61" s="124"/>
      <c r="AP61" s="273"/>
      <c r="AQ61" s="124"/>
      <c r="AR61" s="273"/>
      <c r="AS61" s="124"/>
      <c r="AT61" s="273"/>
      <c r="AU61" s="124"/>
      <c r="AV61" s="273"/>
      <c r="AW61" s="124"/>
      <c r="AX61" s="273"/>
      <c r="AY61" s="111">
        <f t="shared" si="9"/>
        <v>0</v>
      </c>
      <c r="AZ61" s="178">
        <f t="shared" si="10"/>
        <v>0</v>
      </c>
      <c r="BF61" s="50"/>
      <c r="BG61" s="50"/>
      <c r="BH61" s="50"/>
      <c r="BI61" s="50"/>
      <c r="BJ61" s="50"/>
      <c r="BK61" s="50"/>
      <c r="BL61" s="5"/>
    </row>
    <row r="62" spans="1:64" s="14" customFormat="1" ht="22.5" hidden="1" customHeight="1" outlineLevel="3" x14ac:dyDescent="0.2">
      <c r="A62" s="10"/>
      <c r="B62" s="603"/>
      <c r="C62" s="16" t="s">
        <v>393</v>
      </c>
      <c r="D62" s="13"/>
      <c r="E62" s="271"/>
      <c r="F62" s="13"/>
      <c r="G62" s="13"/>
      <c r="H62" s="50"/>
      <c r="I62" s="50"/>
      <c r="J62" s="5"/>
      <c r="K62" s="13"/>
      <c r="L62" s="13"/>
      <c r="M62" s="13"/>
      <c r="N62" s="13"/>
      <c r="O62" s="13"/>
      <c r="P62" s="13"/>
      <c r="Q62" s="13"/>
      <c r="R62" s="50"/>
      <c r="S62" s="267"/>
      <c r="T62" s="267"/>
      <c r="U62" s="267"/>
      <c r="V62" s="267"/>
      <c r="W62" s="267"/>
      <c r="X62" s="5"/>
      <c r="Y62" s="302"/>
      <c r="Z62" s="5"/>
      <c r="AA62" s="94"/>
      <c r="AB62" s="311">
        <f t="shared" si="17"/>
        <v>0</v>
      </c>
      <c r="AC62" s="296"/>
      <c r="AD62" s="113"/>
      <c r="AE62" s="5"/>
      <c r="AF62" s="5"/>
      <c r="AG62" s="5"/>
      <c r="AH62" s="5"/>
      <c r="AI62" s="5"/>
      <c r="AJ62" s="5"/>
      <c r="AK62" s="94"/>
      <c r="AL62" s="94">
        <f t="shared" si="41"/>
        <v>0</v>
      </c>
      <c r="AM62" s="124"/>
      <c r="AN62" s="272"/>
      <c r="AO62" s="124"/>
      <c r="AP62" s="273"/>
      <c r="AQ62" s="124"/>
      <c r="AR62" s="273"/>
      <c r="AS62" s="124"/>
      <c r="AT62" s="273"/>
      <c r="AU62" s="124"/>
      <c r="AV62" s="273"/>
      <c r="AW62" s="124"/>
      <c r="AX62" s="273"/>
      <c r="AY62" s="111">
        <f t="shared" si="9"/>
        <v>0</v>
      </c>
      <c r="AZ62" s="178">
        <f t="shared" si="10"/>
        <v>0</v>
      </c>
      <c r="BF62" s="50"/>
      <c r="BG62" s="50"/>
      <c r="BH62" s="50"/>
      <c r="BI62" s="50"/>
      <c r="BJ62" s="50"/>
      <c r="BK62" s="50"/>
      <c r="BL62" s="5"/>
    </row>
    <row r="63" spans="1:64" s="2" customFormat="1" ht="51" outlineLevel="1" collapsed="1" x14ac:dyDescent="0.2">
      <c r="A63" s="592" t="s">
        <v>1802</v>
      </c>
      <c r="B63" s="603" t="s">
        <v>329</v>
      </c>
      <c r="C63" s="7" t="s">
        <v>1191</v>
      </c>
      <c r="D63" s="8" t="s">
        <v>145</v>
      </c>
      <c r="E63" s="23" t="s">
        <v>1471</v>
      </c>
      <c r="F63" s="8">
        <v>2014</v>
      </c>
      <c r="G63" s="8">
        <v>2016</v>
      </c>
      <c r="H63" s="5">
        <v>40.263800000000003</v>
      </c>
      <c r="I63" s="5">
        <v>40.263800000000003</v>
      </c>
      <c r="J63" s="5">
        <f t="shared" ref="J63:J71" si="42">R63</f>
        <v>1</v>
      </c>
      <c r="K63" s="8"/>
      <c r="L63" s="8"/>
      <c r="M63" s="8" t="s">
        <v>1192</v>
      </c>
      <c r="N63" s="8"/>
      <c r="O63" s="8"/>
      <c r="P63" s="8"/>
      <c r="Q63" s="8" t="s">
        <v>1192</v>
      </c>
      <c r="R63" s="5">
        <v>1</v>
      </c>
      <c r="S63" s="267">
        <f>13.519-1.3354</f>
        <v>12.1836</v>
      </c>
      <c r="T63" s="267">
        <f>I63-R63-S63</f>
        <v>27.080200000000005</v>
      </c>
      <c r="U63" s="267"/>
      <c r="V63" s="267"/>
      <c r="W63" s="267"/>
      <c r="X63" s="5">
        <f>SUM(R63:W63)</f>
        <v>40.263800000000003</v>
      </c>
      <c r="Y63" s="302"/>
      <c r="Z63" s="5"/>
      <c r="AA63" s="94"/>
      <c r="AB63" s="311">
        <f t="shared" si="17"/>
        <v>0</v>
      </c>
      <c r="AC63" s="296"/>
      <c r="AD63" s="113"/>
      <c r="AE63" s="5">
        <f t="shared" ref="AE63:AE72" si="43">H63-I63-AC63</f>
        <v>0</v>
      </c>
      <c r="AF63" s="5"/>
      <c r="AG63" s="5"/>
      <c r="AH63" s="5">
        <f>H63</f>
        <v>40.263800000000003</v>
      </c>
      <c r="AI63" s="5"/>
      <c r="AJ63" s="5"/>
      <c r="AK63" s="94"/>
      <c r="AL63" s="94">
        <f t="shared" si="41"/>
        <v>40.263800000000003</v>
      </c>
      <c r="AM63" s="122"/>
      <c r="AN63" s="180"/>
      <c r="AO63" s="122"/>
      <c r="AP63" s="184"/>
      <c r="AQ63" s="122">
        <f>2*3.6</f>
        <v>7.2</v>
      </c>
      <c r="AR63" s="184"/>
      <c r="AS63" s="122"/>
      <c r="AT63" s="184"/>
      <c r="AU63" s="122"/>
      <c r="AV63" s="184"/>
      <c r="AW63" s="122"/>
      <c r="AX63" s="184"/>
      <c r="AY63" s="111">
        <f t="shared" si="9"/>
        <v>7.2</v>
      </c>
      <c r="AZ63" s="178">
        <f t="shared" si="10"/>
        <v>0</v>
      </c>
      <c r="BF63" s="5">
        <v>1</v>
      </c>
      <c r="BG63" s="5">
        <v>13.519</v>
      </c>
      <c r="BH63" s="5">
        <v>25.481000000000002</v>
      </c>
      <c r="BI63" s="5"/>
      <c r="BJ63" s="50"/>
      <c r="BK63" s="5"/>
      <c r="BL63" s="5">
        <f>SUM(BF63:BK63)</f>
        <v>40</v>
      </c>
    </row>
    <row r="64" spans="1:64" s="2" customFormat="1" ht="38.25" outlineLevel="1" x14ac:dyDescent="0.2">
      <c r="A64" s="592" t="s">
        <v>1812</v>
      </c>
      <c r="B64" s="603" t="s">
        <v>1193</v>
      </c>
      <c r="C64" s="7" t="s">
        <v>2389</v>
      </c>
      <c r="D64" s="8" t="s">
        <v>145</v>
      </c>
      <c r="E64" s="23" t="s">
        <v>1197</v>
      </c>
      <c r="F64" s="8">
        <v>2014</v>
      </c>
      <c r="G64" s="8">
        <v>2018</v>
      </c>
      <c r="H64" s="5">
        <v>28.26</v>
      </c>
      <c r="I64" s="5">
        <f>28.26-0.9637</f>
        <v>27.296300000000002</v>
      </c>
      <c r="J64" s="5">
        <f t="shared" si="42"/>
        <v>0.77</v>
      </c>
      <c r="K64" s="8"/>
      <c r="L64" s="8"/>
      <c r="M64" s="8"/>
      <c r="N64" s="8"/>
      <c r="O64" s="8" t="s">
        <v>1197</v>
      </c>
      <c r="P64" s="8"/>
      <c r="Q64" s="8" t="s">
        <v>1197</v>
      </c>
      <c r="R64" s="267">
        <v>0.77</v>
      </c>
      <c r="S64" s="267"/>
      <c r="T64" s="267">
        <f>10.1+5.31-3.26-0.9637</f>
        <v>11.186300000000001</v>
      </c>
      <c r="U64" s="267">
        <f>10.08+2+3.26</f>
        <v>15.34</v>
      </c>
      <c r="V64" s="267">
        <f>I64-R64-S64-T64-U64</f>
        <v>0</v>
      </c>
      <c r="W64" s="267"/>
      <c r="X64" s="5">
        <f t="shared" ref="X64:X72" si="44">SUM(R64:W64)</f>
        <v>27.296300000000002</v>
      </c>
      <c r="Y64" s="302"/>
      <c r="Z64" s="5"/>
      <c r="AA64" s="94"/>
      <c r="AB64" s="311">
        <f t="shared" si="17"/>
        <v>0</v>
      </c>
      <c r="AC64" s="296">
        <v>0.9637</v>
      </c>
      <c r="AD64" s="113">
        <v>3.9600000000000003E-2</v>
      </c>
      <c r="AE64" s="5">
        <f t="shared" si="43"/>
        <v>0</v>
      </c>
      <c r="AF64" s="275"/>
      <c r="AG64" s="275"/>
      <c r="AH64" s="275"/>
      <c r="AI64" s="275"/>
      <c r="AJ64" s="5">
        <f>H64</f>
        <v>28.26</v>
      </c>
      <c r="AK64" s="276"/>
      <c r="AL64" s="94">
        <f t="shared" si="41"/>
        <v>28.26</v>
      </c>
      <c r="AM64" s="122"/>
      <c r="AN64" s="180"/>
      <c r="AO64" s="122"/>
      <c r="AP64" s="184"/>
      <c r="AQ64" s="122"/>
      <c r="AR64" s="184"/>
      <c r="AS64" s="122"/>
      <c r="AT64" s="184"/>
      <c r="AU64" s="122">
        <v>3.22</v>
      </c>
      <c r="AV64" s="184"/>
      <c r="AW64" s="122"/>
      <c r="AX64" s="184"/>
      <c r="AY64" s="111">
        <f t="shared" si="9"/>
        <v>3.22</v>
      </c>
      <c r="AZ64" s="178">
        <f t="shared" si="10"/>
        <v>0</v>
      </c>
      <c r="BF64" s="5">
        <v>0.76587000000000005</v>
      </c>
      <c r="BG64" s="5"/>
      <c r="BH64" s="5">
        <v>10.1</v>
      </c>
      <c r="BI64" s="5">
        <v>10.08</v>
      </c>
      <c r="BJ64" s="5">
        <v>10</v>
      </c>
      <c r="BK64" s="5"/>
      <c r="BL64" s="5">
        <f t="shared" ref="BL64:BL72" si="45">SUM(BF64:BK64)</f>
        <v>30.945869999999999</v>
      </c>
    </row>
    <row r="65" spans="1:64" s="2" customFormat="1" ht="38.25" outlineLevel="1" x14ac:dyDescent="0.2">
      <c r="A65" s="592" t="s">
        <v>1811</v>
      </c>
      <c r="B65" s="603" t="s">
        <v>1194</v>
      </c>
      <c r="C65" s="7" t="s">
        <v>2388</v>
      </c>
      <c r="D65" s="8" t="s">
        <v>145</v>
      </c>
      <c r="E65" s="23" t="s">
        <v>1195</v>
      </c>
      <c r="F65" s="8">
        <v>2014</v>
      </c>
      <c r="G65" s="8">
        <v>2017</v>
      </c>
      <c r="H65" s="5">
        <v>30.3</v>
      </c>
      <c r="I65" s="5">
        <f>30.3-0.9956</f>
        <v>29.304400000000001</v>
      </c>
      <c r="J65" s="5">
        <f t="shared" si="42"/>
        <v>0.76</v>
      </c>
      <c r="K65" s="8"/>
      <c r="L65" s="8"/>
      <c r="M65" s="8"/>
      <c r="N65" s="8" t="s">
        <v>1195</v>
      </c>
      <c r="O65" s="8"/>
      <c r="P65" s="8"/>
      <c r="Q65" s="8" t="s">
        <v>1195</v>
      </c>
      <c r="R65" s="267">
        <v>0.76</v>
      </c>
      <c r="S65" s="267"/>
      <c r="T65" s="267">
        <f>10.63+3.2976-0.9956</f>
        <v>12.932000000000002</v>
      </c>
      <c r="U65" s="267">
        <f>I65-R65-S65-T65</f>
        <v>15.612399999999997</v>
      </c>
      <c r="V65" s="267"/>
      <c r="W65" s="267"/>
      <c r="X65" s="5">
        <f t="shared" si="44"/>
        <v>29.304400000000001</v>
      </c>
      <c r="Y65" s="302"/>
      <c r="Z65" s="5"/>
      <c r="AA65" s="94"/>
      <c r="AB65" s="311">
        <f t="shared" si="17"/>
        <v>0</v>
      </c>
      <c r="AC65" s="296">
        <v>0.99560000000000004</v>
      </c>
      <c r="AD65" s="113">
        <v>3.9199999999999999E-2</v>
      </c>
      <c r="AE65" s="5">
        <f t="shared" si="43"/>
        <v>0</v>
      </c>
      <c r="AF65" s="275"/>
      <c r="AG65" s="275"/>
      <c r="AH65" s="275"/>
      <c r="AI65" s="275">
        <f>H65</f>
        <v>30.3</v>
      </c>
      <c r="AJ65" s="5"/>
      <c r="AK65" s="276"/>
      <c r="AL65" s="94">
        <f t="shared" si="41"/>
        <v>30.3</v>
      </c>
      <c r="AM65" s="122"/>
      <c r="AN65" s="180"/>
      <c r="AO65" s="122"/>
      <c r="AP65" s="184"/>
      <c r="AQ65" s="122"/>
      <c r="AR65" s="184"/>
      <c r="AS65" s="122">
        <v>3.38</v>
      </c>
      <c r="AT65" s="184"/>
      <c r="AU65" s="122"/>
      <c r="AV65" s="184"/>
      <c r="AW65" s="122"/>
      <c r="AX65" s="184"/>
      <c r="AY65" s="111">
        <f t="shared" si="9"/>
        <v>3.38</v>
      </c>
      <c r="AZ65" s="178">
        <f t="shared" si="10"/>
        <v>0</v>
      </c>
      <c r="BF65" s="5">
        <v>0.76312999999999998</v>
      </c>
      <c r="BG65" s="5"/>
      <c r="BH65" s="5">
        <v>10.63</v>
      </c>
      <c r="BI65" s="5">
        <v>22</v>
      </c>
      <c r="BJ65" s="5"/>
      <c r="BK65" s="5"/>
      <c r="BL65" s="5">
        <f t="shared" si="45"/>
        <v>33.393129999999999</v>
      </c>
    </row>
    <row r="66" spans="1:64" s="2" customFormat="1" ht="25.5" outlineLevel="1" x14ac:dyDescent="0.2">
      <c r="A66" s="592" t="s">
        <v>1809</v>
      </c>
      <c r="B66" s="603" t="s">
        <v>1196</v>
      </c>
      <c r="C66" s="277" t="s">
        <v>1808</v>
      </c>
      <c r="D66" s="8" t="s">
        <v>145</v>
      </c>
      <c r="E66" s="23" t="s">
        <v>2353</v>
      </c>
      <c r="F66" s="8">
        <v>2014</v>
      </c>
      <c r="G66" s="8">
        <v>2017</v>
      </c>
      <c r="H66" s="5">
        <v>21.903300000000002</v>
      </c>
      <c r="I66" s="5">
        <v>21.903300000000002</v>
      </c>
      <c r="J66" s="5">
        <f t="shared" si="42"/>
        <v>1</v>
      </c>
      <c r="K66" s="8"/>
      <c r="L66" s="8"/>
      <c r="M66" s="5"/>
      <c r="N66" s="5" t="s">
        <v>2353</v>
      </c>
      <c r="O66" s="8"/>
      <c r="P66" s="23"/>
      <c r="Q66" s="23" t="s">
        <v>2353</v>
      </c>
      <c r="R66" s="267">
        <v>1</v>
      </c>
      <c r="S66" s="267"/>
      <c r="T66" s="267">
        <v>9.1999999999999993</v>
      </c>
      <c r="U66" s="267">
        <f>I66-R66-S66-T66</f>
        <v>11.703300000000002</v>
      </c>
      <c r="V66" s="267"/>
      <c r="W66" s="267"/>
      <c r="X66" s="5">
        <f t="shared" si="44"/>
        <v>21.903300000000002</v>
      </c>
      <c r="Y66" s="302"/>
      <c r="Z66" s="5"/>
      <c r="AA66" s="94"/>
      <c r="AB66" s="311">
        <f t="shared" si="17"/>
        <v>0</v>
      </c>
      <c r="AC66" s="296"/>
      <c r="AD66" s="113">
        <v>6.3E-3</v>
      </c>
      <c r="AE66" s="5">
        <f>H66-I66-AC66</f>
        <v>0</v>
      </c>
      <c r="AF66" s="5"/>
      <c r="AG66" s="5"/>
      <c r="AH66" s="5"/>
      <c r="AI66" s="5">
        <f>H66</f>
        <v>21.903300000000002</v>
      </c>
      <c r="AJ66" s="5"/>
      <c r="AK66" s="94"/>
      <c r="AL66" s="94">
        <f t="shared" si="41"/>
        <v>21.903300000000002</v>
      </c>
      <c r="AM66" s="122"/>
      <c r="AN66" s="180"/>
      <c r="AO66" s="122"/>
      <c r="AP66" s="184"/>
      <c r="AQ66" s="122"/>
      <c r="AR66" s="184"/>
      <c r="AS66" s="122">
        <v>2.7</v>
      </c>
      <c r="AT66" s="184"/>
      <c r="AU66" s="122"/>
      <c r="AV66" s="184"/>
      <c r="AW66" s="122"/>
      <c r="AX66" s="184"/>
      <c r="AY66" s="111">
        <f t="shared" si="9"/>
        <v>2.7</v>
      </c>
      <c r="AZ66" s="178">
        <f t="shared" si="10"/>
        <v>0</v>
      </c>
      <c r="BA66" s="64"/>
      <c r="BB66" s="64"/>
      <c r="BF66" s="5">
        <v>1</v>
      </c>
      <c r="BG66" s="5"/>
      <c r="BH66" s="5">
        <v>9.1999999999999993</v>
      </c>
      <c r="BI66" s="5">
        <v>9.2160000000000011</v>
      </c>
      <c r="BJ66" s="5"/>
      <c r="BK66" s="5"/>
      <c r="BL66" s="5">
        <f t="shared" si="45"/>
        <v>19.416</v>
      </c>
    </row>
    <row r="67" spans="1:64" s="2" customFormat="1" ht="25.5" outlineLevel="1" x14ac:dyDescent="0.2">
      <c r="A67" s="592" t="s">
        <v>1810</v>
      </c>
      <c r="B67" s="603" t="s">
        <v>1198</v>
      </c>
      <c r="C67" s="277" t="s">
        <v>2595</v>
      </c>
      <c r="D67" s="8" t="s">
        <v>145</v>
      </c>
      <c r="E67" s="23" t="s">
        <v>2354</v>
      </c>
      <c r="F67" s="8">
        <v>2014</v>
      </c>
      <c r="G67" s="8">
        <v>2017</v>
      </c>
      <c r="H67" s="5">
        <v>28.2698</v>
      </c>
      <c r="I67" s="5">
        <v>28.2698</v>
      </c>
      <c r="J67" s="5">
        <f t="shared" si="42"/>
        <v>1</v>
      </c>
      <c r="K67" s="8"/>
      <c r="L67" s="8"/>
      <c r="M67" s="5"/>
      <c r="N67" s="5" t="s">
        <v>2354</v>
      </c>
      <c r="O67" s="8"/>
      <c r="P67" s="23"/>
      <c r="Q67" s="23" t="s">
        <v>2354</v>
      </c>
      <c r="R67" s="267">
        <v>1</v>
      </c>
      <c r="S67" s="267"/>
      <c r="T67" s="267">
        <v>12.08</v>
      </c>
      <c r="U67" s="267">
        <f>I67-R67-S67-T67</f>
        <v>15.1898</v>
      </c>
      <c r="V67" s="267"/>
      <c r="W67" s="267"/>
      <c r="X67" s="5">
        <f t="shared" si="44"/>
        <v>28.2698</v>
      </c>
      <c r="Y67" s="302"/>
      <c r="Z67" s="5"/>
      <c r="AA67" s="94"/>
      <c r="AB67" s="311">
        <f t="shared" si="17"/>
        <v>0</v>
      </c>
      <c r="AC67" s="296"/>
      <c r="AD67" s="113">
        <v>6.3E-3</v>
      </c>
      <c r="AE67" s="5">
        <f t="shared" si="43"/>
        <v>0</v>
      </c>
      <c r="AF67" s="5"/>
      <c r="AG67" s="5"/>
      <c r="AH67" s="5"/>
      <c r="AI67" s="5">
        <f>H67</f>
        <v>28.2698</v>
      </c>
      <c r="AJ67" s="5"/>
      <c r="AK67" s="94"/>
      <c r="AL67" s="94">
        <f t="shared" si="41"/>
        <v>28.2698</v>
      </c>
      <c r="AM67" s="122"/>
      <c r="AN67" s="180"/>
      <c r="AO67" s="122"/>
      <c r="AP67" s="184"/>
      <c r="AQ67" s="122"/>
      <c r="AR67" s="184"/>
      <c r="AS67" s="122">
        <v>3.5</v>
      </c>
      <c r="AT67" s="184"/>
      <c r="AU67" s="122"/>
      <c r="AV67" s="184"/>
      <c r="AW67" s="122"/>
      <c r="AX67" s="184"/>
      <c r="AY67" s="111">
        <f t="shared" si="9"/>
        <v>3.5</v>
      </c>
      <c r="AZ67" s="178">
        <f t="shared" si="10"/>
        <v>0</v>
      </c>
      <c r="BA67" s="64"/>
      <c r="BB67" s="64"/>
      <c r="BF67" s="5">
        <v>1</v>
      </c>
      <c r="BG67" s="5"/>
      <c r="BH67" s="5">
        <v>12.08</v>
      </c>
      <c r="BI67" s="5">
        <v>12.078999999999999</v>
      </c>
      <c r="BJ67" s="5"/>
      <c r="BK67" s="5"/>
      <c r="BL67" s="5">
        <f t="shared" si="45"/>
        <v>25.158999999999999</v>
      </c>
    </row>
    <row r="68" spans="1:64" s="2" customFormat="1" ht="42.75" customHeight="1" outlineLevel="1" x14ac:dyDescent="0.2">
      <c r="A68" s="6" t="s">
        <v>919</v>
      </c>
      <c r="B68" s="603" t="s">
        <v>919</v>
      </c>
      <c r="C68" s="7" t="s">
        <v>1788</v>
      </c>
      <c r="D68" s="8" t="s">
        <v>145</v>
      </c>
      <c r="E68" s="8" t="s">
        <v>2355</v>
      </c>
      <c r="F68" s="8">
        <v>2016</v>
      </c>
      <c r="G68" s="8">
        <v>2018</v>
      </c>
      <c r="H68" s="5">
        <v>14.7112</v>
      </c>
      <c r="I68" s="5">
        <v>14.7112</v>
      </c>
      <c r="J68" s="5">
        <f t="shared" si="42"/>
        <v>0</v>
      </c>
      <c r="K68" s="8"/>
      <c r="L68" s="8"/>
      <c r="M68" s="8"/>
      <c r="N68" s="8"/>
      <c r="O68" s="8" t="s">
        <v>2355</v>
      </c>
      <c r="P68" s="8"/>
      <c r="Q68" s="8" t="s">
        <v>2355</v>
      </c>
      <c r="R68" s="5"/>
      <c r="S68" s="267"/>
      <c r="T68" s="267">
        <v>1.26</v>
      </c>
      <c r="U68" s="267">
        <f>I68-R68-S68-T68</f>
        <v>13.4512</v>
      </c>
      <c r="V68" s="267"/>
      <c r="W68" s="267"/>
      <c r="X68" s="5">
        <f t="shared" si="44"/>
        <v>14.7112</v>
      </c>
      <c r="Y68" s="302"/>
      <c r="Z68" s="5"/>
      <c r="AA68" s="94"/>
      <c r="AB68" s="311">
        <f t="shared" si="17"/>
        <v>0</v>
      </c>
      <c r="AC68" s="296"/>
      <c r="AD68" s="113"/>
      <c r="AE68" s="5">
        <f t="shared" si="43"/>
        <v>0</v>
      </c>
      <c r="AF68" s="5"/>
      <c r="AG68" s="5"/>
      <c r="AH68" s="5"/>
      <c r="AI68" s="5"/>
      <c r="AJ68" s="5">
        <f>H68</f>
        <v>14.7112</v>
      </c>
      <c r="AK68" s="94"/>
      <c r="AL68" s="94">
        <f t="shared" si="41"/>
        <v>14.7112</v>
      </c>
      <c r="AM68" s="122"/>
      <c r="AN68" s="180"/>
      <c r="AO68" s="122"/>
      <c r="AP68" s="184"/>
      <c r="AQ68" s="122"/>
      <c r="AR68" s="184"/>
      <c r="AS68" s="122"/>
      <c r="AT68" s="184"/>
      <c r="AU68" s="122">
        <f>4*0.45</f>
        <v>1.8</v>
      </c>
      <c r="AV68" s="184"/>
      <c r="AW68" s="122"/>
      <c r="AX68" s="184"/>
      <c r="AY68" s="111">
        <f t="shared" si="9"/>
        <v>1.8</v>
      </c>
      <c r="AZ68" s="178">
        <f t="shared" si="10"/>
        <v>0</v>
      </c>
      <c r="BF68" s="5"/>
      <c r="BG68" s="5"/>
      <c r="BH68" s="5">
        <v>1.26</v>
      </c>
      <c r="BI68" s="5">
        <v>11.324</v>
      </c>
      <c r="BJ68" s="5"/>
      <c r="BK68" s="5"/>
      <c r="BL68" s="5">
        <f t="shared" si="45"/>
        <v>12.584</v>
      </c>
    </row>
    <row r="69" spans="1:64" s="2" customFormat="1" ht="30.75" customHeight="1" outlineLevel="1" x14ac:dyDescent="0.2">
      <c r="A69" s="6" t="s">
        <v>920</v>
      </c>
      <c r="B69" s="603" t="s">
        <v>920</v>
      </c>
      <c r="C69" s="7" t="s">
        <v>1789</v>
      </c>
      <c r="D69" s="8" t="s">
        <v>145</v>
      </c>
      <c r="E69" s="8" t="s">
        <v>2451</v>
      </c>
      <c r="F69" s="8">
        <v>2015</v>
      </c>
      <c r="G69" s="8">
        <v>2016</v>
      </c>
      <c r="H69" s="5">
        <v>3.25</v>
      </c>
      <c r="I69" s="5">
        <v>3.25</v>
      </c>
      <c r="J69" s="5">
        <f t="shared" si="42"/>
        <v>0</v>
      </c>
      <c r="K69" s="8"/>
      <c r="L69" s="8"/>
      <c r="M69" s="8" t="s">
        <v>2451</v>
      </c>
      <c r="N69" s="8"/>
      <c r="O69" s="8"/>
      <c r="P69" s="8"/>
      <c r="Q69" s="8" t="s">
        <v>2451</v>
      </c>
      <c r="R69" s="5"/>
      <c r="S69" s="267">
        <v>0.5</v>
      </c>
      <c r="T69" s="267">
        <f>I69-R69-S69</f>
        <v>2.75</v>
      </c>
      <c r="U69" s="267"/>
      <c r="V69" s="267"/>
      <c r="W69" s="267"/>
      <c r="X69" s="5">
        <f t="shared" si="44"/>
        <v>3.25</v>
      </c>
      <c r="Y69" s="302"/>
      <c r="Z69" s="5"/>
      <c r="AA69" s="94"/>
      <c r="AB69" s="311">
        <f t="shared" si="17"/>
        <v>0</v>
      </c>
      <c r="AC69" s="296"/>
      <c r="AD69" s="113"/>
      <c r="AE69" s="5">
        <f t="shared" si="43"/>
        <v>0</v>
      </c>
      <c r="AF69" s="5"/>
      <c r="AG69" s="5"/>
      <c r="AH69" s="5">
        <f>H69</f>
        <v>3.25</v>
      </c>
      <c r="AI69" s="5"/>
      <c r="AJ69" s="5"/>
      <c r="AK69" s="94"/>
      <c r="AL69" s="94">
        <f t="shared" si="41"/>
        <v>3.25</v>
      </c>
      <c r="AM69" s="122"/>
      <c r="AN69" s="180"/>
      <c r="AO69" s="122"/>
      <c r="AP69" s="184"/>
      <c r="AQ69" s="122">
        <v>0.7</v>
      </c>
      <c r="AR69" s="184"/>
      <c r="AS69" s="122"/>
      <c r="AT69" s="184"/>
      <c r="AU69" s="122"/>
      <c r="AV69" s="184"/>
      <c r="AW69" s="122"/>
      <c r="AX69" s="184"/>
      <c r="AY69" s="111">
        <f t="shared" si="9"/>
        <v>0.7</v>
      </c>
      <c r="AZ69" s="178">
        <f t="shared" si="10"/>
        <v>0</v>
      </c>
      <c r="BF69" s="5"/>
      <c r="BG69" s="5">
        <v>0.5</v>
      </c>
      <c r="BH69" s="5">
        <v>5.0056399999999996</v>
      </c>
      <c r="BI69" s="5"/>
      <c r="BJ69" s="5"/>
      <c r="BK69" s="5"/>
      <c r="BL69" s="5">
        <f t="shared" si="45"/>
        <v>5.5056399999999996</v>
      </c>
    </row>
    <row r="70" spans="1:64" s="2" customFormat="1" ht="30.75" customHeight="1" outlineLevel="1" x14ac:dyDescent="0.2">
      <c r="A70" s="610" t="s">
        <v>2958</v>
      </c>
      <c r="B70" s="603" t="s">
        <v>394</v>
      </c>
      <c r="C70" s="7" t="s">
        <v>939</v>
      </c>
      <c r="D70" s="8" t="s">
        <v>145</v>
      </c>
      <c r="E70" s="23" t="s">
        <v>1206</v>
      </c>
      <c r="F70" s="8">
        <v>2018</v>
      </c>
      <c r="G70" s="8">
        <v>2019</v>
      </c>
      <c r="H70" s="5">
        <v>0.79530000000000001</v>
      </c>
      <c r="I70" s="5">
        <v>0.79530000000000001</v>
      </c>
      <c r="J70" s="5">
        <f t="shared" si="42"/>
        <v>0</v>
      </c>
      <c r="K70" s="8"/>
      <c r="L70" s="8"/>
      <c r="M70" s="8"/>
      <c r="N70" s="8"/>
      <c r="O70" s="8"/>
      <c r="P70" s="8" t="s">
        <v>1206</v>
      </c>
      <c r="Q70" s="8" t="s">
        <v>1206</v>
      </c>
      <c r="R70" s="5"/>
      <c r="S70" s="267"/>
      <c r="T70" s="267"/>
      <c r="U70" s="267"/>
      <c r="V70" s="267">
        <v>0.3</v>
      </c>
      <c r="W70" s="267">
        <f>I70-R70-S70-T70-U70-V70</f>
        <v>0.49530000000000002</v>
      </c>
      <c r="X70" s="5">
        <f t="shared" si="44"/>
        <v>0.79530000000000001</v>
      </c>
      <c r="Y70" s="302"/>
      <c r="Z70" s="5"/>
      <c r="AA70" s="94"/>
      <c r="AB70" s="311">
        <f t="shared" si="17"/>
        <v>0</v>
      </c>
      <c r="AC70" s="296"/>
      <c r="AD70" s="113"/>
      <c r="AE70" s="5">
        <f t="shared" si="43"/>
        <v>0</v>
      </c>
      <c r="AF70" s="5"/>
      <c r="AG70" s="5"/>
      <c r="AH70" s="5"/>
      <c r="AI70" s="5"/>
      <c r="AJ70" s="5"/>
      <c r="AK70" s="94">
        <f>H70</f>
        <v>0.79530000000000001</v>
      </c>
      <c r="AL70" s="94">
        <f t="shared" si="41"/>
        <v>0.79530000000000001</v>
      </c>
      <c r="AM70" s="122"/>
      <c r="AN70" s="180"/>
      <c r="AO70" s="122"/>
      <c r="AP70" s="184"/>
      <c r="AQ70" s="122"/>
      <c r="AR70" s="184"/>
      <c r="AS70" s="122"/>
      <c r="AT70" s="184"/>
      <c r="AU70" s="122"/>
      <c r="AV70" s="184"/>
      <c r="AW70" s="122">
        <v>0.3</v>
      </c>
      <c r="AX70" s="184"/>
      <c r="AY70" s="111">
        <f t="shared" si="9"/>
        <v>0.3</v>
      </c>
      <c r="AZ70" s="178">
        <f t="shared" si="10"/>
        <v>0</v>
      </c>
      <c r="BF70" s="5"/>
      <c r="BG70" s="5"/>
      <c r="BH70" s="5"/>
      <c r="BI70" s="5"/>
      <c r="BJ70" s="5">
        <v>0.3</v>
      </c>
      <c r="BK70" s="5">
        <v>0.5</v>
      </c>
      <c r="BL70" s="5">
        <f t="shared" si="45"/>
        <v>0.8</v>
      </c>
    </row>
    <row r="71" spans="1:64" s="2" customFormat="1" ht="30.75" customHeight="1" outlineLevel="1" x14ac:dyDescent="0.2">
      <c r="A71" s="610" t="s">
        <v>2959</v>
      </c>
      <c r="B71" s="603" t="s">
        <v>395</v>
      </c>
      <c r="C71" s="7" t="s">
        <v>1757</v>
      </c>
      <c r="D71" s="8" t="s">
        <v>145</v>
      </c>
      <c r="E71" s="23" t="s">
        <v>1203</v>
      </c>
      <c r="F71" s="8">
        <v>2018</v>
      </c>
      <c r="G71" s="8">
        <v>2019</v>
      </c>
      <c r="H71" s="5">
        <v>0.6704</v>
      </c>
      <c r="I71" s="5">
        <v>0.6704</v>
      </c>
      <c r="J71" s="5">
        <f t="shared" si="42"/>
        <v>0</v>
      </c>
      <c r="K71" s="8"/>
      <c r="L71" s="8"/>
      <c r="M71" s="8"/>
      <c r="N71" s="8"/>
      <c r="O71" s="8"/>
      <c r="P71" s="8" t="s">
        <v>1203</v>
      </c>
      <c r="Q71" s="8" t="s">
        <v>1203</v>
      </c>
      <c r="R71" s="5"/>
      <c r="S71" s="267"/>
      <c r="T71" s="267"/>
      <c r="U71" s="267"/>
      <c r="V71" s="267">
        <v>0.28999999999999998</v>
      </c>
      <c r="W71" s="267">
        <f>I71-R71-S71-T71-U71-V71</f>
        <v>0.38040000000000002</v>
      </c>
      <c r="X71" s="5">
        <f t="shared" si="44"/>
        <v>0.6704</v>
      </c>
      <c r="Y71" s="302"/>
      <c r="Z71" s="5"/>
      <c r="AA71" s="94"/>
      <c r="AB71" s="311">
        <f t="shared" si="17"/>
        <v>0</v>
      </c>
      <c r="AC71" s="296"/>
      <c r="AD71" s="113"/>
      <c r="AE71" s="5">
        <f t="shared" si="43"/>
        <v>0</v>
      </c>
      <c r="AF71" s="5"/>
      <c r="AG71" s="5"/>
      <c r="AH71" s="5"/>
      <c r="AI71" s="5"/>
      <c r="AJ71" s="5"/>
      <c r="AK71" s="94">
        <f>H71</f>
        <v>0.6704</v>
      </c>
      <c r="AL71" s="94">
        <f t="shared" si="41"/>
        <v>0.6704</v>
      </c>
      <c r="AM71" s="122"/>
      <c r="AN71" s="180"/>
      <c r="AO71" s="122"/>
      <c r="AP71" s="184"/>
      <c r="AQ71" s="122"/>
      <c r="AR71" s="184"/>
      <c r="AS71" s="122"/>
      <c r="AT71" s="184"/>
      <c r="AU71" s="122"/>
      <c r="AV71" s="184"/>
      <c r="AW71" s="122">
        <v>0.2</v>
      </c>
      <c r="AX71" s="184"/>
      <c r="AY71" s="111">
        <f t="shared" si="9"/>
        <v>0.2</v>
      </c>
      <c r="AZ71" s="178">
        <f t="shared" si="10"/>
        <v>0</v>
      </c>
      <c r="BF71" s="5"/>
      <c r="BG71" s="5"/>
      <c r="BH71" s="5"/>
      <c r="BI71" s="5"/>
      <c r="BJ71" s="5">
        <v>0.28999999999999998</v>
      </c>
      <c r="BK71" s="5">
        <v>0.4</v>
      </c>
      <c r="BL71" s="5">
        <f t="shared" si="45"/>
        <v>0.69</v>
      </c>
    </row>
    <row r="72" spans="1:64" s="2" customFormat="1" ht="54" customHeight="1" outlineLevel="3" x14ac:dyDescent="0.2">
      <c r="A72" s="592" t="s">
        <v>1926</v>
      </c>
      <c r="B72" s="603" t="s">
        <v>2527</v>
      </c>
      <c r="C72" s="278" t="s">
        <v>167</v>
      </c>
      <c r="D72" s="8" t="s">
        <v>136</v>
      </c>
      <c r="E72" s="23" t="s">
        <v>1911</v>
      </c>
      <c r="F72" s="8">
        <v>2018</v>
      </c>
      <c r="G72" s="8">
        <v>2021</v>
      </c>
      <c r="H72" s="267"/>
      <c r="I72" s="267"/>
      <c r="J72" s="5"/>
      <c r="K72" s="8"/>
      <c r="L72" s="8"/>
      <c r="M72" s="8"/>
      <c r="N72" s="8"/>
      <c r="O72" s="8"/>
      <c r="P72" s="8"/>
      <c r="Q72" s="8"/>
      <c r="R72" s="267"/>
      <c r="S72" s="267"/>
      <c r="T72" s="267"/>
      <c r="U72" s="267"/>
      <c r="V72" s="267"/>
      <c r="W72" s="267"/>
      <c r="X72" s="5">
        <f t="shared" si="44"/>
        <v>0</v>
      </c>
      <c r="Y72" s="302"/>
      <c r="Z72" s="5"/>
      <c r="AA72" s="94"/>
      <c r="AB72" s="311">
        <f t="shared" si="17"/>
        <v>0</v>
      </c>
      <c r="AC72" s="296">
        <v>7.4789000000000003</v>
      </c>
      <c r="AD72" s="113"/>
      <c r="AE72" s="5">
        <f t="shared" si="43"/>
        <v>-7.4789000000000003</v>
      </c>
      <c r="AF72" s="275"/>
      <c r="AG72" s="275"/>
      <c r="AH72" s="275"/>
      <c r="AI72" s="275"/>
      <c r="AJ72" s="275"/>
      <c r="AK72" s="276"/>
      <c r="AL72" s="94">
        <f t="shared" si="41"/>
        <v>0</v>
      </c>
      <c r="AM72" s="122"/>
      <c r="AN72" s="180"/>
      <c r="AO72" s="122"/>
      <c r="AP72" s="184"/>
      <c r="AQ72" s="122"/>
      <c r="AR72" s="184"/>
      <c r="AS72" s="122"/>
      <c r="AT72" s="184"/>
      <c r="AU72" s="122"/>
      <c r="AV72" s="184"/>
      <c r="AW72" s="122"/>
      <c r="AX72" s="184"/>
      <c r="AY72" s="111">
        <f t="shared" si="9"/>
        <v>0</v>
      </c>
      <c r="AZ72" s="178">
        <f t="shared" si="10"/>
        <v>0</v>
      </c>
      <c r="BF72" s="267"/>
      <c r="BG72" s="267"/>
      <c r="BH72" s="267"/>
      <c r="BI72" s="267"/>
      <c r="BJ72" s="267">
        <v>35.64</v>
      </c>
      <c r="BK72" s="267">
        <v>131</v>
      </c>
      <c r="BL72" s="5">
        <f t="shared" si="45"/>
        <v>166.64</v>
      </c>
    </row>
    <row r="73" spans="1:64" s="14" customFormat="1" ht="38.25" hidden="1" customHeight="1" outlineLevel="4" x14ac:dyDescent="0.2">
      <c r="A73" s="10"/>
      <c r="B73" s="10"/>
      <c r="C73" s="279" t="s">
        <v>1386</v>
      </c>
      <c r="D73" s="13"/>
      <c r="E73" s="271"/>
      <c r="F73" s="13"/>
      <c r="G73" s="13"/>
      <c r="H73" s="50"/>
      <c r="I73" s="50"/>
      <c r="J73" s="5"/>
      <c r="K73" s="13"/>
      <c r="L73" s="13"/>
      <c r="M73" s="13"/>
      <c r="N73" s="13"/>
      <c r="O73" s="13"/>
      <c r="P73" s="13"/>
      <c r="Q73" s="13"/>
      <c r="R73" s="50"/>
      <c r="S73" s="267"/>
      <c r="T73" s="267"/>
      <c r="U73" s="267"/>
      <c r="V73" s="267"/>
      <c r="W73" s="267"/>
      <c r="X73" s="5"/>
      <c r="Y73" s="302"/>
      <c r="Z73" s="5"/>
      <c r="AA73" s="94"/>
      <c r="AB73" s="311">
        <f t="shared" si="17"/>
        <v>0</v>
      </c>
      <c r="AC73" s="296"/>
      <c r="AD73" s="113"/>
      <c r="AE73" s="5"/>
      <c r="AF73" s="275"/>
      <c r="AG73" s="275"/>
      <c r="AH73" s="275"/>
      <c r="AI73" s="275"/>
      <c r="AJ73" s="275"/>
      <c r="AK73" s="276"/>
      <c r="AL73" s="94">
        <f t="shared" si="41"/>
        <v>0</v>
      </c>
      <c r="AM73" s="124"/>
      <c r="AN73" s="272"/>
      <c r="AO73" s="124"/>
      <c r="AP73" s="273"/>
      <c r="AQ73" s="124"/>
      <c r="AR73" s="273"/>
      <c r="AS73" s="124"/>
      <c r="AT73" s="273"/>
      <c r="AU73" s="124"/>
      <c r="AV73" s="273"/>
      <c r="AW73" s="124"/>
      <c r="AX73" s="273"/>
      <c r="AY73" s="111">
        <f t="shared" si="9"/>
        <v>0</v>
      </c>
      <c r="AZ73" s="178">
        <f t="shared" si="10"/>
        <v>0</v>
      </c>
      <c r="BF73" s="50"/>
      <c r="BG73" s="50"/>
      <c r="BH73" s="50"/>
      <c r="BI73" s="50"/>
      <c r="BJ73" s="50"/>
      <c r="BK73" s="50"/>
      <c r="BL73" s="5"/>
    </row>
    <row r="74" spans="1:64" s="14" customFormat="1" ht="15.75" hidden="1" customHeight="1" outlineLevel="4" x14ac:dyDescent="0.2">
      <c r="A74" s="10"/>
      <c r="B74" s="10"/>
      <c r="C74" s="279" t="s">
        <v>2467</v>
      </c>
      <c r="D74" s="13"/>
      <c r="E74" s="271"/>
      <c r="F74" s="13"/>
      <c r="G74" s="13"/>
      <c r="H74" s="50"/>
      <c r="I74" s="50"/>
      <c r="J74" s="5"/>
      <c r="K74" s="13"/>
      <c r="L74" s="13"/>
      <c r="M74" s="13"/>
      <c r="N74" s="13"/>
      <c r="O74" s="13"/>
      <c r="P74" s="13"/>
      <c r="Q74" s="13"/>
      <c r="R74" s="50"/>
      <c r="S74" s="267"/>
      <c r="T74" s="267"/>
      <c r="U74" s="267"/>
      <c r="V74" s="267"/>
      <c r="W74" s="267"/>
      <c r="X74" s="5"/>
      <c r="Y74" s="302"/>
      <c r="Z74" s="5"/>
      <c r="AA74" s="94"/>
      <c r="AB74" s="311">
        <f t="shared" si="17"/>
        <v>0</v>
      </c>
      <c r="AC74" s="296"/>
      <c r="AD74" s="113"/>
      <c r="AE74" s="5"/>
      <c r="AF74" s="48"/>
      <c r="AG74" s="48"/>
      <c r="AH74" s="48"/>
      <c r="AI74" s="48"/>
      <c r="AJ74" s="48"/>
      <c r="AK74" s="158"/>
      <c r="AL74" s="94">
        <f t="shared" si="41"/>
        <v>0</v>
      </c>
      <c r="AM74" s="124"/>
      <c r="AN74" s="272"/>
      <c r="AO74" s="124"/>
      <c r="AP74" s="273"/>
      <c r="AQ74" s="124"/>
      <c r="AR74" s="273"/>
      <c r="AS74" s="124"/>
      <c r="AT74" s="273"/>
      <c r="AU74" s="124"/>
      <c r="AV74" s="273"/>
      <c r="AW74" s="124"/>
      <c r="AX74" s="273"/>
      <c r="AY74" s="111">
        <f t="shared" si="9"/>
        <v>0</v>
      </c>
      <c r="AZ74" s="178">
        <f t="shared" si="10"/>
        <v>0</v>
      </c>
      <c r="BF74" s="50"/>
      <c r="BG74" s="50"/>
      <c r="BH74" s="50"/>
      <c r="BI74" s="50"/>
      <c r="BJ74" s="50"/>
      <c r="BK74" s="50"/>
      <c r="BL74" s="5"/>
    </row>
    <row r="75" spans="1:64" s="14" customFormat="1" ht="22.5" hidden="1" customHeight="1" outlineLevel="4" x14ac:dyDescent="0.2">
      <c r="A75" s="10"/>
      <c r="B75" s="10"/>
      <c r="C75" s="279" t="s">
        <v>2468</v>
      </c>
      <c r="D75" s="13"/>
      <c r="E75" s="271"/>
      <c r="F75" s="13"/>
      <c r="G75" s="13"/>
      <c r="H75" s="50"/>
      <c r="I75" s="50"/>
      <c r="J75" s="5"/>
      <c r="K75" s="13"/>
      <c r="L75" s="13"/>
      <c r="M75" s="13"/>
      <c r="N75" s="13"/>
      <c r="O75" s="13"/>
      <c r="P75" s="13"/>
      <c r="Q75" s="13"/>
      <c r="R75" s="50"/>
      <c r="S75" s="267"/>
      <c r="T75" s="267"/>
      <c r="U75" s="267"/>
      <c r="V75" s="267"/>
      <c r="W75" s="267"/>
      <c r="X75" s="5"/>
      <c r="Y75" s="302"/>
      <c r="Z75" s="5"/>
      <c r="AA75" s="94"/>
      <c r="AB75" s="311">
        <f t="shared" si="17"/>
        <v>0</v>
      </c>
      <c r="AC75" s="296"/>
      <c r="AD75" s="113"/>
      <c r="AE75" s="5"/>
      <c r="AF75" s="5"/>
      <c r="AG75" s="5"/>
      <c r="AH75" s="5"/>
      <c r="AI75" s="5"/>
      <c r="AJ75" s="5"/>
      <c r="AK75" s="94"/>
      <c r="AL75" s="94">
        <f t="shared" si="41"/>
        <v>0</v>
      </c>
      <c r="AM75" s="124"/>
      <c r="AN75" s="272"/>
      <c r="AO75" s="124"/>
      <c r="AP75" s="273"/>
      <c r="AQ75" s="124"/>
      <c r="AR75" s="273"/>
      <c r="AS75" s="124"/>
      <c r="AT75" s="273"/>
      <c r="AU75" s="124"/>
      <c r="AV75" s="273"/>
      <c r="AW75" s="124"/>
      <c r="AX75" s="273"/>
      <c r="AY75" s="111">
        <f t="shared" si="9"/>
        <v>0</v>
      </c>
      <c r="AZ75" s="178">
        <f t="shared" si="10"/>
        <v>0</v>
      </c>
      <c r="BF75" s="50"/>
      <c r="BG75" s="50"/>
      <c r="BH75" s="50"/>
      <c r="BI75" s="50"/>
      <c r="BJ75" s="50"/>
      <c r="BK75" s="50"/>
      <c r="BL75" s="5"/>
    </row>
    <row r="76" spans="1:64" s="14" customFormat="1" ht="22.5" hidden="1" customHeight="1" outlineLevel="4" x14ac:dyDescent="0.2">
      <c r="A76" s="10"/>
      <c r="B76" s="10"/>
      <c r="C76" s="279" t="s">
        <v>2659</v>
      </c>
      <c r="D76" s="13"/>
      <c r="E76" s="271"/>
      <c r="F76" s="13"/>
      <c r="G76" s="13"/>
      <c r="H76" s="50"/>
      <c r="I76" s="50"/>
      <c r="J76" s="5"/>
      <c r="K76" s="13"/>
      <c r="L76" s="13"/>
      <c r="M76" s="13"/>
      <c r="N76" s="13"/>
      <c r="O76" s="13"/>
      <c r="P76" s="13"/>
      <c r="Q76" s="13"/>
      <c r="R76" s="50"/>
      <c r="S76" s="267"/>
      <c r="T76" s="267"/>
      <c r="U76" s="267"/>
      <c r="V76" s="267"/>
      <c r="W76" s="267"/>
      <c r="X76" s="5"/>
      <c r="Y76" s="302"/>
      <c r="Z76" s="5"/>
      <c r="AA76" s="94"/>
      <c r="AB76" s="311">
        <f t="shared" si="17"/>
        <v>0</v>
      </c>
      <c r="AC76" s="296"/>
      <c r="AD76" s="113"/>
      <c r="AE76" s="5"/>
      <c r="AF76" s="5"/>
      <c r="AG76" s="5"/>
      <c r="AH76" s="5"/>
      <c r="AI76" s="5"/>
      <c r="AJ76" s="5"/>
      <c r="AK76" s="94"/>
      <c r="AL76" s="94">
        <f t="shared" si="41"/>
        <v>0</v>
      </c>
      <c r="AM76" s="124"/>
      <c r="AN76" s="272"/>
      <c r="AO76" s="124"/>
      <c r="AP76" s="273"/>
      <c r="AQ76" s="124"/>
      <c r="AR76" s="273"/>
      <c r="AS76" s="124"/>
      <c r="AT76" s="273"/>
      <c r="AU76" s="124"/>
      <c r="AV76" s="273"/>
      <c r="AW76" s="124"/>
      <c r="AX76" s="273"/>
      <c r="AY76" s="111">
        <f t="shared" si="9"/>
        <v>0</v>
      </c>
      <c r="AZ76" s="178">
        <f t="shared" si="10"/>
        <v>0</v>
      </c>
      <c r="BF76" s="50"/>
      <c r="BG76" s="50"/>
      <c r="BH76" s="50"/>
      <c r="BI76" s="50"/>
      <c r="BJ76" s="50"/>
      <c r="BK76" s="50"/>
      <c r="BL76" s="5"/>
    </row>
    <row r="77" spans="1:64" s="14" customFormat="1" ht="22.5" hidden="1" customHeight="1" outlineLevel="4" x14ac:dyDescent="0.2">
      <c r="A77" s="10"/>
      <c r="B77" s="10"/>
      <c r="C77" s="279" t="s">
        <v>2469</v>
      </c>
      <c r="D77" s="13"/>
      <c r="E77" s="271"/>
      <c r="F77" s="13"/>
      <c r="G77" s="13"/>
      <c r="H77" s="50"/>
      <c r="I77" s="50"/>
      <c r="J77" s="5"/>
      <c r="K77" s="13"/>
      <c r="L77" s="13"/>
      <c r="M77" s="13"/>
      <c r="N77" s="13"/>
      <c r="O77" s="13"/>
      <c r="P77" s="13"/>
      <c r="Q77" s="13"/>
      <c r="R77" s="50"/>
      <c r="S77" s="267"/>
      <c r="T77" s="267"/>
      <c r="U77" s="267"/>
      <c r="V77" s="267"/>
      <c r="W77" s="267"/>
      <c r="X77" s="5"/>
      <c r="Y77" s="302"/>
      <c r="Z77" s="5"/>
      <c r="AA77" s="94"/>
      <c r="AB77" s="311">
        <f t="shared" si="17"/>
        <v>0</v>
      </c>
      <c r="AC77" s="296"/>
      <c r="AD77" s="113"/>
      <c r="AE77" s="5"/>
      <c r="AF77" s="5"/>
      <c r="AG77" s="5"/>
      <c r="AH77" s="5"/>
      <c r="AI77" s="5"/>
      <c r="AJ77" s="5"/>
      <c r="AK77" s="94"/>
      <c r="AL77" s="94">
        <f t="shared" si="41"/>
        <v>0</v>
      </c>
      <c r="AM77" s="124"/>
      <c r="AN77" s="272"/>
      <c r="AO77" s="124"/>
      <c r="AP77" s="273"/>
      <c r="AQ77" s="124"/>
      <c r="AR77" s="273"/>
      <c r="AS77" s="124"/>
      <c r="AT77" s="273"/>
      <c r="AU77" s="124"/>
      <c r="AV77" s="273"/>
      <c r="AW77" s="124"/>
      <c r="AX77" s="273"/>
      <c r="AY77" s="111">
        <f t="shared" si="9"/>
        <v>0</v>
      </c>
      <c r="AZ77" s="178">
        <f t="shared" si="10"/>
        <v>0</v>
      </c>
      <c r="BF77" s="50"/>
      <c r="BG77" s="50"/>
      <c r="BH77" s="50"/>
      <c r="BI77" s="50"/>
      <c r="BJ77" s="50"/>
      <c r="BK77" s="50"/>
      <c r="BL77" s="5"/>
    </row>
    <row r="78" spans="1:64" s="2" customFormat="1" ht="15.75" collapsed="1" x14ac:dyDescent="0.2">
      <c r="A78" s="28"/>
      <c r="B78" s="28" t="s">
        <v>1199</v>
      </c>
      <c r="C78" s="29" t="s">
        <v>140</v>
      </c>
      <c r="D78" s="30"/>
      <c r="E78" s="30"/>
      <c r="F78" s="30"/>
      <c r="G78" s="30"/>
      <c r="H78" s="31">
        <f>SUM(H79:H82)</f>
        <v>2.9474999999999998</v>
      </c>
      <c r="I78" s="31">
        <f>SUM(I79:I82)</f>
        <v>2.7286999999999999</v>
      </c>
      <c r="J78" s="31">
        <f>SUM(J79:J82)</f>
        <v>7.6999999999999999E-2</v>
      </c>
      <c r="K78" s="31"/>
      <c r="L78" s="31"/>
      <c r="M78" s="31"/>
      <c r="N78" s="31"/>
      <c r="O78" s="31"/>
      <c r="P78" s="31"/>
      <c r="Q78" s="31"/>
      <c r="R78" s="31">
        <f t="shared" ref="R78:AX78" si="46">SUM(R79:R82)</f>
        <v>7.6999999999999999E-2</v>
      </c>
      <c r="S78" s="31">
        <f t="shared" si="46"/>
        <v>0.2601</v>
      </c>
      <c r="T78" s="31">
        <f t="shared" si="46"/>
        <v>0.31679999999999997</v>
      </c>
      <c r="U78" s="31">
        <f t="shared" si="46"/>
        <v>2.0747999999999998</v>
      </c>
      <c r="V78" s="31">
        <f t="shared" si="46"/>
        <v>0</v>
      </c>
      <c r="W78" s="31">
        <f t="shared" si="46"/>
        <v>0</v>
      </c>
      <c r="X78" s="31">
        <f t="shared" si="46"/>
        <v>2.7286999999999999</v>
      </c>
      <c r="Y78" s="132"/>
      <c r="Z78" s="31"/>
      <c r="AA78" s="95"/>
      <c r="AB78" s="310">
        <f t="shared" si="17"/>
        <v>0</v>
      </c>
      <c r="AC78" s="300">
        <f t="shared" si="46"/>
        <v>0.21879999999999999</v>
      </c>
      <c r="AD78" s="228">
        <f t="shared" si="46"/>
        <v>4.1999999999999997E-3</v>
      </c>
      <c r="AE78" s="31">
        <f t="shared" si="46"/>
        <v>0</v>
      </c>
      <c r="AF78" s="31">
        <f t="shared" si="46"/>
        <v>0</v>
      </c>
      <c r="AG78" s="31">
        <f t="shared" si="46"/>
        <v>0.37</v>
      </c>
      <c r="AH78" s="31">
        <f t="shared" si="46"/>
        <v>0.41149999999999998</v>
      </c>
      <c r="AI78" s="31">
        <f t="shared" si="46"/>
        <v>2.0747999999999998</v>
      </c>
      <c r="AJ78" s="31">
        <f t="shared" si="46"/>
        <v>0</v>
      </c>
      <c r="AK78" s="95">
        <f t="shared" si="46"/>
        <v>0</v>
      </c>
      <c r="AL78" s="95">
        <f t="shared" si="46"/>
        <v>2.8563000000000001</v>
      </c>
      <c r="AM78" s="85">
        <f t="shared" si="46"/>
        <v>0</v>
      </c>
      <c r="AN78" s="179">
        <f t="shared" si="46"/>
        <v>0</v>
      </c>
      <c r="AO78" s="85">
        <f t="shared" si="46"/>
        <v>0.215</v>
      </c>
      <c r="AP78" s="183">
        <f t="shared" si="46"/>
        <v>0</v>
      </c>
      <c r="AQ78" s="85">
        <f t="shared" si="46"/>
        <v>0.115</v>
      </c>
      <c r="AR78" s="183">
        <f t="shared" si="46"/>
        <v>0</v>
      </c>
      <c r="AS78" s="85">
        <f t="shared" si="46"/>
        <v>0.7</v>
      </c>
      <c r="AT78" s="183">
        <f t="shared" si="46"/>
        <v>0</v>
      </c>
      <c r="AU78" s="85">
        <f t="shared" si="46"/>
        <v>0</v>
      </c>
      <c r="AV78" s="183">
        <f t="shared" si="46"/>
        <v>0</v>
      </c>
      <c r="AW78" s="85">
        <f t="shared" si="46"/>
        <v>0</v>
      </c>
      <c r="AX78" s="183">
        <f t="shared" si="46"/>
        <v>0</v>
      </c>
      <c r="AY78" s="188">
        <f>AM78+AO78+AQ78+AS78+AU78+AW78</f>
        <v>1.03</v>
      </c>
      <c r="AZ78" s="190">
        <f t="shared" si="10"/>
        <v>0</v>
      </c>
      <c r="BF78" s="31">
        <f t="shared" ref="BF78:BL78" si="47">SUM(BF79:BF82)</f>
        <v>7.6999999999999999E-2</v>
      </c>
      <c r="BG78" s="31">
        <f t="shared" si="47"/>
        <v>0.2838</v>
      </c>
      <c r="BH78" s="31">
        <f t="shared" si="47"/>
        <v>0.32985999999999999</v>
      </c>
      <c r="BI78" s="31">
        <f t="shared" si="47"/>
        <v>1.55</v>
      </c>
      <c r="BJ78" s="31">
        <f t="shared" si="47"/>
        <v>0</v>
      </c>
      <c r="BK78" s="31">
        <f t="shared" si="47"/>
        <v>0</v>
      </c>
      <c r="BL78" s="31">
        <f t="shared" si="47"/>
        <v>2.2406600000000001</v>
      </c>
    </row>
    <row r="79" spans="1:64" s="358" customFormat="1" ht="51" outlineLevel="1" x14ac:dyDescent="0.2">
      <c r="A79" s="379" t="s">
        <v>1778</v>
      </c>
      <c r="B79" s="606" t="s">
        <v>1200</v>
      </c>
      <c r="C79" s="404" t="s">
        <v>2721</v>
      </c>
      <c r="D79" s="405" t="s">
        <v>136</v>
      </c>
      <c r="E79" s="406" t="s">
        <v>1912</v>
      </c>
      <c r="F79" s="405">
        <v>2013</v>
      </c>
      <c r="G79" s="405">
        <v>2015</v>
      </c>
      <c r="H79" s="407">
        <v>0.4612</v>
      </c>
      <c r="I79" s="407">
        <v>0.33710000000000001</v>
      </c>
      <c r="J79" s="408">
        <f>R79</f>
        <v>7.6999999999999999E-2</v>
      </c>
      <c r="K79" s="405"/>
      <c r="L79" s="405" t="s">
        <v>1912</v>
      </c>
      <c r="M79" s="405"/>
      <c r="N79" s="405"/>
      <c r="O79" s="405"/>
      <c r="P79" s="405"/>
      <c r="Q79" s="405" t="s">
        <v>1912</v>
      </c>
      <c r="R79" s="409">
        <v>7.6999999999999999E-2</v>
      </c>
      <c r="S79" s="407">
        <f>I79-R79</f>
        <v>0.2601</v>
      </c>
      <c r="T79" s="407"/>
      <c r="U79" s="407"/>
      <c r="V79" s="407"/>
      <c r="W79" s="407"/>
      <c r="X79" s="407">
        <f>SUM(R79:W79)</f>
        <v>0.33710000000000001</v>
      </c>
      <c r="Y79" s="410"/>
      <c r="Z79" s="407"/>
      <c r="AA79" s="411"/>
      <c r="AB79" s="412">
        <f t="shared" si="17"/>
        <v>0</v>
      </c>
      <c r="AC79" s="413">
        <v>0.1241</v>
      </c>
      <c r="AD79" s="414">
        <v>4.1999999999999997E-3</v>
      </c>
      <c r="AE79" s="380">
        <f>H79-I79-AC79</f>
        <v>0</v>
      </c>
      <c r="AF79" s="380"/>
      <c r="AG79" s="380">
        <v>0.37</v>
      </c>
      <c r="AH79" s="380"/>
      <c r="AI79" s="380"/>
      <c r="AJ79" s="380"/>
      <c r="AK79" s="384"/>
      <c r="AL79" s="384">
        <f t="shared" si="41"/>
        <v>0.37</v>
      </c>
      <c r="AM79" s="392"/>
      <c r="AN79" s="387"/>
      <c r="AO79" s="392">
        <v>0.215</v>
      </c>
      <c r="AP79" s="388"/>
      <c r="AQ79" s="392"/>
      <c r="AR79" s="388"/>
      <c r="AS79" s="392"/>
      <c r="AT79" s="388"/>
      <c r="AU79" s="392"/>
      <c r="AV79" s="388"/>
      <c r="AW79" s="392"/>
      <c r="AX79" s="388"/>
      <c r="AY79" s="389">
        <f>AM79+AO79+AQ79+AS79+AU79+AW79</f>
        <v>0.215</v>
      </c>
      <c r="AZ79" s="390">
        <f t="shared" ref="AZ79:AZ143" si="48">AN79+AP79+AR79+AT79+AV79+AX79</f>
        <v>0</v>
      </c>
      <c r="BF79" s="409">
        <v>7.6999999999999999E-2</v>
      </c>
      <c r="BG79" s="415">
        <v>0.2838</v>
      </c>
      <c r="BH79" s="408"/>
      <c r="BI79" s="407"/>
      <c r="BJ79" s="407"/>
      <c r="BK79" s="407"/>
      <c r="BL79" s="407">
        <f>SUM(BF79:BK79)</f>
        <v>0.36080000000000001</v>
      </c>
    </row>
    <row r="80" spans="1:64" s="358" customFormat="1" ht="63.75" outlineLevel="1" x14ac:dyDescent="0.2">
      <c r="A80" s="379" t="s">
        <v>1777</v>
      </c>
      <c r="B80" s="603" t="s">
        <v>1202</v>
      </c>
      <c r="C80" s="351" t="s">
        <v>1507</v>
      </c>
      <c r="D80" s="352" t="s">
        <v>136</v>
      </c>
      <c r="E80" s="349" t="s">
        <v>1913</v>
      </c>
      <c r="F80" s="352">
        <v>2013</v>
      </c>
      <c r="G80" s="352">
        <v>2016</v>
      </c>
      <c r="H80" s="380">
        <v>0.41149999999999998</v>
      </c>
      <c r="I80" s="380">
        <v>0.31679999999999997</v>
      </c>
      <c r="J80" s="380">
        <f>R80</f>
        <v>0</v>
      </c>
      <c r="K80" s="352"/>
      <c r="L80" s="352"/>
      <c r="M80" s="349" t="s">
        <v>1913</v>
      </c>
      <c r="N80" s="352"/>
      <c r="O80" s="352"/>
      <c r="P80" s="352"/>
      <c r="Q80" s="349" t="s">
        <v>1913</v>
      </c>
      <c r="R80" s="416"/>
      <c r="S80" s="407"/>
      <c r="T80" s="407">
        <f>I80</f>
        <v>0.31679999999999997</v>
      </c>
      <c r="U80" s="407"/>
      <c r="V80" s="407"/>
      <c r="W80" s="407"/>
      <c r="X80" s="380">
        <f>SUM(R80:W80)</f>
        <v>0.31679999999999997</v>
      </c>
      <c r="Y80" s="383"/>
      <c r="Z80" s="380"/>
      <c r="AA80" s="384"/>
      <c r="AB80" s="385">
        <f t="shared" si="17"/>
        <v>0</v>
      </c>
      <c r="AC80" s="386">
        <v>9.4700000000000006E-2</v>
      </c>
      <c r="AD80" s="382"/>
      <c r="AE80" s="380">
        <f>H80-I80-AC80</f>
        <v>0</v>
      </c>
      <c r="AF80" s="380"/>
      <c r="AG80" s="380"/>
      <c r="AH80" s="380">
        <f>H80</f>
        <v>0.41149999999999998</v>
      </c>
      <c r="AI80" s="380"/>
      <c r="AJ80" s="380"/>
      <c r="AK80" s="384"/>
      <c r="AL80" s="384">
        <f t="shared" si="41"/>
        <v>0.41149999999999998</v>
      </c>
      <c r="AM80" s="392"/>
      <c r="AN80" s="387"/>
      <c r="AO80" s="392"/>
      <c r="AP80" s="388"/>
      <c r="AQ80" s="392">
        <v>0.115</v>
      </c>
      <c r="AR80" s="388"/>
      <c r="AS80" s="392"/>
      <c r="AT80" s="388"/>
      <c r="AU80" s="392"/>
      <c r="AV80" s="388"/>
      <c r="AW80" s="392"/>
      <c r="AX80" s="388"/>
      <c r="AY80" s="389">
        <f t="shared" ref="AY80:AY120" si="49">AM80+AO80+AQ80+AS80+AU80+AW80</f>
        <v>0.115</v>
      </c>
      <c r="AZ80" s="390">
        <f t="shared" si="48"/>
        <v>0</v>
      </c>
      <c r="BF80" s="416"/>
      <c r="BG80" s="416"/>
      <c r="BH80" s="380">
        <v>0.32985999999999999</v>
      </c>
      <c r="BI80" s="380"/>
      <c r="BJ80" s="380"/>
      <c r="BK80" s="380"/>
      <c r="BL80" s="380">
        <f>SUM(BF80:BK80)</f>
        <v>0.32985999999999999</v>
      </c>
    </row>
    <row r="81" spans="1:64" s="358" customFormat="1" ht="51" outlineLevel="1" x14ac:dyDescent="0.2">
      <c r="A81" s="379" t="s">
        <v>1204</v>
      </c>
      <c r="B81" s="603" t="s">
        <v>1204</v>
      </c>
      <c r="C81" s="351" t="s">
        <v>1508</v>
      </c>
      <c r="D81" s="352" t="s">
        <v>145</v>
      </c>
      <c r="E81" s="349" t="s">
        <v>1206</v>
      </c>
      <c r="F81" s="352">
        <v>2017</v>
      </c>
      <c r="G81" s="352">
        <v>2017</v>
      </c>
      <c r="H81" s="380">
        <v>0.64349999999999996</v>
      </c>
      <c r="I81" s="380">
        <v>0.64349999999999996</v>
      </c>
      <c r="J81" s="380">
        <f>R81</f>
        <v>0</v>
      </c>
      <c r="K81" s="352"/>
      <c r="L81" s="352"/>
      <c r="M81" s="352"/>
      <c r="N81" s="352" t="s">
        <v>1206</v>
      </c>
      <c r="O81" s="352"/>
      <c r="P81" s="352"/>
      <c r="Q81" s="352" t="s">
        <v>1206</v>
      </c>
      <c r="R81" s="380"/>
      <c r="S81" s="407"/>
      <c r="T81" s="407"/>
      <c r="U81" s="407">
        <f>I81</f>
        <v>0.64349999999999996</v>
      </c>
      <c r="V81" s="407"/>
      <c r="W81" s="407"/>
      <c r="X81" s="380">
        <f>SUM(R81:W81)</f>
        <v>0.64349999999999996</v>
      </c>
      <c r="Y81" s="383"/>
      <c r="Z81" s="380"/>
      <c r="AA81" s="384"/>
      <c r="AB81" s="385">
        <f t="shared" si="17"/>
        <v>0</v>
      </c>
      <c r="AC81" s="386"/>
      <c r="AD81" s="382"/>
      <c r="AE81" s="380">
        <f>H81-I81-AC81</f>
        <v>0</v>
      </c>
      <c r="AF81" s="380"/>
      <c r="AG81" s="380"/>
      <c r="AH81" s="380"/>
      <c r="AI81" s="380">
        <f>H81</f>
        <v>0.64349999999999996</v>
      </c>
      <c r="AJ81" s="380"/>
      <c r="AK81" s="384"/>
      <c r="AL81" s="384">
        <f t="shared" si="41"/>
        <v>0.64349999999999996</v>
      </c>
      <c r="AM81" s="392"/>
      <c r="AN81" s="387"/>
      <c r="AO81" s="392"/>
      <c r="AP81" s="388"/>
      <c r="AQ81" s="392"/>
      <c r="AR81" s="388"/>
      <c r="AS81" s="392">
        <v>0.3</v>
      </c>
      <c r="AT81" s="388"/>
      <c r="AU81" s="392"/>
      <c r="AV81" s="388"/>
      <c r="AW81" s="392"/>
      <c r="AX81" s="388"/>
      <c r="AY81" s="389">
        <f t="shared" si="49"/>
        <v>0.3</v>
      </c>
      <c r="AZ81" s="390">
        <f t="shared" si="48"/>
        <v>0</v>
      </c>
      <c r="BF81" s="380"/>
      <c r="BG81" s="380"/>
      <c r="BH81" s="380"/>
      <c r="BI81" s="380">
        <v>0.55000000000000004</v>
      </c>
      <c r="BJ81" s="380"/>
      <c r="BK81" s="380"/>
      <c r="BL81" s="380">
        <f>SUM(BF81:BK81)</f>
        <v>0.55000000000000004</v>
      </c>
    </row>
    <row r="82" spans="1:64" s="421" customFormat="1" ht="51" outlineLevel="1" x14ac:dyDescent="0.2">
      <c r="A82" s="379" t="s">
        <v>1205</v>
      </c>
      <c r="B82" s="603" t="s">
        <v>1205</v>
      </c>
      <c r="C82" s="417" t="s">
        <v>2722</v>
      </c>
      <c r="D82" s="352" t="s">
        <v>145</v>
      </c>
      <c r="E82" s="349" t="s">
        <v>925</v>
      </c>
      <c r="F82" s="356">
        <v>2017</v>
      </c>
      <c r="G82" s="356">
        <v>2017</v>
      </c>
      <c r="H82" s="350">
        <v>1.4313</v>
      </c>
      <c r="I82" s="350">
        <v>1.4313</v>
      </c>
      <c r="J82" s="380">
        <f>R82</f>
        <v>0</v>
      </c>
      <c r="K82" s="352"/>
      <c r="L82" s="352"/>
      <c r="M82" s="352"/>
      <c r="N82" s="352" t="s">
        <v>925</v>
      </c>
      <c r="O82" s="352"/>
      <c r="P82" s="352"/>
      <c r="Q82" s="352" t="s">
        <v>925</v>
      </c>
      <c r="R82" s="380"/>
      <c r="S82" s="407"/>
      <c r="T82" s="407"/>
      <c r="U82" s="407">
        <f>I82</f>
        <v>1.4313</v>
      </c>
      <c r="V82" s="407"/>
      <c r="W82" s="407"/>
      <c r="X82" s="380">
        <f>SUM(R82:W82)</f>
        <v>1.4313</v>
      </c>
      <c r="Y82" s="383"/>
      <c r="Z82" s="380"/>
      <c r="AA82" s="384"/>
      <c r="AB82" s="385">
        <f t="shared" si="17"/>
        <v>0</v>
      </c>
      <c r="AC82" s="386"/>
      <c r="AD82" s="382"/>
      <c r="AE82" s="380">
        <f>H82-I82-AC82</f>
        <v>0</v>
      </c>
      <c r="AF82" s="380"/>
      <c r="AG82" s="380"/>
      <c r="AH82" s="380"/>
      <c r="AI82" s="380">
        <f>H82</f>
        <v>1.4313</v>
      </c>
      <c r="AJ82" s="380"/>
      <c r="AK82" s="384"/>
      <c r="AL82" s="384">
        <f t="shared" si="41"/>
        <v>1.4313</v>
      </c>
      <c r="AM82" s="392"/>
      <c r="AN82" s="418"/>
      <c r="AO82" s="392"/>
      <c r="AP82" s="419"/>
      <c r="AQ82" s="392"/>
      <c r="AR82" s="419"/>
      <c r="AS82" s="392">
        <v>0.4</v>
      </c>
      <c r="AT82" s="420"/>
      <c r="AU82" s="392"/>
      <c r="AV82" s="419"/>
      <c r="AW82" s="392"/>
      <c r="AX82" s="419"/>
      <c r="AY82" s="389">
        <f t="shared" si="49"/>
        <v>0.4</v>
      </c>
      <c r="AZ82" s="390">
        <f t="shared" si="48"/>
        <v>0</v>
      </c>
      <c r="BF82" s="380"/>
      <c r="BG82" s="380"/>
      <c r="BH82" s="380"/>
      <c r="BI82" s="380">
        <v>1</v>
      </c>
      <c r="BJ82" s="380"/>
      <c r="BK82" s="380"/>
      <c r="BL82" s="380">
        <f>SUM(BF82:BK82)</f>
        <v>1</v>
      </c>
    </row>
    <row r="83" spans="1:64" s="2" customFormat="1" ht="15.75" x14ac:dyDescent="0.2">
      <c r="A83" s="28"/>
      <c r="B83" s="28" t="s">
        <v>1207</v>
      </c>
      <c r="C83" s="29" t="s">
        <v>142</v>
      </c>
      <c r="D83" s="30"/>
      <c r="E83" s="30"/>
      <c r="F83" s="30"/>
      <c r="G83" s="30"/>
      <c r="H83" s="31">
        <f>SUM(H84:H88)</f>
        <v>58.776499999999999</v>
      </c>
      <c r="I83" s="31">
        <f>SUM(I84:I88)</f>
        <v>26.938499999999998</v>
      </c>
      <c r="J83" s="31">
        <f>SUM(J84:J88)</f>
        <v>1.0651999999999999</v>
      </c>
      <c r="K83" s="31"/>
      <c r="L83" s="31"/>
      <c r="M83" s="31"/>
      <c r="N83" s="31"/>
      <c r="O83" s="31"/>
      <c r="P83" s="31"/>
      <c r="Q83" s="31"/>
      <c r="R83" s="31">
        <f t="shared" ref="R83:AX83" si="50">SUM(R84:R88)</f>
        <v>1.0651999999999999</v>
      </c>
      <c r="S83" s="31">
        <f t="shared" si="50"/>
        <v>2.5269999999999997</v>
      </c>
      <c r="T83" s="31">
        <f t="shared" si="50"/>
        <v>0.6</v>
      </c>
      <c r="U83" s="31">
        <f t="shared" si="50"/>
        <v>15.42</v>
      </c>
      <c r="V83" s="31">
        <f t="shared" si="50"/>
        <v>0.63</v>
      </c>
      <c r="W83" s="31">
        <f t="shared" si="50"/>
        <v>6.6962999999999999</v>
      </c>
      <c r="X83" s="31">
        <f t="shared" si="50"/>
        <v>26.938500000000001</v>
      </c>
      <c r="Y83" s="132"/>
      <c r="Z83" s="31"/>
      <c r="AA83" s="95"/>
      <c r="AB83" s="310">
        <f t="shared" si="17"/>
        <v>0</v>
      </c>
      <c r="AC83" s="300">
        <f t="shared" si="50"/>
        <v>31.764999999999997</v>
      </c>
      <c r="AD83" s="228">
        <f t="shared" si="50"/>
        <v>1.9300000000000001E-2</v>
      </c>
      <c r="AE83" s="31">
        <f t="shared" si="50"/>
        <v>7.3000000000001397E-2</v>
      </c>
      <c r="AF83" s="31">
        <f t="shared" si="50"/>
        <v>31.690200000000001</v>
      </c>
      <c r="AG83" s="31">
        <f t="shared" si="50"/>
        <v>3.11</v>
      </c>
      <c r="AH83" s="31">
        <f t="shared" si="50"/>
        <v>0</v>
      </c>
      <c r="AI83" s="31">
        <f t="shared" si="50"/>
        <v>16.649999999999999</v>
      </c>
      <c r="AJ83" s="31">
        <f t="shared" si="50"/>
        <v>0</v>
      </c>
      <c r="AK83" s="95">
        <f t="shared" si="50"/>
        <v>7.3262999999999998</v>
      </c>
      <c r="AL83" s="95">
        <f t="shared" si="50"/>
        <v>58.776499999999999</v>
      </c>
      <c r="AM83" s="85">
        <f t="shared" si="50"/>
        <v>0</v>
      </c>
      <c r="AN83" s="179">
        <f t="shared" si="50"/>
        <v>2</v>
      </c>
      <c r="AO83" s="85">
        <f t="shared" si="50"/>
        <v>0</v>
      </c>
      <c r="AP83" s="183">
        <f t="shared" si="50"/>
        <v>0.63</v>
      </c>
      <c r="AQ83" s="85">
        <f t="shared" si="50"/>
        <v>0</v>
      </c>
      <c r="AR83" s="183">
        <f t="shared" si="50"/>
        <v>0</v>
      </c>
      <c r="AS83" s="85">
        <f t="shared" si="50"/>
        <v>0</v>
      </c>
      <c r="AT83" s="183">
        <f t="shared" si="50"/>
        <v>1.6600000000000001</v>
      </c>
      <c r="AU83" s="85">
        <f t="shared" si="50"/>
        <v>0</v>
      </c>
      <c r="AV83" s="183">
        <f t="shared" si="50"/>
        <v>0</v>
      </c>
      <c r="AW83" s="85">
        <f t="shared" si="50"/>
        <v>0</v>
      </c>
      <c r="AX83" s="183">
        <f t="shared" si="50"/>
        <v>0.63</v>
      </c>
      <c r="AY83" s="188">
        <f t="shared" si="49"/>
        <v>0</v>
      </c>
      <c r="AZ83" s="190">
        <f t="shared" si="48"/>
        <v>4.92</v>
      </c>
      <c r="BF83" s="31">
        <f t="shared" ref="BF83:BL83" si="51">SUM(BF84:BF88)</f>
        <v>1.0651999999999999</v>
      </c>
      <c r="BG83" s="31">
        <f t="shared" si="51"/>
        <v>8.5</v>
      </c>
      <c r="BH83" s="31">
        <f t="shared" si="51"/>
        <v>0.6</v>
      </c>
      <c r="BI83" s="31">
        <f t="shared" si="51"/>
        <v>15.719999999999999</v>
      </c>
      <c r="BJ83" s="31">
        <f t="shared" si="51"/>
        <v>0.63</v>
      </c>
      <c r="BK83" s="31">
        <f t="shared" si="51"/>
        <v>8.6199999999999992</v>
      </c>
      <c r="BL83" s="31">
        <f t="shared" si="51"/>
        <v>35.135199999999998</v>
      </c>
    </row>
    <row r="84" spans="1:64" s="69" customFormat="1" ht="25.5" outlineLevel="1" x14ac:dyDescent="0.2">
      <c r="A84" s="230" t="s">
        <v>1780</v>
      </c>
      <c r="B84" s="603" t="s">
        <v>1208</v>
      </c>
      <c r="C84" s="210" t="s">
        <v>1219</v>
      </c>
      <c r="D84" s="207" t="s">
        <v>145</v>
      </c>
      <c r="E84" s="209" t="s">
        <v>1212</v>
      </c>
      <c r="F84" s="207">
        <v>2012</v>
      </c>
      <c r="G84" s="207">
        <v>2014</v>
      </c>
      <c r="H84" s="205">
        <v>31.690200000000001</v>
      </c>
      <c r="I84" s="205">
        <v>0.56520000000000004</v>
      </c>
      <c r="J84" s="205">
        <f>R84</f>
        <v>0.56520000000000004</v>
      </c>
      <c r="K84" s="207" t="s">
        <v>1212</v>
      </c>
      <c r="L84" s="207"/>
      <c r="M84" s="207"/>
      <c r="N84" s="207"/>
      <c r="O84" s="207"/>
      <c r="P84" s="207"/>
      <c r="Q84" s="207" t="s">
        <v>1212</v>
      </c>
      <c r="R84" s="205">
        <v>0.56520000000000004</v>
      </c>
      <c r="S84" s="208"/>
      <c r="T84" s="208"/>
      <c r="U84" s="208"/>
      <c r="V84" s="208"/>
      <c r="W84" s="208"/>
      <c r="X84" s="205">
        <f>SUM(R84:W84)</f>
        <v>0.56520000000000004</v>
      </c>
      <c r="Y84" s="314"/>
      <c r="Z84" s="205"/>
      <c r="AA84" s="232"/>
      <c r="AB84" s="307">
        <f t="shared" ref="AB84:AB147" si="52">I84-X84</f>
        <v>0</v>
      </c>
      <c r="AC84" s="297">
        <v>31.1252</v>
      </c>
      <c r="AD84" s="225">
        <v>1.9300000000000001E-2</v>
      </c>
      <c r="AE84" s="205">
        <f>H84-I84-AC84</f>
        <v>-1.9999999999953388E-4</v>
      </c>
      <c r="AF84" s="205">
        <f>H84</f>
        <v>31.690200000000001</v>
      </c>
      <c r="AG84" s="205"/>
      <c r="AH84" s="205"/>
      <c r="AI84" s="205"/>
      <c r="AJ84" s="205"/>
      <c r="AK84" s="232"/>
      <c r="AL84" s="232">
        <f t="shared" si="41"/>
        <v>31.690200000000001</v>
      </c>
      <c r="AM84" s="233"/>
      <c r="AN84" s="263">
        <f>2*1</f>
        <v>2</v>
      </c>
      <c r="AO84" s="233"/>
      <c r="AP84" s="264"/>
      <c r="AQ84" s="233"/>
      <c r="AR84" s="264"/>
      <c r="AS84" s="233"/>
      <c r="AT84" s="264"/>
      <c r="AU84" s="233"/>
      <c r="AV84" s="264"/>
      <c r="AW84" s="233"/>
      <c r="AX84" s="264"/>
      <c r="AY84" s="236">
        <f t="shared" si="49"/>
        <v>0</v>
      </c>
      <c r="AZ84" s="237">
        <f t="shared" si="48"/>
        <v>2</v>
      </c>
      <c r="BF84" s="205">
        <v>0.56520000000000004</v>
      </c>
      <c r="BG84" s="205"/>
      <c r="BH84" s="205"/>
      <c r="BI84" s="205"/>
      <c r="BJ84" s="205"/>
      <c r="BK84" s="205"/>
      <c r="BL84" s="205">
        <f>SUM(BF84:BK84)</f>
        <v>0.56520000000000004</v>
      </c>
    </row>
    <row r="85" spans="1:64" s="69" customFormat="1" ht="38.25" outlineLevel="1" x14ac:dyDescent="0.2">
      <c r="A85" s="230" t="s">
        <v>1803</v>
      </c>
      <c r="B85" s="603" t="s">
        <v>462</v>
      </c>
      <c r="C85" s="210" t="s">
        <v>1791</v>
      </c>
      <c r="D85" s="207" t="s">
        <v>145</v>
      </c>
      <c r="E85" s="209" t="s">
        <v>146</v>
      </c>
      <c r="F85" s="207">
        <v>2014</v>
      </c>
      <c r="G85" s="207">
        <v>2015</v>
      </c>
      <c r="H85" s="205">
        <v>3.11</v>
      </c>
      <c r="I85" s="205">
        <v>3.0269999999999997</v>
      </c>
      <c r="J85" s="205">
        <f>R85</f>
        <v>0.5</v>
      </c>
      <c r="K85" s="207"/>
      <c r="L85" s="209" t="s">
        <v>146</v>
      </c>
      <c r="M85" s="207"/>
      <c r="N85" s="207"/>
      <c r="O85" s="207"/>
      <c r="P85" s="207"/>
      <c r="Q85" s="207" t="s">
        <v>146</v>
      </c>
      <c r="R85" s="205">
        <v>0.5</v>
      </c>
      <c r="S85" s="208">
        <f>I85-R85</f>
        <v>2.5269999999999997</v>
      </c>
      <c r="T85" s="208"/>
      <c r="U85" s="208"/>
      <c r="V85" s="208"/>
      <c r="W85" s="208"/>
      <c r="X85" s="205">
        <f>SUM(R85:W85)</f>
        <v>3.0269999999999997</v>
      </c>
      <c r="Y85" s="314"/>
      <c r="Z85" s="205"/>
      <c r="AA85" s="232"/>
      <c r="AB85" s="307">
        <f t="shared" si="52"/>
        <v>0</v>
      </c>
      <c r="AC85" s="297">
        <v>5.1000000000000004E-3</v>
      </c>
      <c r="AD85" s="225"/>
      <c r="AE85" s="205">
        <f>H85-I85-AC85</f>
        <v>7.7900000000000191E-2</v>
      </c>
      <c r="AF85" s="205"/>
      <c r="AG85" s="205">
        <f>H85</f>
        <v>3.11</v>
      </c>
      <c r="AH85" s="205"/>
      <c r="AI85" s="205"/>
      <c r="AJ85" s="205"/>
      <c r="AK85" s="232"/>
      <c r="AL85" s="232">
        <f t="shared" si="41"/>
        <v>3.11</v>
      </c>
      <c r="AM85" s="233"/>
      <c r="AN85" s="234"/>
      <c r="AO85" s="233"/>
      <c r="AP85" s="235">
        <f>1*0.63</f>
        <v>0.63</v>
      </c>
      <c r="AQ85" s="233"/>
      <c r="AR85" s="235"/>
      <c r="AS85" s="233"/>
      <c r="AT85" s="235"/>
      <c r="AU85" s="233"/>
      <c r="AV85" s="235"/>
      <c r="AW85" s="233"/>
      <c r="AX85" s="235"/>
      <c r="AY85" s="236">
        <f t="shared" si="49"/>
        <v>0</v>
      </c>
      <c r="AZ85" s="237">
        <f t="shared" si="48"/>
        <v>0.63</v>
      </c>
      <c r="BF85" s="205">
        <v>0.5</v>
      </c>
      <c r="BG85" s="205">
        <v>8.5</v>
      </c>
      <c r="BH85" s="205"/>
      <c r="BI85" s="205"/>
      <c r="BJ85" s="205"/>
      <c r="BK85" s="205"/>
      <c r="BL85" s="205">
        <f>SUM(BF85:BK85)</f>
        <v>9</v>
      </c>
    </row>
    <row r="86" spans="1:64" s="69" customFormat="1" ht="25.5" outlineLevel="1" x14ac:dyDescent="0.2">
      <c r="A86" s="230" t="s">
        <v>1220</v>
      </c>
      <c r="B86" s="603" t="s">
        <v>1220</v>
      </c>
      <c r="C86" s="210" t="s">
        <v>1790</v>
      </c>
      <c r="D86" s="207" t="s">
        <v>145</v>
      </c>
      <c r="E86" s="209" t="s">
        <v>2567</v>
      </c>
      <c r="F86" s="207">
        <v>2016</v>
      </c>
      <c r="G86" s="207">
        <v>2017</v>
      </c>
      <c r="H86" s="205">
        <v>3.11</v>
      </c>
      <c r="I86" s="205">
        <v>3.11</v>
      </c>
      <c r="J86" s="205">
        <f>R86</f>
        <v>0</v>
      </c>
      <c r="K86" s="207"/>
      <c r="L86" s="207"/>
      <c r="M86" s="209"/>
      <c r="N86" s="209" t="s">
        <v>2567</v>
      </c>
      <c r="O86" s="207"/>
      <c r="P86" s="207"/>
      <c r="Q86" s="209" t="s">
        <v>110</v>
      </c>
      <c r="R86" s="205"/>
      <c r="S86" s="208"/>
      <c r="T86" s="208">
        <v>0.6</v>
      </c>
      <c r="U86" s="208">
        <f>I86-T86</f>
        <v>2.5099999999999998</v>
      </c>
      <c r="V86" s="208"/>
      <c r="W86" s="208"/>
      <c r="X86" s="205">
        <f>SUM(R86:W86)</f>
        <v>3.11</v>
      </c>
      <c r="Y86" s="314"/>
      <c r="Z86" s="205"/>
      <c r="AA86" s="232"/>
      <c r="AB86" s="307">
        <f t="shared" si="52"/>
        <v>0</v>
      </c>
      <c r="AC86" s="297"/>
      <c r="AD86" s="225"/>
      <c r="AE86" s="205">
        <f>H86-I86-AC86</f>
        <v>0</v>
      </c>
      <c r="AF86" s="205"/>
      <c r="AG86" s="205"/>
      <c r="AH86" s="205"/>
      <c r="AI86" s="205">
        <f>H86</f>
        <v>3.11</v>
      </c>
      <c r="AJ86" s="205"/>
      <c r="AK86" s="232"/>
      <c r="AL86" s="232">
        <f t="shared" si="41"/>
        <v>3.11</v>
      </c>
      <c r="AM86" s="233"/>
      <c r="AN86" s="234"/>
      <c r="AO86" s="233"/>
      <c r="AP86" s="235"/>
      <c r="AQ86" s="233"/>
      <c r="AR86" s="235"/>
      <c r="AS86" s="233"/>
      <c r="AT86" s="235">
        <f>1*0.4</f>
        <v>0.4</v>
      </c>
      <c r="AU86" s="233"/>
      <c r="AV86" s="235"/>
      <c r="AW86" s="233"/>
      <c r="AX86" s="235"/>
      <c r="AY86" s="236">
        <f t="shared" si="49"/>
        <v>0</v>
      </c>
      <c r="AZ86" s="237">
        <f t="shared" si="48"/>
        <v>0.4</v>
      </c>
      <c r="BF86" s="205"/>
      <c r="BG86" s="205"/>
      <c r="BH86" s="205">
        <v>0.6</v>
      </c>
      <c r="BI86" s="208">
        <v>2.6799999999999997</v>
      </c>
      <c r="BJ86" s="205"/>
      <c r="BK86" s="205"/>
      <c r="BL86" s="205">
        <f>SUM(BF86:BK86)</f>
        <v>3.28</v>
      </c>
    </row>
    <row r="87" spans="1:64" s="69" customFormat="1" ht="38.25" outlineLevel="1" x14ac:dyDescent="0.2">
      <c r="A87" s="230" t="s">
        <v>1779</v>
      </c>
      <c r="B87" s="603" t="s">
        <v>1756</v>
      </c>
      <c r="C87" s="210" t="s">
        <v>1209</v>
      </c>
      <c r="D87" s="207" t="s">
        <v>136</v>
      </c>
      <c r="E87" s="209" t="s">
        <v>147</v>
      </c>
      <c r="F87" s="207">
        <v>2013</v>
      </c>
      <c r="G87" s="207">
        <v>2017</v>
      </c>
      <c r="H87" s="208">
        <v>13.54</v>
      </c>
      <c r="I87" s="208">
        <v>12.909999999999998</v>
      </c>
      <c r="J87" s="225">
        <f>R87</f>
        <v>0</v>
      </c>
      <c r="K87" s="205"/>
      <c r="L87" s="207"/>
      <c r="M87" s="207"/>
      <c r="N87" s="207" t="s">
        <v>147</v>
      </c>
      <c r="O87" s="207"/>
      <c r="P87" s="207"/>
      <c r="Q87" s="207" t="s">
        <v>147</v>
      </c>
      <c r="R87" s="261"/>
      <c r="S87" s="208"/>
      <c r="T87" s="208"/>
      <c r="U87" s="208">
        <v>12.91</v>
      </c>
      <c r="V87" s="208"/>
      <c r="W87" s="208"/>
      <c r="X87" s="205">
        <f>SUM(R87:W87)</f>
        <v>12.91</v>
      </c>
      <c r="Y87" s="314"/>
      <c r="Z87" s="205"/>
      <c r="AA87" s="232"/>
      <c r="AB87" s="307">
        <f t="shared" si="52"/>
        <v>0</v>
      </c>
      <c r="AC87" s="297">
        <v>0.63470000000000004</v>
      </c>
      <c r="AD87" s="225">
        <v>0</v>
      </c>
      <c r="AE87" s="205">
        <f>H87-I87-AC87</f>
        <v>-4.6999999999992603E-3</v>
      </c>
      <c r="AF87" s="205"/>
      <c r="AG87" s="205"/>
      <c r="AH87" s="205"/>
      <c r="AI87" s="205">
        <f>H87</f>
        <v>13.54</v>
      </c>
      <c r="AJ87" s="205"/>
      <c r="AK87" s="232"/>
      <c r="AL87" s="232">
        <f t="shared" si="41"/>
        <v>13.54</v>
      </c>
      <c r="AM87" s="233"/>
      <c r="AN87" s="234"/>
      <c r="AO87" s="233"/>
      <c r="AP87" s="235"/>
      <c r="AQ87" s="233"/>
      <c r="AR87" s="235"/>
      <c r="AS87" s="233"/>
      <c r="AT87" s="235">
        <f>2*0.63</f>
        <v>1.26</v>
      </c>
      <c r="AU87" s="233"/>
      <c r="AV87" s="235"/>
      <c r="AW87" s="233"/>
      <c r="AX87" s="235"/>
      <c r="AY87" s="236">
        <f t="shared" si="49"/>
        <v>0</v>
      </c>
      <c r="AZ87" s="237">
        <f t="shared" si="48"/>
        <v>1.26</v>
      </c>
      <c r="BF87" s="261"/>
      <c r="BG87" s="241"/>
      <c r="BH87" s="241"/>
      <c r="BI87" s="205">
        <v>13.04</v>
      </c>
      <c r="BJ87" s="241"/>
      <c r="BK87" s="241"/>
      <c r="BL87" s="205">
        <f>SUM(BF87:BK87)</f>
        <v>13.04</v>
      </c>
    </row>
    <row r="88" spans="1:64" s="69" customFormat="1" ht="25.5" outlineLevel="1" x14ac:dyDescent="0.2">
      <c r="A88" s="230" t="s">
        <v>2960</v>
      </c>
      <c r="B88" s="603" t="s">
        <v>2528</v>
      </c>
      <c r="C88" s="210" t="s">
        <v>1758</v>
      </c>
      <c r="D88" s="207" t="s">
        <v>145</v>
      </c>
      <c r="E88" s="8" t="s">
        <v>146</v>
      </c>
      <c r="F88" s="207">
        <v>2018</v>
      </c>
      <c r="G88" s="207">
        <v>2019</v>
      </c>
      <c r="H88" s="205">
        <v>7.3262999999999998</v>
      </c>
      <c r="I88" s="205">
        <v>7.3262999999999998</v>
      </c>
      <c r="J88" s="205">
        <f>R88</f>
        <v>0</v>
      </c>
      <c r="K88" s="207"/>
      <c r="L88" s="207"/>
      <c r="M88" s="209"/>
      <c r="N88" s="207"/>
      <c r="O88" s="207"/>
      <c r="P88" s="8" t="s">
        <v>146</v>
      </c>
      <c r="Q88" s="8" t="s">
        <v>146</v>
      </c>
      <c r="R88" s="205"/>
      <c r="S88" s="208"/>
      <c r="T88" s="208"/>
      <c r="U88" s="208"/>
      <c r="V88" s="208">
        <v>0.63</v>
      </c>
      <c r="W88" s="208">
        <f>I88-R88-S88-T88-U88-V88</f>
        <v>6.6962999999999999</v>
      </c>
      <c r="X88" s="205">
        <f>SUM(R88:W88)</f>
        <v>7.3262999999999998</v>
      </c>
      <c r="Y88" s="314"/>
      <c r="Z88" s="205"/>
      <c r="AA88" s="232"/>
      <c r="AB88" s="307">
        <f t="shared" si="52"/>
        <v>0</v>
      </c>
      <c r="AC88" s="297"/>
      <c r="AD88" s="225"/>
      <c r="AE88" s="205">
        <f>H88-I88-AC88</f>
        <v>0</v>
      </c>
      <c r="AF88" s="205"/>
      <c r="AG88" s="205"/>
      <c r="AH88" s="205"/>
      <c r="AI88" s="205"/>
      <c r="AJ88" s="205"/>
      <c r="AK88" s="232">
        <f>H88</f>
        <v>7.3262999999999998</v>
      </c>
      <c r="AL88" s="232">
        <f t="shared" si="41"/>
        <v>7.3262999999999998</v>
      </c>
      <c r="AM88" s="233"/>
      <c r="AN88" s="234"/>
      <c r="AO88" s="233"/>
      <c r="AP88" s="235"/>
      <c r="AQ88" s="233"/>
      <c r="AR88" s="235"/>
      <c r="AS88" s="233"/>
      <c r="AT88" s="235"/>
      <c r="AU88" s="233"/>
      <c r="AV88" s="235"/>
      <c r="AW88" s="233"/>
      <c r="AX88" s="235">
        <v>0.63</v>
      </c>
      <c r="AY88" s="236">
        <f t="shared" si="49"/>
        <v>0</v>
      </c>
      <c r="AZ88" s="237">
        <f t="shared" si="48"/>
        <v>0.63</v>
      </c>
      <c r="BF88" s="205"/>
      <c r="BG88" s="205"/>
      <c r="BH88" s="205"/>
      <c r="BI88" s="205"/>
      <c r="BJ88" s="205">
        <v>0.63</v>
      </c>
      <c r="BK88" s="205">
        <v>8.6199999999999992</v>
      </c>
      <c r="BL88" s="205">
        <f>SUM(BF88:BK88)</f>
        <v>9.25</v>
      </c>
    </row>
    <row r="89" spans="1:64" s="2" customFormat="1" ht="25.5" x14ac:dyDescent="0.2">
      <c r="A89" s="28"/>
      <c r="B89" s="28" t="s">
        <v>1210</v>
      </c>
      <c r="C89" s="29" t="s">
        <v>441</v>
      </c>
      <c r="D89" s="30"/>
      <c r="E89" s="30"/>
      <c r="F89" s="30"/>
      <c r="G89" s="30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>
        <f>0</f>
        <v>0</v>
      </c>
      <c r="S89" s="31">
        <f>0</f>
        <v>0</v>
      </c>
      <c r="T89" s="31">
        <f>0</f>
        <v>0</v>
      </c>
      <c r="U89" s="31">
        <f>0</f>
        <v>0</v>
      </c>
      <c r="V89" s="31">
        <f>0</f>
        <v>0</v>
      </c>
      <c r="W89" s="31">
        <f>0</f>
        <v>0</v>
      </c>
      <c r="X89" s="31">
        <f>0</f>
        <v>0</v>
      </c>
      <c r="Y89" s="132"/>
      <c r="Z89" s="31"/>
      <c r="AA89" s="95"/>
      <c r="AB89" s="310">
        <f t="shared" si="52"/>
        <v>0</v>
      </c>
      <c r="AC89" s="300">
        <f>0</f>
        <v>0</v>
      </c>
      <c r="AD89" s="228">
        <f>0</f>
        <v>0</v>
      </c>
      <c r="AE89" s="31">
        <f>0</f>
        <v>0</v>
      </c>
      <c r="AF89" s="31">
        <f>0</f>
        <v>0</v>
      </c>
      <c r="AG89" s="31">
        <f>0</f>
        <v>0</v>
      </c>
      <c r="AH89" s="31">
        <f>0</f>
        <v>0</v>
      </c>
      <c r="AI89" s="31">
        <f>0</f>
        <v>0</v>
      </c>
      <c r="AJ89" s="31">
        <f>0</f>
        <v>0</v>
      </c>
      <c r="AK89" s="95">
        <f>0</f>
        <v>0</v>
      </c>
      <c r="AL89" s="95">
        <f>0</f>
        <v>0</v>
      </c>
      <c r="AM89" s="85">
        <f>0</f>
        <v>0</v>
      </c>
      <c r="AN89" s="179">
        <f>0</f>
        <v>0</v>
      </c>
      <c r="AO89" s="85">
        <f>0</f>
        <v>0</v>
      </c>
      <c r="AP89" s="183">
        <f>0</f>
        <v>0</v>
      </c>
      <c r="AQ89" s="85">
        <f>0</f>
        <v>0</v>
      </c>
      <c r="AR89" s="183">
        <f>0</f>
        <v>0</v>
      </c>
      <c r="AS89" s="85">
        <f>0</f>
        <v>0</v>
      </c>
      <c r="AT89" s="183">
        <f>0</f>
        <v>0</v>
      </c>
      <c r="AU89" s="85">
        <f>0</f>
        <v>0</v>
      </c>
      <c r="AV89" s="183">
        <f>0</f>
        <v>0</v>
      </c>
      <c r="AW89" s="85">
        <f>0</f>
        <v>0</v>
      </c>
      <c r="AX89" s="183">
        <f>0</f>
        <v>0</v>
      </c>
      <c r="AY89" s="188">
        <f t="shared" si="49"/>
        <v>0</v>
      </c>
      <c r="AZ89" s="190">
        <f t="shared" si="48"/>
        <v>0</v>
      </c>
      <c r="BF89" s="31">
        <f>0</f>
        <v>0</v>
      </c>
      <c r="BG89" s="31">
        <f>0</f>
        <v>0</v>
      </c>
      <c r="BH89" s="31">
        <f>0</f>
        <v>0</v>
      </c>
      <c r="BI89" s="31">
        <f>0</f>
        <v>0</v>
      </c>
      <c r="BJ89" s="31">
        <f>0</f>
        <v>0</v>
      </c>
      <c r="BK89" s="31">
        <f>0</f>
        <v>0</v>
      </c>
      <c r="BL89" s="31">
        <f>0</f>
        <v>0</v>
      </c>
    </row>
    <row r="90" spans="1:64" s="2" customFormat="1" ht="38.25" x14ac:dyDescent="0.2">
      <c r="A90" s="28"/>
      <c r="B90" s="28" t="s">
        <v>1211</v>
      </c>
      <c r="C90" s="29" t="s">
        <v>1215</v>
      </c>
      <c r="D90" s="30"/>
      <c r="E90" s="30"/>
      <c r="F90" s="30"/>
      <c r="G90" s="30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>
        <f>0</f>
        <v>0</v>
      </c>
      <c r="S90" s="31">
        <f>0</f>
        <v>0</v>
      </c>
      <c r="T90" s="31">
        <f>0</f>
        <v>0</v>
      </c>
      <c r="U90" s="31">
        <f>0</f>
        <v>0</v>
      </c>
      <c r="V90" s="31">
        <f>0</f>
        <v>0</v>
      </c>
      <c r="W90" s="31">
        <f>0</f>
        <v>0</v>
      </c>
      <c r="X90" s="31">
        <f>0</f>
        <v>0</v>
      </c>
      <c r="Y90" s="132"/>
      <c r="Z90" s="31"/>
      <c r="AA90" s="95"/>
      <c r="AB90" s="310">
        <f t="shared" si="52"/>
        <v>0</v>
      </c>
      <c r="AC90" s="300">
        <f>0</f>
        <v>0</v>
      </c>
      <c r="AD90" s="228">
        <f>0</f>
        <v>0</v>
      </c>
      <c r="AE90" s="31">
        <f>0</f>
        <v>0</v>
      </c>
      <c r="AF90" s="31">
        <f>0</f>
        <v>0</v>
      </c>
      <c r="AG90" s="31">
        <f>0</f>
        <v>0</v>
      </c>
      <c r="AH90" s="31">
        <f>0</f>
        <v>0</v>
      </c>
      <c r="AI90" s="31">
        <f>0</f>
        <v>0</v>
      </c>
      <c r="AJ90" s="31">
        <f>0</f>
        <v>0</v>
      </c>
      <c r="AK90" s="95">
        <f>0</f>
        <v>0</v>
      </c>
      <c r="AL90" s="95">
        <f>0</f>
        <v>0</v>
      </c>
      <c r="AM90" s="85">
        <f>0</f>
        <v>0</v>
      </c>
      <c r="AN90" s="179">
        <f>0</f>
        <v>0</v>
      </c>
      <c r="AO90" s="85">
        <f>0</f>
        <v>0</v>
      </c>
      <c r="AP90" s="183">
        <f>0</f>
        <v>0</v>
      </c>
      <c r="AQ90" s="85">
        <f>0</f>
        <v>0</v>
      </c>
      <c r="AR90" s="183">
        <f>0</f>
        <v>0</v>
      </c>
      <c r="AS90" s="85">
        <f>0</f>
        <v>0</v>
      </c>
      <c r="AT90" s="183">
        <f>0</f>
        <v>0</v>
      </c>
      <c r="AU90" s="85">
        <f>0</f>
        <v>0</v>
      </c>
      <c r="AV90" s="183">
        <f>0</f>
        <v>0</v>
      </c>
      <c r="AW90" s="85">
        <f>0</f>
        <v>0</v>
      </c>
      <c r="AX90" s="183">
        <f>0</f>
        <v>0</v>
      </c>
      <c r="AY90" s="188">
        <f t="shared" si="49"/>
        <v>0</v>
      </c>
      <c r="AZ90" s="190">
        <f t="shared" si="48"/>
        <v>0</v>
      </c>
      <c r="BF90" s="31">
        <f>0</f>
        <v>0</v>
      </c>
      <c r="BG90" s="31">
        <f>0</f>
        <v>0</v>
      </c>
      <c r="BH90" s="31">
        <f>0</f>
        <v>0</v>
      </c>
      <c r="BI90" s="31">
        <f>0</f>
        <v>0</v>
      </c>
      <c r="BJ90" s="31">
        <f>0</f>
        <v>0</v>
      </c>
      <c r="BK90" s="31">
        <f>0</f>
        <v>0</v>
      </c>
      <c r="BL90" s="31">
        <f>0</f>
        <v>0</v>
      </c>
    </row>
    <row r="91" spans="1:64" s="2" customFormat="1" ht="15.75" x14ac:dyDescent="0.2">
      <c r="A91" s="28"/>
      <c r="B91" s="28" t="s">
        <v>1214</v>
      </c>
      <c r="C91" s="29" t="s">
        <v>1218</v>
      </c>
      <c r="D91" s="30"/>
      <c r="E91" s="30"/>
      <c r="F91" s="30"/>
      <c r="G91" s="30"/>
      <c r="H91" s="31">
        <f>H92</f>
        <v>83.77</v>
      </c>
      <c r="I91" s="31">
        <f>I92</f>
        <v>72.410499999999999</v>
      </c>
      <c r="J91" s="31">
        <f>J92</f>
        <v>0.8</v>
      </c>
      <c r="K91" s="31"/>
      <c r="L91" s="31"/>
      <c r="M91" s="31"/>
      <c r="N91" s="31"/>
      <c r="O91" s="31"/>
      <c r="P91" s="31"/>
      <c r="Q91" s="31"/>
      <c r="R91" s="31">
        <f t="shared" ref="R91:AX91" si="53">R92</f>
        <v>0.8</v>
      </c>
      <c r="S91" s="31">
        <f t="shared" si="53"/>
        <v>38.56</v>
      </c>
      <c r="T91" s="31">
        <f t="shared" si="53"/>
        <v>33.0505</v>
      </c>
      <c r="U91" s="31">
        <f t="shared" si="53"/>
        <v>0</v>
      </c>
      <c r="V91" s="31">
        <f t="shared" si="53"/>
        <v>0</v>
      </c>
      <c r="W91" s="31">
        <f t="shared" si="53"/>
        <v>0</v>
      </c>
      <c r="X91" s="31">
        <f t="shared" si="53"/>
        <v>72.410499999999999</v>
      </c>
      <c r="Y91" s="132"/>
      <c r="Z91" s="31"/>
      <c r="AA91" s="95"/>
      <c r="AB91" s="310">
        <f t="shared" si="52"/>
        <v>0</v>
      </c>
      <c r="AC91" s="300">
        <f t="shared" si="53"/>
        <v>11.359500000000001</v>
      </c>
      <c r="AD91" s="228">
        <f t="shared" si="53"/>
        <v>4.9000000000000002E-2</v>
      </c>
      <c r="AE91" s="31">
        <f t="shared" si="53"/>
        <v>0</v>
      </c>
      <c r="AF91" s="31">
        <f t="shared" si="53"/>
        <v>0</v>
      </c>
      <c r="AG91" s="31">
        <f t="shared" si="53"/>
        <v>0</v>
      </c>
      <c r="AH91" s="31">
        <f t="shared" si="53"/>
        <v>83.77</v>
      </c>
      <c r="AI91" s="31">
        <f t="shared" si="53"/>
        <v>0</v>
      </c>
      <c r="AJ91" s="31">
        <f t="shared" si="53"/>
        <v>0</v>
      </c>
      <c r="AK91" s="95">
        <f t="shared" si="53"/>
        <v>0</v>
      </c>
      <c r="AL91" s="95">
        <f t="shared" si="53"/>
        <v>83.77</v>
      </c>
      <c r="AM91" s="85">
        <f t="shared" si="53"/>
        <v>0</v>
      </c>
      <c r="AN91" s="179">
        <f t="shared" si="53"/>
        <v>0</v>
      </c>
      <c r="AO91" s="85">
        <f t="shared" si="53"/>
        <v>0</v>
      </c>
      <c r="AP91" s="183">
        <f t="shared" si="53"/>
        <v>0</v>
      </c>
      <c r="AQ91" s="85">
        <f t="shared" si="53"/>
        <v>7.6</v>
      </c>
      <c r="AR91" s="183">
        <f t="shared" si="53"/>
        <v>12</v>
      </c>
      <c r="AS91" s="85">
        <f t="shared" si="53"/>
        <v>0</v>
      </c>
      <c r="AT91" s="183">
        <f t="shared" si="53"/>
        <v>0</v>
      </c>
      <c r="AU91" s="85">
        <f t="shared" si="53"/>
        <v>0</v>
      </c>
      <c r="AV91" s="183">
        <f t="shared" si="53"/>
        <v>0</v>
      </c>
      <c r="AW91" s="85">
        <f t="shared" si="53"/>
        <v>0</v>
      </c>
      <c r="AX91" s="183">
        <f t="shared" si="53"/>
        <v>0</v>
      </c>
      <c r="AY91" s="188">
        <f t="shared" si="49"/>
        <v>7.6</v>
      </c>
      <c r="AZ91" s="190">
        <f t="shared" si="48"/>
        <v>12</v>
      </c>
      <c r="BF91" s="31">
        <f t="shared" ref="BF91:BL91" si="54">BF92</f>
        <v>75.69</v>
      </c>
      <c r="BG91" s="31">
        <f t="shared" si="54"/>
        <v>38.561</v>
      </c>
      <c r="BH91" s="31">
        <f t="shared" si="54"/>
        <v>33.848999999999997</v>
      </c>
      <c r="BI91" s="31">
        <f t="shared" si="54"/>
        <v>0</v>
      </c>
      <c r="BJ91" s="31">
        <f t="shared" si="54"/>
        <v>0</v>
      </c>
      <c r="BK91" s="31">
        <f t="shared" si="54"/>
        <v>0</v>
      </c>
      <c r="BL91" s="31">
        <f t="shared" si="54"/>
        <v>148.1</v>
      </c>
    </row>
    <row r="92" spans="1:64" s="69" customFormat="1" ht="38.25" outlineLevel="1" x14ac:dyDescent="0.2">
      <c r="A92" s="230" t="s">
        <v>1781</v>
      </c>
      <c r="B92" s="603" t="s">
        <v>1216</v>
      </c>
      <c r="C92" s="210" t="s">
        <v>0</v>
      </c>
      <c r="D92" s="207" t="s">
        <v>397</v>
      </c>
      <c r="E92" s="209" t="s">
        <v>1928</v>
      </c>
      <c r="F92" s="260">
        <v>2013</v>
      </c>
      <c r="G92" s="260">
        <v>2016</v>
      </c>
      <c r="H92" s="208">
        <v>83.77</v>
      </c>
      <c r="I92" s="208">
        <v>72.410499999999999</v>
      </c>
      <c r="J92" s="205">
        <f>R92</f>
        <v>0.8</v>
      </c>
      <c r="K92" s="207"/>
      <c r="L92" s="207"/>
      <c r="M92" s="209" t="str">
        <f>E92</f>
        <v>4х1,9 км
12 МВА</v>
      </c>
      <c r="N92" s="207"/>
      <c r="O92" s="207"/>
      <c r="P92" s="207"/>
      <c r="Q92" s="209" t="str">
        <f>M92</f>
        <v>4х1,9 км
12 МВА</v>
      </c>
      <c r="R92" s="208">
        <v>0.8</v>
      </c>
      <c r="S92" s="208">
        <v>38.56</v>
      </c>
      <c r="T92" s="208">
        <f>I92-R92-S92</f>
        <v>33.0505</v>
      </c>
      <c r="U92" s="208"/>
      <c r="V92" s="208"/>
      <c r="W92" s="208"/>
      <c r="X92" s="205">
        <f>SUM(R92:W92)</f>
        <v>72.410499999999999</v>
      </c>
      <c r="Y92" s="314"/>
      <c r="Z92" s="205"/>
      <c r="AA92" s="232"/>
      <c r="AB92" s="307">
        <f t="shared" si="52"/>
        <v>0</v>
      </c>
      <c r="AC92" s="297">
        <v>11.359500000000001</v>
      </c>
      <c r="AD92" s="225">
        <v>4.9000000000000002E-2</v>
      </c>
      <c r="AE92" s="205">
        <f>H92-I92-AC92</f>
        <v>0</v>
      </c>
      <c r="AF92" s="205"/>
      <c r="AG92" s="205"/>
      <c r="AH92" s="205">
        <f>H92</f>
        <v>83.77</v>
      </c>
      <c r="AI92" s="205"/>
      <c r="AJ92" s="205"/>
      <c r="AK92" s="232"/>
      <c r="AL92" s="232">
        <f>SUM(AF92:AK92)</f>
        <v>83.77</v>
      </c>
      <c r="AM92" s="233"/>
      <c r="AN92" s="234"/>
      <c r="AO92" s="233"/>
      <c r="AP92" s="235"/>
      <c r="AQ92" s="233">
        <f>4*1.9</f>
        <v>7.6</v>
      </c>
      <c r="AR92" s="235">
        <v>12</v>
      </c>
      <c r="AS92" s="233"/>
      <c r="AT92" s="235"/>
      <c r="AU92" s="233"/>
      <c r="AV92" s="235"/>
      <c r="AW92" s="233"/>
      <c r="AX92" s="235"/>
      <c r="AY92" s="236">
        <f t="shared" si="49"/>
        <v>7.6</v>
      </c>
      <c r="AZ92" s="237">
        <f t="shared" si="48"/>
        <v>12</v>
      </c>
      <c r="BF92" s="208">
        <v>75.69</v>
      </c>
      <c r="BG92" s="208">
        <v>38.561</v>
      </c>
      <c r="BH92" s="208">
        <v>33.848999999999997</v>
      </c>
      <c r="BI92" s="205"/>
      <c r="BJ92" s="205"/>
      <c r="BK92" s="205"/>
      <c r="BL92" s="205">
        <f>SUM(BF92:BK92)</f>
        <v>148.1</v>
      </c>
    </row>
    <row r="93" spans="1:64" s="255" customFormat="1" ht="22.5" hidden="1" customHeight="1" outlineLevel="1" x14ac:dyDescent="0.2">
      <c r="A93" s="249"/>
      <c r="B93" s="249"/>
      <c r="C93" s="250" t="s">
        <v>398</v>
      </c>
      <c r="D93" s="251"/>
      <c r="E93" s="251" t="s">
        <v>436</v>
      </c>
      <c r="F93" s="251"/>
      <c r="G93" s="251"/>
      <c r="H93" s="252">
        <v>16.52</v>
      </c>
      <c r="I93" s="252"/>
      <c r="J93" s="205"/>
      <c r="K93" s="251"/>
      <c r="L93" s="251"/>
      <c r="M93" s="251"/>
      <c r="N93" s="251"/>
      <c r="O93" s="251"/>
      <c r="P93" s="251"/>
      <c r="Q93" s="251"/>
      <c r="R93" s="252"/>
      <c r="S93" s="208"/>
      <c r="T93" s="208"/>
      <c r="U93" s="208"/>
      <c r="V93" s="208"/>
      <c r="W93" s="208"/>
      <c r="X93" s="205"/>
      <c r="Y93" s="314"/>
      <c r="Z93" s="205"/>
      <c r="AA93" s="232"/>
      <c r="AB93" s="307">
        <f t="shared" si="52"/>
        <v>0</v>
      </c>
      <c r="AC93" s="297"/>
      <c r="AD93" s="225"/>
      <c r="AE93" s="205"/>
      <c r="AF93" s="252"/>
      <c r="AG93" s="252"/>
      <c r="AH93" s="252"/>
      <c r="AI93" s="252"/>
      <c r="AJ93" s="252"/>
      <c r="AK93" s="256"/>
      <c r="AL93" s="232">
        <f>SUM(AF93:AK93)</f>
        <v>0</v>
      </c>
      <c r="AM93" s="233"/>
      <c r="AN93" s="253"/>
      <c r="AO93" s="233"/>
      <c r="AP93" s="254"/>
      <c r="AQ93" s="233"/>
      <c r="AR93" s="254"/>
      <c r="AS93" s="233"/>
      <c r="AT93" s="254"/>
      <c r="AU93" s="233"/>
      <c r="AV93" s="254"/>
      <c r="AW93" s="233"/>
      <c r="AX93" s="254"/>
      <c r="AY93" s="236">
        <f t="shared" si="49"/>
        <v>0</v>
      </c>
      <c r="AZ93" s="237">
        <f t="shared" si="48"/>
        <v>0</v>
      </c>
      <c r="BF93" s="252"/>
      <c r="BG93" s="252"/>
      <c r="BH93" s="252"/>
      <c r="BI93" s="252"/>
      <c r="BJ93" s="252"/>
      <c r="BK93" s="252"/>
      <c r="BL93" s="205"/>
    </row>
    <row r="94" spans="1:64" s="255" customFormat="1" ht="24" hidden="1" customHeight="1" outlineLevel="1" x14ac:dyDescent="0.2">
      <c r="A94" s="249"/>
      <c r="B94" s="249"/>
      <c r="C94" s="250" t="s">
        <v>400</v>
      </c>
      <c r="D94" s="251"/>
      <c r="E94" s="251" t="s">
        <v>1914</v>
      </c>
      <c r="F94" s="251"/>
      <c r="G94" s="251"/>
      <c r="H94" s="252">
        <v>67.25</v>
      </c>
      <c r="I94" s="252"/>
      <c r="J94" s="205"/>
      <c r="K94" s="251"/>
      <c r="L94" s="251"/>
      <c r="M94" s="251"/>
      <c r="N94" s="251"/>
      <c r="O94" s="251"/>
      <c r="P94" s="251"/>
      <c r="Q94" s="251"/>
      <c r="R94" s="252"/>
      <c r="S94" s="208"/>
      <c r="T94" s="208"/>
      <c r="U94" s="208"/>
      <c r="V94" s="208"/>
      <c r="W94" s="208"/>
      <c r="X94" s="205"/>
      <c r="Y94" s="314"/>
      <c r="Z94" s="205"/>
      <c r="AA94" s="232"/>
      <c r="AB94" s="307">
        <f t="shared" si="52"/>
        <v>0</v>
      </c>
      <c r="AC94" s="297"/>
      <c r="AD94" s="225"/>
      <c r="AE94" s="205"/>
      <c r="AF94" s="252"/>
      <c r="AG94" s="252"/>
      <c r="AH94" s="252"/>
      <c r="AI94" s="252"/>
      <c r="AJ94" s="252"/>
      <c r="AK94" s="256"/>
      <c r="AL94" s="232">
        <f>SUM(AF94:AK94)</f>
        <v>0</v>
      </c>
      <c r="AM94" s="233"/>
      <c r="AN94" s="253"/>
      <c r="AO94" s="233"/>
      <c r="AP94" s="254"/>
      <c r="AQ94" s="233"/>
      <c r="AR94" s="254"/>
      <c r="AS94" s="233"/>
      <c r="AT94" s="254"/>
      <c r="AU94" s="233"/>
      <c r="AV94" s="254"/>
      <c r="AW94" s="233"/>
      <c r="AX94" s="254"/>
      <c r="AY94" s="236">
        <f t="shared" si="49"/>
        <v>0</v>
      </c>
      <c r="AZ94" s="237">
        <f t="shared" si="48"/>
        <v>0</v>
      </c>
      <c r="BF94" s="252"/>
      <c r="BG94" s="252"/>
      <c r="BH94" s="252"/>
      <c r="BI94" s="252"/>
      <c r="BJ94" s="252"/>
      <c r="BK94" s="252"/>
      <c r="BL94" s="205"/>
    </row>
    <row r="95" spans="1:64" s="2" customFormat="1" ht="26.25" customHeight="1" collapsed="1" x14ac:dyDescent="0.2">
      <c r="A95" s="28"/>
      <c r="B95" s="28" t="s">
        <v>1217</v>
      </c>
      <c r="C95" s="29" t="s">
        <v>404</v>
      </c>
      <c r="D95" s="30"/>
      <c r="E95" s="30"/>
      <c r="F95" s="30"/>
      <c r="G95" s="30"/>
      <c r="H95" s="31">
        <f>SUM(H96:H105)</f>
        <v>6.0767500000000005</v>
      </c>
      <c r="I95" s="31">
        <f>SUM(I96:I105)</f>
        <v>6.0769500000000001</v>
      </c>
      <c r="J95" s="31">
        <f>SUM(J96:J105)</f>
        <v>5.9469499999999993</v>
      </c>
      <c r="K95" s="31"/>
      <c r="L95" s="31"/>
      <c r="M95" s="31"/>
      <c r="N95" s="31"/>
      <c r="O95" s="31"/>
      <c r="P95" s="31"/>
      <c r="Q95" s="31"/>
      <c r="R95" s="31">
        <f t="shared" ref="R95:AZ95" si="55">SUM(R96:R105)</f>
        <v>5.9469499999999993</v>
      </c>
      <c r="S95" s="31">
        <f t="shared" si="55"/>
        <v>0</v>
      </c>
      <c r="T95" s="31">
        <f t="shared" si="55"/>
        <v>0</v>
      </c>
      <c r="U95" s="31">
        <f t="shared" si="55"/>
        <v>0</v>
      </c>
      <c r="V95" s="31">
        <f t="shared" si="55"/>
        <v>0</v>
      </c>
      <c r="W95" s="31">
        <f t="shared" si="55"/>
        <v>0.13</v>
      </c>
      <c r="X95" s="31">
        <f t="shared" si="55"/>
        <v>6.0769500000000001</v>
      </c>
      <c r="Y95" s="132"/>
      <c r="Z95" s="31"/>
      <c r="AA95" s="95"/>
      <c r="AB95" s="310">
        <f t="shared" si="52"/>
        <v>0</v>
      </c>
      <c r="AC95" s="300">
        <f t="shared" si="55"/>
        <v>0</v>
      </c>
      <c r="AD95" s="228">
        <f t="shared" si="55"/>
        <v>0.186</v>
      </c>
      <c r="AE95" s="31">
        <f t="shared" si="55"/>
        <v>-1.9999999999953388E-4</v>
      </c>
      <c r="AF95" s="31">
        <f t="shared" si="55"/>
        <v>5.9467499999999998</v>
      </c>
      <c r="AG95" s="31">
        <f t="shared" si="55"/>
        <v>0</v>
      </c>
      <c r="AH95" s="31">
        <f t="shared" si="55"/>
        <v>0</v>
      </c>
      <c r="AI95" s="31">
        <f t="shared" si="55"/>
        <v>0</v>
      </c>
      <c r="AJ95" s="31">
        <f t="shared" si="55"/>
        <v>0</v>
      </c>
      <c r="AK95" s="31">
        <f t="shared" si="55"/>
        <v>0.13</v>
      </c>
      <c r="AL95" s="31">
        <f t="shared" si="55"/>
        <v>6.0767500000000005</v>
      </c>
      <c r="AM95" s="85">
        <f t="shared" si="55"/>
        <v>0</v>
      </c>
      <c r="AN95" s="183">
        <f t="shared" si="55"/>
        <v>0</v>
      </c>
      <c r="AO95" s="85">
        <f t="shared" si="55"/>
        <v>0</v>
      </c>
      <c r="AP95" s="183">
        <f t="shared" si="55"/>
        <v>0</v>
      </c>
      <c r="AQ95" s="85">
        <f t="shared" si="55"/>
        <v>0</v>
      </c>
      <c r="AR95" s="183">
        <f t="shared" si="55"/>
        <v>0</v>
      </c>
      <c r="AS95" s="85">
        <f t="shared" si="55"/>
        <v>0</v>
      </c>
      <c r="AT95" s="183">
        <f t="shared" si="55"/>
        <v>0</v>
      </c>
      <c r="AU95" s="85">
        <f t="shared" si="55"/>
        <v>0</v>
      </c>
      <c r="AV95" s="183">
        <f t="shared" si="55"/>
        <v>0</v>
      </c>
      <c r="AW95" s="85">
        <f t="shared" si="55"/>
        <v>0</v>
      </c>
      <c r="AX95" s="183">
        <f t="shared" si="55"/>
        <v>0</v>
      </c>
      <c r="AY95" s="111">
        <f t="shared" si="55"/>
        <v>0</v>
      </c>
      <c r="AZ95" s="178">
        <f t="shared" si="55"/>
        <v>0</v>
      </c>
      <c r="BF95" s="31">
        <f>SUM(BF96:BF105)</f>
        <v>3.41</v>
      </c>
      <c r="BG95" s="31">
        <f>SUM(BG96:BG103)</f>
        <v>0</v>
      </c>
      <c r="BH95" s="31">
        <f>SUM(BH96:BH103)</f>
        <v>0</v>
      </c>
      <c r="BI95" s="31">
        <f>SUM(BI96:BI103)</f>
        <v>0</v>
      </c>
      <c r="BJ95" s="31">
        <f>SUM(BJ96:BJ103)</f>
        <v>0</v>
      </c>
      <c r="BK95" s="31">
        <f>SUM(BK96:BK103)</f>
        <v>0.13</v>
      </c>
      <c r="BL95" s="31">
        <f>SUM(BL96:BL105)</f>
        <v>3.54</v>
      </c>
    </row>
    <row r="96" spans="1:64" s="2" customFormat="1" ht="51" outlineLevel="1" x14ac:dyDescent="0.2">
      <c r="A96" s="592" t="s">
        <v>1813</v>
      </c>
      <c r="B96" s="603" t="s">
        <v>1221</v>
      </c>
      <c r="C96" s="277" t="s">
        <v>1814</v>
      </c>
      <c r="D96" s="8"/>
      <c r="E96" s="8" t="s">
        <v>1796</v>
      </c>
      <c r="F96" s="8">
        <v>2014</v>
      </c>
      <c r="G96" s="8">
        <v>2014</v>
      </c>
      <c r="H96" s="5">
        <v>9.2999999999999999E-2</v>
      </c>
      <c r="I96" s="5">
        <v>9.2999999999999999E-2</v>
      </c>
      <c r="J96" s="5">
        <f t="shared" ref="J96:J105" si="56">R96</f>
        <v>9.2999999999999999E-2</v>
      </c>
      <c r="K96" s="8" t="s">
        <v>1796</v>
      </c>
      <c r="L96" s="8"/>
      <c r="M96" s="5"/>
      <c r="N96" s="5"/>
      <c r="O96" s="8"/>
      <c r="P96" s="8"/>
      <c r="Q96" s="8" t="s">
        <v>1796</v>
      </c>
      <c r="R96" s="5">
        <v>9.2999999999999999E-2</v>
      </c>
      <c r="S96" s="267"/>
      <c r="T96" s="267"/>
      <c r="U96" s="267"/>
      <c r="V96" s="267"/>
      <c r="W96" s="267"/>
      <c r="X96" s="5">
        <f t="shared" ref="X96:X105" si="57">SUM(R96:W96)</f>
        <v>9.2999999999999999E-2</v>
      </c>
      <c r="Y96" s="302"/>
      <c r="Z96" s="5"/>
      <c r="AA96" s="94"/>
      <c r="AB96" s="311">
        <f t="shared" si="52"/>
        <v>0</v>
      </c>
      <c r="AC96" s="296"/>
      <c r="AD96" s="113">
        <v>9.2999999999999999E-2</v>
      </c>
      <c r="AE96" s="5">
        <f t="shared" ref="AE96:AE103" si="58">H96-I96-AC96</f>
        <v>0</v>
      </c>
      <c r="AF96" s="5">
        <f t="shared" ref="AF96:AF105" si="59">H96</f>
        <v>9.2999999999999999E-2</v>
      </c>
      <c r="AG96" s="5"/>
      <c r="AH96" s="5"/>
      <c r="AI96" s="5"/>
      <c r="AJ96" s="5"/>
      <c r="AK96" s="94"/>
      <c r="AL96" s="94">
        <f t="shared" ref="AL96:AL105" si="60">SUM(AF96:AK96)</f>
        <v>9.2999999999999999E-2</v>
      </c>
      <c r="AM96" s="122"/>
      <c r="AN96" s="180"/>
      <c r="AO96" s="122"/>
      <c r="AP96" s="184"/>
      <c r="AQ96" s="122"/>
      <c r="AR96" s="184"/>
      <c r="AS96" s="122"/>
      <c r="AT96" s="184"/>
      <c r="AU96" s="122"/>
      <c r="AV96" s="184"/>
      <c r="AW96" s="122"/>
      <c r="AX96" s="184"/>
      <c r="AY96" s="111">
        <f t="shared" si="49"/>
        <v>0</v>
      </c>
      <c r="AZ96" s="178">
        <f t="shared" si="48"/>
        <v>0</v>
      </c>
      <c r="BA96" s="64"/>
      <c r="BB96" s="64"/>
      <c r="BF96" s="5">
        <v>9.2999999999999999E-2</v>
      </c>
      <c r="BG96" s="5"/>
      <c r="BH96" s="5"/>
      <c r="BI96" s="5"/>
      <c r="BJ96" s="5"/>
      <c r="BK96" s="5"/>
      <c r="BL96" s="5">
        <f t="shared" ref="BL96:BL103" si="61">SUM(BF96:BK96)</f>
        <v>9.2999999999999999E-2</v>
      </c>
    </row>
    <row r="97" spans="1:64" s="2" customFormat="1" ht="51" outlineLevel="1" x14ac:dyDescent="0.2">
      <c r="A97" s="592" t="s">
        <v>1816</v>
      </c>
      <c r="B97" s="603" t="s">
        <v>454</v>
      </c>
      <c r="C97" s="277" t="s">
        <v>1815</v>
      </c>
      <c r="D97" s="8"/>
      <c r="E97" s="8" t="s">
        <v>1796</v>
      </c>
      <c r="F97" s="8">
        <v>2014</v>
      </c>
      <c r="G97" s="8">
        <v>2014</v>
      </c>
      <c r="H97" s="5">
        <v>9.2999999999999999E-2</v>
      </c>
      <c r="I97" s="5">
        <v>9.2999999999999999E-2</v>
      </c>
      <c r="J97" s="5">
        <f t="shared" si="56"/>
        <v>9.2999999999999999E-2</v>
      </c>
      <c r="K97" s="8" t="s">
        <v>1796</v>
      </c>
      <c r="L97" s="8"/>
      <c r="M97" s="5"/>
      <c r="N97" s="5"/>
      <c r="O97" s="8"/>
      <c r="P97" s="8"/>
      <c r="Q97" s="8" t="s">
        <v>1796</v>
      </c>
      <c r="R97" s="5">
        <v>9.2999999999999999E-2</v>
      </c>
      <c r="S97" s="267"/>
      <c r="T97" s="267"/>
      <c r="U97" s="267"/>
      <c r="V97" s="267"/>
      <c r="W97" s="267"/>
      <c r="X97" s="5">
        <f t="shared" si="57"/>
        <v>9.2999999999999999E-2</v>
      </c>
      <c r="Y97" s="302"/>
      <c r="Z97" s="5"/>
      <c r="AA97" s="94"/>
      <c r="AB97" s="311">
        <f t="shared" si="52"/>
        <v>0</v>
      </c>
      <c r="AC97" s="296"/>
      <c r="AD97" s="113">
        <v>9.2999999999999999E-2</v>
      </c>
      <c r="AE97" s="5">
        <f t="shared" si="58"/>
        <v>0</v>
      </c>
      <c r="AF97" s="5">
        <f t="shared" si="59"/>
        <v>9.2999999999999999E-2</v>
      </c>
      <c r="AG97" s="5"/>
      <c r="AH97" s="5"/>
      <c r="AI97" s="5"/>
      <c r="AJ97" s="5"/>
      <c r="AK97" s="94"/>
      <c r="AL97" s="94">
        <f t="shared" si="60"/>
        <v>9.2999999999999999E-2</v>
      </c>
      <c r="AM97" s="122"/>
      <c r="AN97" s="180"/>
      <c r="AO97" s="122"/>
      <c r="AP97" s="184"/>
      <c r="AQ97" s="122"/>
      <c r="AR97" s="184"/>
      <c r="AS97" s="122"/>
      <c r="AT97" s="184"/>
      <c r="AU97" s="122"/>
      <c r="AV97" s="184"/>
      <c r="AW97" s="122"/>
      <c r="AX97" s="184"/>
      <c r="AY97" s="111">
        <f t="shared" si="49"/>
        <v>0</v>
      </c>
      <c r="AZ97" s="178">
        <f t="shared" si="48"/>
        <v>0</v>
      </c>
      <c r="BA97" s="64"/>
      <c r="BB97" s="64"/>
      <c r="BF97" s="5">
        <v>9.2999999999999999E-2</v>
      </c>
      <c r="BG97" s="5"/>
      <c r="BH97" s="5"/>
      <c r="BI97" s="5"/>
      <c r="BJ97" s="5"/>
      <c r="BK97" s="5"/>
      <c r="BL97" s="5">
        <f t="shared" si="61"/>
        <v>9.2999999999999999E-2</v>
      </c>
    </row>
    <row r="98" spans="1:64" s="2" customFormat="1" ht="15.75" outlineLevel="1" x14ac:dyDescent="0.2">
      <c r="A98" s="592" t="s">
        <v>1817</v>
      </c>
      <c r="B98" s="603" t="s">
        <v>455</v>
      </c>
      <c r="C98" s="7" t="s">
        <v>411</v>
      </c>
      <c r="D98" s="8"/>
      <c r="E98" s="8" t="s">
        <v>1796</v>
      </c>
      <c r="F98" s="8">
        <v>2014</v>
      </c>
      <c r="G98" s="8">
        <v>2014</v>
      </c>
      <c r="H98" s="5">
        <v>0.16700000000000001</v>
      </c>
      <c r="I98" s="5">
        <v>0.16700000000000001</v>
      </c>
      <c r="J98" s="5">
        <f t="shared" si="56"/>
        <v>0.16700000000000001</v>
      </c>
      <c r="K98" s="8" t="s">
        <v>1796</v>
      </c>
      <c r="L98" s="8"/>
      <c r="M98" s="8"/>
      <c r="N98" s="8"/>
      <c r="O98" s="8"/>
      <c r="P98" s="8"/>
      <c r="Q98" s="8" t="s">
        <v>1796</v>
      </c>
      <c r="R98" s="5">
        <v>0.16700000000000001</v>
      </c>
      <c r="S98" s="267"/>
      <c r="T98" s="267"/>
      <c r="U98" s="267"/>
      <c r="V98" s="267"/>
      <c r="W98" s="267"/>
      <c r="X98" s="5">
        <f t="shared" si="57"/>
        <v>0.16700000000000001</v>
      </c>
      <c r="Y98" s="302"/>
      <c r="Z98" s="5"/>
      <c r="AA98" s="94"/>
      <c r="AB98" s="311">
        <f t="shared" si="52"/>
        <v>0</v>
      </c>
      <c r="AC98" s="296"/>
      <c r="AD98" s="113"/>
      <c r="AE98" s="5">
        <f t="shared" si="58"/>
        <v>0</v>
      </c>
      <c r="AF98" s="5">
        <f t="shared" si="59"/>
        <v>0.16700000000000001</v>
      </c>
      <c r="AG98" s="50"/>
      <c r="AH98" s="50"/>
      <c r="AI98" s="50"/>
      <c r="AJ98" s="50"/>
      <c r="AK98" s="274"/>
      <c r="AL98" s="94">
        <f t="shared" si="60"/>
        <v>0.16700000000000001</v>
      </c>
      <c r="AM98" s="122"/>
      <c r="AN98" s="180"/>
      <c r="AO98" s="122"/>
      <c r="AP98" s="184"/>
      <c r="AQ98" s="122"/>
      <c r="AR98" s="184"/>
      <c r="AS98" s="122"/>
      <c r="AT98" s="184"/>
      <c r="AU98" s="122"/>
      <c r="AV98" s="184"/>
      <c r="AW98" s="122"/>
      <c r="AX98" s="184"/>
      <c r="AY98" s="111">
        <f t="shared" si="49"/>
        <v>0</v>
      </c>
      <c r="AZ98" s="178">
        <f t="shared" si="48"/>
        <v>0</v>
      </c>
      <c r="BF98" s="5">
        <v>0.16700000000000001</v>
      </c>
      <c r="BG98" s="5"/>
      <c r="BH98" s="5"/>
      <c r="BI98" s="5"/>
      <c r="BJ98" s="5"/>
      <c r="BK98" s="5"/>
      <c r="BL98" s="5">
        <f t="shared" si="61"/>
        <v>0.16700000000000001</v>
      </c>
    </row>
    <row r="99" spans="1:64" s="2" customFormat="1" ht="15.75" outlineLevel="1" x14ac:dyDescent="0.2">
      <c r="A99" s="592" t="s">
        <v>1818</v>
      </c>
      <c r="B99" s="603" t="s">
        <v>396</v>
      </c>
      <c r="C99" s="7" t="s">
        <v>914</v>
      </c>
      <c r="D99" s="8"/>
      <c r="E99" s="8" t="s">
        <v>1796</v>
      </c>
      <c r="F99" s="8">
        <v>2014</v>
      </c>
      <c r="G99" s="8">
        <v>2014</v>
      </c>
      <c r="H99" s="5">
        <v>0.52</v>
      </c>
      <c r="I99" s="5">
        <v>0.52</v>
      </c>
      <c r="J99" s="5">
        <f t="shared" si="56"/>
        <v>0.52</v>
      </c>
      <c r="K99" s="8" t="s">
        <v>1796</v>
      </c>
      <c r="L99" s="8"/>
      <c r="M99" s="8"/>
      <c r="N99" s="8"/>
      <c r="O99" s="8"/>
      <c r="P99" s="8"/>
      <c r="Q99" s="8" t="s">
        <v>1796</v>
      </c>
      <c r="R99" s="5">
        <v>0.52</v>
      </c>
      <c r="S99" s="267"/>
      <c r="T99" s="267"/>
      <c r="U99" s="267"/>
      <c r="V99" s="267"/>
      <c r="W99" s="267"/>
      <c r="X99" s="5">
        <f t="shared" si="57"/>
        <v>0.52</v>
      </c>
      <c r="Y99" s="302"/>
      <c r="Z99" s="5"/>
      <c r="AA99" s="94"/>
      <c r="AB99" s="311">
        <f t="shared" si="52"/>
        <v>0</v>
      </c>
      <c r="AC99" s="296"/>
      <c r="AD99" s="113"/>
      <c r="AE99" s="5">
        <f t="shared" si="58"/>
        <v>0</v>
      </c>
      <c r="AF99" s="5">
        <f t="shared" si="59"/>
        <v>0.52</v>
      </c>
      <c r="AG99" s="50"/>
      <c r="AH99" s="50"/>
      <c r="AI99" s="50"/>
      <c r="AJ99" s="50"/>
      <c r="AK99" s="274"/>
      <c r="AL99" s="94">
        <f t="shared" si="60"/>
        <v>0.52</v>
      </c>
      <c r="AM99" s="122"/>
      <c r="AN99" s="180"/>
      <c r="AO99" s="122"/>
      <c r="AP99" s="184"/>
      <c r="AQ99" s="122"/>
      <c r="AR99" s="184"/>
      <c r="AS99" s="122"/>
      <c r="AT99" s="184"/>
      <c r="AU99" s="122"/>
      <c r="AV99" s="184"/>
      <c r="AW99" s="122"/>
      <c r="AX99" s="184"/>
      <c r="AY99" s="111">
        <f t="shared" si="49"/>
        <v>0</v>
      </c>
      <c r="AZ99" s="178">
        <f t="shared" si="48"/>
        <v>0</v>
      </c>
      <c r="BF99" s="5">
        <v>0.52</v>
      </c>
      <c r="BG99" s="5"/>
      <c r="BH99" s="5"/>
      <c r="BI99" s="5"/>
      <c r="BJ99" s="5"/>
      <c r="BK99" s="5"/>
      <c r="BL99" s="5">
        <f t="shared" si="61"/>
        <v>0.52</v>
      </c>
    </row>
    <row r="100" spans="1:64" s="2" customFormat="1" ht="25.5" outlineLevel="1" x14ac:dyDescent="0.2">
      <c r="A100" s="592" t="s">
        <v>1819</v>
      </c>
      <c r="B100" s="603" t="s">
        <v>401</v>
      </c>
      <c r="C100" s="7" t="s">
        <v>1795</v>
      </c>
      <c r="D100" s="8"/>
      <c r="E100" s="8" t="s">
        <v>1796</v>
      </c>
      <c r="F100" s="8">
        <v>2014</v>
      </c>
      <c r="G100" s="8">
        <v>2014</v>
      </c>
      <c r="H100" s="5">
        <v>0.31</v>
      </c>
      <c r="I100" s="5">
        <v>0.31</v>
      </c>
      <c r="J100" s="5">
        <f t="shared" si="56"/>
        <v>0.31</v>
      </c>
      <c r="K100" s="8" t="s">
        <v>1796</v>
      </c>
      <c r="L100" s="8"/>
      <c r="M100" s="8"/>
      <c r="N100" s="8"/>
      <c r="O100" s="8"/>
      <c r="P100" s="8"/>
      <c r="Q100" s="8" t="s">
        <v>1796</v>
      </c>
      <c r="R100" s="5">
        <v>0.31</v>
      </c>
      <c r="S100" s="267"/>
      <c r="T100" s="267"/>
      <c r="U100" s="267"/>
      <c r="V100" s="267"/>
      <c r="W100" s="267"/>
      <c r="X100" s="5">
        <f t="shared" si="57"/>
        <v>0.31</v>
      </c>
      <c r="Y100" s="302"/>
      <c r="Z100" s="5"/>
      <c r="AA100" s="94"/>
      <c r="AB100" s="311">
        <f t="shared" si="52"/>
        <v>0</v>
      </c>
      <c r="AC100" s="296"/>
      <c r="AD100" s="113"/>
      <c r="AE100" s="5">
        <f t="shared" si="58"/>
        <v>0</v>
      </c>
      <c r="AF100" s="5">
        <f t="shared" si="59"/>
        <v>0.31</v>
      </c>
      <c r="AG100" s="50"/>
      <c r="AH100" s="50"/>
      <c r="AI100" s="50"/>
      <c r="AJ100" s="50"/>
      <c r="AK100" s="274"/>
      <c r="AL100" s="94">
        <f t="shared" si="60"/>
        <v>0.31</v>
      </c>
      <c r="AM100" s="122"/>
      <c r="AN100" s="180"/>
      <c r="AO100" s="122"/>
      <c r="AP100" s="184"/>
      <c r="AQ100" s="122"/>
      <c r="AR100" s="184"/>
      <c r="AS100" s="122"/>
      <c r="AT100" s="184"/>
      <c r="AU100" s="122"/>
      <c r="AV100" s="184"/>
      <c r="AW100" s="122"/>
      <c r="AX100" s="184"/>
      <c r="AY100" s="111">
        <f t="shared" si="49"/>
        <v>0</v>
      </c>
      <c r="AZ100" s="178">
        <f t="shared" si="48"/>
        <v>0</v>
      </c>
      <c r="BF100" s="5">
        <v>0.31</v>
      </c>
      <c r="BG100" s="5"/>
      <c r="BH100" s="5"/>
      <c r="BI100" s="5"/>
      <c r="BJ100" s="5"/>
      <c r="BK100" s="5"/>
      <c r="BL100" s="5">
        <f t="shared" si="61"/>
        <v>0.31</v>
      </c>
    </row>
    <row r="101" spans="1:64" s="2" customFormat="1" ht="15.75" outlineLevel="1" x14ac:dyDescent="0.2">
      <c r="A101" s="592" t="s">
        <v>1821</v>
      </c>
      <c r="B101" s="603" t="s">
        <v>402</v>
      </c>
      <c r="C101" s="7" t="s">
        <v>1820</v>
      </c>
      <c r="D101" s="8"/>
      <c r="E101" s="8" t="s">
        <v>1796</v>
      </c>
      <c r="F101" s="8">
        <v>2014</v>
      </c>
      <c r="G101" s="8">
        <v>2014</v>
      </c>
      <c r="H101" s="5">
        <v>0.21695</v>
      </c>
      <c r="I101" s="5">
        <v>0.21695</v>
      </c>
      <c r="J101" s="5">
        <f>R101</f>
        <v>0.21695</v>
      </c>
      <c r="K101" s="8" t="s">
        <v>1796</v>
      </c>
      <c r="L101" s="8"/>
      <c r="M101" s="8"/>
      <c r="N101" s="8"/>
      <c r="O101" s="8"/>
      <c r="P101" s="8"/>
      <c r="Q101" s="8" t="s">
        <v>1796</v>
      </c>
      <c r="R101" s="5">
        <v>0.21695</v>
      </c>
      <c r="S101" s="267"/>
      <c r="T101" s="267"/>
      <c r="U101" s="267"/>
      <c r="V101" s="267"/>
      <c r="W101" s="267"/>
      <c r="X101" s="5">
        <f t="shared" si="57"/>
        <v>0.21695</v>
      </c>
      <c r="Y101" s="302"/>
      <c r="Z101" s="5"/>
      <c r="AA101" s="94"/>
      <c r="AB101" s="311">
        <f t="shared" si="52"/>
        <v>0</v>
      </c>
      <c r="AC101" s="296"/>
      <c r="AD101" s="113"/>
      <c r="AE101" s="5">
        <f t="shared" si="58"/>
        <v>0</v>
      </c>
      <c r="AF101" s="5">
        <f t="shared" si="59"/>
        <v>0.21695</v>
      </c>
      <c r="AG101" s="50"/>
      <c r="AH101" s="50"/>
      <c r="AI101" s="50"/>
      <c r="AJ101" s="50"/>
      <c r="AK101" s="274"/>
      <c r="AL101" s="94">
        <f t="shared" si="60"/>
        <v>0.21695</v>
      </c>
      <c r="AM101" s="122"/>
      <c r="AN101" s="180"/>
      <c r="AO101" s="122"/>
      <c r="AP101" s="184"/>
      <c r="AQ101" s="122"/>
      <c r="AR101" s="184"/>
      <c r="AS101" s="122"/>
      <c r="AT101" s="184"/>
      <c r="AU101" s="122"/>
      <c r="AV101" s="184"/>
      <c r="AW101" s="122"/>
      <c r="AX101" s="184"/>
      <c r="AY101" s="111">
        <f t="shared" si="49"/>
        <v>0</v>
      </c>
      <c r="AZ101" s="178">
        <f t="shared" si="48"/>
        <v>0</v>
      </c>
      <c r="BF101" s="5">
        <v>0.16700000000000001</v>
      </c>
      <c r="BG101" s="5"/>
      <c r="BH101" s="5"/>
      <c r="BI101" s="5"/>
      <c r="BJ101" s="5"/>
      <c r="BK101" s="5"/>
      <c r="BL101" s="5">
        <f t="shared" si="61"/>
        <v>0.16700000000000001</v>
      </c>
    </row>
    <row r="102" spans="1:64" s="2" customFormat="1" ht="15.75" outlineLevel="1" x14ac:dyDescent="0.2">
      <c r="A102" s="6" t="s">
        <v>2529</v>
      </c>
      <c r="B102" s="603" t="s">
        <v>2529</v>
      </c>
      <c r="C102" s="7" t="s">
        <v>912</v>
      </c>
      <c r="D102" s="8"/>
      <c r="E102" s="23" t="s">
        <v>406</v>
      </c>
      <c r="F102" s="8">
        <v>2019</v>
      </c>
      <c r="G102" s="8">
        <v>2019</v>
      </c>
      <c r="H102" s="5">
        <v>0.08</v>
      </c>
      <c r="I102" s="5">
        <v>0.08</v>
      </c>
      <c r="J102" s="5">
        <f t="shared" si="56"/>
        <v>0</v>
      </c>
      <c r="K102" s="23"/>
      <c r="L102" s="23"/>
      <c r="M102" s="8"/>
      <c r="N102" s="8"/>
      <c r="O102" s="8"/>
      <c r="P102" s="23" t="s">
        <v>406</v>
      </c>
      <c r="Q102" s="23" t="s">
        <v>406</v>
      </c>
      <c r="R102" s="5"/>
      <c r="S102" s="267"/>
      <c r="T102" s="267"/>
      <c r="U102" s="267"/>
      <c r="V102" s="267"/>
      <c r="W102" s="267">
        <v>0.08</v>
      </c>
      <c r="X102" s="5">
        <f t="shared" si="57"/>
        <v>0.08</v>
      </c>
      <c r="Y102" s="302"/>
      <c r="Z102" s="5"/>
      <c r="AA102" s="94"/>
      <c r="AB102" s="311">
        <f t="shared" si="52"/>
        <v>0</v>
      </c>
      <c r="AC102" s="296"/>
      <c r="AD102" s="113"/>
      <c r="AE102" s="5">
        <f t="shared" si="58"/>
        <v>0</v>
      </c>
      <c r="AF102" s="5"/>
      <c r="AG102" s="5"/>
      <c r="AH102" s="5"/>
      <c r="AI102" s="5"/>
      <c r="AJ102" s="5"/>
      <c r="AK102" s="94">
        <f>H102</f>
        <v>0.08</v>
      </c>
      <c r="AL102" s="94">
        <f t="shared" si="60"/>
        <v>0.08</v>
      </c>
      <c r="AM102" s="122"/>
      <c r="AN102" s="180"/>
      <c r="AO102" s="122"/>
      <c r="AP102" s="184"/>
      <c r="AQ102" s="122"/>
      <c r="AR102" s="184"/>
      <c r="AS102" s="122"/>
      <c r="AT102" s="184"/>
      <c r="AU102" s="122"/>
      <c r="AV102" s="184"/>
      <c r="AW102" s="122"/>
      <c r="AX102" s="184"/>
      <c r="AY102" s="111">
        <f t="shared" si="49"/>
        <v>0</v>
      </c>
      <c r="AZ102" s="178">
        <f t="shared" si="48"/>
        <v>0</v>
      </c>
      <c r="BF102" s="5"/>
      <c r="BG102" s="5"/>
      <c r="BH102" s="5"/>
      <c r="BI102" s="5"/>
      <c r="BJ102" s="5"/>
      <c r="BK102" s="5">
        <v>0.08</v>
      </c>
      <c r="BL102" s="5">
        <f t="shared" si="61"/>
        <v>0.08</v>
      </c>
    </row>
    <row r="103" spans="1:64" s="2" customFormat="1" ht="15.75" outlineLevel="1" x14ac:dyDescent="0.2">
      <c r="A103" s="6" t="s">
        <v>2530</v>
      </c>
      <c r="B103" s="603" t="s">
        <v>2530</v>
      </c>
      <c r="C103" s="7" t="s">
        <v>913</v>
      </c>
      <c r="D103" s="8"/>
      <c r="E103" s="23" t="s">
        <v>406</v>
      </c>
      <c r="F103" s="8">
        <v>2019</v>
      </c>
      <c r="G103" s="8">
        <v>2019</v>
      </c>
      <c r="H103" s="5">
        <v>0.05</v>
      </c>
      <c r="I103" s="5">
        <v>0.05</v>
      </c>
      <c r="J103" s="5">
        <f t="shared" si="56"/>
        <v>0</v>
      </c>
      <c r="K103" s="23"/>
      <c r="L103" s="23"/>
      <c r="M103" s="8"/>
      <c r="N103" s="8"/>
      <c r="O103" s="8"/>
      <c r="P103" s="23" t="s">
        <v>406</v>
      </c>
      <c r="Q103" s="23" t="s">
        <v>406</v>
      </c>
      <c r="R103" s="5"/>
      <c r="S103" s="267"/>
      <c r="T103" s="267"/>
      <c r="U103" s="267"/>
      <c r="V103" s="267"/>
      <c r="W103" s="267">
        <v>0.05</v>
      </c>
      <c r="X103" s="5">
        <f t="shared" si="57"/>
        <v>0.05</v>
      </c>
      <c r="Y103" s="302"/>
      <c r="Z103" s="5"/>
      <c r="AA103" s="94"/>
      <c r="AB103" s="311">
        <f t="shared" si="52"/>
        <v>0</v>
      </c>
      <c r="AC103" s="296"/>
      <c r="AD103" s="113"/>
      <c r="AE103" s="5">
        <f t="shared" si="58"/>
        <v>0</v>
      </c>
      <c r="AF103" s="5"/>
      <c r="AG103" s="5"/>
      <c r="AH103" s="5"/>
      <c r="AI103" s="5"/>
      <c r="AJ103" s="5"/>
      <c r="AK103" s="94">
        <f>H103</f>
        <v>0.05</v>
      </c>
      <c r="AL103" s="94">
        <f t="shared" si="60"/>
        <v>0.05</v>
      </c>
      <c r="AM103" s="122"/>
      <c r="AN103" s="180"/>
      <c r="AO103" s="122"/>
      <c r="AP103" s="184"/>
      <c r="AQ103" s="122"/>
      <c r="AR103" s="184"/>
      <c r="AS103" s="122"/>
      <c r="AT103" s="184"/>
      <c r="AU103" s="122"/>
      <c r="AV103" s="184"/>
      <c r="AW103" s="122"/>
      <c r="AX103" s="184"/>
      <c r="AY103" s="111">
        <f t="shared" si="49"/>
        <v>0</v>
      </c>
      <c r="AZ103" s="178">
        <f t="shared" si="48"/>
        <v>0</v>
      </c>
      <c r="BF103" s="5"/>
      <c r="BG103" s="5"/>
      <c r="BH103" s="5"/>
      <c r="BI103" s="5"/>
      <c r="BJ103" s="5"/>
      <c r="BK103" s="5">
        <v>0.05</v>
      </c>
      <c r="BL103" s="5">
        <f t="shared" si="61"/>
        <v>0.05</v>
      </c>
    </row>
    <row r="104" spans="1:64" s="2" customFormat="1" ht="25.5" outlineLevel="1" x14ac:dyDescent="0.2">
      <c r="A104" s="610" t="s">
        <v>2961</v>
      </c>
      <c r="B104" s="603" t="s">
        <v>2636</v>
      </c>
      <c r="C104" s="7" t="s">
        <v>2637</v>
      </c>
      <c r="D104" s="8"/>
      <c r="E104" s="23" t="s">
        <v>2594</v>
      </c>
      <c r="F104" s="8">
        <v>2014</v>
      </c>
      <c r="G104" s="8">
        <v>2014</v>
      </c>
      <c r="H104" s="5">
        <f>1.4287+0.4534+0.0297+1.13+1.415</f>
        <v>4.4568000000000003</v>
      </c>
      <c r="I104" s="5">
        <v>4.4569999999999999</v>
      </c>
      <c r="J104" s="5">
        <f>R104</f>
        <v>4.4569999999999999</v>
      </c>
      <c r="K104" s="23" t="str">
        <f>E104</f>
        <v>14 шт.</v>
      </c>
      <c r="L104" s="23"/>
      <c r="M104" s="8"/>
      <c r="N104" s="8"/>
      <c r="O104" s="8"/>
      <c r="P104" s="23"/>
      <c r="Q104" s="23" t="str">
        <f>K104</f>
        <v>14 шт.</v>
      </c>
      <c r="R104" s="5">
        <v>4.4569999999999999</v>
      </c>
      <c r="S104" s="267"/>
      <c r="T104" s="267"/>
      <c r="U104" s="267"/>
      <c r="V104" s="267"/>
      <c r="W104" s="267"/>
      <c r="X104" s="5">
        <f>SUM(R104:W104)</f>
        <v>4.4569999999999999</v>
      </c>
      <c r="Y104" s="302"/>
      <c r="Z104" s="5"/>
      <c r="AA104" s="94"/>
      <c r="AB104" s="311">
        <f t="shared" si="52"/>
        <v>0</v>
      </c>
      <c r="AC104" s="296"/>
      <c r="AD104" s="113"/>
      <c r="AE104" s="5">
        <f>H104-I104-AC104</f>
        <v>-1.9999999999953388E-4</v>
      </c>
      <c r="AF104" s="5">
        <f>H104</f>
        <v>4.4568000000000003</v>
      </c>
      <c r="AG104" s="5"/>
      <c r="AH104" s="5"/>
      <c r="AI104" s="5"/>
      <c r="AJ104" s="5"/>
      <c r="AK104" s="94"/>
      <c r="AL104" s="94">
        <f>SUM(AF104:AK104)</f>
        <v>4.4568000000000003</v>
      </c>
      <c r="AM104" s="122"/>
      <c r="AN104" s="180"/>
      <c r="AO104" s="122"/>
      <c r="AP104" s="184"/>
      <c r="AQ104" s="122"/>
      <c r="AR104" s="184"/>
      <c r="AS104" s="122"/>
      <c r="AT104" s="184"/>
      <c r="AU104" s="122"/>
      <c r="AV104" s="184"/>
      <c r="AW104" s="122"/>
      <c r="AX104" s="184"/>
      <c r="AY104" s="111">
        <f>AM104+AO104+AQ104+AS104+AU104+AW104</f>
        <v>0</v>
      </c>
      <c r="AZ104" s="178">
        <f>AN104+AP104+AR104+AT104+AV104+AX104</f>
        <v>0</v>
      </c>
      <c r="BF104" s="5">
        <v>2.06</v>
      </c>
      <c r="BG104" s="5"/>
      <c r="BH104" s="5"/>
      <c r="BI104" s="5"/>
      <c r="BJ104" s="5"/>
      <c r="BK104" s="5"/>
      <c r="BL104" s="5">
        <f>SUM(BF104:BK104)</f>
        <v>2.06</v>
      </c>
    </row>
    <row r="105" spans="1:64" s="2" customFormat="1" ht="25.5" customHeight="1" outlineLevel="1" x14ac:dyDescent="0.2">
      <c r="A105" s="6" t="s">
        <v>2587</v>
      </c>
      <c r="B105" s="603" t="s">
        <v>2587</v>
      </c>
      <c r="C105" s="7" t="s">
        <v>2589</v>
      </c>
      <c r="D105" s="8"/>
      <c r="E105" s="23" t="s">
        <v>406</v>
      </c>
      <c r="F105" s="8">
        <v>2014</v>
      </c>
      <c r="G105" s="8">
        <v>2014</v>
      </c>
      <c r="H105" s="5">
        <v>0.09</v>
      </c>
      <c r="I105" s="5">
        <v>0.09</v>
      </c>
      <c r="J105" s="5">
        <f t="shared" si="56"/>
        <v>0.09</v>
      </c>
      <c r="K105" s="23" t="s">
        <v>406</v>
      </c>
      <c r="L105" s="23"/>
      <c r="M105" s="8"/>
      <c r="N105" s="8"/>
      <c r="O105" s="8"/>
      <c r="P105" s="23"/>
      <c r="Q105" s="23" t="str">
        <f>K105</f>
        <v>1 шт.</v>
      </c>
      <c r="R105" s="5">
        <v>0.09</v>
      </c>
      <c r="S105" s="267"/>
      <c r="T105" s="267"/>
      <c r="U105" s="267"/>
      <c r="V105" s="267"/>
      <c r="W105" s="267"/>
      <c r="X105" s="5">
        <f t="shared" si="57"/>
        <v>0.09</v>
      </c>
      <c r="Y105" s="302"/>
      <c r="Z105" s="5"/>
      <c r="AA105" s="94"/>
      <c r="AB105" s="311">
        <f t="shared" si="52"/>
        <v>0</v>
      </c>
      <c r="AC105" s="296"/>
      <c r="AD105" s="113"/>
      <c r="AE105" s="5">
        <f>H105-I105-AC105</f>
        <v>0</v>
      </c>
      <c r="AF105" s="5">
        <f t="shared" si="59"/>
        <v>0.09</v>
      </c>
      <c r="AG105" s="5"/>
      <c r="AH105" s="5"/>
      <c r="AI105" s="5"/>
      <c r="AJ105" s="5"/>
      <c r="AK105" s="94"/>
      <c r="AL105" s="94">
        <f t="shared" si="60"/>
        <v>0.09</v>
      </c>
      <c r="AM105" s="122"/>
      <c r="AN105" s="180"/>
      <c r="AO105" s="122"/>
      <c r="AP105" s="184"/>
      <c r="AQ105" s="122"/>
      <c r="AR105" s="184"/>
      <c r="AS105" s="122"/>
      <c r="AT105" s="184"/>
      <c r="AU105" s="122"/>
      <c r="AV105" s="184"/>
      <c r="AW105" s="122"/>
      <c r="AX105" s="184"/>
      <c r="AY105" s="111">
        <f>AM105+AO105+AQ105+AS105+AU105+AW105</f>
        <v>0</v>
      </c>
      <c r="AZ105" s="178">
        <f>AN105+AP105+AR105+AT105+AV105+AX105</f>
        <v>0</v>
      </c>
      <c r="BF105" s="5"/>
      <c r="BG105" s="5"/>
      <c r="BH105" s="5"/>
      <c r="BI105" s="5"/>
      <c r="BJ105" s="5"/>
      <c r="BK105" s="5"/>
      <c r="BL105" s="5"/>
    </row>
    <row r="106" spans="1:64" s="2" customFormat="1" ht="20.25" customHeight="1" x14ac:dyDescent="0.2">
      <c r="A106" s="28"/>
      <c r="B106" s="28" t="s">
        <v>403</v>
      </c>
      <c r="C106" s="29" t="s">
        <v>418</v>
      </c>
      <c r="D106" s="30"/>
      <c r="E106" s="30"/>
      <c r="F106" s="30"/>
      <c r="G106" s="30"/>
      <c r="H106" s="31">
        <f>SUM(H107:H120)</f>
        <v>35.362000000000002</v>
      </c>
      <c r="I106" s="31">
        <f>SUM(I107:I120)</f>
        <v>35.362000000000002</v>
      </c>
      <c r="J106" s="31">
        <f>SUM(J107:J120)</f>
        <v>14.281999999999998</v>
      </c>
      <c r="K106" s="31"/>
      <c r="L106" s="31"/>
      <c r="M106" s="31"/>
      <c r="N106" s="31"/>
      <c r="O106" s="31"/>
      <c r="P106" s="31"/>
      <c r="Q106" s="31"/>
      <c r="R106" s="31">
        <f t="shared" ref="R106:AX106" si="62">SUM(R107:R120)</f>
        <v>14.281999999999998</v>
      </c>
      <c r="S106" s="31">
        <f t="shared" si="62"/>
        <v>3.8499999999999996</v>
      </c>
      <c r="T106" s="31">
        <f t="shared" si="62"/>
        <v>0.59</v>
      </c>
      <c r="U106" s="31">
        <f t="shared" si="62"/>
        <v>1.1399999999999999</v>
      </c>
      <c r="V106" s="31">
        <f t="shared" si="62"/>
        <v>1.5</v>
      </c>
      <c r="W106" s="31">
        <f t="shared" si="62"/>
        <v>14</v>
      </c>
      <c r="X106" s="31">
        <f t="shared" si="62"/>
        <v>35.362000000000002</v>
      </c>
      <c r="Y106" s="132"/>
      <c r="Z106" s="31"/>
      <c r="AA106" s="95"/>
      <c r="AB106" s="310">
        <f t="shared" si="52"/>
        <v>0</v>
      </c>
      <c r="AC106" s="300">
        <f t="shared" si="62"/>
        <v>0</v>
      </c>
      <c r="AD106" s="228">
        <f t="shared" si="62"/>
        <v>0</v>
      </c>
      <c r="AE106" s="31">
        <f t="shared" si="62"/>
        <v>0</v>
      </c>
      <c r="AF106" s="31">
        <f t="shared" si="62"/>
        <v>14.281999999999998</v>
      </c>
      <c r="AG106" s="31">
        <f t="shared" si="62"/>
        <v>3.8499999999999996</v>
      </c>
      <c r="AH106" s="31">
        <f t="shared" si="62"/>
        <v>0.59</v>
      </c>
      <c r="AI106" s="31">
        <f t="shared" si="62"/>
        <v>1.1399999999999999</v>
      </c>
      <c r="AJ106" s="31">
        <f t="shared" si="62"/>
        <v>1.5</v>
      </c>
      <c r="AK106" s="95">
        <f t="shared" si="62"/>
        <v>14</v>
      </c>
      <c r="AL106" s="95">
        <f t="shared" si="62"/>
        <v>35.362000000000002</v>
      </c>
      <c r="AM106" s="85">
        <f t="shared" si="62"/>
        <v>0</v>
      </c>
      <c r="AN106" s="179">
        <f t="shared" si="62"/>
        <v>0</v>
      </c>
      <c r="AO106" s="85">
        <f t="shared" si="62"/>
        <v>0</v>
      </c>
      <c r="AP106" s="183">
        <f t="shared" si="62"/>
        <v>0</v>
      </c>
      <c r="AQ106" s="85">
        <f t="shared" si="62"/>
        <v>0</v>
      </c>
      <c r="AR106" s="183">
        <f t="shared" si="62"/>
        <v>0</v>
      </c>
      <c r="AS106" s="85">
        <f t="shared" si="62"/>
        <v>0</v>
      </c>
      <c r="AT106" s="183">
        <f t="shared" si="62"/>
        <v>0</v>
      </c>
      <c r="AU106" s="85">
        <f t="shared" si="62"/>
        <v>0</v>
      </c>
      <c r="AV106" s="183">
        <f t="shared" si="62"/>
        <v>0</v>
      </c>
      <c r="AW106" s="85">
        <f t="shared" si="62"/>
        <v>0</v>
      </c>
      <c r="AX106" s="183">
        <f t="shared" si="62"/>
        <v>0</v>
      </c>
      <c r="AY106" s="188">
        <f t="shared" si="49"/>
        <v>0</v>
      </c>
      <c r="AZ106" s="190">
        <f t="shared" si="48"/>
        <v>0</v>
      </c>
      <c r="BF106" s="31">
        <f t="shared" ref="BF106:BL106" si="63">SUM(BF107:BF120)</f>
        <v>24.183999999999997</v>
      </c>
      <c r="BG106" s="31">
        <f t="shared" si="63"/>
        <v>0</v>
      </c>
      <c r="BH106" s="31">
        <f t="shared" si="63"/>
        <v>2.9</v>
      </c>
      <c r="BI106" s="31">
        <f t="shared" si="63"/>
        <v>1.5</v>
      </c>
      <c r="BJ106" s="31">
        <f t="shared" si="63"/>
        <v>1.5</v>
      </c>
      <c r="BK106" s="31">
        <f t="shared" si="63"/>
        <v>9.6</v>
      </c>
      <c r="BL106" s="31">
        <f t="shared" si="63"/>
        <v>39.683999999999997</v>
      </c>
    </row>
    <row r="107" spans="1:64" s="2" customFormat="1" ht="25.5" outlineLevel="1" x14ac:dyDescent="0.2">
      <c r="A107" s="592" t="s">
        <v>1782</v>
      </c>
      <c r="B107" s="603" t="s">
        <v>405</v>
      </c>
      <c r="C107" s="7" t="s">
        <v>421</v>
      </c>
      <c r="D107" s="8"/>
      <c r="E107" s="23" t="s">
        <v>406</v>
      </c>
      <c r="F107" s="8">
        <v>2014</v>
      </c>
      <c r="G107" s="8">
        <v>2014</v>
      </c>
      <c r="H107" s="5">
        <v>3.36</v>
      </c>
      <c r="I107" s="5">
        <v>3.36</v>
      </c>
      <c r="J107" s="5">
        <f t="shared" ref="J107:J120" si="64">R107</f>
        <v>3.36</v>
      </c>
      <c r="K107" s="23" t="s">
        <v>406</v>
      </c>
      <c r="L107" s="8"/>
      <c r="M107" s="8"/>
      <c r="N107" s="8"/>
      <c r="O107" s="8"/>
      <c r="P107" s="8"/>
      <c r="Q107" s="23" t="s">
        <v>406</v>
      </c>
      <c r="R107" s="5">
        <v>3.36</v>
      </c>
      <c r="S107" s="267"/>
      <c r="T107" s="267"/>
      <c r="U107" s="267"/>
      <c r="V107" s="267"/>
      <c r="W107" s="267"/>
      <c r="X107" s="5">
        <f t="shared" ref="X107:X120" si="65">SUM(R107:W107)</f>
        <v>3.36</v>
      </c>
      <c r="Y107" s="302"/>
      <c r="Z107" s="5"/>
      <c r="AA107" s="94"/>
      <c r="AB107" s="311">
        <f t="shared" si="52"/>
        <v>0</v>
      </c>
      <c r="AC107" s="296"/>
      <c r="AD107" s="113"/>
      <c r="AE107" s="5">
        <f t="shared" ref="AE107:AE120" si="66">H107-I107-AC107</f>
        <v>0</v>
      </c>
      <c r="AF107" s="5">
        <f>H107</f>
        <v>3.36</v>
      </c>
      <c r="AG107" s="5"/>
      <c r="AH107" s="5"/>
      <c r="AI107" s="5"/>
      <c r="AJ107" s="5"/>
      <c r="AK107" s="94"/>
      <c r="AL107" s="94">
        <f t="shared" ref="AL107:AL120" si="67">SUM(AF107:AK107)</f>
        <v>3.36</v>
      </c>
      <c r="AM107" s="122"/>
      <c r="AN107" s="180"/>
      <c r="AO107" s="122"/>
      <c r="AP107" s="184"/>
      <c r="AQ107" s="122"/>
      <c r="AR107" s="184"/>
      <c r="AS107" s="122"/>
      <c r="AT107" s="184"/>
      <c r="AU107" s="122"/>
      <c r="AV107" s="184"/>
      <c r="AW107" s="122"/>
      <c r="AX107" s="184"/>
      <c r="AY107" s="111">
        <f t="shared" si="49"/>
        <v>0</v>
      </c>
      <c r="AZ107" s="178">
        <f t="shared" si="48"/>
        <v>0</v>
      </c>
      <c r="BF107" s="5">
        <v>3.36</v>
      </c>
      <c r="BG107" s="5"/>
      <c r="BH107" s="5"/>
      <c r="BI107" s="5"/>
      <c r="BJ107" s="5"/>
      <c r="BK107" s="5"/>
      <c r="BL107" s="5">
        <f t="shared" ref="BL107:BL120" si="68">SUM(BF107:BK107)</f>
        <v>3.36</v>
      </c>
    </row>
    <row r="108" spans="1:64" s="2" customFormat="1" ht="15.75" outlineLevel="1" x14ac:dyDescent="0.2">
      <c r="A108" s="592" t="s">
        <v>2514</v>
      </c>
      <c r="B108" s="603" t="s">
        <v>407</v>
      </c>
      <c r="C108" s="7" t="s">
        <v>1923</v>
      </c>
      <c r="D108" s="8"/>
      <c r="E108" s="23" t="s">
        <v>406</v>
      </c>
      <c r="F108" s="8">
        <v>2014</v>
      </c>
      <c r="G108" s="8">
        <v>2014</v>
      </c>
      <c r="H108" s="5">
        <v>5.6779999999999999</v>
      </c>
      <c r="I108" s="5">
        <v>5.6779999999999999</v>
      </c>
      <c r="J108" s="5">
        <f t="shared" si="64"/>
        <v>5.6779999999999999</v>
      </c>
      <c r="K108" s="23" t="s">
        <v>406</v>
      </c>
      <c r="L108" s="8"/>
      <c r="M108" s="8"/>
      <c r="N108" s="8"/>
      <c r="O108" s="8"/>
      <c r="P108" s="8"/>
      <c r="Q108" s="23" t="s">
        <v>406</v>
      </c>
      <c r="R108" s="5">
        <v>5.6779999999999999</v>
      </c>
      <c r="S108" s="267"/>
      <c r="T108" s="267"/>
      <c r="U108" s="267"/>
      <c r="V108" s="267"/>
      <c r="W108" s="267"/>
      <c r="X108" s="5">
        <f t="shared" si="65"/>
        <v>5.6779999999999999</v>
      </c>
      <c r="Y108" s="302"/>
      <c r="Z108" s="5"/>
      <c r="AA108" s="94"/>
      <c r="AB108" s="311">
        <f t="shared" si="52"/>
        <v>0</v>
      </c>
      <c r="AC108" s="296"/>
      <c r="AD108" s="113"/>
      <c r="AE108" s="5">
        <f t="shared" si="66"/>
        <v>0</v>
      </c>
      <c r="AF108" s="5">
        <f>H108</f>
        <v>5.6779999999999999</v>
      </c>
      <c r="AG108" s="5"/>
      <c r="AH108" s="5"/>
      <c r="AI108" s="5"/>
      <c r="AJ108" s="5"/>
      <c r="AK108" s="94"/>
      <c r="AL108" s="94">
        <f t="shared" si="67"/>
        <v>5.6779999999999999</v>
      </c>
      <c r="AM108" s="122"/>
      <c r="AN108" s="180"/>
      <c r="AO108" s="122"/>
      <c r="AP108" s="184"/>
      <c r="AQ108" s="122"/>
      <c r="AR108" s="184"/>
      <c r="AS108" s="122"/>
      <c r="AT108" s="184"/>
      <c r="AU108" s="122"/>
      <c r="AV108" s="184"/>
      <c r="AW108" s="122"/>
      <c r="AX108" s="184"/>
      <c r="AY108" s="111">
        <f t="shared" si="49"/>
        <v>0</v>
      </c>
      <c r="AZ108" s="178">
        <f t="shared" si="48"/>
        <v>0</v>
      </c>
      <c r="BF108" s="5">
        <v>10</v>
      </c>
      <c r="BG108" s="5"/>
      <c r="BH108" s="5"/>
      <c r="BI108" s="5"/>
      <c r="BJ108" s="5"/>
      <c r="BK108" s="5"/>
      <c r="BL108" s="5">
        <f t="shared" si="68"/>
        <v>10</v>
      </c>
    </row>
    <row r="109" spans="1:64" s="2" customFormat="1" ht="63.75" outlineLevel="1" x14ac:dyDescent="0.2">
      <c r="A109" s="592" t="s">
        <v>2516</v>
      </c>
      <c r="B109" s="603" t="s">
        <v>409</v>
      </c>
      <c r="C109" s="7" t="s">
        <v>2515</v>
      </c>
      <c r="D109" s="8"/>
      <c r="E109" s="23" t="s">
        <v>406</v>
      </c>
      <c r="F109" s="8">
        <v>2015</v>
      </c>
      <c r="G109" s="8">
        <v>2015</v>
      </c>
      <c r="H109" s="5">
        <v>3.26</v>
      </c>
      <c r="I109" s="5">
        <v>3.26</v>
      </c>
      <c r="J109" s="5">
        <f t="shared" si="64"/>
        <v>0</v>
      </c>
      <c r="K109" s="23"/>
      <c r="L109" s="8" t="s">
        <v>406</v>
      </c>
      <c r="M109" s="8"/>
      <c r="N109" s="8"/>
      <c r="O109" s="8"/>
      <c r="P109" s="8"/>
      <c r="Q109" s="23" t="s">
        <v>406</v>
      </c>
      <c r="R109" s="5"/>
      <c r="S109" s="267">
        <v>3.26</v>
      </c>
      <c r="T109" s="267"/>
      <c r="U109" s="267"/>
      <c r="V109" s="267"/>
      <c r="W109" s="267"/>
      <c r="X109" s="5">
        <f t="shared" si="65"/>
        <v>3.26</v>
      </c>
      <c r="Y109" s="302"/>
      <c r="Z109" s="5"/>
      <c r="AA109" s="94"/>
      <c r="AB109" s="311">
        <f t="shared" si="52"/>
        <v>0</v>
      </c>
      <c r="AC109" s="296"/>
      <c r="AD109" s="113"/>
      <c r="AE109" s="5">
        <f t="shared" si="66"/>
        <v>0</v>
      </c>
      <c r="AF109" s="5"/>
      <c r="AG109" s="5">
        <f>H109</f>
        <v>3.26</v>
      </c>
      <c r="AH109" s="5"/>
      <c r="AI109" s="5"/>
      <c r="AJ109" s="5"/>
      <c r="AK109" s="94"/>
      <c r="AL109" s="94">
        <f t="shared" si="67"/>
        <v>3.26</v>
      </c>
      <c r="AM109" s="122"/>
      <c r="AN109" s="180"/>
      <c r="AO109" s="122"/>
      <c r="AP109" s="184"/>
      <c r="AQ109" s="122"/>
      <c r="AR109" s="184"/>
      <c r="AS109" s="122"/>
      <c r="AT109" s="184"/>
      <c r="AU109" s="122"/>
      <c r="AV109" s="184"/>
      <c r="AW109" s="122"/>
      <c r="AX109" s="184"/>
      <c r="AY109" s="111">
        <f t="shared" si="49"/>
        <v>0</v>
      </c>
      <c r="AZ109" s="178">
        <f t="shared" si="48"/>
        <v>0</v>
      </c>
      <c r="BF109" s="5">
        <v>3.26</v>
      </c>
      <c r="BG109" s="5"/>
      <c r="BH109" s="5"/>
      <c r="BI109" s="5"/>
      <c r="BJ109" s="5"/>
      <c r="BK109" s="5"/>
      <c r="BL109" s="5">
        <f t="shared" si="68"/>
        <v>3.26</v>
      </c>
    </row>
    <row r="110" spans="1:64" s="2" customFormat="1" ht="15.75" outlineLevel="1" x14ac:dyDescent="0.2">
      <c r="A110" s="592" t="s">
        <v>2517</v>
      </c>
      <c r="B110" s="603" t="s">
        <v>410</v>
      </c>
      <c r="C110" s="7" t="s">
        <v>1797</v>
      </c>
      <c r="D110" s="8"/>
      <c r="E110" s="23" t="s">
        <v>406</v>
      </c>
      <c r="F110" s="8">
        <v>2014</v>
      </c>
      <c r="G110" s="8">
        <v>2014</v>
      </c>
      <c r="H110" s="5">
        <v>2.0750000000000002</v>
      </c>
      <c r="I110" s="5">
        <v>2.0750000000000002</v>
      </c>
      <c r="J110" s="5">
        <f t="shared" si="64"/>
        <v>2.0750000000000002</v>
      </c>
      <c r="K110" s="23" t="s">
        <v>406</v>
      </c>
      <c r="L110" s="8"/>
      <c r="M110" s="8"/>
      <c r="N110" s="8"/>
      <c r="O110" s="8"/>
      <c r="P110" s="8"/>
      <c r="Q110" s="23" t="s">
        <v>406</v>
      </c>
      <c r="R110" s="5">
        <v>2.0750000000000002</v>
      </c>
      <c r="S110" s="267"/>
      <c r="T110" s="267"/>
      <c r="U110" s="267"/>
      <c r="V110" s="267"/>
      <c r="W110" s="267"/>
      <c r="X110" s="5">
        <f t="shared" si="65"/>
        <v>2.0750000000000002</v>
      </c>
      <c r="Y110" s="302"/>
      <c r="Z110" s="5"/>
      <c r="AA110" s="94"/>
      <c r="AB110" s="311">
        <f t="shared" si="52"/>
        <v>0</v>
      </c>
      <c r="AC110" s="296"/>
      <c r="AD110" s="113"/>
      <c r="AE110" s="5">
        <f t="shared" si="66"/>
        <v>0</v>
      </c>
      <c r="AF110" s="5">
        <f>H110</f>
        <v>2.0750000000000002</v>
      </c>
      <c r="AG110" s="5"/>
      <c r="AH110" s="5"/>
      <c r="AI110" s="5"/>
      <c r="AJ110" s="5"/>
      <c r="AK110" s="94"/>
      <c r="AL110" s="94">
        <f t="shared" si="67"/>
        <v>2.0750000000000002</v>
      </c>
      <c r="AM110" s="122"/>
      <c r="AN110" s="180"/>
      <c r="AO110" s="122"/>
      <c r="AP110" s="184"/>
      <c r="AQ110" s="122"/>
      <c r="AR110" s="184"/>
      <c r="AS110" s="122"/>
      <c r="AT110" s="184"/>
      <c r="AU110" s="122"/>
      <c r="AV110" s="184"/>
      <c r="AW110" s="122"/>
      <c r="AX110" s="184"/>
      <c r="AY110" s="111">
        <f t="shared" si="49"/>
        <v>0</v>
      </c>
      <c r="AZ110" s="178">
        <f t="shared" si="48"/>
        <v>0</v>
      </c>
      <c r="BF110" s="5">
        <v>2.0750000000000002</v>
      </c>
      <c r="BG110" s="5"/>
      <c r="BH110" s="5"/>
      <c r="BI110" s="5"/>
      <c r="BJ110" s="5"/>
      <c r="BK110" s="5"/>
      <c r="BL110" s="5">
        <f t="shared" si="68"/>
        <v>2.0750000000000002</v>
      </c>
    </row>
    <row r="111" spans="1:64" s="2" customFormat="1" ht="15.75" outlineLevel="1" x14ac:dyDescent="0.2">
      <c r="A111" s="592" t="s">
        <v>2518</v>
      </c>
      <c r="B111" s="603" t="s">
        <v>412</v>
      </c>
      <c r="C111" s="7" t="s">
        <v>2519</v>
      </c>
      <c r="D111" s="8"/>
      <c r="E111" s="8" t="s">
        <v>408</v>
      </c>
      <c r="F111" s="8">
        <v>2014</v>
      </c>
      <c r="G111" s="8">
        <v>2016</v>
      </c>
      <c r="H111" s="267">
        <v>1.77</v>
      </c>
      <c r="I111" s="267">
        <v>1.77</v>
      </c>
      <c r="J111" s="267">
        <f t="shared" si="64"/>
        <v>0.59000000000000008</v>
      </c>
      <c r="K111" s="8" t="s">
        <v>406</v>
      </c>
      <c r="L111" s="8" t="s">
        <v>406</v>
      </c>
      <c r="M111" s="8" t="s">
        <v>406</v>
      </c>
      <c r="N111" s="8"/>
      <c r="O111" s="8"/>
      <c r="P111" s="8"/>
      <c r="Q111" s="8" t="s">
        <v>408</v>
      </c>
      <c r="R111" s="267">
        <f>1.77-1.18</f>
        <v>0.59000000000000008</v>
      </c>
      <c r="S111" s="267">
        <v>0.59</v>
      </c>
      <c r="T111" s="267">
        <v>0.59</v>
      </c>
      <c r="U111" s="267"/>
      <c r="V111" s="267"/>
      <c r="W111" s="267"/>
      <c r="X111" s="5">
        <f t="shared" si="65"/>
        <v>1.77</v>
      </c>
      <c r="Y111" s="302"/>
      <c r="Z111" s="5"/>
      <c r="AA111" s="94"/>
      <c r="AB111" s="311">
        <f t="shared" si="52"/>
        <v>0</v>
      </c>
      <c r="AC111" s="296"/>
      <c r="AD111" s="113"/>
      <c r="AE111" s="5">
        <f t="shared" si="66"/>
        <v>0</v>
      </c>
      <c r="AF111" s="5">
        <f t="shared" ref="AF111:AI112" si="69">R111</f>
        <v>0.59000000000000008</v>
      </c>
      <c r="AG111" s="5">
        <f t="shared" si="69"/>
        <v>0.59</v>
      </c>
      <c r="AH111" s="5">
        <f t="shared" si="69"/>
        <v>0.59</v>
      </c>
      <c r="AI111" s="5">
        <f t="shared" si="69"/>
        <v>0</v>
      </c>
      <c r="AJ111" s="5"/>
      <c r="AK111" s="94"/>
      <c r="AL111" s="94">
        <f t="shared" si="67"/>
        <v>1.77</v>
      </c>
      <c r="AM111" s="122"/>
      <c r="AN111" s="180"/>
      <c r="AO111" s="122"/>
      <c r="AP111" s="184"/>
      <c r="AQ111" s="122"/>
      <c r="AR111" s="184"/>
      <c r="AS111" s="122"/>
      <c r="AT111" s="184"/>
      <c r="AU111" s="122"/>
      <c r="AV111" s="184"/>
      <c r="AW111" s="122"/>
      <c r="AX111" s="184"/>
      <c r="AY111" s="111">
        <f t="shared" si="49"/>
        <v>0</v>
      </c>
      <c r="AZ111" s="178">
        <f t="shared" si="48"/>
        <v>0</v>
      </c>
      <c r="BF111" s="267">
        <v>1.77</v>
      </c>
      <c r="BG111" s="5"/>
      <c r="BH111" s="5"/>
      <c r="BI111" s="5"/>
      <c r="BJ111" s="5"/>
      <c r="BK111" s="5"/>
      <c r="BL111" s="5">
        <f t="shared" si="68"/>
        <v>1.77</v>
      </c>
    </row>
    <row r="112" spans="1:64" s="2" customFormat="1" ht="15.75" outlineLevel="1" x14ac:dyDescent="0.2">
      <c r="A112" s="592" t="s">
        <v>2520</v>
      </c>
      <c r="B112" s="603" t="s">
        <v>413</v>
      </c>
      <c r="C112" s="7" t="s">
        <v>424</v>
      </c>
      <c r="D112" s="8"/>
      <c r="E112" s="8" t="s">
        <v>408</v>
      </c>
      <c r="F112" s="8">
        <v>2014</v>
      </c>
      <c r="G112" s="8">
        <v>2017</v>
      </c>
      <c r="H112" s="5">
        <f>3.42</f>
        <v>3.42</v>
      </c>
      <c r="I112" s="5">
        <f>3.42</f>
        <v>3.42</v>
      </c>
      <c r="J112" s="5">
        <f t="shared" si="64"/>
        <v>2.2799999999999998</v>
      </c>
      <c r="K112" s="8" t="s">
        <v>415</v>
      </c>
      <c r="L112" s="8"/>
      <c r="M112" s="8"/>
      <c r="N112" s="8" t="s">
        <v>406</v>
      </c>
      <c r="O112" s="8"/>
      <c r="P112" s="8"/>
      <c r="Q112" s="8" t="s">
        <v>408</v>
      </c>
      <c r="R112" s="5">
        <f>2.28</f>
        <v>2.2799999999999998</v>
      </c>
      <c r="S112" s="267"/>
      <c r="T112" s="267"/>
      <c r="U112" s="267">
        <v>1.1399999999999999</v>
      </c>
      <c r="V112" s="267"/>
      <c r="W112" s="267"/>
      <c r="X112" s="5">
        <f t="shared" si="65"/>
        <v>3.42</v>
      </c>
      <c r="Y112" s="302"/>
      <c r="Z112" s="5"/>
      <c r="AA112" s="94"/>
      <c r="AB112" s="311">
        <f t="shared" si="52"/>
        <v>0</v>
      </c>
      <c r="AC112" s="296"/>
      <c r="AD112" s="113"/>
      <c r="AE112" s="5">
        <f t="shared" si="66"/>
        <v>0</v>
      </c>
      <c r="AF112" s="5">
        <f t="shared" si="69"/>
        <v>2.2799999999999998</v>
      </c>
      <c r="AG112" s="5">
        <f t="shared" si="69"/>
        <v>0</v>
      </c>
      <c r="AH112" s="5">
        <f t="shared" si="69"/>
        <v>0</v>
      </c>
      <c r="AI112" s="5">
        <f t="shared" si="69"/>
        <v>1.1399999999999999</v>
      </c>
      <c r="AJ112" s="275"/>
      <c r="AK112" s="276"/>
      <c r="AL112" s="94">
        <f t="shared" si="67"/>
        <v>3.42</v>
      </c>
      <c r="AM112" s="122"/>
      <c r="AN112" s="180"/>
      <c r="AO112" s="122"/>
      <c r="AP112" s="184"/>
      <c r="AQ112" s="122"/>
      <c r="AR112" s="184"/>
      <c r="AS112" s="122"/>
      <c r="AT112" s="184"/>
      <c r="AU112" s="122"/>
      <c r="AV112" s="184"/>
      <c r="AW112" s="122"/>
      <c r="AX112" s="184"/>
      <c r="AY112" s="111">
        <f t="shared" si="49"/>
        <v>0</v>
      </c>
      <c r="AZ112" s="178">
        <f t="shared" si="48"/>
        <v>0</v>
      </c>
      <c r="BF112" s="5">
        <v>3.42</v>
      </c>
      <c r="BG112" s="5"/>
      <c r="BH112" s="5"/>
      <c r="BI112" s="5"/>
      <c r="BJ112" s="5"/>
      <c r="BK112" s="5"/>
      <c r="BL112" s="5">
        <f t="shared" si="68"/>
        <v>3.42</v>
      </c>
    </row>
    <row r="113" spans="1:64" s="2" customFormat="1" ht="15.75" outlineLevel="1" x14ac:dyDescent="0.2">
      <c r="A113" s="592" t="s">
        <v>2521</v>
      </c>
      <c r="B113" s="603" t="s">
        <v>414</v>
      </c>
      <c r="C113" s="7" t="s">
        <v>2522</v>
      </c>
      <c r="D113" s="8"/>
      <c r="E113" s="23" t="s">
        <v>406</v>
      </c>
      <c r="F113" s="8">
        <v>2014</v>
      </c>
      <c r="G113" s="8">
        <v>2014</v>
      </c>
      <c r="H113" s="5">
        <v>0.29899999999999999</v>
      </c>
      <c r="I113" s="5">
        <v>0.29899999999999999</v>
      </c>
      <c r="J113" s="5">
        <f t="shared" si="64"/>
        <v>0.29899999999999999</v>
      </c>
      <c r="K113" s="23" t="s">
        <v>406</v>
      </c>
      <c r="L113" s="8"/>
      <c r="M113" s="8"/>
      <c r="N113" s="8"/>
      <c r="O113" s="8"/>
      <c r="P113" s="8"/>
      <c r="Q113" s="23" t="s">
        <v>406</v>
      </c>
      <c r="R113" s="5">
        <v>0.29899999999999999</v>
      </c>
      <c r="S113" s="267"/>
      <c r="T113" s="267"/>
      <c r="U113" s="267"/>
      <c r="V113" s="267"/>
      <c r="W113" s="267"/>
      <c r="X113" s="5">
        <f t="shared" si="65"/>
        <v>0.29899999999999999</v>
      </c>
      <c r="Y113" s="302"/>
      <c r="Z113" s="5"/>
      <c r="AA113" s="94"/>
      <c r="AB113" s="311">
        <f t="shared" si="52"/>
        <v>0</v>
      </c>
      <c r="AC113" s="296"/>
      <c r="AD113" s="113"/>
      <c r="AE113" s="5">
        <f t="shared" si="66"/>
        <v>0</v>
      </c>
      <c r="AF113" s="5">
        <f t="shared" ref="AF113:AH115" si="70">R113</f>
        <v>0.29899999999999999</v>
      </c>
      <c r="AG113" s="5">
        <f t="shared" si="70"/>
        <v>0</v>
      </c>
      <c r="AH113" s="5">
        <f t="shared" si="70"/>
        <v>0</v>
      </c>
      <c r="AI113" s="5">
        <f t="shared" ref="AI113:AK116" si="71">U113</f>
        <v>0</v>
      </c>
      <c r="AJ113" s="5"/>
      <c r="AK113" s="94"/>
      <c r="AL113" s="94">
        <f t="shared" si="67"/>
        <v>0.29899999999999999</v>
      </c>
      <c r="AM113" s="122"/>
      <c r="AN113" s="180"/>
      <c r="AO113" s="122"/>
      <c r="AP113" s="184"/>
      <c r="AQ113" s="122"/>
      <c r="AR113" s="184"/>
      <c r="AS113" s="122"/>
      <c r="AT113" s="184"/>
      <c r="AU113" s="122"/>
      <c r="AV113" s="184"/>
      <c r="AW113" s="122"/>
      <c r="AX113" s="184"/>
      <c r="AY113" s="111">
        <f t="shared" si="49"/>
        <v>0</v>
      </c>
      <c r="AZ113" s="178">
        <f t="shared" si="48"/>
        <v>0</v>
      </c>
      <c r="BF113" s="5">
        <v>0.29899999999999999</v>
      </c>
      <c r="BG113" s="5"/>
      <c r="BH113" s="5"/>
      <c r="BI113" s="5"/>
      <c r="BJ113" s="5"/>
      <c r="BK113" s="5"/>
      <c r="BL113" s="5">
        <f t="shared" si="68"/>
        <v>0.29899999999999999</v>
      </c>
    </row>
    <row r="114" spans="1:64" s="2" customFormat="1" ht="15.75" outlineLevel="1" x14ac:dyDescent="0.2">
      <c r="A114" s="6" t="s">
        <v>416</v>
      </c>
      <c r="B114" s="603" t="s">
        <v>416</v>
      </c>
      <c r="C114" s="7" t="s">
        <v>452</v>
      </c>
      <c r="D114" s="8"/>
      <c r="E114" s="23" t="s">
        <v>406</v>
      </c>
      <c r="F114" s="8">
        <v>2019</v>
      </c>
      <c r="G114" s="8">
        <v>2019</v>
      </c>
      <c r="H114" s="5">
        <v>0.4</v>
      </c>
      <c r="I114" s="5">
        <v>0.4</v>
      </c>
      <c r="J114" s="5">
        <f t="shared" si="64"/>
        <v>0</v>
      </c>
      <c r="K114" s="8"/>
      <c r="L114" s="8"/>
      <c r="M114" s="23"/>
      <c r="N114" s="8"/>
      <c r="O114" s="8"/>
      <c r="P114" s="8" t="s">
        <v>406</v>
      </c>
      <c r="Q114" s="23" t="s">
        <v>406</v>
      </c>
      <c r="R114" s="5"/>
      <c r="S114" s="267"/>
      <c r="T114" s="267"/>
      <c r="U114" s="267"/>
      <c r="V114" s="267"/>
      <c r="W114" s="267">
        <v>0.4</v>
      </c>
      <c r="X114" s="5">
        <f t="shared" si="65"/>
        <v>0.4</v>
      </c>
      <c r="Y114" s="302"/>
      <c r="Z114" s="5"/>
      <c r="AA114" s="94"/>
      <c r="AB114" s="311">
        <f t="shared" si="52"/>
        <v>0</v>
      </c>
      <c r="AC114" s="296"/>
      <c r="AD114" s="113"/>
      <c r="AE114" s="5">
        <f t="shared" si="66"/>
        <v>0</v>
      </c>
      <c r="AF114" s="5">
        <f t="shared" si="70"/>
        <v>0</v>
      </c>
      <c r="AG114" s="5">
        <f t="shared" si="70"/>
        <v>0</v>
      </c>
      <c r="AH114" s="5">
        <f t="shared" si="70"/>
        <v>0</v>
      </c>
      <c r="AI114" s="5">
        <f t="shared" si="71"/>
        <v>0</v>
      </c>
      <c r="AJ114" s="5">
        <f t="shared" si="71"/>
        <v>0</v>
      </c>
      <c r="AK114" s="5">
        <f t="shared" si="71"/>
        <v>0.4</v>
      </c>
      <c r="AL114" s="94">
        <f t="shared" si="67"/>
        <v>0.4</v>
      </c>
      <c r="AM114" s="122"/>
      <c r="AN114" s="180"/>
      <c r="AO114" s="122"/>
      <c r="AP114" s="184"/>
      <c r="AQ114" s="122"/>
      <c r="AR114" s="184"/>
      <c r="AS114" s="122"/>
      <c r="AT114" s="184"/>
      <c r="AU114" s="122"/>
      <c r="AV114" s="184"/>
      <c r="AW114" s="122"/>
      <c r="AX114" s="184"/>
      <c r="AY114" s="111">
        <f t="shared" si="49"/>
        <v>0</v>
      </c>
      <c r="AZ114" s="178">
        <f t="shared" si="48"/>
        <v>0</v>
      </c>
      <c r="BF114" s="5"/>
      <c r="BG114" s="5"/>
      <c r="BH114" s="5">
        <v>0.4</v>
      </c>
      <c r="BI114" s="5"/>
      <c r="BJ114" s="5"/>
      <c r="BK114" s="5"/>
      <c r="BL114" s="5">
        <f t="shared" si="68"/>
        <v>0.4</v>
      </c>
    </row>
    <row r="115" spans="1:64" s="2" customFormat="1" ht="25.5" outlineLevel="1" x14ac:dyDescent="0.2">
      <c r="A115" s="6" t="s">
        <v>417</v>
      </c>
      <c r="B115" s="603" t="s">
        <v>417</v>
      </c>
      <c r="C115" s="7" t="s">
        <v>453</v>
      </c>
      <c r="D115" s="8"/>
      <c r="E115" s="23" t="s">
        <v>406</v>
      </c>
      <c r="F115" s="8">
        <v>2019</v>
      </c>
      <c r="G115" s="8">
        <v>2019</v>
      </c>
      <c r="H115" s="5">
        <v>2.5</v>
      </c>
      <c r="I115" s="5">
        <v>2.5</v>
      </c>
      <c r="J115" s="5">
        <f t="shared" si="64"/>
        <v>0</v>
      </c>
      <c r="K115" s="8"/>
      <c r="L115" s="8"/>
      <c r="M115" s="23"/>
      <c r="N115" s="8"/>
      <c r="O115" s="8"/>
      <c r="P115" s="8" t="s">
        <v>406</v>
      </c>
      <c r="Q115" s="23" t="s">
        <v>406</v>
      </c>
      <c r="R115" s="5"/>
      <c r="S115" s="267"/>
      <c r="T115" s="267"/>
      <c r="U115" s="267"/>
      <c r="V115" s="267"/>
      <c r="W115" s="267">
        <v>2.5</v>
      </c>
      <c r="X115" s="5">
        <f t="shared" si="65"/>
        <v>2.5</v>
      </c>
      <c r="Y115" s="302"/>
      <c r="Z115" s="5"/>
      <c r="AA115" s="94"/>
      <c r="AB115" s="311">
        <f t="shared" si="52"/>
        <v>0</v>
      </c>
      <c r="AC115" s="296"/>
      <c r="AD115" s="113"/>
      <c r="AE115" s="5">
        <f t="shared" si="66"/>
        <v>0</v>
      </c>
      <c r="AF115" s="5">
        <f t="shared" si="70"/>
        <v>0</v>
      </c>
      <c r="AG115" s="5">
        <f t="shared" si="70"/>
        <v>0</v>
      </c>
      <c r="AH115" s="5">
        <f t="shared" si="70"/>
        <v>0</v>
      </c>
      <c r="AI115" s="5">
        <f t="shared" si="71"/>
        <v>0</v>
      </c>
      <c r="AJ115" s="5">
        <f t="shared" si="71"/>
        <v>0</v>
      </c>
      <c r="AK115" s="5">
        <f t="shared" si="71"/>
        <v>2.5</v>
      </c>
      <c r="AL115" s="94">
        <f t="shared" si="67"/>
        <v>2.5</v>
      </c>
      <c r="AM115" s="122"/>
      <c r="AN115" s="180"/>
      <c r="AO115" s="122"/>
      <c r="AP115" s="184"/>
      <c r="AQ115" s="122"/>
      <c r="AR115" s="184"/>
      <c r="AS115" s="122"/>
      <c r="AT115" s="184"/>
      <c r="AU115" s="122"/>
      <c r="AV115" s="184"/>
      <c r="AW115" s="122"/>
      <c r="AX115" s="184"/>
      <c r="AY115" s="111">
        <f t="shared" si="49"/>
        <v>0</v>
      </c>
      <c r="AZ115" s="178">
        <f t="shared" si="48"/>
        <v>0</v>
      </c>
      <c r="BF115" s="5"/>
      <c r="BG115" s="5"/>
      <c r="BH115" s="5">
        <v>2.5</v>
      </c>
      <c r="BI115" s="5"/>
      <c r="BJ115" s="5"/>
      <c r="BK115" s="5"/>
      <c r="BL115" s="5">
        <f t="shared" si="68"/>
        <v>2.5</v>
      </c>
    </row>
    <row r="116" spans="1:64" s="2" customFormat="1" ht="15.75" outlineLevel="1" x14ac:dyDescent="0.2">
      <c r="A116" s="6" t="s">
        <v>921</v>
      </c>
      <c r="B116" s="603" t="s">
        <v>921</v>
      </c>
      <c r="C116" s="7" t="s">
        <v>419</v>
      </c>
      <c r="D116" s="8"/>
      <c r="E116" s="23" t="s">
        <v>415</v>
      </c>
      <c r="F116" s="8">
        <v>2018</v>
      </c>
      <c r="G116" s="8">
        <v>2019</v>
      </c>
      <c r="H116" s="5">
        <v>3</v>
      </c>
      <c r="I116" s="5">
        <v>3</v>
      </c>
      <c r="J116" s="5">
        <f t="shared" si="64"/>
        <v>0</v>
      </c>
      <c r="K116" s="8"/>
      <c r="L116" s="8"/>
      <c r="M116" s="8"/>
      <c r="N116" s="8"/>
      <c r="O116" s="8" t="s">
        <v>406</v>
      </c>
      <c r="P116" s="8" t="s">
        <v>406</v>
      </c>
      <c r="Q116" s="8" t="s">
        <v>415</v>
      </c>
      <c r="R116" s="5"/>
      <c r="S116" s="267"/>
      <c r="T116" s="267"/>
      <c r="U116" s="267"/>
      <c r="V116" s="267">
        <v>1.5</v>
      </c>
      <c r="W116" s="267">
        <v>1.5</v>
      </c>
      <c r="X116" s="5">
        <f t="shared" si="65"/>
        <v>3</v>
      </c>
      <c r="Y116" s="302"/>
      <c r="Z116" s="5"/>
      <c r="AA116" s="94"/>
      <c r="AB116" s="311">
        <f t="shared" si="52"/>
        <v>0</v>
      </c>
      <c r="AC116" s="296"/>
      <c r="AD116" s="113"/>
      <c r="AE116" s="5">
        <f t="shared" si="66"/>
        <v>0</v>
      </c>
      <c r="AF116" s="5"/>
      <c r="AG116" s="5"/>
      <c r="AH116" s="5"/>
      <c r="AI116" s="5">
        <f>U116</f>
        <v>0</v>
      </c>
      <c r="AJ116" s="5">
        <f>V116</f>
        <v>1.5</v>
      </c>
      <c r="AK116" s="5">
        <f t="shared" si="71"/>
        <v>1.5</v>
      </c>
      <c r="AL116" s="94">
        <f t="shared" si="67"/>
        <v>3</v>
      </c>
      <c r="AM116" s="122"/>
      <c r="AN116" s="180"/>
      <c r="AO116" s="122"/>
      <c r="AP116" s="184"/>
      <c r="AQ116" s="122"/>
      <c r="AR116" s="184"/>
      <c r="AS116" s="122"/>
      <c r="AT116" s="184"/>
      <c r="AU116" s="122"/>
      <c r="AV116" s="184"/>
      <c r="AW116" s="122"/>
      <c r="AX116" s="184"/>
      <c r="AY116" s="111">
        <f t="shared" si="49"/>
        <v>0</v>
      </c>
      <c r="AZ116" s="178">
        <f t="shared" si="48"/>
        <v>0</v>
      </c>
      <c r="BF116" s="5"/>
      <c r="BG116" s="5"/>
      <c r="BH116" s="5"/>
      <c r="BI116" s="5">
        <v>1.5</v>
      </c>
      <c r="BJ116" s="5">
        <v>1.5</v>
      </c>
      <c r="BK116" s="5"/>
      <c r="BL116" s="5">
        <f t="shared" si="68"/>
        <v>3</v>
      </c>
    </row>
    <row r="117" spans="1:64" s="2" customFormat="1" ht="15.75" outlineLevel="1" x14ac:dyDescent="0.2">
      <c r="A117" s="6" t="s">
        <v>922</v>
      </c>
      <c r="B117" s="603" t="s">
        <v>922</v>
      </c>
      <c r="C117" s="7" t="s">
        <v>420</v>
      </c>
      <c r="D117" s="8"/>
      <c r="E117" s="23" t="s">
        <v>406</v>
      </c>
      <c r="F117" s="8">
        <v>2019</v>
      </c>
      <c r="G117" s="8">
        <v>2019</v>
      </c>
      <c r="H117" s="5">
        <v>1.8</v>
      </c>
      <c r="I117" s="5">
        <v>1.8</v>
      </c>
      <c r="J117" s="5">
        <f t="shared" si="64"/>
        <v>0</v>
      </c>
      <c r="K117" s="8"/>
      <c r="L117" s="8"/>
      <c r="M117" s="8"/>
      <c r="N117" s="8"/>
      <c r="O117" s="8"/>
      <c r="P117" s="23" t="s">
        <v>406</v>
      </c>
      <c r="Q117" s="23" t="s">
        <v>406</v>
      </c>
      <c r="R117" s="5"/>
      <c r="S117" s="267"/>
      <c r="T117" s="267"/>
      <c r="U117" s="267"/>
      <c r="V117" s="267"/>
      <c r="W117" s="267">
        <v>1.8</v>
      </c>
      <c r="X117" s="5">
        <f t="shared" si="65"/>
        <v>1.8</v>
      </c>
      <c r="Y117" s="302"/>
      <c r="Z117" s="5"/>
      <c r="AA117" s="94"/>
      <c r="AB117" s="311">
        <f t="shared" si="52"/>
        <v>0</v>
      </c>
      <c r="AC117" s="296"/>
      <c r="AD117" s="113"/>
      <c r="AE117" s="5">
        <f t="shared" si="66"/>
        <v>0</v>
      </c>
      <c r="AF117" s="5"/>
      <c r="AG117" s="5"/>
      <c r="AH117" s="5"/>
      <c r="AI117" s="50"/>
      <c r="AJ117" s="50"/>
      <c r="AK117" s="94">
        <f>H117</f>
        <v>1.8</v>
      </c>
      <c r="AL117" s="94">
        <f t="shared" si="67"/>
        <v>1.8</v>
      </c>
      <c r="AM117" s="122"/>
      <c r="AN117" s="180"/>
      <c r="AO117" s="122"/>
      <c r="AP117" s="184"/>
      <c r="AQ117" s="122"/>
      <c r="AR117" s="184"/>
      <c r="AS117" s="122"/>
      <c r="AT117" s="184"/>
      <c r="AU117" s="122"/>
      <c r="AV117" s="184"/>
      <c r="AW117" s="122"/>
      <c r="AX117" s="184"/>
      <c r="AY117" s="111">
        <f t="shared" si="49"/>
        <v>0</v>
      </c>
      <c r="AZ117" s="178">
        <f t="shared" si="48"/>
        <v>0</v>
      </c>
      <c r="BC117" s="47"/>
      <c r="BD117" s="47"/>
      <c r="BF117" s="5"/>
      <c r="BG117" s="5"/>
      <c r="BH117" s="5"/>
      <c r="BI117" s="5"/>
      <c r="BJ117" s="5"/>
      <c r="BK117" s="5">
        <v>1.8</v>
      </c>
      <c r="BL117" s="5">
        <f t="shared" si="68"/>
        <v>1.8</v>
      </c>
    </row>
    <row r="118" spans="1:64" s="2" customFormat="1" ht="15.75" outlineLevel="1" x14ac:dyDescent="0.2">
      <c r="A118" s="6" t="s">
        <v>923</v>
      </c>
      <c r="B118" s="603" t="s">
        <v>923</v>
      </c>
      <c r="C118" s="7" t="s">
        <v>422</v>
      </c>
      <c r="D118" s="8"/>
      <c r="E118" s="23" t="s">
        <v>406</v>
      </c>
      <c r="F118" s="8">
        <v>2019</v>
      </c>
      <c r="G118" s="8">
        <v>2019</v>
      </c>
      <c r="H118" s="5">
        <v>3.5</v>
      </c>
      <c r="I118" s="5">
        <v>3.5</v>
      </c>
      <c r="J118" s="5">
        <f t="shared" si="64"/>
        <v>0</v>
      </c>
      <c r="K118" s="8"/>
      <c r="L118" s="8"/>
      <c r="M118" s="8"/>
      <c r="N118" s="8"/>
      <c r="O118" s="8"/>
      <c r="P118" s="23" t="s">
        <v>406</v>
      </c>
      <c r="Q118" s="23" t="s">
        <v>406</v>
      </c>
      <c r="R118" s="5"/>
      <c r="S118" s="267"/>
      <c r="T118" s="267"/>
      <c r="U118" s="267"/>
      <c r="V118" s="267"/>
      <c r="W118" s="267">
        <v>3.5</v>
      </c>
      <c r="X118" s="5">
        <f t="shared" si="65"/>
        <v>3.5</v>
      </c>
      <c r="Y118" s="302"/>
      <c r="Z118" s="5"/>
      <c r="AA118" s="94"/>
      <c r="AB118" s="311">
        <f t="shared" si="52"/>
        <v>0</v>
      </c>
      <c r="AC118" s="296"/>
      <c r="AD118" s="113"/>
      <c r="AE118" s="5">
        <f t="shared" si="66"/>
        <v>0</v>
      </c>
      <c r="AF118" s="275"/>
      <c r="AG118" s="5"/>
      <c r="AH118" s="275"/>
      <c r="AI118" s="5"/>
      <c r="AJ118" s="5"/>
      <c r="AK118" s="94">
        <f>H118</f>
        <v>3.5</v>
      </c>
      <c r="AL118" s="94">
        <f t="shared" si="67"/>
        <v>3.5</v>
      </c>
      <c r="AM118" s="122"/>
      <c r="AN118" s="180"/>
      <c r="AO118" s="122"/>
      <c r="AP118" s="184"/>
      <c r="AQ118" s="122"/>
      <c r="AR118" s="184"/>
      <c r="AS118" s="122"/>
      <c r="AT118" s="184"/>
      <c r="AU118" s="122"/>
      <c r="AV118" s="184"/>
      <c r="AW118" s="122"/>
      <c r="AX118" s="184"/>
      <c r="AY118" s="111">
        <f t="shared" si="49"/>
        <v>0</v>
      </c>
      <c r="AZ118" s="178">
        <f t="shared" si="48"/>
        <v>0</v>
      </c>
      <c r="BC118" s="47"/>
      <c r="BD118" s="47"/>
      <c r="BF118" s="5"/>
      <c r="BG118" s="5"/>
      <c r="BH118" s="5"/>
      <c r="BI118" s="5"/>
      <c r="BJ118" s="5"/>
      <c r="BK118" s="5">
        <v>3.5</v>
      </c>
      <c r="BL118" s="5">
        <f t="shared" si="68"/>
        <v>3.5</v>
      </c>
    </row>
    <row r="119" spans="1:64" s="2" customFormat="1" ht="15.75" outlineLevel="1" x14ac:dyDescent="0.2">
      <c r="A119" s="6" t="s">
        <v>1764</v>
      </c>
      <c r="B119" s="603" t="s">
        <v>1764</v>
      </c>
      <c r="C119" s="7" t="s">
        <v>423</v>
      </c>
      <c r="D119" s="8"/>
      <c r="E119" s="23" t="s">
        <v>415</v>
      </c>
      <c r="F119" s="8">
        <v>2019</v>
      </c>
      <c r="G119" s="8">
        <v>2019</v>
      </c>
      <c r="H119" s="5">
        <v>0.8</v>
      </c>
      <c r="I119" s="5">
        <v>0.8</v>
      </c>
      <c r="J119" s="5">
        <f t="shared" si="64"/>
        <v>0</v>
      </c>
      <c r="K119" s="8"/>
      <c r="L119" s="8"/>
      <c r="M119" s="8"/>
      <c r="N119" s="8"/>
      <c r="O119" s="8"/>
      <c r="P119" s="23" t="s">
        <v>415</v>
      </c>
      <c r="Q119" s="23" t="s">
        <v>415</v>
      </c>
      <c r="R119" s="5"/>
      <c r="S119" s="267"/>
      <c r="T119" s="267"/>
      <c r="U119" s="267"/>
      <c r="V119" s="267"/>
      <c r="W119" s="267">
        <v>0.8</v>
      </c>
      <c r="X119" s="5">
        <f t="shared" si="65"/>
        <v>0.8</v>
      </c>
      <c r="Y119" s="302"/>
      <c r="Z119" s="5"/>
      <c r="AA119" s="94"/>
      <c r="AB119" s="311">
        <f t="shared" si="52"/>
        <v>0</v>
      </c>
      <c r="AC119" s="296"/>
      <c r="AD119" s="113"/>
      <c r="AE119" s="5">
        <f t="shared" si="66"/>
        <v>0</v>
      </c>
      <c r="AF119" s="5"/>
      <c r="AG119" s="5"/>
      <c r="AH119" s="5"/>
      <c r="AI119" s="5"/>
      <c r="AJ119" s="5"/>
      <c r="AK119" s="94">
        <f>H119</f>
        <v>0.8</v>
      </c>
      <c r="AL119" s="94">
        <f t="shared" si="67"/>
        <v>0.8</v>
      </c>
      <c r="AM119" s="122"/>
      <c r="AN119" s="180"/>
      <c r="AO119" s="122"/>
      <c r="AP119" s="184"/>
      <c r="AQ119" s="122"/>
      <c r="AR119" s="184"/>
      <c r="AS119" s="122"/>
      <c r="AT119" s="184"/>
      <c r="AU119" s="122"/>
      <c r="AV119" s="184"/>
      <c r="AW119" s="122"/>
      <c r="AX119" s="184"/>
      <c r="AY119" s="111">
        <f t="shared" si="49"/>
        <v>0</v>
      </c>
      <c r="AZ119" s="178">
        <f t="shared" si="48"/>
        <v>0</v>
      </c>
      <c r="BC119" s="47"/>
      <c r="BD119" s="47"/>
      <c r="BF119" s="5"/>
      <c r="BG119" s="5"/>
      <c r="BH119" s="5"/>
      <c r="BI119" s="5"/>
      <c r="BJ119" s="5"/>
      <c r="BK119" s="5">
        <v>0.8</v>
      </c>
      <c r="BL119" s="5">
        <f t="shared" si="68"/>
        <v>0.8</v>
      </c>
    </row>
    <row r="120" spans="1:64" s="2" customFormat="1" ht="16.5" outlineLevel="1" thickBot="1" x14ac:dyDescent="0.25">
      <c r="A120" s="6" t="s">
        <v>924</v>
      </c>
      <c r="B120" s="603" t="s">
        <v>924</v>
      </c>
      <c r="C120" s="7" t="s">
        <v>425</v>
      </c>
      <c r="D120" s="8"/>
      <c r="E120" s="23" t="s">
        <v>406</v>
      </c>
      <c r="F120" s="8">
        <v>2019</v>
      </c>
      <c r="G120" s="8">
        <v>2019</v>
      </c>
      <c r="H120" s="5">
        <v>3.5</v>
      </c>
      <c r="I120" s="5">
        <v>3.5</v>
      </c>
      <c r="J120" s="5">
        <f t="shared" si="64"/>
        <v>0</v>
      </c>
      <c r="K120" s="8"/>
      <c r="L120" s="8"/>
      <c r="M120" s="8"/>
      <c r="N120" s="8"/>
      <c r="O120" s="8"/>
      <c r="P120" s="23" t="s">
        <v>406</v>
      </c>
      <c r="Q120" s="23" t="s">
        <v>406</v>
      </c>
      <c r="R120" s="5"/>
      <c r="S120" s="267"/>
      <c r="T120" s="267"/>
      <c r="U120" s="267"/>
      <c r="V120" s="267"/>
      <c r="W120" s="267">
        <v>3.5</v>
      </c>
      <c r="X120" s="5">
        <f t="shared" si="65"/>
        <v>3.5</v>
      </c>
      <c r="Y120" s="302"/>
      <c r="Z120" s="5"/>
      <c r="AA120" s="94"/>
      <c r="AB120" s="311">
        <f t="shared" si="52"/>
        <v>0</v>
      </c>
      <c r="AC120" s="296"/>
      <c r="AD120" s="113"/>
      <c r="AE120" s="5">
        <f t="shared" si="66"/>
        <v>0</v>
      </c>
      <c r="AF120" s="5"/>
      <c r="AG120" s="5"/>
      <c r="AH120" s="5"/>
      <c r="AI120" s="5"/>
      <c r="AJ120" s="5"/>
      <c r="AK120" s="94">
        <f>H120</f>
        <v>3.5</v>
      </c>
      <c r="AL120" s="94">
        <f t="shared" si="67"/>
        <v>3.5</v>
      </c>
      <c r="AM120" s="122"/>
      <c r="AN120" s="180"/>
      <c r="AO120" s="122"/>
      <c r="AP120" s="184"/>
      <c r="AQ120" s="122"/>
      <c r="AR120" s="184"/>
      <c r="AS120" s="122"/>
      <c r="AT120" s="184"/>
      <c r="AU120" s="122"/>
      <c r="AV120" s="184"/>
      <c r="AW120" s="122"/>
      <c r="AX120" s="184"/>
      <c r="AY120" s="282">
        <f t="shared" si="49"/>
        <v>0</v>
      </c>
      <c r="AZ120" s="283">
        <f t="shared" si="48"/>
        <v>0</v>
      </c>
      <c r="BC120" s="47"/>
      <c r="BD120" s="47"/>
      <c r="BF120" s="5"/>
      <c r="BG120" s="5"/>
      <c r="BH120" s="5"/>
      <c r="BI120" s="5"/>
      <c r="BJ120" s="5"/>
      <c r="BK120" s="5">
        <v>3.5</v>
      </c>
      <c r="BL120" s="5">
        <f t="shared" si="68"/>
        <v>3.5</v>
      </c>
    </row>
    <row r="121" spans="1:64" s="42" customFormat="1" ht="26.25" thickBot="1" x14ac:dyDescent="0.25">
      <c r="A121" s="39"/>
      <c r="B121" s="39" t="s">
        <v>426</v>
      </c>
      <c r="C121" s="40" t="s">
        <v>427</v>
      </c>
      <c r="D121" s="106"/>
      <c r="E121" s="104"/>
      <c r="F121" s="104"/>
      <c r="G121" s="104"/>
      <c r="H121" s="41">
        <f>H122++H243+H1333</f>
        <v>984.10256753240697</v>
      </c>
      <c r="I121" s="41">
        <f>I122+I243+I1333</f>
        <v>701.05694062545763</v>
      </c>
      <c r="J121" s="41">
        <f>J122+J243+J1333</f>
        <v>275.45055599800003</v>
      </c>
      <c r="K121" s="104" t="s">
        <v>2735</v>
      </c>
      <c r="L121" s="104" t="s">
        <v>2736</v>
      </c>
      <c r="M121" s="104" t="s">
        <v>2738</v>
      </c>
      <c r="N121" s="104" t="s">
        <v>2719</v>
      </c>
      <c r="O121" s="104" t="s">
        <v>2443</v>
      </c>
      <c r="P121" s="104" t="s">
        <v>2443</v>
      </c>
      <c r="Q121" s="104" t="s">
        <v>2740</v>
      </c>
      <c r="R121" s="41">
        <f t="shared" ref="R121:AK121" si="72">R122+R243+R1333</f>
        <v>275.45285599800013</v>
      </c>
      <c r="S121" s="41">
        <f t="shared" si="72"/>
        <v>296.78947700000003</v>
      </c>
      <c r="T121" s="41">
        <f t="shared" si="72"/>
        <v>296.09447277999999</v>
      </c>
      <c r="U121" s="41">
        <f t="shared" si="72"/>
        <v>335.70860000000005</v>
      </c>
      <c r="V121" s="41">
        <f t="shared" si="72"/>
        <v>349.23</v>
      </c>
      <c r="W121" s="41">
        <f t="shared" si="72"/>
        <v>400.20000000000005</v>
      </c>
      <c r="X121" s="41">
        <f t="shared" si="72"/>
        <v>1953.4754057780001</v>
      </c>
      <c r="Y121" s="129"/>
      <c r="Z121" s="41"/>
      <c r="AA121" s="110"/>
      <c r="AB121" s="309">
        <f t="shared" si="52"/>
        <v>-1252.4184651525425</v>
      </c>
      <c r="AC121" s="299">
        <f t="shared" si="72"/>
        <v>0</v>
      </c>
      <c r="AD121" s="227">
        <f t="shared" si="72"/>
        <v>0</v>
      </c>
      <c r="AE121" s="41"/>
      <c r="AF121" s="41">
        <f t="shared" si="72"/>
        <v>328.03512725799987</v>
      </c>
      <c r="AG121" s="41">
        <f t="shared" si="72"/>
        <v>408.17487749440676</v>
      </c>
      <c r="AH121" s="41">
        <f t="shared" si="72"/>
        <v>272.32074778000003</v>
      </c>
      <c r="AI121" s="41">
        <f t="shared" si="72"/>
        <v>461.89574999999996</v>
      </c>
      <c r="AJ121" s="41">
        <f t="shared" si="72"/>
        <v>445.99574999999993</v>
      </c>
      <c r="AK121" s="110">
        <f t="shared" si="72"/>
        <v>425.09574999999995</v>
      </c>
      <c r="AL121" s="95">
        <f>SUM(AF121:AK121)</f>
        <v>2341.5180025324066</v>
      </c>
      <c r="AM121" s="188">
        <f t="shared" ref="AM121:AX121" si="73">AM122+AM243+AM1333</f>
        <v>93.954999999999984</v>
      </c>
      <c r="AN121" s="190">
        <f t="shared" si="73"/>
        <v>30.274999999999999</v>
      </c>
      <c r="AO121" s="188">
        <f t="shared" si="73"/>
        <v>95.151000000000025</v>
      </c>
      <c r="AP121" s="189">
        <f t="shared" si="73"/>
        <v>38.380000000000003</v>
      </c>
      <c r="AQ121" s="188">
        <f t="shared" si="73"/>
        <v>81.03</v>
      </c>
      <c r="AR121" s="189">
        <f t="shared" si="73"/>
        <v>12.740000000000002</v>
      </c>
      <c r="AS121" s="188">
        <f t="shared" si="73"/>
        <v>88.949999999999989</v>
      </c>
      <c r="AT121" s="189">
        <f t="shared" si="73"/>
        <v>12.06</v>
      </c>
      <c r="AU121" s="188">
        <f t="shared" si="73"/>
        <v>89.22</v>
      </c>
      <c r="AV121" s="189">
        <f t="shared" si="73"/>
        <v>15.850000000000001</v>
      </c>
      <c r="AW121" s="188">
        <f t="shared" si="73"/>
        <v>89.22</v>
      </c>
      <c r="AX121" s="189">
        <f t="shared" si="73"/>
        <v>15.850000000000001</v>
      </c>
      <c r="AY121" s="193">
        <f>AM121+AO121+AQ121+AS121+AU121+AW121</f>
        <v>537.52599999999995</v>
      </c>
      <c r="AZ121" s="194">
        <f t="shared" si="48"/>
        <v>125.155</v>
      </c>
      <c r="BC121" s="171"/>
      <c r="BD121" s="171"/>
      <c r="BF121" s="41">
        <f t="shared" ref="BF121:BL121" si="74">BF122+BF243+BF1333</f>
        <v>273.00056599800018</v>
      </c>
      <c r="BG121" s="41">
        <f t="shared" si="74"/>
        <v>297.05488700000001</v>
      </c>
      <c r="BH121" s="41">
        <f t="shared" si="74"/>
        <v>422.04545278000006</v>
      </c>
      <c r="BI121" s="41">
        <f t="shared" si="74"/>
        <v>452.11040000000003</v>
      </c>
      <c r="BJ121" s="41">
        <f t="shared" si="74"/>
        <v>434.63</v>
      </c>
      <c r="BK121" s="41">
        <f t="shared" si="74"/>
        <v>603.79999999999995</v>
      </c>
      <c r="BL121" s="41">
        <f t="shared" si="74"/>
        <v>2482.6413057779996</v>
      </c>
    </row>
    <row r="122" spans="1:64" s="32" customFormat="1" ht="63.75" x14ac:dyDescent="0.2">
      <c r="A122" s="37"/>
      <c r="B122" s="28" t="s">
        <v>428</v>
      </c>
      <c r="C122" s="29" t="s">
        <v>429</v>
      </c>
      <c r="D122" s="34"/>
      <c r="E122" s="34"/>
      <c r="F122" s="30"/>
      <c r="G122" s="30"/>
      <c r="H122" s="31">
        <f>SUM(H123:H241)</f>
        <v>530.76680200000021</v>
      </c>
      <c r="I122" s="31">
        <f>SUM(I123:I241)</f>
        <v>450.17199200000005</v>
      </c>
      <c r="J122" s="31">
        <f>SUM(J123:J241)</f>
        <v>153.05047999999996</v>
      </c>
      <c r="K122" s="31" t="s">
        <v>2734</v>
      </c>
      <c r="L122" s="30" t="s">
        <v>2737</v>
      </c>
      <c r="M122" s="30" t="s">
        <v>2739</v>
      </c>
      <c r="N122" s="30" t="s">
        <v>2718</v>
      </c>
      <c r="O122" s="30" t="s">
        <v>2442</v>
      </c>
      <c r="P122" s="30" t="s">
        <v>2442</v>
      </c>
      <c r="Q122" s="31" t="s">
        <v>2741</v>
      </c>
      <c r="R122" s="31">
        <f>SUM(R123:R241)</f>
        <v>153.05277999999996</v>
      </c>
      <c r="S122" s="31">
        <f>SUM(S123:S241)</f>
        <v>141.79303200000001</v>
      </c>
      <c r="T122" s="31">
        <f>SUM(T123:T241)</f>
        <v>135.34520000000001</v>
      </c>
      <c r="U122" s="228">
        <f>169.306+0.0026</f>
        <v>169.30860000000001</v>
      </c>
      <c r="V122" s="31">
        <f>176.53</f>
        <v>176.53</v>
      </c>
      <c r="W122" s="31">
        <v>220.8</v>
      </c>
      <c r="X122" s="31">
        <f>SUM(R122:W122)</f>
        <v>996.829612</v>
      </c>
      <c r="Y122" s="132"/>
      <c r="Z122" s="31"/>
      <c r="AA122" s="95"/>
      <c r="AB122" s="310">
        <f t="shared" si="52"/>
        <v>-546.65761999999995</v>
      </c>
      <c r="AC122" s="300">
        <f t="shared" ref="AC122:AH122" si="75">SUM(AC123:AC241)</f>
        <v>0</v>
      </c>
      <c r="AD122" s="228">
        <f t="shared" si="75"/>
        <v>0</v>
      </c>
      <c r="AE122" s="31">
        <f t="shared" si="75"/>
        <v>0</v>
      </c>
      <c r="AF122" s="48">
        <f t="shared" si="75"/>
        <v>142.80088999999995</v>
      </c>
      <c r="AG122" s="48">
        <f t="shared" si="75"/>
        <v>197.29824200000002</v>
      </c>
      <c r="AH122" s="48">
        <f t="shared" si="75"/>
        <v>117.27767</v>
      </c>
      <c r="AI122" s="48">
        <v>166.99574999999996</v>
      </c>
      <c r="AJ122" s="48">
        <v>166.99574999999996</v>
      </c>
      <c r="AK122" s="158">
        <v>166.99574999999996</v>
      </c>
      <c r="AL122" s="158">
        <f>SUM(AF122:AK122)</f>
        <v>958.36405199999979</v>
      </c>
      <c r="AM122" s="130">
        <f t="shared" ref="AM122:AT122" si="76">SUM(AM123:AM241)</f>
        <v>16.66</v>
      </c>
      <c r="AN122" s="181">
        <f t="shared" si="76"/>
        <v>19.324999999999999</v>
      </c>
      <c r="AO122" s="130">
        <f t="shared" si="76"/>
        <v>32.066000000000003</v>
      </c>
      <c r="AP122" s="185">
        <f t="shared" si="76"/>
        <v>29.120000000000005</v>
      </c>
      <c r="AQ122" s="130">
        <f t="shared" si="76"/>
        <v>20.46</v>
      </c>
      <c r="AR122" s="185">
        <f t="shared" si="76"/>
        <v>8.120000000000001</v>
      </c>
      <c r="AS122" s="130">
        <f>SUM(AS123:AS241)</f>
        <v>22.3</v>
      </c>
      <c r="AT122" s="185">
        <f t="shared" si="76"/>
        <v>3.7800000000000002</v>
      </c>
      <c r="AU122" s="130">
        <v>22.57</v>
      </c>
      <c r="AV122" s="185">
        <v>7.57</v>
      </c>
      <c r="AW122" s="130">
        <v>22.57</v>
      </c>
      <c r="AX122" s="185">
        <v>7.57</v>
      </c>
      <c r="AY122" s="111">
        <f>AM122+AO122+AQ122+AS122+AU122+AW122</f>
        <v>136.626</v>
      </c>
      <c r="AZ122" s="178">
        <f t="shared" si="48"/>
        <v>75.485000000000014</v>
      </c>
      <c r="BC122" s="172"/>
      <c r="BD122" s="172"/>
      <c r="BF122" s="159">
        <f>SUM(BF123:BF240)</f>
        <v>150.50048999999999</v>
      </c>
      <c r="BG122" s="159">
        <f>SUM(BG123:BG240)</f>
        <v>139.55862199999999</v>
      </c>
      <c r="BH122" s="159">
        <f>SUM(BH123:BH240)</f>
        <v>129.04600000000002</v>
      </c>
      <c r="BI122" s="159">
        <f>157.0804+13.7+2.33</f>
        <v>173.1104</v>
      </c>
      <c r="BJ122" s="159">
        <f>167.58+8.95</f>
        <v>176.53</v>
      </c>
      <c r="BK122" s="159">
        <f>221.05-0.25</f>
        <v>220.8</v>
      </c>
      <c r="BL122" s="159">
        <f t="shared" ref="BL122:BL134" si="77">SUM(BF122:BK122)</f>
        <v>989.54551199999992</v>
      </c>
    </row>
    <row r="123" spans="1:64" s="376" customFormat="1" ht="63.75" outlineLevel="1" x14ac:dyDescent="0.2">
      <c r="A123" s="610" t="s">
        <v>2533</v>
      </c>
      <c r="B123" s="604" t="s">
        <v>2162</v>
      </c>
      <c r="C123" s="360" t="s">
        <v>2406</v>
      </c>
      <c r="D123" s="361" t="s">
        <v>397</v>
      </c>
      <c r="E123" s="362" t="s">
        <v>1227</v>
      </c>
      <c r="F123" s="361">
        <v>2014</v>
      </c>
      <c r="G123" s="361">
        <v>2014</v>
      </c>
      <c r="H123" s="363">
        <v>0.45</v>
      </c>
      <c r="I123" s="363">
        <v>0.45</v>
      </c>
      <c r="J123" s="363">
        <f>R123</f>
        <v>0.45</v>
      </c>
      <c r="K123" s="362" t="s">
        <v>1227</v>
      </c>
      <c r="L123" s="361"/>
      <c r="M123" s="364"/>
      <c r="N123" s="361"/>
      <c r="O123" s="361"/>
      <c r="P123" s="361"/>
      <c r="Q123" s="362" t="s">
        <v>1227</v>
      </c>
      <c r="R123" s="365">
        <v>0.45</v>
      </c>
      <c r="S123" s="365"/>
      <c r="T123" s="365"/>
      <c r="U123" s="365"/>
      <c r="V123" s="365"/>
      <c r="W123" s="365"/>
      <c r="X123" s="363">
        <f t="shared" ref="X123:X186" si="78">SUM(R123:W123)</f>
        <v>0.45</v>
      </c>
      <c r="Y123" s="366"/>
      <c r="Z123" s="363"/>
      <c r="AA123" s="367"/>
      <c r="AB123" s="368">
        <f t="shared" si="52"/>
        <v>0</v>
      </c>
      <c r="AC123" s="369"/>
      <c r="AD123" s="365"/>
      <c r="AE123" s="363"/>
      <c r="AF123" s="363">
        <f>H123</f>
        <v>0.45</v>
      </c>
      <c r="AG123" s="363"/>
      <c r="AH123" s="363"/>
      <c r="AI123" s="363"/>
      <c r="AJ123" s="363"/>
      <c r="AK123" s="370"/>
      <c r="AL123" s="367">
        <f t="shared" ref="AL123:AL186" si="79">SUM(AF123:AK123)</f>
        <v>0.45</v>
      </c>
      <c r="AM123" s="371">
        <v>0</v>
      </c>
      <c r="AN123" s="372">
        <v>0</v>
      </c>
      <c r="AO123" s="371"/>
      <c r="AP123" s="373"/>
      <c r="AQ123" s="371"/>
      <c r="AR123" s="373"/>
      <c r="AS123" s="371"/>
      <c r="AT123" s="373"/>
      <c r="AU123" s="371"/>
      <c r="AV123" s="373"/>
      <c r="AW123" s="371"/>
      <c r="AX123" s="373"/>
      <c r="AY123" s="374">
        <f t="shared" ref="AY123:AZ170" si="80">AM123+AO123+AQ123+AS123+AU123+AW123</f>
        <v>0</v>
      </c>
      <c r="AZ123" s="375">
        <f t="shared" si="48"/>
        <v>0</v>
      </c>
      <c r="BA123" s="376" t="s">
        <v>2452</v>
      </c>
      <c r="BC123" s="377"/>
      <c r="BD123" s="378"/>
      <c r="BF123" s="365">
        <v>0.45</v>
      </c>
      <c r="BG123" s="365"/>
      <c r="BH123" s="365"/>
      <c r="BI123" s="365"/>
      <c r="BJ123" s="365"/>
      <c r="BK123" s="365"/>
      <c r="BL123" s="363">
        <f t="shared" si="77"/>
        <v>0.45</v>
      </c>
    </row>
    <row r="124" spans="1:64" s="376" customFormat="1" ht="76.5" outlineLevel="1" x14ac:dyDescent="0.2">
      <c r="A124" s="610" t="s">
        <v>1295</v>
      </c>
      <c r="B124" s="604" t="s">
        <v>2163</v>
      </c>
      <c r="C124" s="360" t="s">
        <v>2407</v>
      </c>
      <c r="D124" s="361" t="s">
        <v>397</v>
      </c>
      <c r="E124" s="362" t="s">
        <v>25</v>
      </c>
      <c r="F124" s="361">
        <v>2010</v>
      </c>
      <c r="G124" s="361">
        <v>2014</v>
      </c>
      <c r="H124" s="363">
        <v>9.2999999999999999E-2</v>
      </c>
      <c r="I124" s="363">
        <v>9.2999999999999999E-2</v>
      </c>
      <c r="J124" s="363">
        <f t="shared" ref="J124:J187" si="81">R124</f>
        <v>9.2999999999999999E-2</v>
      </c>
      <c r="K124" s="362" t="s">
        <v>25</v>
      </c>
      <c r="L124" s="361"/>
      <c r="M124" s="361"/>
      <c r="N124" s="361"/>
      <c r="O124" s="361"/>
      <c r="P124" s="361"/>
      <c r="Q124" s="362" t="s">
        <v>25</v>
      </c>
      <c r="R124" s="365">
        <v>9.2999999999999999E-2</v>
      </c>
      <c r="S124" s="365"/>
      <c r="T124" s="365"/>
      <c r="U124" s="365"/>
      <c r="V124" s="365"/>
      <c r="W124" s="365"/>
      <c r="X124" s="363">
        <f t="shared" si="78"/>
        <v>9.2999999999999999E-2</v>
      </c>
      <c r="Y124" s="366"/>
      <c r="Z124" s="363"/>
      <c r="AA124" s="367"/>
      <c r="AB124" s="368">
        <f t="shared" si="52"/>
        <v>0</v>
      </c>
      <c r="AC124" s="369"/>
      <c r="AD124" s="365"/>
      <c r="AE124" s="363"/>
      <c r="AF124" s="363">
        <f>H124</f>
        <v>9.2999999999999999E-2</v>
      </c>
      <c r="AG124" s="363"/>
      <c r="AH124" s="363"/>
      <c r="AI124" s="363"/>
      <c r="AJ124" s="363"/>
      <c r="AK124" s="370"/>
      <c r="AL124" s="367">
        <f t="shared" si="79"/>
        <v>9.2999999999999999E-2</v>
      </c>
      <c r="AM124" s="371">
        <v>0.05</v>
      </c>
      <c r="AN124" s="372">
        <v>0</v>
      </c>
      <c r="AO124" s="371"/>
      <c r="AP124" s="373"/>
      <c r="AQ124" s="371"/>
      <c r="AR124" s="373"/>
      <c r="AS124" s="371"/>
      <c r="AT124" s="373"/>
      <c r="AU124" s="371"/>
      <c r="AV124" s="373"/>
      <c r="AW124" s="371"/>
      <c r="AX124" s="373"/>
      <c r="AY124" s="374">
        <f t="shared" si="80"/>
        <v>0.05</v>
      </c>
      <c r="AZ124" s="375">
        <f t="shared" si="48"/>
        <v>0</v>
      </c>
      <c r="BA124" s="359" t="s">
        <v>1043</v>
      </c>
      <c r="BB124" s="393" t="s">
        <v>2453</v>
      </c>
      <c r="BC124" s="377"/>
      <c r="BD124" s="378"/>
      <c r="BF124" s="365">
        <v>9.2999999999999999E-2</v>
      </c>
      <c r="BG124" s="365"/>
      <c r="BH124" s="365"/>
      <c r="BI124" s="365"/>
      <c r="BJ124" s="365"/>
      <c r="BK124" s="365"/>
      <c r="BL124" s="363">
        <f t="shared" si="77"/>
        <v>9.2999999999999999E-2</v>
      </c>
    </row>
    <row r="125" spans="1:64" s="376" customFormat="1" ht="63.75" outlineLevel="1" x14ac:dyDescent="0.2">
      <c r="A125" s="610" t="s">
        <v>1299</v>
      </c>
      <c r="B125" s="604" t="s">
        <v>1929</v>
      </c>
      <c r="C125" s="360" t="s">
        <v>2408</v>
      </c>
      <c r="D125" s="361" t="s">
        <v>397</v>
      </c>
      <c r="E125" s="362" t="s">
        <v>27</v>
      </c>
      <c r="F125" s="361">
        <v>2010</v>
      </c>
      <c r="G125" s="361">
        <v>2014</v>
      </c>
      <c r="H125" s="363">
        <v>0.05</v>
      </c>
      <c r="I125" s="363">
        <v>0.05</v>
      </c>
      <c r="J125" s="363">
        <f t="shared" si="81"/>
        <v>0.05</v>
      </c>
      <c r="K125" s="362" t="s">
        <v>27</v>
      </c>
      <c r="L125" s="364"/>
      <c r="M125" s="361"/>
      <c r="N125" s="361"/>
      <c r="O125" s="361"/>
      <c r="P125" s="361"/>
      <c r="Q125" s="362" t="s">
        <v>27</v>
      </c>
      <c r="R125" s="365">
        <v>0.05</v>
      </c>
      <c r="S125" s="365"/>
      <c r="T125" s="365"/>
      <c r="U125" s="365"/>
      <c r="V125" s="365"/>
      <c r="W125" s="365"/>
      <c r="X125" s="363">
        <f t="shared" si="78"/>
        <v>0.05</v>
      </c>
      <c r="Y125" s="366"/>
      <c r="Z125" s="363"/>
      <c r="AA125" s="367"/>
      <c r="AB125" s="368">
        <f t="shared" si="52"/>
        <v>0</v>
      </c>
      <c r="AC125" s="369"/>
      <c r="AD125" s="365"/>
      <c r="AE125" s="363"/>
      <c r="AF125" s="363">
        <f>H125</f>
        <v>0.05</v>
      </c>
      <c r="AG125" s="363"/>
      <c r="AH125" s="363"/>
      <c r="AI125" s="363"/>
      <c r="AJ125" s="363"/>
      <c r="AK125" s="370"/>
      <c r="AL125" s="367">
        <f t="shared" si="79"/>
        <v>0.05</v>
      </c>
      <c r="AM125" s="371">
        <v>0</v>
      </c>
      <c r="AN125" s="372">
        <v>0</v>
      </c>
      <c r="AO125" s="371"/>
      <c r="AP125" s="373"/>
      <c r="AQ125" s="371"/>
      <c r="AR125" s="373"/>
      <c r="AS125" s="371"/>
      <c r="AT125" s="373"/>
      <c r="AU125" s="371"/>
      <c r="AV125" s="373"/>
      <c r="AW125" s="371"/>
      <c r="AX125" s="373"/>
      <c r="AY125" s="374">
        <f t="shared" si="80"/>
        <v>0</v>
      </c>
      <c r="AZ125" s="375">
        <f t="shared" si="48"/>
        <v>0</v>
      </c>
      <c r="BA125" s="359" t="s">
        <v>1297</v>
      </c>
      <c r="BB125" s="360" t="s">
        <v>2454</v>
      </c>
      <c r="BC125" s="377"/>
      <c r="BD125" s="378"/>
      <c r="BF125" s="365">
        <v>0.05</v>
      </c>
      <c r="BG125" s="365"/>
      <c r="BH125" s="365"/>
      <c r="BI125" s="365"/>
      <c r="BJ125" s="365"/>
      <c r="BK125" s="365"/>
      <c r="BL125" s="363">
        <f t="shared" si="77"/>
        <v>0.05</v>
      </c>
    </row>
    <row r="126" spans="1:64" s="376" customFormat="1" ht="63.75" outlineLevel="1" x14ac:dyDescent="0.2">
      <c r="A126" s="610" t="s">
        <v>1301</v>
      </c>
      <c r="B126" s="604" t="s">
        <v>1223</v>
      </c>
      <c r="C126" s="360" t="s">
        <v>2561</v>
      </c>
      <c r="D126" s="361" t="s">
        <v>397</v>
      </c>
      <c r="E126" s="362" t="s">
        <v>27</v>
      </c>
      <c r="F126" s="361">
        <v>2013</v>
      </c>
      <c r="G126" s="361">
        <v>2014</v>
      </c>
      <c r="H126" s="363">
        <v>0.03</v>
      </c>
      <c r="I126" s="363">
        <v>0.03</v>
      </c>
      <c r="J126" s="363">
        <f t="shared" si="81"/>
        <v>0.03</v>
      </c>
      <c r="K126" s="362" t="s">
        <v>27</v>
      </c>
      <c r="L126" s="361"/>
      <c r="M126" s="361"/>
      <c r="N126" s="364"/>
      <c r="O126" s="361"/>
      <c r="P126" s="361"/>
      <c r="Q126" s="362" t="s">
        <v>27</v>
      </c>
      <c r="R126" s="365">
        <v>0.03</v>
      </c>
      <c r="S126" s="365"/>
      <c r="T126" s="365"/>
      <c r="U126" s="365"/>
      <c r="V126" s="365"/>
      <c r="W126" s="365"/>
      <c r="X126" s="363">
        <f t="shared" si="78"/>
        <v>0.03</v>
      </c>
      <c r="Y126" s="366"/>
      <c r="Z126" s="363"/>
      <c r="AA126" s="367"/>
      <c r="AB126" s="368">
        <f t="shared" si="52"/>
        <v>0</v>
      </c>
      <c r="AC126" s="369"/>
      <c r="AD126" s="365"/>
      <c r="AE126" s="363"/>
      <c r="AF126" s="363">
        <f>H126</f>
        <v>0.03</v>
      </c>
      <c r="AG126" s="363"/>
      <c r="AH126" s="363"/>
      <c r="AI126" s="363"/>
      <c r="AJ126" s="363"/>
      <c r="AK126" s="370"/>
      <c r="AL126" s="367">
        <f t="shared" si="79"/>
        <v>0.03</v>
      </c>
      <c r="AM126" s="371">
        <v>0</v>
      </c>
      <c r="AN126" s="372">
        <v>0</v>
      </c>
      <c r="AO126" s="371"/>
      <c r="AP126" s="373"/>
      <c r="AQ126" s="371"/>
      <c r="AR126" s="373"/>
      <c r="AS126" s="371"/>
      <c r="AT126" s="373"/>
      <c r="AU126" s="371"/>
      <c r="AV126" s="373"/>
      <c r="AW126" s="371"/>
      <c r="AX126" s="373"/>
      <c r="AY126" s="374">
        <f t="shared" si="80"/>
        <v>0</v>
      </c>
      <c r="AZ126" s="375">
        <f t="shared" si="48"/>
        <v>0</v>
      </c>
      <c r="BA126" s="359" t="s">
        <v>1298</v>
      </c>
      <c r="BB126" s="360" t="s">
        <v>2455</v>
      </c>
      <c r="BC126" s="377"/>
      <c r="BD126" s="378"/>
      <c r="BF126" s="365">
        <v>0.03</v>
      </c>
      <c r="BG126" s="365"/>
      <c r="BH126" s="365"/>
      <c r="BI126" s="365"/>
      <c r="BJ126" s="365"/>
      <c r="BK126" s="365"/>
      <c r="BL126" s="363">
        <f t="shared" si="77"/>
        <v>0.03</v>
      </c>
    </row>
    <row r="127" spans="1:64" s="376" customFormat="1" ht="89.25" outlineLevel="1" x14ac:dyDescent="0.2">
      <c r="A127" s="610" t="s">
        <v>953</v>
      </c>
      <c r="B127" s="604" t="s">
        <v>1225</v>
      </c>
      <c r="C127" s="360" t="s">
        <v>2409</v>
      </c>
      <c r="D127" s="361" t="s">
        <v>397</v>
      </c>
      <c r="E127" s="362" t="s">
        <v>1227</v>
      </c>
      <c r="F127" s="361">
        <v>2013</v>
      </c>
      <c r="G127" s="361">
        <v>2016</v>
      </c>
      <c r="H127" s="363">
        <v>0.80625000000000002</v>
      </c>
      <c r="I127" s="363">
        <v>0.80625000000000002</v>
      </c>
      <c r="J127" s="363">
        <f t="shared" si="81"/>
        <v>0</v>
      </c>
      <c r="K127" s="364"/>
      <c r="L127" s="364"/>
      <c r="M127" s="362" t="s">
        <v>1227</v>
      </c>
      <c r="N127" s="361"/>
      <c r="O127" s="361"/>
      <c r="P127" s="361"/>
      <c r="Q127" s="362" t="s">
        <v>1227</v>
      </c>
      <c r="R127" s="365"/>
      <c r="S127" s="364"/>
      <c r="T127" s="365">
        <v>0.80600000000000005</v>
      </c>
      <c r="U127" s="365"/>
      <c r="V127" s="365"/>
      <c r="W127" s="365"/>
      <c r="X127" s="363">
        <f t="shared" si="78"/>
        <v>0.80600000000000005</v>
      </c>
      <c r="Y127" s="366"/>
      <c r="Z127" s="363"/>
      <c r="AA127" s="367"/>
      <c r="AB127" s="368">
        <f t="shared" si="52"/>
        <v>2.4999999999997247E-4</v>
      </c>
      <c r="AC127" s="369"/>
      <c r="AD127" s="365"/>
      <c r="AE127" s="363"/>
      <c r="AF127" s="363"/>
      <c r="AG127" s="363"/>
      <c r="AH127" s="363">
        <f>H127</f>
        <v>0.80625000000000002</v>
      </c>
      <c r="AI127" s="363"/>
      <c r="AJ127" s="363"/>
      <c r="AK127" s="370"/>
      <c r="AL127" s="367">
        <f t="shared" si="79"/>
        <v>0.80625000000000002</v>
      </c>
      <c r="AM127" s="371"/>
      <c r="AN127" s="372"/>
      <c r="AO127" s="371"/>
      <c r="AP127" s="373"/>
      <c r="AQ127" s="371">
        <v>0</v>
      </c>
      <c r="AR127" s="373">
        <v>0</v>
      </c>
      <c r="AS127" s="371"/>
      <c r="AT127" s="373"/>
      <c r="AU127" s="371"/>
      <c r="AV127" s="373"/>
      <c r="AW127" s="371"/>
      <c r="AX127" s="373"/>
      <c r="AY127" s="374">
        <f t="shared" si="80"/>
        <v>0</v>
      </c>
      <c r="AZ127" s="375">
        <f t="shared" si="48"/>
        <v>0</v>
      </c>
      <c r="BA127" s="359" t="s">
        <v>1228</v>
      </c>
      <c r="BB127" s="360" t="s">
        <v>2456</v>
      </c>
      <c r="BC127" s="377"/>
      <c r="BD127" s="378"/>
      <c r="BF127" s="365"/>
      <c r="BG127" s="364"/>
      <c r="BH127" s="365">
        <v>0.80600000000000005</v>
      </c>
      <c r="BI127" s="365"/>
      <c r="BJ127" s="365"/>
      <c r="BK127" s="365"/>
      <c r="BL127" s="363">
        <f t="shared" si="77"/>
        <v>0.80600000000000005</v>
      </c>
    </row>
    <row r="128" spans="1:64" s="376" customFormat="1" ht="76.5" outlineLevel="1" x14ac:dyDescent="0.2">
      <c r="A128" s="610" t="s">
        <v>954</v>
      </c>
      <c r="B128" s="604" t="s">
        <v>1226</v>
      </c>
      <c r="C128" s="360" t="s">
        <v>58</v>
      </c>
      <c r="D128" s="361" t="s">
        <v>397</v>
      </c>
      <c r="E128" s="362" t="s">
        <v>1241</v>
      </c>
      <c r="F128" s="361">
        <v>2013</v>
      </c>
      <c r="G128" s="361">
        <v>2014</v>
      </c>
      <c r="H128" s="363">
        <v>2.07219</v>
      </c>
      <c r="I128" s="363">
        <v>2.07219</v>
      </c>
      <c r="J128" s="363">
        <f t="shared" si="81"/>
        <v>2.07219</v>
      </c>
      <c r="K128" s="362" t="s">
        <v>1241</v>
      </c>
      <c r="L128" s="361"/>
      <c r="M128" s="361"/>
      <c r="N128" s="362"/>
      <c r="O128" s="361"/>
      <c r="P128" s="361"/>
      <c r="Q128" s="362" t="s">
        <v>1241</v>
      </c>
      <c r="R128" s="394">
        <v>2.07219</v>
      </c>
      <c r="S128" s="364"/>
      <c r="T128" s="365"/>
      <c r="U128" s="364"/>
      <c r="V128" s="365"/>
      <c r="W128" s="365"/>
      <c r="X128" s="363">
        <f>SUM(R128:W128)</f>
        <v>2.07219</v>
      </c>
      <c r="Y128" s="366"/>
      <c r="Z128" s="363"/>
      <c r="AA128" s="367"/>
      <c r="AB128" s="368">
        <f t="shared" si="52"/>
        <v>0</v>
      </c>
      <c r="AC128" s="369"/>
      <c r="AD128" s="365"/>
      <c r="AE128" s="363"/>
      <c r="AF128" s="363">
        <f>H128</f>
        <v>2.07219</v>
      </c>
      <c r="AG128" s="363"/>
      <c r="AH128" s="363"/>
      <c r="AI128" s="363"/>
      <c r="AJ128" s="363"/>
      <c r="AK128" s="370"/>
      <c r="AL128" s="367">
        <f>SUM(AF128:AK128)</f>
        <v>2.07219</v>
      </c>
      <c r="AM128" s="371">
        <v>0</v>
      </c>
      <c r="AN128" s="372">
        <v>0</v>
      </c>
      <c r="AO128" s="371"/>
      <c r="AP128" s="373"/>
      <c r="AQ128" s="371"/>
      <c r="AR128" s="373"/>
      <c r="AS128" s="371"/>
      <c r="AT128" s="373"/>
      <c r="AU128" s="371"/>
      <c r="AV128" s="373"/>
      <c r="AW128" s="371"/>
      <c r="AX128" s="373"/>
      <c r="AY128" s="374">
        <f t="shared" si="80"/>
        <v>0</v>
      </c>
      <c r="AZ128" s="375">
        <f>AN128+AP128+AR128+AT128+AV128+AX128</f>
        <v>0</v>
      </c>
      <c r="BA128" s="359" t="s">
        <v>1230</v>
      </c>
      <c r="BB128" s="360" t="s">
        <v>58</v>
      </c>
      <c r="BC128" s="377"/>
      <c r="BD128" s="378"/>
      <c r="BF128" s="394">
        <v>2.07219</v>
      </c>
      <c r="BG128" s="364"/>
      <c r="BH128" s="365"/>
      <c r="BI128" s="364"/>
      <c r="BJ128" s="365"/>
      <c r="BK128" s="365"/>
      <c r="BL128" s="363">
        <f t="shared" si="77"/>
        <v>2.07219</v>
      </c>
    </row>
    <row r="129" spans="1:65" s="376" customFormat="1" ht="165.75" outlineLevel="1" x14ac:dyDescent="0.2">
      <c r="A129" s="610" t="s">
        <v>960</v>
      </c>
      <c r="B129" s="604" t="s">
        <v>1228</v>
      </c>
      <c r="C129" s="360" t="s">
        <v>2660</v>
      </c>
      <c r="D129" s="361" t="s">
        <v>397</v>
      </c>
      <c r="E129" s="362" t="s">
        <v>1259</v>
      </c>
      <c r="F129" s="361">
        <v>2013</v>
      </c>
      <c r="G129" s="361">
        <v>2015</v>
      </c>
      <c r="H129" s="363">
        <v>6.14</v>
      </c>
      <c r="I129" s="363">
        <v>5.9499999999999993</v>
      </c>
      <c r="J129" s="363">
        <f t="shared" si="81"/>
        <v>0.1</v>
      </c>
      <c r="K129" s="361"/>
      <c r="L129" s="361" t="s">
        <v>1259</v>
      </c>
      <c r="M129" s="362"/>
      <c r="N129" s="361"/>
      <c r="O129" s="361"/>
      <c r="P129" s="361"/>
      <c r="Q129" s="362" t="s">
        <v>1259</v>
      </c>
      <c r="R129" s="365">
        <v>0.1</v>
      </c>
      <c r="S129" s="365">
        <f>I129-R129</f>
        <v>5.85</v>
      </c>
      <c r="T129" s="365"/>
      <c r="U129" s="365"/>
      <c r="V129" s="365"/>
      <c r="W129" s="365"/>
      <c r="X129" s="363">
        <f>SUM(R129:W129)</f>
        <v>5.9499999999999993</v>
      </c>
      <c r="Y129" s="366"/>
      <c r="Z129" s="363"/>
      <c r="AA129" s="367"/>
      <c r="AB129" s="368">
        <f t="shared" si="52"/>
        <v>0</v>
      </c>
      <c r="AC129" s="369"/>
      <c r="AD129" s="365"/>
      <c r="AE129" s="363"/>
      <c r="AF129" s="363"/>
      <c r="AG129" s="363">
        <f>H129</f>
        <v>6.14</v>
      </c>
      <c r="AH129" s="363"/>
      <c r="AI129" s="363"/>
      <c r="AJ129" s="363"/>
      <c r="AK129" s="370"/>
      <c r="AL129" s="367">
        <f t="shared" si="79"/>
        <v>6.14</v>
      </c>
      <c r="AM129" s="371"/>
      <c r="AN129" s="372"/>
      <c r="AO129" s="371">
        <v>1</v>
      </c>
      <c r="AP129" s="373">
        <v>1.26</v>
      </c>
      <c r="AQ129" s="371"/>
      <c r="AR129" s="373"/>
      <c r="AS129" s="371"/>
      <c r="AT129" s="373"/>
      <c r="AU129" s="371"/>
      <c r="AV129" s="373"/>
      <c r="AW129" s="371"/>
      <c r="AX129" s="373"/>
      <c r="AY129" s="374">
        <f t="shared" si="80"/>
        <v>1</v>
      </c>
      <c r="AZ129" s="375">
        <f t="shared" si="48"/>
        <v>1.26</v>
      </c>
      <c r="BA129" s="359" t="s">
        <v>2165</v>
      </c>
      <c r="BB129" s="360" t="s">
        <v>2457</v>
      </c>
      <c r="BC129" s="377"/>
      <c r="BD129" s="378"/>
      <c r="BF129" s="365">
        <v>0.1</v>
      </c>
      <c r="BG129" s="365">
        <v>5.85</v>
      </c>
      <c r="BH129" s="365"/>
      <c r="BI129" s="365"/>
      <c r="BJ129" s="365"/>
      <c r="BK129" s="365"/>
      <c r="BL129" s="363">
        <f t="shared" si="77"/>
        <v>5.9499999999999993</v>
      </c>
    </row>
    <row r="130" spans="1:65" s="376" customFormat="1" ht="102" outlineLevel="1" x14ac:dyDescent="0.2">
      <c r="A130" s="610" t="s">
        <v>987</v>
      </c>
      <c r="B130" s="604" t="s">
        <v>1230</v>
      </c>
      <c r="C130" s="360" t="s">
        <v>2661</v>
      </c>
      <c r="D130" s="361" t="s">
        <v>397</v>
      </c>
      <c r="E130" s="362" t="s">
        <v>364</v>
      </c>
      <c r="F130" s="361">
        <v>2013</v>
      </c>
      <c r="G130" s="361">
        <v>2014</v>
      </c>
      <c r="H130" s="363">
        <v>7.0000000000000007E-2</v>
      </c>
      <c r="I130" s="363">
        <v>7.0000000000000007E-2</v>
      </c>
      <c r="J130" s="363">
        <f t="shared" si="81"/>
        <v>7.0000000000000007E-2</v>
      </c>
      <c r="K130" s="362" t="s">
        <v>364</v>
      </c>
      <c r="L130" s="361"/>
      <c r="M130" s="361"/>
      <c r="N130" s="361"/>
      <c r="O130" s="361"/>
      <c r="P130" s="361"/>
      <c r="Q130" s="362" t="s">
        <v>364</v>
      </c>
      <c r="R130" s="365">
        <v>7.0000000000000007E-2</v>
      </c>
      <c r="S130" s="365"/>
      <c r="T130" s="365"/>
      <c r="U130" s="365"/>
      <c r="V130" s="365"/>
      <c r="W130" s="365"/>
      <c r="X130" s="363">
        <f t="shared" si="78"/>
        <v>7.0000000000000007E-2</v>
      </c>
      <c r="Y130" s="366"/>
      <c r="Z130" s="363"/>
      <c r="AA130" s="367"/>
      <c r="AB130" s="368">
        <f t="shared" si="52"/>
        <v>0</v>
      </c>
      <c r="AC130" s="369"/>
      <c r="AD130" s="365"/>
      <c r="AE130" s="363"/>
      <c r="AF130" s="363">
        <f>H130</f>
        <v>7.0000000000000007E-2</v>
      </c>
      <c r="AG130" s="363"/>
      <c r="AH130" s="363"/>
      <c r="AI130" s="363"/>
      <c r="AJ130" s="363"/>
      <c r="AK130" s="370"/>
      <c r="AL130" s="367">
        <f t="shared" si="79"/>
        <v>7.0000000000000007E-2</v>
      </c>
      <c r="AM130" s="371">
        <v>0</v>
      </c>
      <c r="AN130" s="372">
        <v>0</v>
      </c>
      <c r="AO130" s="371"/>
      <c r="AP130" s="373"/>
      <c r="AQ130" s="371"/>
      <c r="AR130" s="373"/>
      <c r="AS130" s="371"/>
      <c r="AT130" s="373"/>
      <c r="AU130" s="371"/>
      <c r="AV130" s="373"/>
      <c r="AW130" s="371"/>
      <c r="AX130" s="373"/>
      <c r="AY130" s="374">
        <f t="shared" si="80"/>
        <v>0</v>
      </c>
      <c r="AZ130" s="375">
        <f t="shared" si="48"/>
        <v>0</v>
      </c>
      <c r="BA130" s="359" t="s">
        <v>2490</v>
      </c>
      <c r="BB130" s="360" t="s">
        <v>2458</v>
      </c>
      <c r="BC130" s="377"/>
      <c r="BD130" s="378"/>
      <c r="BF130" s="365">
        <v>7.0000000000000007E-2</v>
      </c>
      <c r="BG130" s="365"/>
      <c r="BH130" s="365"/>
      <c r="BI130" s="365"/>
      <c r="BJ130" s="365"/>
      <c r="BK130" s="365"/>
      <c r="BL130" s="363">
        <f t="shared" si="77"/>
        <v>7.0000000000000007E-2</v>
      </c>
    </row>
    <row r="131" spans="1:65" s="376" customFormat="1" ht="76.5" outlineLevel="1" x14ac:dyDescent="0.2">
      <c r="A131" s="610" t="s">
        <v>2534</v>
      </c>
      <c r="B131" s="604" t="s">
        <v>1231</v>
      </c>
      <c r="C131" s="360" t="s">
        <v>2662</v>
      </c>
      <c r="D131" s="361" t="s">
        <v>397</v>
      </c>
      <c r="E131" s="362" t="s">
        <v>364</v>
      </c>
      <c r="F131" s="361">
        <v>2013</v>
      </c>
      <c r="G131" s="361">
        <v>2014</v>
      </c>
      <c r="H131" s="363">
        <v>1.7</v>
      </c>
      <c r="I131" s="363">
        <v>1.64</v>
      </c>
      <c r="J131" s="363">
        <f t="shared" si="81"/>
        <v>1.64</v>
      </c>
      <c r="K131" s="362" t="s">
        <v>364</v>
      </c>
      <c r="L131" s="364"/>
      <c r="M131" s="361"/>
      <c r="N131" s="361"/>
      <c r="O131" s="361"/>
      <c r="P131" s="361"/>
      <c r="Q131" s="362" t="s">
        <v>364</v>
      </c>
      <c r="R131" s="365">
        <v>1.64</v>
      </c>
      <c r="S131" s="365"/>
      <c r="T131" s="365"/>
      <c r="U131" s="365"/>
      <c r="V131" s="365"/>
      <c r="W131" s="365"/>
      <c r="X131" s="363">
        <f t="shared" si="78"/>
        <v>1.64</v>
      </c>
      <c r="Y131" s="366"/>
      <c r="Z131" s="363"/>
      <c r="AA131" s="367"/>
      <c r="AB131" s="368">
        <f t="shared" si="52"/>
        <v>0</v>
      </c>
      <c r="AC131" s="369"/>
      <c r="AD131" s="365"/>
      <c r="AE131" s="363"/>
      <c r="AF131" s="363">
        <f>H131</f>
        <v>1.7</v>
      </c>
      <c r="AG131" s="363"/>
      <c r="AH131" s="363"/>
      <c r="AI131" s="363"/>
      <c r="AJ131" s="363"/>
      <c r="AK131" s="370"/>
      <c r="AL131" s="367">
        <f t="shared" si="79"/>
        <v>1.7</v>
      </c>
      <c r="AM131" s="371">
        <v>0</v>
      </c>
      <c r="AN131" s="372">
        <v>0</v>
      </c>
      <c r="AO131" s="371"/>
      <c r="AP131" s="373"/>
      <c r="AQ131" s="371"/>
      <c r="AR131" s="373"/>
      <c r="AS131" s="371"/>
      <c r="AT131" s="373"/>
      <c r="AU131" s="371"/>
      <c r="AV131" s="373"/>
      <c r="AW131" s="371"/>
      <c r="AX131" s="373"/>
      <c r="AY131" s="374">
        <f t="shared" si="80"/>
        <v>0</v>
      </c>
      <c r="AZ131" s="375">
        <f t="shared" si="48"/>
        <v>0</v>
      </c>
      <c r="BA131" s="376" t="s">
        <v>2452</v>
      </c>
      <c r="BC131" s="377"/>
      <c r="BD131" s="378"/>
      <c r="BF131" s="365">
        <v>1.64</v>
      </c>
      <c r="BG131" s="365"/>
      <c r="BH131" s="365"/>
      <c r="BI131" s="365"/>
      <c r="BJ131" s="365"/>
      <c r="BK131" s="365"/>
      <c r="BL131" s="363">
        <f t="shared" si="77"/>
        <v>1.64</v>
      </c>
      <c r="BM131" s="376" t="s">
        <v>2726</v>
      </c>
    </row>
    <row r="132" spans="1:65" s="376" customFormat="1" ht="216.75" outlineLevel="1" x14ac:dyDescent="0.2">
      <c r="A132" s="610" t="s">
        <v>1322</v>
      </c>
      <c r="B132" s="604" t="s">
        <v>1232</v>
      </c>
      <c r="C132" s="360" t="s">
        <v>2663</v>
      </c>
      <c r="D132" s="361" t="s">
        <v>397</v>
      </c>
      <c r="E132" s="362" t="s">
        <v>2664</v>
      </c>
      <c r="F132" s="361">
        <v>2011</v>
      </c>
      <c r="G132" s="361">
        <v>2015</v>
      </c>
      <c r="H132" s="363">
        <v>22.11</v>
      </c>
      <c r="I132" s="363">
        <v>7.45</v>
      </c>
      <c r="J132" s="363">
        <f t="shared" si="81"/>
        <v>7.45</v>
      </c>
      <c r="K132" s="364"/>
      <c r="L132" s="362" t="s">
        <v>2664</v>
      </c>
      <c r="M132" s="361"/>
      <c r="N132" s="361"/>
      <c r="O132" s="361"/>
      <c r="P132" s="361"/>
      <c r="Q132" s="362" t="s">
        <v>2664</v>
      </c>
      <c r="R132" s="365">
        <v>7.45</v>
      </c>
      <c r="S132" s="365"/>
      <c r="T132" s="365"/>
      <c r="U132" s="365"/>
      <c r="V132" s="365"/>
      <c r="W132" s="365"/>
      <c r="X132" s="363">
        <f t="shared" si="78"/>
        <v>7.45</v>
      </c>
      <c r="Y132" s="366"/>
      <c r="Z132" s="363"/>
      <c r="AA132" s="367"/>
      <c r="AB132" s="368">
        <f t="shared" si="52"/>
        <v>0</v>
      </c>
      <c r="AC132" s="369"/>
      <c r="AD132" s="365"/>
      <c r="AE132" s="363"/>
      <c r="AF132" s="363"/>
      <c r="AG132" s="363">
        <f>H132</f>
        <v>22.11</v>
      </c>
      <c r="AH132" s="363"/>
      <c r="AI132" s="363"/>
      <c r="AJ132" s="363"/>
      <c r="AK132" s="370"/>
      <c r="AL132" s="367">
        <f t="shared" si="79"/>
        <v>22.11</v>
      </c>
      <c r="AM132" s="371"/>
      <c r="AN132" s="372"/>
      <c r="AO132" s="371">
        <v>3</v>
      </c>
      <c r="AP132" s="373">
        <v>0.23</v>
      </c>
      <c r="AQ132" s="371"/>
      <c r="AR132" s="373"/>
      <c r="AS132" s="371"/>
      <c r="AT132" s="373"/>
      <c r="AU132" s="371"/>
      <c r="AV132" s="373"/>
      <c r="AW132" s="371"/>
      <c r="AX132" s="373"/>
      <c r="AY132" s="374">
        <f t="shared" si="80"/>
        <v>3</v>
      </c>
      <c r="AZ132" s="375">
        <f t="shared" si="48"/>
        <v>0.23</v>
      </c>
      <c r="BA132" s="359" t="s">
        <v>1045</v>
      </c>
      <c r="BB132" s="395" t="s">
        <v>2459</v>
      </c>
      <c r="BC132" s="377"/>
      <c r="BD132" s="378"/>
      <c r="BF132" s="365">
        <v>7.45</v>
      </c>
      <c r="BG132" s="365"/>
      <c r="BH132" s="365"/>
      <c r="BI132" s="365"/>
      <c r="BJ132" s="365"/>
      <c r="BK132" s="365"/>
      <c r="BL132" s="363">
        <f t="shared" si="77"/>
        <v>7.45</v>
      </c>
    </row>
    <row r="133" spans="1:65" s="376" customFormat="1" ht="89.25" outlineLevel="1" x14ac:dyDescent="0.2">
      <c r="A133" s="610" t="s">
        <v>1325</v>
      </c>
      <c r="B133" s="604" t="s">
        <v>1234</v>
      </c>
      <c r="C133" s="360" t="s">
        <v>2535</v>
      </c>
      <c r="D133" s="361" t="s">
        <v>397</v>
      </c>
      <c r="E133" s="362" t="s">
        <v>1227</v>
      </c>
      <c r="F133" s="361">
        <v>2013</v>
      </c>
      <c r="G133" s="361">
        <v>2014</v>
      </c>
      <c r="H133" s="363">
        <v>7.0000000000000007E-2</v>
      </c>
      <c r="I133" s="363">
        <v>7.0000000000000007E-2</v>
      </c>
      <c r="J133" s="363">
        <f t="shared" si="81"/>
        <v>7.0000000000000007E-2</v>
      </c>
      <c r="K133" s="362" t="s">
        <v>1227</v>
      </c>
      <c r="L133" s="361"/>
      <c r="M133" s="361"/>
      <c r="N133" s="361"/>
      <c r="O133" s="361"/>
      <c r="P133" s="361"/>
      <c r="Q133" s="362" t="s">
        <v>1227</v>
      </c>
      <c r="R133" s="365">
        <v>7.0000000000000007E-2</v>
      </c>
      <c r="S133" s="365"/>
      <c r="T133" s="365"/>
      <c r="U133" s="365"/>
      <c r="V133" s="365"/>
      <c r="W133" s="365"/>
      <c r="X133" s="363">
        <f t="shared" si="78"/>
        <v>7.0000000000000007E-2</v>
      </c>
      <c r="Y133" s="366"/>
      <c r="Z133" s="363"/>
      <c r="AA133" s="367"/>
      <c r="AB133" s="368">
        <f t="shared" si="52"/>
        <v>0</v>
      </c>
      <c r="AC133" s="369"/>
      <c r="AD133" s="365"/>
      <c r="AE133" s="363"/>
      <c r="AF133" s="363">
        <f>H133</f>
        <v>7.0000000000000007E-2</v>
      </c>
      <c r="AG133" s="363"/>
      <c r="AH133" s="363"/>
      <c r="AI133" s="363"/>
      <c r="AJ133" s="363"/>
      <c r="AK133" s="370"/>
      <c r="AL133" s="367">
        <f t="shared" si="79"/>
        <v>7.0000000000000007E-2</v>
      </c>
      <c r="AM133" s="371">
        <v>0</v>
      </c>
      <c r="AN133" s="372">
        <v>0</v>
      </c>
      <c r="AO133" s="371"/>
      <c r="AP133" s="373"/>
      <c r="AQ133" s="371"/>
      <c r="AR133" s="373"/>
      <c r="AS133" s="371"/>
      <c r="AT133" s="373"/>
      <c r="AU133" s="371"/>
      <c r="AV133" s="373"/>
      <c r="AW133" s="371"/>
      <c r="AX133" s="373"/>
      <c r="AY133" s="374">
        <f t="shared" si="80"/>
        <v>0</v>
      </c>
      <c r="AZ133" s="375">
        <f t="shared" si="48"/>
        <v>0</v>
      </c>
      <c r="BA133" s="359" t="s">
        <v>1323</v>
      </c>
      <c r="BB133" s="395" t="s">
        <v>2460</v>
      </c>
      <c r="BC133" s="377"/>
      <c r="BD133" s="378"/>
      <c r="BF133" s="365">
        <v>7.0000000000000007E-2</v>
      </c>
      <c r="BG133" s="365"/>
      <c r="BH133" s="365"/>
      <c r="BI133" s="365"/>
      <c r="BJ133" s="365"/>
      <c r="BK133" s="365"/>
      <c r="BL133" s="363">
        <f t="shared" si="77"/>
        <v>7.0000000000000007E-2</v>
      </c>
    </row>
    <row r="134" spans="1:65" s="376" customFormat="1" ht="216.75" outlineLevel="1" x14ac:dyDescent="0.2">
      <c r="A134" s="610" t="s">
        <v>1331</v>
      </c>
      <c r="B134" s="604" t="s">
        <v>1236</v>
      </c>
      <c r="C134" s="360" t="s">
        <v>2114</v>
      </c>
      <c r="D134" s="361" t="s">
        <v>1251</v>
      </c>
      <c r="E134" s="362" t="s">
        <v>1252</v>
      </c>
      <c r="F134" s="361">
        <v>2016</v>
      </c>
      <c r="G134" s="361">
        <v>2017</v>
      </c>
      <c r="H134" s="363">
        <v>15.1</v>
      </c>
      <c r="I134" s="363">
        <v>15.1</v>
      </c>
      <c r="J134" s="363">
        <f t="shared" si="81"/>
        <v>0</v>
      </c>
      <c r="K134" s="361"/>
      <c r="L134" s="364"/>
      <c r="M134" s="361"/>
      <c r="N134" s="362" t="s">
        <v>1252</v>
      </c>
      <c r="O134" s="361"/>
      <c r="P134" s="361"/>
      <c r="Q134" s="362" t="s">
        <v>1252</v>
      </c>
      <c r="R134" s="365"/>
      <c r="S134" s="365"/>
      <c r="T134" s="365">
        <v>15.1</v>
      </c>
      <c r="U134" s="365"/>
      <c r="V134" s="365"/>
      <c r="W134" s="365"/>
      <c r="X134" s="363">
        <f>SUM(R134:W134)</f>
        <v>15.1</v>
      </c>
      <c r="Y134" s="366"/>
      <c r="Z134" s="363"/>
      <c r="AA134" s="367"/>
      <c r="AB134" s="368">
        <f t="shared" si="52"/>
        <v>0</v>
      </c>
      <c r="AC134" s="369"/>
      <c r="AD134" s="365"/>
      <c r="AE134" s="363"/>
      <c r="AF134" s="363"/>
      <c r="AG134" s="363"/>
      <c r="AH134" s="363"/>
      <c r="AI134" s="363">
        <f>H134</f>
        <v>15.1</v>
      </c>
      <c r="AJ134" s="363"/>
      <c r="AK134" s="370"/>
      <c r="AL134" s="367">
        <f t="shared" si="79"/>
        <v>15.1</v>
      </c>
      <c r="AM134" s="371"/>
      <c r="AN134" s="372"/>
      <c r="AO134" s="371"/>
      <c r="AP134" s="373"/>
      <c r="AQ134" s="371"/>
      <c r="AR134" s="373"/>
      <c r="AS134" s="371">
        <v>4</v>
      </c>
      <c r="AT134" s="373">
        <v>1.26</v>
      </c>
      <c r="AU134" s="371"/>
      <c r="AV134" s="373"/>
      <c r="AW134" s="371"/>
      <c r="AX134" s="373"/>
      <c r="AY134" s="374">
        <f t="shared" si="80"/>
        <v>4</v>
      </c>
      <c r="AZ134" s="375">
        <f t="shared" si="48"/>
        <v>1.26</v>
      </c>
      <c r="BA134" s="359" t="s">
        <v>948</v>
      </c>
      <c r="BB134" s="393" t="s">
        <v>66</v>
      </c>
      <c r="BC134" s="377"/>
      <c r="BD134" s="378"/>
      <c r="BF134" s="365"/>
      <c r="BG134" s="365"/>
      <c r="BH134" s="365">
        <v>15.1</v>
      </c>
      <c r="BI134" s="365"/>
      <c r="BJ134" s="365"/>
      <c r="BK134" s="365"/>
      <c r="BL134" s="363">
        <f t="shared" si="77"/>
        <v>15.1</v>
      </c>
    </row>
    <row r="135" spans="1:65" s="376" customFormat="1" ht="89.25" outlineLevel="1" x14ac:dyDescent="0.2">
      <c r="A135" s="610" t="s">
        <v>1336</v>
      </c>
      <c r="B135" s="604" t="s">
        <v>1238</v>
      </c>
      <c r="C135" s="360" t="s">
        <v>2115</v>
      </c>
      <c r="D135" s="361" t="s">
        <v>397</v>
      </c>
      <c r="E135" s="362" t="s">
        <v>27</v>
      </c>
      <c r="F135" s="361">
        <v>2013</v>
      </c>
      <c r="G135" s="361">
        <v>2014</v>
      </c>
      <c r="H135" s="363">
        <v>0.02</v>
      </c>
      <c r="I135" s="363">
        <v>0.02</v>
      </c>
      <c r="J135" s="363">
        <f t="shared" si="81"/>
        <v>0.02</v>
      </c>
      <c r="K135" s="362" t="s">
        <v>27</v>
      </c>
      <c r="L135" s="361"/>
      <c r="M135" s="361"/>
      <c r="N135" s="361"/>
      <c r="O135" s="361"/>
      <c r="P135" s="361"/>
      <c r="Q135" s="362" t="s">
        <v>27</v>
      </c>
      <c r="R135" s="365">
        <v>0.02</v>
      </c>
      <c r="S135" s="365"/>
      <c r="T135" s="365"/>
      <c r="U135" s="365"/>
      <c r="V135" s="365"/>
      <c r="W135" s="365"/>
      <c r="X135" s="363">
        <f t="shared" si="78"/>
        <v>0.02</v>
      </c>
      <c r="Y135" s="366"/>
      <c r="Z135" s="363"/>
      <c r="AA135" s="367"/>
      <c r="AB135" s="368">
        <f t="shared" si="52"/>
        <v>0</v>
      </c>
      <c r="AC135" s="369"/>
      <c r="AD135" s="365"/>
      <c r="AE135" s="363"/>
      <c r="AF135" s="363">
        <f>H135</f>
        <v>0.02</v>
      </c>
      <c r="AG135" s="363"/>
      <c r="AH135" s="363"/>
      <c r="AI135" s="363"/>
      <c r="AJ135" s="363"/>
      <c r="AK135" s="370"/>
      <c r="AL135" s="367">
        <f t="shared" si="79"/>
        <v>0.02</v>
      </c>
      <c r="AM135" s="371">
        <v>0</v>
      </c>
      <c r="AN135" s="372">
        <v>0</v>
      </c>
      <c r="AO135" s="371"/>
      <c r="AP135" s="373"/>
      <c r="AQ135" s="371"/>
      <c r="AR135" s="373"/>
      <c r="AS135" s="371"/>
      <c r="AT135" s="373"/>
      <c r="AU135" s="371"/>
      <c r="AV135" s="373"/>
      <c r="AW135" s="371"/>
      <c r="AX135" s="373"/>
      <c r="AY135" s="374">
        <f t="shared" si="80"/>
        <v>0</v>
      </c>
      <c r="AZ135" s="375">
        <f t="shared" si="48"/>
        <v>0</v>
      </c>
      <c r="BA135" s="359" t="s">
        <v>1334</v>
      </c>
      <c r="BB135" s="395" t="s">
        <v>2461</v>
      </c>
      <c r="BC135" s="377"/>
      <c r="BD135" s="378"/>
      <c r="BF135" s="365">
        <v>0.02</v>
      </c>
      <c r="BG135" s="365"/>
      <c r="BH135" s="365"/>
      <c r="BI135" s="365"/>
      <c r="BJ135" s="365"/>
      <c r="BK135" s="365"/>
      <c r="BL135" s="363">
        <f t="shared" ref="BL135:BL148" si="82">SUM(BF135:BK135)</f>
        <v>0.02</v>
      </c>
    </row>
    <row r="136" spans="1:65" s="376" customFormat="1" ht="51" outlineLevel="1" x14ac:dyDescent="0.2">
      <c r="A136" s="610" t="s">
        <v>1338</v>
      </c>
      <c r="B136" s="604" t="s">
        <v>2164</v>
      </c>
      <c r="C136" s="360" t="s">
        <v>2536</v>
      </c>
      <c r="D136" s="361" t="s">
        <v>397</v>
      </c>
      <c r="E136" s="362" t="s">
        <v>27</v>
      </c>
      <c r="F136" s="361">
        <v>2013</v>
      </c>
      <c r="G136" s="361">
        <v>2014</v>
      </c>
      <c r="H136" s="363">
        <v>0.05</v>
      </c>
      <c r="I136" s="363">
        <v>0.05</v>
      </c>
      <c r="J136" s="363">
        <f t="shared" si="81"/>
        <v>0.05</v>
      </c>
      <c r="K136" s="362" t="s">
        <v>27</v>
      </c>
      <c r="L136" s="361"/>
      <c r="M136" s="361"/>
      <c r="N136" s="361"/>
      <c r="O136" s="361"/>
      <c r="P136" s="361"/>
      <c r="Q136" s="362" t="s">
        <v>27</v>
      </c>
      <c r="R136" s="365">
        <v>0.05</v>
      </c>
      <c r="S136" s="365"/>
      <c r="T136" s="365"/>
      <c r="U136" s="365"/>
      <c r="V136" s="365"/>
      <c r="W136" s="365"/>
      <c r="X136" s="363">
        <f t="shared" si="78"/>
        <v>0.05</v>
      </c>
      <c r="Y136" s="366"/>
      <c r="Z136" s="363"/>
      <c r="AA136" s="367"/>
      <c r="AB136" s="368">
        <f t="shared" si="52"/>
        <v>0</v>
      </c>
      <c r="AC136" s="369"/>
      <c r="AD136" s="365"/>
      <c r="AE136" s="363"/>
      <c r="AF136" s="363">
        <f>H136</f>
        <v>0.05</v>
      </c>
      <c r="AG136" s="363"/>
      <c r="AH136" s="363"/>
      <c r="AI136" s="363"/>
      <c r="AJ136" s="363"/>
      <c r="AK136" s="370"/>
      <c r="AL136" s="367">
        <f t="shared" si="79"/>
        <v>0.05</v>
      </c>
      <c r="AM136" s="371">
        <v>0</v>
      </c>
      <c r="AN136" s="372">
        <v>0</v>
      </c>
      <c r="AO136" s="371"/>
      <c r="AP136" s="373"/>
      <c r="AQ136" s="371"/>
      <c r="AR136" s="373"/>
      <c r="AS136" s="371"/>
      <c r="AT136" s="373"/>
      <c r="AU136" s="371"/>
      <c r="AV136" s="373"/>
      <c r="AW136" s="371"/>
      <c r="AX136" s="373"/>
      <c r="AY136" s="374">
        <f t="shared" si="80"/>
        <v>0</v>
      </c>
      <c r="AZ136" s="375">
        <f t="shared" si="48"/>
        <v>0</v>
      </c>
      <c r="BA136" s="359" t="s">
        <v>1335</v>
      </c>
      <c r="BB136" s="395" t="s">
        <v>2462</v>
      </c>
      <c r="BC136" s="377"/>
      <c r="BD136" s="378"/>
      <c r="BF136" s="365">
        <v>0.05</v>
      </c>
      <c r="BG136" s="365"/>
      <c r="BH136" s="365"/>
      <c r="BI136" s="365"/>
      <c r="BJ136" s="365"/>
      <c r="BK136" s="365"/>
      <c r="BL136" s="363">
        <f t="shared" si="82"/>
        <v>0.05</v>
      </c>
    </row>
    <row r="137" spans="1:65" s="376" customFormat="1" ht="127.5" outlineLevel="1" x14ac:dyDescent="0.2">
      <c r="A137" s="610" t="s">
        <v>1343</v>
      </c>
      <c r="B137" s="604" t="s">
        <v>1239</v>
      </c>
      <c r="C137" s="360" t="s">
        <v>65</v>
      </c>
      <c r="D137" s="361" t="s">
        <v>397</v>
      </c>
      <c r="E137" s="361" t="s">
        <v>2463</v>
      </c>
      <c r="F137" s="361">
        <v>2012</v>
      </c>
      <c r="G137" s="361">
        <v>2016</v>
      </c>
      <c r="H137" s="363">
        <v>8.7100000000000009</v>
      </c>
      <c r="I137" s="363">
        <v>8.7100000000000009</v>
      </c>
      <c r="J137" s="363">
        <f t="shared" si="81"/>
        <v>0</v>
      </c>
      <c r="K137" s="364"/>
      <c r="L137" s="361"/>
      <c r="M137" s="361" t="s">
        <v>2463</v>
      </c>
      <c r="N137" s="361"/>
      <c r="O137" s="361"/>
      <c r="P137" s="361"/>
      <c r="Q137" s="361" t="s">
        <v>2463</v>
      </c>
      <c r="R137" s="365"/>
      <c r="S137" s="364"/>
      <c r="T137" s="365">
        <v>8.7100000000000009</v>
      </c>
      <c r="U137" s="396"/>
      <c r="V137" s="365"/>
      <c r="W137" s="365"/>
      <c r="X137" s="363">
        <f t="shared" si="78"/>
        <v>8.7100000000000009</v>
      </c>
      <c r="Y137" s="366"/>
      <c r="Z137" s="363"/>
      <c r="AA137" s="367"/>
      <c r="AB137" s="368">
        <f t="shared" si="52"/>
        <v>0</v>
      </c>
      <c r="AC137" s="369"/>
      <c r="AD137" s="365"/>
      <c r="AE137" s="363"/>
      <c r="AF137" s="363"/>
      <c r="AG137" s="363"/>
      <c r="AH137" s="363">
        <f>H137</f>
        <v>8.7100000000000009</v>
      </c>
      <c r="AI137" s="363"/>
      <c r="AJ137" s="363"/>
      <c r="AK137" s="370"/>
      <c r="AL137" s="367">
        <f t="shared" si="79"/>
        <v>8.7100000000000009</v>
      </c>
      <c r="AM137" s="371"/>
      <c r="AN137" s="372"/>
      <c r="AO137" s="371"/>
      <c r="AP137" s="373"/>
      <c r="AQ137" s="371">
        <v>1.1000000000000001</v>
      </c>
      <c r="AR137" s="373">
        <v>0</v>
      </c>
      <c r="AS137" s="371"/>
      <c r="AT137" s="373"/>
      <c r="AU137" s="371"/>
      <c r="AV137" s="373"/>
      <c r="AW137" s="371"/>
      <c r="AX137" s="373"/>
      <c r="AY137" s="374">
        <f t="shared" si="80"/>
        <v>1.1000000000000001</v>
      </c>
      <c r="AZ137" s="375">
        <f t="shared" si="48"/>
        <v>0</v>
      </c>
      <c r="BA137" s="359" t="s">
        <v>1033</v>
      </c>
      <c r="BB137" s="393" t="s">
        <v>65</v>
      </c>
      <c r="BC137" s="377"/>
      <c r="BD137" s="378"/>
      <c r="BF137" s="365"/>
      <c r="BG137" s="364"/>
      <c r="BH137" s="365">
        <v>8.7100000000000009</v>
      </c>
      <c r="BI137" s="396"/>
      <c r="BJ137" s="365"/>
      <c r="BK137" s="365"/>
      <c r="BL137" s="363">
        <f t="shared" si="82"/>
        <v>8.7100000000000009</v>
      </c>
    </row>
    <row r="138" spans="1:65" s="376" customFormat="1" ht="76.5" outlineLevel="1" x14ac:dyDescent="0.2">
      <c r="A138" s="610" t="s">
        <v>1345</v>
      </c>
      <c r="B138" s="604" t="s">
        <v>1240</v>
      </c>
      <c r="C138" s="360" t="s">
        <v>2537</v>
      </c>
      <c r="D138" s="361" t="s">
        <v>397</v>
      </c>
      <c r="E138" s="362" t="s">
        <v>27</v>
      </c>
      <c r="F138" s="361">
        <v>2013</v>
      </c>
      <c r="G138" s="361">
        <v>2014</v>
      </c>
      <c r="H138" s="363">
        <v>0.54759999999999998</v>
      </c>
      <c r="I138" s="363">
        <v>0.44</v>
      </c>
      <c r="J138" s="363">
        <f t="shared" si="81"/>
        <v>0.44</v>
      </c>
      <c r="K138" s="362" t="s">
        <v>27</v>
      </c>
      <c r="L138" s="364"/>
      <c r="M138" s="361"/>
      <c r="N138" s="361"/>
      <c r="O138" s="361"/>
      <c r="P138" s="361"/>
      <c r="Q138" s="362" t="s">
        <v>27</v>
      </c>
      <c r="R138" s="365">
        <v>0.44</v>
      </c>
      <c r="S138" s="365"/>
      <c r="T138" s="365"/>
      <c r="U138" s="365"/>
      <c r="V138" s="365"/>
      <c r="W138" s="365"/>
      <c r="X138" s="363">
        <f t="shared" si="78"/>
        <v>0.44</v>
      </c>
      <c r="Y138" s="366"/>
      <c r="Z138" s="363"/>
      <c r="AA138" s="367"/>
      <c r="AB138" s="368">
        <f t="shared" si="52"/>
        <v>0</v>
      </c>
      <c r="AC138" s="369"/>
      <c r="AD138" s="365"/>
      <c r="AE138" s="363"/>
      <c r="AF138" s="363">
        <f>H138</f>
        <v>0.54759999999999998</v>
      </c>
      <c r="AG138" s="363"/>
      <c r="AH138" s="363"/>
      <c r="AI138" s="363"/>
      <c r="AJ138" s="363"/>
      <c r="AK138" s="370"/>
      <c r="AL138" s="367">
        <f t="shared" si="79"/>
        <v>0.54759999999999998</v>
      </c>
      <c r="AM138" s="371">
        <v>0</v>
      </c>
      <c r="AN138" s="372">
        <v>0</v>
      </c>
      <c r="AO138" s="371"/>
      <c r="AP138" s="373"/>
      <c r="AQ138" s="371"/>
      <c r="AR138" s="373"/>
      <c r="AS138" s="371"/>
      <c r="AT138" s="373"/>
      <c r="AU138" s="371"/>
      <c r="AV138" s="373"/>
      <c r="AW138" s="371"/>
      <c r="AX138" s="373"/>
      <c r="AY138" s="374">
        <f t="shared" si="80"/>
        <v>0</v>
      </c>
      <c r="AZ138" s="375">
        <f t="shared" si="48"/>
        <v>0</v>
      </c>
      <c r="BA138" s="359" t="s">
        <v>1342</v>
      </c>
      <c r="BB138" s="395" t="s">
        <v>2464</v>
      </c>
      <c r="BC138" s="377"/>
      <c r="BD138" s="378"/>
      <c r="BF138" s="365">
        <v>0.44</v>
      </c>
      <c r="BG138" s="365"/>
      <c r="BH138" s="365"/>
      <c r="BI138" s="365"/>
      <c r="BJ138" s="365"/>
      <c r="BK138" s="365"/>
      <c r="BL138" s="363">
        <f t="shared" si="82"/>
        <v>0.44</v>
      </c>
    </row>
    <row r="139" spans="1:65" s="376" customFormat="1" ht="89.25" outlineLevel="1" x14ac:dyDescent="0.2">
      <c r="A139" s="610" t="s">
        <v>1347</v>
      </c>
      <c r="B139" s="604" t="s">
        <v>2165</v>
      </c>
      <c r="C139" s="360" t="s">
        <v>2538</v>
      </c>
      <c r="D139" s="361" t="s">
        <v>397</v>
      </c>
      <c r="E139" s="362" t="s">
        <v>27</v>
      </c>
      <c r="F139" s="361">
        <v>2013</v>
      </c>
      <c r="G139" s="361">
        <v>2015</v>
      </c>
      <c r="H139" s="363">
        <v>0.8889800000000001</v>
      </c>
      <c r="I139" s="363">
        <v>0.76</v>
      </c>
      <c r="J139" s="363">
        <f t="shared" si="81"/>
        <v>0.76</v>
      </c>
      <c r="K139" s="362"/>
      <c r="L139" s="362" t="s">
        <v>27</v>
      </c>
      <c r="M139" s="361"/>
      <c r="N139" s="361"/>
      <c r="O139" s="361"/>
      <c r="P139" s="361"/>
      <c r="Q139" s="362" t="s">
        <v>27</v>
      </c>
      <c r="R139" s="365">
        <v>0.76</v>
      </c>
      <c r="S139" s="365"/>
      <c r="T139" s="365"/>
      <c r="U139" s="365"/>
      <c r="V139" s="365"/>
      <c r="W139" s="365"/>
      <c r="X139" s="363">
        <f t="shared" si="78"/>
        <v>0.76</v>
      </c>
      <c r="Y139" s="366"/>
      <c r="Z139" s="363"/>
      <c r="AA139" s="367"/>
      <c r="AB139" s="368">
        <f t="shared" si="52"/>
        <v>0</v>
      </c>
      <c r="AC139" s="369"/>
      <c r="AD139" s="365"/>
      <c r="AE139" s="363"/>
      <c r="AF139" s="363"/>
      <c r="AG139" s="363">
        <f>H139</f>
        <v>0.8889800000000001</v>
      </c>
      <c r="AH139" s="363"/>
      <c r="AI139" s="363"/>
      <c r="AJ139" s="363"/>
      <c r="AK139" s="370"/>
      <c r="AL139" s="367">
        <f t="shared" si="79"/>
        <v>0.8889800000000001</v>
      </c>
      <c r="AM139" s="371"/>
      <c r="AN139" s="372"/>
      <c r="AO139" s="371">
        <v>0</v>
      </c>
      <c r="AP139" s="373">
        <v>0</v>
      </c>
      <c r="AQ139" s="371"/>
      <c r="AR139" s="373"/>
      <c r="AS139" s="371"/>
      <c r="AT139" s="373"/>
      <c r="AU139" s="371"/>
      <c r="AV139" s="373"/>
      <c r="AW139" s="371"/>
      <c r="AX139" s="373"/>
      <c r="AY139" s="374">
        <f t="shared" si="80"/>
        <v>0</v>
      </c>
      <c r="AZ139" s="375">
        <f t="shared" si="48"/>
        <v>0</v>
      </c>
      <c r="BA139" s="376" t="s">
        <v>2452</v>
      </c>
      <c r="BC139" s="377"/>
      <c r="BD139" s="378"/>
      <c r="BF139" s="365">
        <v>0.76</v>
      </c>
      <c r="BG139" s="365"/>
      <c r="BH139" s="365"/>
      <c r="BI139" s="365"/>
      <c r="BJ139" s="365"/>
      <c r="BK139" s="365"/>
      <c r="BL139" s="363">
        <f t="shared" si="82"/>
        <v>0.76</v>
      </c>
    </row>
    <row r="140" spans="1:65" s="376" customFormat="1" ht="51" outlineLevel="1" x14ac:dyDescent="0.2">
      <c r="A140" s="359" t="s">
        <v>1349</v>
      </c>
      <c r="B140" s="604" t="s">
        <v>1242</v>
      </c>
      <c r="C140" s="360" t="s">
        <v>2539</v>
      </c>
      <c r="D140" s="361" t="s">
        <v>397</v>
      </c>
      <c r="E140" s="362" t="s">
        <v>27</v>
      </c>
      <c r="F140" s="361">
        <v>2013</v>
      </c>
      <c r="G140" s="361">
        <v>2014</v>
      </c>
      <c r="H140" s="363">
        <v>0.57350000000000001</v>
      </c>
      <c r="I140" s="363">
        <v>0.49</v>
      </c>
      <c r="J140" s="363">
        <f t="shared" si="81"/>
        <v>0.49</v>
      </c>
      <c r="K140" s="362" t="s">
        <v>27</v>
      </c>
      <c r="L140" s="362"/>
      <c r="M140" s="361"/>
      <c r="N140" s="361"/>
      <c r="O140" s="361"/>
      <c r="P140" s="361"/>
      <c r="Q140" s="362" t="s">
        <v>27</v>
      </c>
      <c r="R140" s="365">
        <v>0.49</v>
      </c>
      <c r="S140" s="365"/>
      <c r="T140" s="365"/>
      <c r="U140" s="365"/>
      <c r="V140" s="365"/>
      <c r="W140" s="365"/>
      <c r="X140" s="363">
        <f t="shared" si="78"/>
        <v>0.49</v>
      </c>
      <c r="Y140" s="366"/>
      <c r="Z140" s="363"/>
      <c r="AA140" s="367"/>
      <c r="AB140" s="368">
        <f t="shared" si="52"/>
        <v>0</v>
      </c>
      <c r="AC140" s="369"/>
      <c r="AD140" s="365"/>
      <c r="AE140" s="363"/>
      <c r="AF140" s="363">
        <f>H140</f>
        <v>0.57350000000000001</v>
      </c>
      <c r="AG140" s="363"/>
      <c r="AH140" s="363"/>
      <c r="AI140" s="363"/>
      <c r="AJ140" s="363"/>
      <c r="AK140" s="370"/>
      <c r="AL140" s="367">
        <f t="shared" si="79"/>
        <v>0.57350000000000001</v>
      </c>
      <c r="AM140" s="371">
        <v>0</v>
      </c>
      <c r="AN140" s="372">
        <v>0</v>
      </c>
      <c r="AO140" s="371"/>
      <c r="AP140" s="373"/>
      <c r="AQ140" s="371"/>
      <c r="AR140" s="373"/>
      <c r="AS140" s="371"/>
      <c r="AT140" s="373"/>
      <c r="AU140" s="371"/>
      <c r="AV140" s="373"/>
      <c r="AW140" s="371"/>
      <c r="AX140" s="373"/>
      <c r="AY140" s="374">
        <f t="shared" si="80"/>
        <v>0</v>
      </c>
      <c r="AZ140" s="375">
        <f t="shared" si="48"/>
        <v>0</v>
      </c>
      <c r="BA140" s="359" t="s">
        <v>1346</v>
      </c>
      <c r="BB140" s="395" t="s">
        <v>2465</v>
      </c>
      <c r="BC140" s="377"/>
      <c r="BD140" s="378"/>
      <c r="BF140" s="365">
        <v>0.49</v>
      </c>
      <c r="BG140" s="365"/>
      <c r="BH140" s="365"/>
      <c r="BI140" s="365"/>
      <c r="BJ140" s="365"/>
      <c r="BK140" s="365"/>
      <c r="BL140" s="363">
        <f t="shared" si="82"/>
        <v>0.49</v>
      </c>
    </row>
    <row r="141" spans="1:65" s="376" customFormat="1" ht="63.75" outlineLevel="1" x14ac:dyDescent="0.2">
      <c r="A141" s="610" t="s">
        <v>2540</v>
      </c>
      <c r="B141" s="604" t="s">
        <v>2166</v>
      </c>
      <c r="C141" s="360" t="s">
        <v>2541</v>
      </c>
      <c r="D141" s="361" t="s">
        <v>397</v>
      </c>
      <c r="E141" s="362" t="s">
        <v>27</v>
      </c>
      <c r="F141" s="361">
        <v>2014</v>
      </c>
      <c r="G141" s="361">
        <v>2015</v>
      </c>
      <c r="H141" s="363">
        <v>1.35</v>
      </c>
      <c r="I141" s="363">
        <v>1.35</v>
      </c>
      <c r="J141" s="363">
        <f t="shared" si="81"/>
        <v>0.1</v>
      </c>
      <c r="K141" s="361"/>
      <c r="L141" s="362" t="s">
        <v>27</v>
      </c>
      <c r="M141" s="361"/>
      <c r="N141" s="361"/>
      <c r="O141" s="361"/>
      <c r="P141" s="361"/>
      <c r="Q141" s="362" t="s">
        <v>27</v>
      </c>
      <c r="R141" s="365">
        <v>0.1</v>
      </c>
      <c r="S141" s="365">
        <f>I141-R141</f>
        <v>1.25</v>
      </c>
      <c r="T141" s="365"/>
      <c r="U141" s="365"/>
      <c r="V141" s="365"/>
      <c r="W141" s="365"/>
      <c r="X141" s="363">
        <f t="shared" si="78"/>
        <v>1.35</v>
      </c>
      <c r="Y141" s="366"/>
      <c r="Z141" s="363"/>
      <c r="AA141" s="367"/>
      <c r="AB141" s="368">
        <f t="shared" si="52"/>
        <v>0</v>
      </c>
      <c r="AC141" s="369"/>
      <c r="AD141" s="365"/>
      <c r="AE141" s="363"/>
      <c r="AF141" s="363"/>
      <c r="AG141" s="363">
        <f>H141</f>
        <v>1.35</v>
      </c>
      <c r="AH141" s="363"/>
      <c r="AI141" s="363"/>
      <c r="AJ141" s="363"/>
      <c r="AK141" s="370"/>
      <c r="AL141" s="367">
        <f t="shared" si="79"/>
        <v>1.35</v>
      </c>
      <c r="AM141" s="371"/>
      <c r="AN141" s="372"/>
      <c r="AO141" s="371">
        <v>0</v>
      </c>
      <c r="AP141" s="373">
        <v>0</v>
      </c>
      <c r="AQ141" s="371"/>
      <c r="AR141" s="373"/>
      <c r="AS141" s="371"/>
      <c r="AT141" s="373"/>
      <c r="AU141" s="371"/>
      <c r="AV141" s="373"/>
      <c r="AW141" s="371"/>
      <c r="AX141" s="373"/>
      <c r="AY141" s="374">
        <f t="shared" si="80"/>
        <v>0</v>
      </c>
      <c r="AZ141" s="375">
        <f t="shared" si="48"/>
        <v>0</v>
      </c>
      <c r="BA141" s="376" t="s">
        <v>2452</v>
      </c>
      <c r="BC141" s="377"/>
      <c r="BD141" s="378"/>
      <c r="BF141" s="365">
        <v>0.1</v>
      </c>
      <c r="BG141" s="365">
        <v>1.25</v>
      </c>
      <c r="BH141" s="365"/>
      <c r="BI141" s="365"/>
      <c r="BJ141" s="365"/>
      <c r="BK141" s="365"/>
      <c r="BL141" s="363">
        <f t="shared" si="82"/>
        <v>1.35</v>
      </c>
    </row>
    <row r="142" spans="1:65" s="376" customFormat="1" ht="96.75" customHeight="1" outlineLevel="1" x14ac:dyDescent="0.2">
      <c r="A142" s="610" t="s">
        <v>2542</v>
      </c>
      <c r="B142" s="604" t="s">
        <v>1243</v>
      </c>
      <c r="C142" s="360" t="s">
        <v>2410</v>
      </c>
      <c r="D142" s="361" t="s">
        <v>397</v>
      </c>
      <c r="E142" s="362" t="s">
        <v>2727</v>
      </c>
      <c r="F142" s="361">
        <v>2014</v>
      </c>
      <c r="G142" s="361">
        <v>2014</v>
      </c>
      <c r="H142" s="363">
        <v>2.48</v>
      </c>
      <c r="I142" s="363">
        <v>2.48</v>
      </c>
      <c r="J142" s="363">
        <f t="shared" si="81"/>
        <v>2.48</v>
      </c>
      <c r="K142" s="362" t="s">
        <v>2727</v>
      </c>
      <c r="L142" s="364"/>
      <c r="M142" s="361"/>
      <c r="N142" s="361"/>
      <c r="O142" s="361"/>
      <c r="P142" s="361"/>
      <c r="Q142" s="362" t="s">
        <v>2727</v>
      </c>
      <c r="R142" s="365">
        <v>2.48</v>
      </c>
      <c r="S142" s="365"/>
      <c r="T142" s="365"/>
      <c r="U142" s="365"/>
      <c r="V142" s="365"/>
      <c r="W142" s="365"/>
      <c r="X142" s="363">
        <f t="shared" si="78"/>
        <v>2.48</v>
      </c>
      <c r="Y142" s="366"/>
      <c r="Z142" s="363"/>
      <c r="AA142" s="367"/>
      <c r="AB142" s="368">
        <f t="shared" si="52"/>
        <v>0</v>
      </c>
      <c r="AC142" s="369"/>
      <c r="AD142" s="365"/>
      <c r="AE142" s="363"/>
      <c r="AF142" s="363">
        <f>H142</f>
        <v>2.48</v>
      </c>
      <c r="AG142" s="363"/>
      <c r="AH142" s="363"/>
      <c r="AI142" s="363"/>
      <c r="AJ142" s="363"/>
      <c r="AK142" s="370"/>
      <c r="AL142" s="367">
        <f t="shared" si="79"/>
        <v>2.48</v>
      </c>
      <c r="AM142" s="371">
        <v>0</v>
      </c>
      <c r="AN142" s="372">
        <v>1.26</v>
      </c>
      <c r="AO142" s="371"/>
      <c r="AP142" s="373"/>
      <c r="AQ142" s="371"/>
      <c r="AR142" s="373"/>
      <c r="AS142" s="371"/>
      <c r="AT142" s="373"/>
      <c r="AU142" s="371"/>
      <c r="AV142" s="373"/>
      <c r="AW142" s="371"/>
      <c r="AX142" s="373"/>
      <c r="AY142" s="374">
        <f t="shared" si="80"/>
        <v>0</v>
      </c>
      <c r="AZ142" s="375">
        <f t="shared" si="48"/>
        <v>1.26</v>
      </c>
      <c r="BA142" s="376" t="s">
        <v>2452</v>
      </c>
      <c r="BC142" s="377"/>
      <c r="BD142" s="378"/>
      <c r="BF142" s="365">
        <v>2.48</v>
      </c>
      <c r="BG142" s="365"/>
      <c r="BH142" s="365"/>
      <c r="BI142" s="365"/>
      <c r="BJ142" s="365"/>
      <c r="BK142" s="365"/>
      <c r="BL142" s="363">
        <f t="shared" si="82"/>
        <v>2.48</v>
      </c>
      <c r="BM142" s="376" t="s">
        <v>2728</v>
      </c>
    </row>
    <row r="143" spans="1:65" s="376" customFormat="1" ht="229.5" outlineLevel="1" x14ac:dyDescent="0.2">
      <c r="A143" s="610" t="s">
        <v>955</v>
      </c>
      <c r="B143" s="604" t="s">
        <v>1245</v>
      </c>
      <c r="C143" s="360" t="s">
        <v>1830</v>
      </c>
      <c r="D143" s="361" t="s">
        <v>397</v>
      </c>
      <c r="E143" s="362" t="s">
        <v>1235</v>
      </c>
      <c r="F143" s="361">
        <v>2013</v>
      </c>
      <c r="G143" s="361">
        <v>2014</v>
      </c>
      <c r="H143" s="363">
        <v>10.61</v>
      </c>
      <c r="I143" s="363">
        <v>10.61</v>
      </c>
      <c r="J143" s="363">
        <f t="shared" si="81"/>
        <v>10.61</v>
      </c>
      <c r="K143" s="361" t="s">
        <v>1235</v>
      </c>
      <c r="L143" s="364"/>
      <c r="M143" s="362"/>
      <c r="N143" s="361"/>
      <c r="O143" s="361"/>
      <c r="P143" s="361"/>
      <c r="Q143" s="362" t="s">
        <v>1235</v>
      </c>
      <c r="R143" s="365">
        <v>10.61</v>
      </c>
      <c r="S143" s="365"/>
      <c r="T143" s="365"/>
      <c r="U143" s="365"/>
      <c r="V143" s="365"/>
      <c r="W143" s="365"/>
      <c r="X143" s="363">
        <f t="shared" si="78"/>
        <v>10.61</v>
      </c>
      <c r="Y143" s="366"/>
      <c r="Z143" s="363"/>
      <c r="AA143" s="367"/>
      <c r="AB143" s="368">
        <f t="shared" si="52"/>
        <v>0</v>
      </c>
      <c r="AC143" s="369"/>
      <c r="AD143" s="365"/>
      <c r="AE143" s="363"/>
      <c r="AF143" s="363">
        <f>H143</f>
        <v>10.61</v>
      </c>
      <c r="AG143" s="363"/>
      <c r="AH143" s="363"/>
      <c r="AI143" s="363"/>
      <c r="AJ143" s="363"/>
      <c r="AK143" s="370"/>
      <c r="AL143" s="367">
        <f t="shared" si="79"/>
        <v>10.61</v>
      </c>
      <c r="AM143" s="371">
        <v>8</v>
      </c>
      <c r="AN143" s="372">
        <v>0</v>
      </c>
      <c r="AO143" s="371"/>
      <c r="AP143" s="373"/>
      <c r="AQ143" s="371"/>
      <c r="AR143" s="373"/>
      <c r="AS143" s="371"/>
      <c r="AT143" s="373"/>
      <c r="AU143" s="371"/>
      <c r="AV143" s="373"/>
      <c r="AW143" s="371"/>
      <c r="AX143" s="373"/>
      <c r="AY143" s="374">
        <f t="shared" si="80"/>
        <v>8</v>
      </c>
      <c r="AZ143" s="375">
        <f t="shared" si="48"/>
        <v>0</v>
      </c>
      <c r="BA143" s="359" t="s">
        <v>1232</v>
      </c>
      <c r="BB143" s="360" t="s">
        <v>2466</v>
      </c>
      <c r="BC143" s="377"/>
      <c r="BD143" s="378"/>
      <c r="BF143" s="365">
        <v>10.61</v>
      </c>
      <c r="BG143" s="365"/>
      <c r="BH143" s="365"/>
      <c r="BI143" s="365"/>
      <c r="BJ143" s="365"/>
      <c r="BK143" s="365"/>
      <c r="BL143" s="363">
        <f t="shared" si="82"/>
        <v>10.61</v>
      </c>
    </row>
    <row r="144" spans="1:65" s="376" customFormat="1" ht="140.25" outlineLevel="1" x14ac:dyDescent="0.2">
      <c r="A144" s="610" t="s">
        <v>962</v>
      </c>
      <c r="B144" s="604" t="s">
        <v>1246</v>
      </c>
      <c r="C144" s="360" t="s">
        <v>1831</v>
      </c>
      <c r="D144" s="361" t="s">
        <v>397</v>
      </c>
      <c r="E144" s="362" t="s">
        <v>2190</v>
      </c>
      <c r="F144" s="361">
        <v>2013</v>
      </c>
      <c r="G144" s="361">
        <v>2014</v>
      </c>
      <c r="H144" s="394">
        <v>4.5679999999999996</v>
      </c>
      <c r="I144" s="363">
        <v>3.22</v>
      </c>
      <c r="J144" s="363">
        <f t="shared" si="81"/>
        <v>3.22</v>
      </c>
      <c r="K144" s="362" t="s">
        <v>2190</v>
      </c>
      <c r="L144" s="361"/>
      <c r="M144" s="364"/>
      <c r="N144" s="361"/>
      <c r="O144" s="361"/>
      <c r="P144" s="361"/>
      <c r="Q144" s="362" t="s">
        <v>2190</v>
      </c>
      <c r="R144" s="365">
        <v>3.22</v>
      </c>
      <c r="S144" s="365"/>
      <c r="T144" s="365"/>
      <c r="U144" s="365"/>
      <c r="V144" s="365"/>
      <c r="W144" s="365"/>
      <c r="X144" s="363">
        <f t="shared" si="78"/>
        <v>3.22</v>
      </c>
      <c r="Y144" s="366"/>
      <c r="Z144" s="363"/>
      <c r="AA144" s="367"/>
      <c r="AB144" s="368">
        <f t="shared" si="52"/>
        <v>0</v>
      </c>
      <c r="AC144" s="369"/>
      <c r="AD144" s="365"/>
      <c r="AE144" s="363"/>
      <c r="AF144" s="363">
        <f>H144</f>
        <v>4.5679999999999996</v>
      </c>
      <c r="AG144" s="363"/>
      <c r="AH144" s="363"/>
      <c r="AI144" s="363"/>
      <c r="AJ144" s="363"/>
      <c r="AK144" s="370"/>
      <c r="AL144" s="367">
        <f t="shared" si="79"/>
        <v>4.5679999999999996</v>
      </c>
      <c r="AM144" s="371">
        <v>1</v>
      </c>
      <c r="AN144" s="372">
        <v>0</v>
      </c>
      <c r="AO144" s="371"/>
      <c r="AP144" s="373"/>
      <c r="AQ144" s="371"/>
      <c r="AR144" s="373"/>
      <c r="AS144" s="371"/>
      <c r="AT144" s="373"/>
      <c r="AU144" s="371"/>
      <c r="AV144" s="373"/>
      <c r="AW144" s="371"/>
      <c r="AX144" s="373"/>
      <c r="AY144" s="374">
        <f t="shared" si="80"/>
        <v>1</v>
      </c>
      <c r="AZ144" s="375">
        <f>AN144+AP144+AR144+AT144+AV144+AX144</f>
        <v>0</v>
      </c>
      <c r="BA144" s="359" t="s">
        <v>1243</v>
      </c>
      <c r="BB144" s="393" t="s">
        <v>2602</v>
      </c>
      <c r="BC144" s="377"/>
      <c r="BD144" s="378"/>
      <c r="BF144" s="365">
        <v>3.22</v>
      </c>
      <c r="BG144" s="365"/>
      <c r="BH144" s="365"/>
      <c r="BI144" s="365"/>
      <c r="BJ144" s="365"/>
      <c r="BK144" s="365"/>
      <c r="BL144" s="363">
        <f t="shared" si="82"/>
        <v>3.22</v>
      </c>
    </row>
    <row r="145" spans="1:64" s="376" customFormat="1" ht="89.25" outlineLevel="1" x14ac:dyDescent="0.2">
      <c r="A145" s="610" t="s">
        <v>974</v>
      </c>
      <c r="B145" s="604" t="s">
        <v>1247</v>
      </c>
      <c r="C145" s="360" t="s">
        <v>2116</v>
      </c>
      <c r="D145" s="361" t="s">
        <v>397</v>
      </c>
      <c r="E145" s="362" t="s">
        <v>27</v>
      </c>
      <c r="F145" s="361">
        <v>2013</v>
      </c>
      <c r="G145" s="361">
        <v>2014</v>
      </c>
      <c r="H145" s="363">
        <v>0.79</v>
      </c>
      <c r="I145" s="363">
        <v>0.79</v>
      </c>
      <c r="J145" s="363">
        <f t="shared" si="81"/>
        <v>0.79</v>
      </c>
      <c r="K145" s="362" t="s">
        <v>27</v>
      </c>
      <c r="L145" s="361"/>
      <c r="M145" s="364"/>
      <c r="N145" s="361"/>
      <c r="O145" s="361"/>
      <c r="P145" s="361"/>
      <c r="Q145" s="362" t="s">
        <v>27</v>
      </c>
      <c r="R145" s="365">
        <v>0.79</v>
      </c>
      <c r="S145" s="365"/>
      <c r="T145" s="365"/>
      <c r="U145" s="365"/>
      <c r="V145" s="365"/>
      <c r="W145" s="365"/>
      <c r="X145" s="363">
        <f t="shared" si="78"/>
        <v>0.79</v>
      </c>
      <c r="Y145" s="366"/>
      <c r="Z145" s="363"/>
      <c r="AA145" s="367"/>
      <c r="AB145" s="368">
        <f t="shared" si="52"/>
        <v>0</v>
      </c>
      <c r="AC145" s="369"/>
      <c r="AD145" s="365"/>
      <c r="AE145" s="363"/>
      <c r="AF145" s="363">
        <f>H145</f>
        <v>0.79</v>
      </c>
      <c r="AG145" s="363"/>
      <c r="AH145" s="363"/>
      <c r="AI145" s="363"/>
      <c r="AJ145" s="363"/>
      <c r="AK145" s="370"/>
      <c r="AL145" s="367">
        <f t="shared" si="79"/>
        <v>0.79</v>
      </c>
      <c r="AM145" s="371">
        <v>0</v>
      </c>
      <c r="AN145" s="372">
        <v>0</v>
      </c>
      <c r="AO145" s="371"/>
      <c r="AP145" s="373"/>
      <c r="AQ145" s="371"/>
      <c r="AR145" s="373"/>
      <c r="AS145" s="371"/>
      <c r="AT145" s="373"/>
      <c r="AU145" s="371"/>
      <c r="AV145" s="373"/>
      <c r="AW145" s="371"/>
      <c r="AX145" s="373"/>
      <c r="AY145" s="374">
        <f t="shared" si="80"/>
        <v>0</v>
      </c>
      <c r="AZ145" s="375">
        <f t="shared" si="80"/>
        <v>0</v>
      </c>
      <c r="BA145" s="359" t="s">
        <v>1254</v>
      </c>
      <c r="BB145" s="393" t="s">
        <v>2603</v>
      </c>
      <c r="BC145" s="377"/>
      <c r="BD145" s="378"/>
      <c r="BF145" s="365">
        <v>0.79</v>
      </c>
      <c r="BG145" s="365"/>
      <c r="BH145" s="365"/>
      <c r="BI145" s="365"/>
      <c r="BJ145" s="365"/>
      <c r="BK145" s="365"/>
      <c r="BL145" s="363">
        <f t="shared" si="82"/>
        <v>0.79</v>
      </c>
    </row>
    <row r="146" spans="1:64" s="376" customFormat="1" ht="178.5" outlineLevel="1" x14ac:dyDescent="0.2">
      <c r="A146" s="610" t="s">
        <v>975</v>
      </c>
      <c r="B146" s="604" t="s">
        <v>2167</v>
      </c>
      <c r="C146" s="360" t="s">
        <v>2596</v>
      </c>
      <c r="D146" s="361" t="s">
        <v>397</v>
      </c>
      <c r="E146" s="362" t="s">
        <v>1255</v>
      </c>
      <c r="F146" s="361">
        <v>2014</v>
      </c>
      <c r="G146" s="361">
        <v>2016</v>
      </c>
      <c r="H146" s="363">
        <v>20.36</v>
      </c>
      <c r="I146" s="363">
        <v>20.36</v>
      </c>
      <c r="J146" s="363">
        <f t="shared" si="81"/>
        <v>0</v>
      </c>
      <c r="K146" s="361"/>
      <c r="L146" s="361"/>
      <c r="M146" s="362" t="s">
        <v>1255</v>
      </c>
      <c r="N146" s="364"/>
      <c r="O146" s="361"/>
      <c r="P146" s="361"/>
      <c r="Q146" s="362" t="s">
        <v>1255</v>
      </c>
      <c r="R146" s="365"/>
      <c r="S146" s="365">
        <v>2.36</v>
      </c>
      <c r="T146" s="365">
        <v>18</v>
      </c>
      <c r="U146" s="365"/>
      <c r="V146" s="365"/>
      <c r="W146" s="365"/>
      <c r="X146" s="363">
        <f t="shared" si="78"/>
        <v>20.36</v>
      </c>
      <c r="Y146" s="366"/>
      <c r="Z146" s="363"/>
      <c r="AA146" s="367"/>
      <c r="AB146" s="368">
        <f t="shared" si="52"/>
        <v>0</v>
      </c>
      <c r="AC146" s="369"/>
      <c r="AD146" s="365"/>
      <c r="AE146" s="363"/>
      <c r="AF146" s="363"/>
      <c r="AG146" s="363"/>
      <c r="AH146" s="363">
        <f>H146</f>
        <v>20.36</v>
      </c>
      <c r="AI146" s="363"/>
      <c r="AJ146" s="363"/>
      <c r="AK146" s="370"/>
      <c r="AL146" s="367">
        <f t="shared" si="79"/>
        <v>20.36</v>
      </c>
      <c r="AM146" s="371"/>
      <c r="AN146" s="372"/>
      <c r="AO146" s="371"/>
      <c r="AP146" s="373"/>
      <c r="AQ146" s="371">
        <v>5.4</v>
      </c>
      <c r="AR146" s="373">
        <v>1.6</v>
      </c>
      <c r="AS146" s="371"/>
      <c r="AT146" s="373"/>
      <c r="AU146" s="371"/>
      <c r="AV146" s="373"/>
      <c r="AW146" s="371"/>
      <c r="AX146" s="373"/>
      <c r="AY146" s="374">
        <f t="shared" si="80"/>
        <v>5.4</v>
      </c>
      <c r="AZ146" s="375">
        <f t="shared" si="80"/>
        <v>1.6</v>
      </c>
      <c r="BA146" s="359" t="s">
        <v>2471</v>
      </c>
      <c r="BB146" s="393" t="s">
        <v>2604</v>
      </c>
      <c r="BC146" s="377"/>
      <c r="BD146" s="378"/>
      <c r="BF146" s="365">
        <v>0</v>
      </c>
      <c r="BG146" s="365">
        <v>2.36</v>
      </c>
      <c r="BH146" s="365">
        <v>18</v>
      </c>
      <c r="BI146" s="365"/>
      <c r="BJ146" s="365"/>
      <c r="BK146" s="365"/>
      <c r="BL146" s="363">
        <f t="shared" si="82"/>
        <v>20.36</v>
      </c>
    </row>
    <row r="147" spans="1:64" s="376" customFormat="1" ht="114.95" customHeight="1" outlineLevel="1" x14ac:dyDescent="0.2">
      <c r="A147" s="610" t="s">
        <v>981</v>
      </c>
      <c r="B147" s="604" t="s">
        <v>1248</v>
      </c>
      <c r="C147" s="360" t="s">
        <v>2562</v>
      </c>
      <c r="D147" s="361" t="s">
        <v>397</v>
      </c>
      <c r="E147" s="362" t="s">
        <v>506</v>
      </c>
      <c r="F147" s="361">
        <v>2013</v>
      </c>
      <c r="G147" s="361">
        <v>2016</v>
      </c>
      <c r="H147" s="363">
        <v>33.159999999999997</v>
      </c>
      <c r="I147" s="363">
        <v>33.159999999999997</v>
      </c>
      <c r="J147" s="363">
        <f t="shared" si="81"/>
        <v>0</v>
      </c>
      <c r="K147" s="361"/>
      <c r="L147" s="361"/>
      <c r="M147" s="361" t="s">
        <v>506</v>
      </c>
      <c r="N147" s="364"/>
      <c r="O147" s="364"/>
      <c r="P147" s="361"/>
      <c r="Q147" s="362" t="s">
        <v>506</v>
      </c>
      <c r="R147" s="365"/>
      <c r="S147" s="365">
        <f>3.16</f>
        <v>3.16</v>
      </c>
      <c r="T147" s="365">
        <v>30</v>
      </c>
      <c r="U147" s="364"/>
      <c r="V147" s="365"/>
      <c r="W147" s="365"/>
      <c r="X147" s="363">
        <f t="shared" si="78"/>
        <v>33.159999999999997</v>
      </c>
      <c r="Y147" s="366"/>
      <c r="Z147" s="363"/>
      <c r="AA147" s="367"/>
      <c r="AB147" s="368">
        <f t="shared" si="52"/>
        <v>0</v>
      </c>
      <c r="AC147" s="369"/>
      <c r="AD147" s="365"/>
      <c r="AE147" s="363"/>
      <c r="AF147" s="363"/>
      <c r="AG147" s="363"/>
      <c r="AH147" s="363">
        <f>H147</f>
        <v>33.159999999999997</v>
      </c>
      <c r="AI147" s="363"/>
      <c r="AJ147" s="363"/>
      <c r="AK147" s="370"/>
      <c r="AL147" s="367">
        <f t="shared" si="79"/>
        <v>33.159999999999997</v>
      </c>
      <c r="AM147" s="371"/>
      <c r="AN147" s="372"/>
      <c r="AO147" s="371"/>
      <c r="AP147" s="373"/>
      <c r="AQ147" s="371">
        <v>5</v>
      </c>
      <c r="AR147" s="373">
        <v>1.26</v>
      </c>
      <c r="AS147" s="371"/>
      <c r="AT147" s="373"/>
      <c r="AU147" s="371"/>
      <c r="AV147" s="373"/>
      <c r="AW147" s="371"/>
      <c r="AX147" s="373"/>
      <c r="AY147" s="374">
        <f t="shared" si="80"/>
        <v>5</v>
      </c>
      <c r="AZ147" s="375">
        <f t="shared" si="80"/>
        <v>1.26</v>
      </c>
      <c r="BA147" s="359" t="s">
        <v>2479</v>
      </c>
      <c r="BB147" s="393" t="s">
        <v>2605</v>
      </c>
      <c r="BC147" s="397" t="s">
        <v>2642</v>
      </c>
      <c r="BD147" s="378"/>
      <c r="BF147" s="365"/>
      <c r="BG147" s="365">
        <v>3.16</v>
      </c>
      <c r="BH147" s="365">
        <v>30</v>
      </c>
      <c r="BI147" s="364"/>
      <c r="BJ147" s="365"/>
      <c r="BK147" s="365"/>
      <c r="BL147" s="363">
        <f t="shared" si="82"/>
        <v>33.159999999999997</v>
      </c>
    </row>
    <row r="148" spans="1:64" s="376" customFormat="1" ht="76.5" outlineLevel="1" x14ac:dyDescent="0.2">
      <c r="A148" s="610" t="s">
        <v>985</v>
      </c>
      <c r="B148" s="604" t="s">
        <v>1249</v>
      </c>
      <c r="C148" s="360" t="s">
        <v>1832</v>
      </c>
      <c r="D148" s="361" t="s">
        <v>397</v>
      </c>
      <c r="E148" s="362" t="s">
        <v>27</v>
      </c>
      <c r="F148" s="361">
        <v>2013</v>
      </c>
      <c r="G148" s="361">
        <v>2014</v>
      </c>
      <c r="H148" s="363">
        <v>2.06</v>
      </c>
      <c r="I148" s="363">
        <v>0.96</v>
      </c>
      <c r="J148" s="363">
        <f t="shared" si="81"/>
        <v>0.96</v>
      </c>
      <c r="K148" s="362" t="s">
        <v>27</v>
      </c>
      <c r="L148" s="361"/>
      <c r="M148" s="364"/>
      <c r="N148" s="361"/>
      <c r="O148" s="361"/>
      <c r="P148" s="361"/>
      <c r="Q148" s="362" t="s">
        <v>27</v>
      </c>
      <c r="R148" s="365">
        <v>0.96</v>
      </c>
      <c r="S148" s="365"/>
      <c r="T148" s="365"/>
      <c r="U148" s="365"/>
      <c r="V148" s="365"/>
      <c r="W148" s="365"/>
      <c r="X148" s="363">
        <f t="shared" si="78"/>
        <v>0.96</v>
      </c>
      <c r="Y148" s="366"/>
      <c r="Z148" s="363"/>
      <c r="AA148" s="367"/>
      <c r="AB148" s="368">
        <f t="shared" ref="AB148:AB211" si="83">I148-X148</f>
        <v>0</v>
      </c>
      <c r="AC148" s="369"/>
      <c r="AD148" s="365"/>
      <c r="AE148" s="363"/>
      <c r="AF148" s="363">
        <f>H148</f>
        <v>2.06</v>
      </c>
      <c r="AG148" s="363"/>
      <c r="AH148" s="363"/>
      <c r="AI148" s="363"/>
      <c r="AJ148" s="363"/>
      <c r="AK148" s="370"/>
      <c r="AL148" s="367">
        <f t="shared" si="79"/>
        <v>2.06</v>
      </c>
      <c r="AM148" s="371">
        <v>0</v>
      </c>
      <c r="AN148" s="372">
        <v>0</v>
      </c>
      <c r="AO148" s="371"/>
      <c r="AP148" s="373"/>
      <c r="AQ148" s="371"/>
      <c r="AR148" s="373"/>
      <c r="AS148" s="371"/>
      <c r="AT148" s="373"/>
      <c r="AU148" s="371"/>
      <c r="AV148" s="373"/>
      <c r="AW148" s="371"/>
      <c r="AX148" s="373"/>
      <c r="AY148" s="374">
        <f t="shared" si="80"/>
        <v>0</v>
      </c>
      <c r="AZ148" s="375">
        <f t="shared" si="80"/>
        <v>0</v>
      </c>
      <c r="BA148" s="359" t="s">
        <v>2485</v>
      </c>
      <c r="BB148" s="360" t="s">
        <v>2606</v>
      </c>
      <c r="BC148" s="377"/>
      <c r="BD148" s="378"/>
      <c r="BF148" s="365">
        <v>0.96</v>
      </c>
      <c r="BG148" s="365"/>
      <c r="BH148" s="365"/>
      <c r="BI148" s="365"/>
      <c r="BJ148" s="365"/>
      <c r="BK148" s="365"/>
      <c r="BL148" s="363">
        <f t="shared" si="82"/>
        <v>0.96</v>
      </c>
    </row>
    <row r="149" spans="1:64" s="376" customFormat="1" ht="127.5" outlineLevel="1" x14ac:dyDescent="0.2">
      <c r="A149" s="359" t="s">
        <v>988</v>
      </c>
      <c r="B149" s="604" t="s">
        <v>1250</v>
      </c>
      <c r="C149" s="360" t="s">
        <v>1833</v>
      </c>
      <c r="D149" s="361" t="s">
        <v>397</v>
      </c>
      <c r="E149" s="362" t="s">
        <v>2708</v>
      </c>
      <c r="F149" s="361">
        <v>2013</v>
      </c>
      <c r="G149" s="361">
        <v>2016</v>
      </c>
      <c r="H149" s="363">
        <v>9.5</v>
      </c>
      <c r="I149" s="363">
        <v>8.4499999999999993</v>
      </c>
      <c r="J149" s="363">
        <f t="shared" si="81"/>
        <v>0</v>
      </c>
      <c r="K149" s="361"/>
      <c r="L149" s="361"/>
      <c r="M149" s="362" t="s">
        <v>2708</v>
      </c>
      <c r="N149" s="364"/>
      <c r="O149" s="361"/>
      <c r="P149" s="361"/>
      <c r="Q149" s="362" t="s">
        <v>2708</v>
      </c>
      <c r="R149" s="364"/>
      <c r="S149" s="365">
        <v>8.4499999999999993</v>
      </c>
      <c r="T149" s="365"/>
      <c r="U149" s="364"/>
      <c r="V149" s="365"/>
      <c r="W149" s="365"/>
      <c r="X149" s="363">
        <f>SUM(S149:W149)</f>
        <v>8.4499999999999993</v>
      </c>
      <c r="Y149" s="398"/>
      <c r="Z149" s="398"/>
      <c r="AA149" s="398"/>
      <c r="AB149" s="368">
        <f t="shared" si="83"/>
        <v>0</v>
      </c>
      <c r="AC149" s="399"/>
      <c r="AD149" s="399"/>
      <c r="AE149" s="398"/>
      <c r="AF149" s="363"/>
      <c r="AG149" s="363"/>
      <c r="AH149" s="363">
        <f>H149</f>
        <v>9.5</v>
      </c>
      <c r="AI149" s="363"/>
      <c r="AJ149" s="363"/>
      <c r="AK149" s="370"/>
      <c r="AL149" s="367">
        <f t="shared" si="79"/>
        <v>9.5</v>
      </c>
      <c r="AM149" s="371"/>
      <c r="AN149" s="372"/>
      <c r="AO149" s="371"/>
      <c r="AP149" s="373"/>
      <c r="AQ149" s="371">
        <v>2</v>
      </c>
      <c r="AR149" s="373">
        <v>2</v>
      </c>
      <c r="AS149" s="371"/>
      <c r="AT149" s="373"/>
      <c r="AU149" s="371"/>
      <c r="AV149" s="373"/>
      <c r="AW149" s="371"/>
      <c r="AX149" s="373"/>
      <c r="AY149" s="374">
        <f t="shared" si="80"/>
        <v>2</v>
      </c>
      <c r="AZ149" s="375">
        <f t="shared" si="80"/>
        <v>2</v>
      </c>
      <c r="BA149" s="359" t="s">
        <v>1612</v>
      </c>
      <c r="BB149" s="393" t="s">
        <v>2607</v>
      </c>
      <c r="BC149" s="377"/>
      <c r="BD149" s="378"/>
      <c r="BG149" s="365">
        <v>8.4499999999999993</v>
      </c>
      <c r="BH149" s="365"/>
      <c r="BI149" s="364"/>
      <c r="BJ149" s="365"/>
      <c r="BK149" s="365"/>
      <c r="BL149" s="363">
        <f>SUM(BG149:BK149)</f>
        <v>8.4499999999999993</v>
      </c>
    </row>
    <row r="150" spans="1:64" s="376" customFormat="1" ht="89.25" outlineLevel="1" x14ac:dyDescent="0.2">
      <c r="A150" s="359" t="s">
        <v>989</v>
      </c>
      <c r="B150" s="604" t="s">
        <v>1253</v>
      </c>
      <c r="C150" s="360" t="s">
        <v>2411</v>
      </c>
      <c r="D150" s="361" t="s">
        <v>397</v>
      </c>
      <c r="E150" s="362" t="s">
        <v>364</v>
      </c>
      <c r="F150" s="361">
        <v>2013</v>
      </c>
      <c r="G150" s="361">
        <v>2014</v>
      </c>
      <c r="H150" s="363">
        <v>0.38961000000000001</v>
      </c>
      <c r="I150" s="363">
        <v>0.37998999999999999</v>
      </c>
      <c r="J150" s="363">
        <f t="shared" si="81"/>
        <v>0.37998999999999999</v>
      </c>
      <c r="K150" s="362" t="s">
        <v>364</v>
      </c>
      <c r="L150" s="361"/>
      <c r="M150" s="361"/>
      <c r="N150" s="361"/>
      <c r="O150" s="361"/>
      <c r="P150" s="361"/>
      <c r="Q150" s="362" t="s">
        <v>364</v>
      </c>
      <c r="R150" s="365">
        <v>0.37998999999999999</v>
      </c>
      <c r="S150" s="365"/>
      <c r="T150" s="365"/>
      <c r="U150" s="365"/>
      <c r="V150" s="365"/>
      <c r="W150" s="365"/>
      <c r="X150" s="363">
        <f t="shared" si="78"/>
        <v>0.37998999999999999</v>
      </c>
      <c r="Y150" s="366"/>
      <c r="Z150" s="363"/>
      <c r="AA150" s="367"/>
      <c r="AB150" s="368">
        <f t="shared" si="83"/>
        <v>0</v>
      </c>
      <c r="AC150" s="369"/>
      <c r="AD150" s="365"/>
      <c r="AE150" s="363"/>
      <c r="AF150" s="363">
        <f>H150</f>
        <v>0.38961000000000001</v>
      </c>
      <c r="AG150" s="363"/>
      <c r="AH150" s="363"/>
      <c r="AI150" s="363"/>
      <c r="AJ150" s="363"/>
      <c r="AK150" s="370"/>
      <c r="AL150" s="367">
        <f t="shared" si="79"/>
        <v>0.38961000000000001</v>
      </c>
      <c r="AM150" s="371">
        <v>0</v>
      </c>
      <c r="AN150" s="372">
        <v>0</v>
      </c>
      <c r="AO150" s="371"/>
      <c r="AP150" s="373"/>
      <c r="AQ150" s="371"/>
      <c r="AR150" s="373"/>
      <c r="AS150" s="371"/>
      <c r="AT150" s="373"/>
      <c r="AU150" s="371"/>
      <c r="AV150" s="373"/>
      <c r="AW150" s="371"/>
      <c r="AX150" s="373"/>
      <c r="AY150" s="374">
        <f t="shared" si="80"/>
        <v>0</v>
      </c>
      <c r="AZ150" s="375">
        <f t="shared" si="80"/>
        <v>0</v>
      </c>
      <c r="BA150" s="359" t="s">
        <v>1613</v>
      </c>
      <c r="BB150" s="360" t="s">
        <v>2608</v>
      </c>
      <c r="BC150" s="377"/>
      <c r="BD150" s="378"/>
      <c r="BF150" s="365">
        <v>0.1</v>
      </c>
      <c r="BG150" s="365"/>
      <c r="BH150" s="365"/>
      <c r="BI150" s="365"/>
      <c r="BJ150" s="365"/>
      <c r="BK150" s="365"/>
      <c r="BL150" s="363">
        <f t="shared" ref="BL150:BL168" si="84">SUM(BF150:BK150)</f>
        <v>0.1</v>
      </c>
    </row>
    <row r="151" spans="1:64" s="376" customFormat="1" ht="395.25" outlineLevel="1" x14ac:dyDescent="0.2">
      <c r="A151" s="359" t="s">
        <v>2507</v>
      </c>
      <c r="B151" s="604" t="s">
        <v>1254</v>
      </c>
      <c r="C151" s="360" t="s">
        <v>2117</v>
      </c>
      <c r="D151" s="361" t="s">
        <v>397</v>
      </c>
      <c r="E151" s="362" t="s">
        <v>507</v>
      </c>
      <c r="F151" s="361">
        <v>2013</v>
      </c>
      <c r="G151" s="361">
        <v>2014</v>
      </c>
      <c r="H151" s="363">
        <v>28.12</v>
      </c>
      <c r="I151" s="363">
        <v>19.28</v>
      </c>
      <c r="J151" s="363">
        <f t="shared" si="81"/>
        <v>19.28</v>
      </c>
      <c r="K151" s="362" t="s">
        <v>507</v>
      </c>
      <c r="L151" s="361"/>
      <c r="M151" s="364"/>
      <c r="N151" s="361"/>
      <c r="O151" s="361"/>
      <c r="P151" s="361"/>
      <c r="Q151" s="362" t="s">
        <v>507</v>
      </c>
      <c r="R151" s="365">
        <v>19.28</v>
      </c>
      <c r="S151" s="365"/>
      <c r="T151" s="365"/>
      <c r="U151" s="365"/>
      <c r="V151" s="365"/>
      <c r="W151" s="365"/>
      <c r="X151" s="363">
        <f t="shared" si="78"/>
        <v>19.28</v>
      </c>
      <c r="Y151" s="366"/>
      <c r="Z151" s="363"/>
      <c r="AA151" s="367"/>
      <c r="AB151" s="368">
        <f t="shared" si="83"/>
        <v>0</v>
      </c>
      <c r="AC151" s="369"/>
      <c r="AD151" s="365"/>
      <c r="AE151" s="363"/>
      <c r="AF151" s="363">
        <f>H151</f>
        <v>28.12</v>
      </c>
      <c r="AG151" s="363"/>
      <c r="AH151" s="363"/>
      <c r="AI151" s="363"/>
      <c r="AJ151" s="363"/>
      <c r="AK151" s="370"/>
      <c r="AL151" s="367">
        <f t="shared" si="79"/>
        <v>28.12</v>
      </c>
      <c r="AM151" s="371">
        <v>2</v>
      </c>
      <c r="AN151" s="372">
        <v>2</v>
      </c>
      <c r="AO151" s="371"/>
      <c r="AP151" s="373"/>
      <c r="AQ151" s="371"/>
      <c r="AR151" s="373"/>
      <c r="AS151" s="371"/>
      <c r="AT151" s="373"/>
      <c r="AU151" s="371"/>
      <c r="AV151" s="373"/>
      <c r="AW151" s="371"/>
      <c r="AX151" s="373"/>
      <c r="AY151" s="374">
        <f t="shared" si="80"/>
        <v>2</v>
      </c>
      <c r="AZ151" s="375">
        <f t="shared" si="80"/>
        <v>2</v>
      </c>
      <c r="BA151" s="359" t="s">
        <v>1616</v>
      </c>
      <c r="BB151" s="393" t="s">
        <v>2609</v>
      </c>
      <c r="BC151" s="397" t="s">
        <v>2643</v>
      </c>
      <c r="BD151" s="378"/>
      <c r="BF151" s="365">
        <v>19.28</v>
      </c>
      <c r="BG151" s="365"/>
      <c r="BH151" s="365"/>
      <c r="BI151" s="365"/>
      <c r="BJ151" s="365"/>
      <c r="BK151" s="365"/>
      <c r="BL151" s="363">
        <f t="shared" si="84"/>
        <v>19.28</v>
      </c>
    </row>
    <row r="152" spans="1:64" s="376" customFormat="1" ht="127.5" outlineLevel="1" x14ac:dyDescent="0.2">
      <c r="A152" s="359" t="s">
        <v>992</v>
      </c>
      <c r="B152" s="604" t="s">
        <v>1256</v>
      </c>
      <c r="C152" s="360" t="s">
        <v>1834</v>
      </c>
      <c r="D152" s="361" t="s">
        <v>397</v>
      </c>
      <c r="E152" s="362" t="s">
        <v>2709</v>
      </c>
      <c r="F152" s="361">
        <v>2013</v>
      </c>
      <c r="G152" s="361">
        <v>2015</v>
      </c>
      <c r="H152" s="363">
        <v>3.6135100000000002</v>
      </c>
      <c r="I152" s="363">
        <v>3.3987100000000003</v>
      </c>
      <c r="J152" s="363">
        <f t="shared" si="81"/>
        <v>0.78</v>
      </c>
      <c r="K152" s="361"/>
      <c r="L152" s="362" t="s">
        <v>2709</v>
      </c>
      <c r="M152" s="362"/>
      <c r="N152" s="361"/>
      <c r="O152" s="361"/>
      <c r="P152" s="361"/>
      <c r="Q152" s="362" t="s">
        <v>2709</v>
      </c>
      <c r="R152" s="365">
        <v>0.78</v>
      </c>
      <c r="S152" s="365">
        <f>I152-R152</f>
        <v>2.6187100000000001</v>
      </c>
      <c r="T152" s="364"/>
      <c r="U152" s="365"/>
      <c r="V152" s="365"/>
      <c r="W152" s="365"/>
      <c r="X152" s="363">
        <f t="shared" si="78"/>
        <v>3.3987100000000003</v>
      </c>
      <c r="Y152" s="366"/>
      <c r="Z152" s="363"/>
      <c r="AA152" s="367"/>
      <c r="AB152" s="368">
        <f t="shared" si="83"/>
        <v>0</v>
      </c>
      <c r="AC152" s="369"/>
      <c r="AD152" s="365"/>
      <c r="AE152" s="363"/>
      <c r="AF152" s="363"/>
      <c r="AG152" s="363">
        <f>H152</f>
        <v>3.6135100000000002</v>
      </c>
      <c r="AH152" s="363"/>
      <c r="AI152" s="363"/>
      <c r="AJ152" s="363"/>
      <c r="AK152" s="370"/>
      <c r="AL152" s="367">
        <f t="shared" si="79"/>
        <v>3.6135100000000002</v>
      </c>
      <c r="AM152" s="371"/>
      <c r="AN152" s="372"/>
      <c r="AO152" s="371">
        <v>0</v>
      </c>
      <c r="AP152" s="373">
        <v>1.26</v>
      </c>
      <c r="AQ152" s="371"/>
      <c r="AR152" s="373"/>
      <c r="AS152" s="371"/>
      <c r="AT152" s="373"/>
      <c r="AU152" s="371"/>
      <c r="AV152" s="373"/>
      <c r="AW152" s="371"/>
      <c r="AX152" s="373"/>
      <c r="AY152" s="374">
        <f t="shared" si="80"/>
        <v>0</v>
      </c>
      <c r="AZ152" s="375">
        <f t="shared" si="80"/>
        <v>1.26</v>
      </c>
      <c r="BA152" s="359" t="s">
        <v>1618</v>
      </c>
      <c r="BB152" s="393" t="s">
        <v>2610</v>
      </c>
      <c r="BC152" s="377"/>
      <c r="BD152" s="378"/>
      <c r="BF152" s="365">
        <v>0.78</v>
      </c>
      <c r="BG152" s="365">
        <v>2.62</v>
      </c>
      <c r="BH152" s="364"/>
      <c r="BI152" s="365"/>
      <c r="BJ152" s="365"/>
      <c r="BK152" s="365"/>
      <c r="BL152" s="363">
        <f t="shared" si="84"/>
        <v>3.4000000000000004</v>
      </c>
    </row>
    <row r="153" spans="1:64" s="376" customFormat="1" ht="114.75" outlineLevel="1" x14ac:dyDescent="0.2">
      <c r="A153" s="359" t="s">
        <v>993</v>
      </c>
      <c r="B153" s="604" t="s">
        <v>2470</v>
      </c>
      <c r="C153" s="360" t="s">
        <v>1835</v>
      </c>
      <c r="D153" s="361" t="s">
        <v>397</v>
      </c>
      <c r="E153" s="362" t="s">
        <v>508</v>
      </c>
      <c r="F153" s="361">
        <v>2013</v>
      </c>
      <c r="G153" s="361">
        <v>2015</v>
      </c>
      <c r="H153" s="363">
        <v>2.27</v>
      </c>
      <c r="I153" s="363">
        <v>2.2587999999999999</v>
      </c>
      <c r="J153" s="363">
        <f t="shared" si="81"/>
        <v>0.26</v>
      </c>
      <c r="K153" s="361"/>
      <c r="L153" s="361" t="s">
        <v>508</v>
      </c>
      <c r="M153" s="362"/>
      <c r="N153" s="361"/>
      <c r="O153" s="361"/>
      <c r="P153" s="361"/>
      <c r="Q153" s="362" t="s">
        <v>508</v>
      </c>
      <c r="R153" s="365">
        <v>0.26</v>
      </c>
      <c r="S153" s="365">
        <f>I153-R153</f>
        <v>1.9987999999999999</v>
      </c>
      <c r="T153" s="364"/>
      <c r="U153" s="365"/>
      <c r="V153" s="365"/>
      <c r="W153" s="365"/>
      <c r="X153" s="363">
        <f t="shared" si="78"/>
        <v>2.2587999999999999</v>
      </c>
      <c r="Y153" s="366"/>
      <c r="Z153" s="363"/>
      <c r="AA153" s="367"/>
      <c r="AB153" s="368">
        <f t="shared" si="83"/>
        <v>0</v>
      </c>
      <c r="AC153" s="369"/>
      <c r="AD153" s="365"/>
      <c r="AE153" s="363"/>
      <c r="AF153" s="363"/>
      <c r="AG153" s="363">
        <f>H153</f>
        <v>2.27</v>
      </c>
      <c r="AH153" s="363"/>
      <c r="AI153" s="363"/>
      <c r="AJ153" s="363"/>
      <c r="AK153" s="370"/>
      <c r="AL153" s="367">
        <f t="shared" si="79"/>
        <v>2.27</v>
      </c>
      <c r="AM153" s="371"/>
      <c r="AN153" s="372"/>
      <c r="AO153" s="371">
        <v>0</v>
      </c>
      <c r="AP153" s="373">
        <v>2</v>
      </c>
      <c r="AQ153" s="371"/>
      <c r="AR153" s="373"/>
      <c r="AS153" s="371"/>
      <c r="AT153" s="373"/>
      <c r="AU153" s="371"/>
      <c r="AV153" s="373"/>
      <c r="AW153" s="371"/>
      <c r="AX153" s="373"/>
      <c r="AY153" s="374">
        <f t="shared" si="80"/>
        <v>0</v>
      </c>
      <c r="AZ153" s="375">
        <f t="shared" si="80"/>
        <v>2</v>
      </c>
      <c r="BA153" s="359" t="s">
        <v>1619</v>
      </c>
      <c r="BB153" s="393" t="s">
        <v>2611</v>
      </c>
      <c r="BC153" s="377"/>
      <c r="BD153" s="378"/>
      <c r="BF153" s="365">
        <v>0.26</v>
      </c>
      <c r="BG153" s="365">
        <v>2</v>
      </c>
      <c r="BH153" s="364"/>
      <c r="BI153" s="365"/>
      <c r="BJ153" s="365"/>
      <c r="BK153" s="365"/>
      <c r="BL153" s="363">
        <f t="shared" si="84"/>
        <v>2.2599999999999998</v>
      </c>
    </row>
    <row r="154" spans="1:64" s="376" customFormat="1" ht="77.099999999999994" customHeight="1" outlineLevel="1" x14ac:dyDescent="0.2">
      <c r="A154" s="359" t="s">
        <v>1020</v>
      </c>
      <c r="B154" s="604" t="s">
        <v>2471</v>
      </c>
      <c r="C154" s="360" t="s">
        <v>1836</v>
      </c>
      <c r="D154" s="361" t="s">
        <v>397</v>
      </c>
      <c r="E154" s="362" t="s">
        <v>55</v>
      </c>
      <c r="F154" s="361">
        <v>2013</v>
      </c>
      <c r="G154" s="361">
        <v>2016</v>
      </c>
      <c r="H154" s="363">
        <v>1.21</v>
      </c>
      <c r="I154" s="363">
        <v>1.2012</v>
      </c>
      <c r="J154" s="363">
        <f t="shared" si="81"/>
        <v>0</v>
      </c>
      <c r="K154" s="361"/>
      <c r="L154" s="361"/>
      <c r="M154" s="362" t="s">
        <v>55</v>
      </c>
      <c r="N154" s="361"/>
      <c r="O154" s="361"/>
      <c r="P154" s="361"/>
      <c r="Q154" s="362" t="s">
        <v>55</v>
      </c>
      <c r="R154" s="365">
        <v>0</v>
      </c>
      <c r="S154" s="365"/>
      <c r="T154" s="365">
        <v>1.2</v>
      </c>
      <c r="U154" s="365"/>
      <c r="V154" s="365"/>
      <c r="W154" s="365"/>
      <c r="X154" s="363">
        <f t="shared" si="78"/>
        <v>1.2</v>
      </c>
      <c r="Y154" s="366"/>
      <c r="Z154" s="363"/>
      <c r="AA154" s="367"/>
      <c r="AB154" s="368">
        <f t="shared" si="83"/>
        <v>1.2000000000000899E-3</v>
      </c>
      <c r="AC154" s="369"/>
      <c r="AD154" s="365"/>
      <c r="AE154" s="363"/>
      <c r="AF154" s="363"/>
      <c r="AG154" s="363"/>
      <c r="AH154" s="363">
        <f>H154</f>
        <v>1.21</v>
      </c>
      <c r="AI154" s="363"/>
      <c r="AJ154" s="363"/>
      <c r="AK154" s="370"/>
      <c r="AL154" s="367">
        <f t="shared" si="79"/>
        <v>1.21</v>
      </c>
      <c r="AM154" s="371"/>
      <c r="AN154" s="372"/>
      <c r="AO154" s="371"/>
      <c r="AP154" s="373"/>
      <c r="AQ154" s="371">
        <v>0.05</v>
      </c>
      <c r="AR154" s="373">
        <v>0</v>
      </c>
      <c r="AS154" s="371"/>
      <c r="AT154" s="373"/>
      <c r="AU154" s="371"/>
      <c r="AV154" s="373"/>
      <c r="AW154" s="371"/>
      <c r="AX154" s="373"/>
      <c r="AY154" s="374">
        <f t="shared" si="80"/>
        <v>0.05</v>
      </c>
      <c r="AZ154" s="375">
        <f t="shared" si="80"/>
        <v>0</v>
      </c>
      <c r="BA154" s="359" t="s">
        <v>1004</v>
      </c>
      <c r="BB154" s="360" t="s">
        <v>2612</v>
      </c>
      <c r="BC154" s="377"/>
      <c r="BD154" s="378"/>
      <c r="BF154" s="365">
        <v>0</v>
      </c>
      <c r="BG154" s="365"/>
      <c r="BH154" s="365">
        <v>1.2</v>
      </c>
      <c r="BI154" s="365"/>
      <c r="BJ154" s="365"/>
      <c r="BK154" s="365"/>
      <c r="BL154" s="363">
        <f t="shared" si="84"/>
        <v>1.2</v>
      </c>
    </row>
    <row r="155" spans="1:64" s="376" customFormat="1" ht="153" outlineLevel="1" x14ac:dyDescent="0.2">
      <c r="A155" s="359" t="s">
        <v>1024</v>
      </c>
      <c r="B155" s="604" t="s">
        <v>1930</v>
      </c>
      <c r="C155" s="360" t="s">
        <v>527</v>
      </c>
      <c r="D155" s="361" t="s">
        <v>397</v>
      </c>
      <c r="E155" s="361" t="s">
        <v>2709</v>
      </c>
      <c r="F155" s="361">
        <v>2013</v>
      </c>
      <c r="G155" s="361">
        <v>2014</v>
      </c>
      <c r="H155" s="363">
        <v>1.9159999999999999</v>
      </c>
      <c r="I155" s="363">
        <v>1.92</v>
      </c>
      <c r="J155" s="363">
        <f t="shared" si="81"/>
        <v>1.92</v>
      </c>
      <c r="K155" s="361" t="s">
        <v>2709</v>
      </c>
      <c r="L155" s="362"/>
      <c r="M155" s="362"/>
      <c r="N155" s="364"/>
      <c r="O155" s="361"/>
      <c r="P155" s="361"/>
      <c r="Q155" s="361" t="s">
        <v>2709</v>
      </c>
      <c r="R155" s="365">
        <v>1.92</v>
      </c>
      <c r="S155" s="365"/>
      <c r="T155" s="365"/>
      <c r="U155" s="365"/>
      <c r="V155" s="365"/>
      <c r="W155" s="365"/>
      <c r="X155" s="363">
        <f t="shared" si="78"/>
        <v>1.92</v>
      </c>
      <c r="Y155" s="366"/>
      <c r="Z155" s="363"/>
      <c r="AA155" s="367"/>
      <c r="AB155" s="368">
        <f t="shared" si="83"/>
        <v>0</v>
      </c>
      <c r="AC155" s="369"/>
      <c r="AD155" s="365"/>
      <c r="AE155" s="363"/>
      <c r="AF155" s="363">
        <f>H155</f>
        <v>1.9159999999999999</v>
      </c>
      <c r="AG155" s="363"/>
      <c r="AH155" s="363"/>
      <c r="AI155" s="363"/>
      <c r="AJ155" s="363"/>
      <c r="AK155" s="370"/>
      <c r="AL155" s="367">
        <f t="shared" si="79"/>
        <v>1.9159999999999999</v>
      </c>
      <c r="AM155" s="371">
        <v>0</v>
      </c>
      <c r="AN155" s="372">
        <v>1.26</v>
      </c>
      <c r="AO155" s="371"/>
      <c r="AP155" s="373"/>
      <c r="AQ155" s="371"/>
      <c r="AR155" s="373"/>
      <c r="AS155" s="371"/>
      <c r="AT155" s="373"/>
      <c r="AU155" s="371"/>
      <c r="AV155" s="373"/>
      <c r="AW155" s="371"/>
      <c r="AX155" s="373"/>
      <c r="AY155" s="374">
        <f t="shared" si="80"/>
        <v>0</v>
      </c>
      <c r="AZ155" s="375">
        <f t="shared" si="80"/>
        <v>1.26</v>
      </c>
      <c r="BA155" s="359" t="s">
        <v>1007</v>
      </c>
      <c r="BB155" s="360" t="s">
        <v>2613</v>
      </c>
      <c r="BC155" s="397" t="s">
        <v>2644</v>
      </c>
      <c r="BD155" s="378"/>
      <c r="BF155" s="365">
        <v>1.92</v>
      </c>
      <c r="BG155" s="365"/>
      <c r="BH155" s="365"/>
      <c r="BI155" s="365"/>
      <c r="BJ155" s="365"/>
      <c r="BK155" s="365"/>
      <c r="BL155" s="363">
        <f t="shared" si="84"/>
        <v>1.92</v>
      </c>
    </row>
    <row r="156" spans="1:64" s="376" customFormat="1" ht="63.75" outlineLevel="1" x14ac:dyDescent="0.2">
      <c r="A156" s="359" t="s">
        <v>1034</v>
      </c>
      <c r="B156" s="604" t="s">
        <v>2472</v>
      </c>
      <c r="C156" s="360" t="s">
        <v>528</v>
      </c>
      <c r="D156" s="361" t="s">
        <v>397</v>
      </c>
      <c r="E156" s="362" t="s">
        <v>364</v>
      </c>
      <c r="F156" s="361">
        <v>2013</v>
      </c>
      <c r="G156" s="361">
        <v>2014</v>
      </c>
      <c r="H156" s="363">
        <v>0.38961000000000001</v>
      </c>
      <c r="I156" s="363">
        <v>0.1</v>
      </c>
      <c r="J156" s="363">
        <f t="shared" si="81"/>
        <v>0.1</v>
      </c>
      <c r="K156" s="362" t="s">
        <v>364</v>
      </c>
      <c r="L156" s="361"/>
      <c r="M156" s="361"/>
      <c r="N156" s="361"/>
      <c r="O156" s="361"/>
      <c r="P156" s="361"/>
      <c r="Q156" s="362" t="s">
        <v>364</v>
      </c>
      <c r="R156" s="365">
        <v>0.1</v>
      </c>
      <c r="S156" s="365"/>
      <c r="T156" s="365"/>
      <c r="U156" s="365"/>
      <c r="V156" s="365"/>
      <c r="W156" s="365"/>
      <c r="X156" s="363">
        <f t="shared" si="78"/>
        <v>0.1</v>
      </c>
      <c r="Y156" s="366"/>
      <c r="Z156" s="363"/>
      <c r="AA156" s="367"/>
      <c r="AB156" s="368">
        <f t="shared" si="83"/>
        <v>0</v>
      </c>
      <c r="AC156" s="369"/>
      <c r="AD156" s="365"/>
      <c r="AE156" s="363"/>
      <c r="AF156" s="363">
        <f>H156</f>
        <v>0.38961000000000001</v>
      </c>
      <c r="AG156" s="363"/>
      <c r="AH156" s="363"/>
      <c r="AI156" s="363"/>
      <c r="AJ156" s="363"/>
      <c r="AK156" s="370"/>
      <c r="AL156" s="367">
        <f t="shared" si="79"/>
        <v>0.38961000000000001</v>
      </c>
      <c r="AM156" s="371">
        <v>0</v>
      </c>
      <c r="AN156" s="372">
        <v>0</v>
      </c>
      <c r="AO156" s="371"/>
      <c r="AP156" s="373"/>
      <c r="AQ156" s="371"/>
      <c r="AR156" s="373"/>
      <c r="AS156" s="371"/>
      <c r="AT156" s="373"/>
      <c r="AU156" s="371"/>
      <c r="AV156" s="373"/>
      <c r="AW156" s="371"/>
      <c r="AX156" s="373"/>
      <c r="AY156" s="374">
        <f t="shared" si="80"/>
        <v>0</v>
      </c>
      <c r="AZ156" s="375">
        <f t="shared" si="80"/>
        <v>0</v>
      </c>
      <c r="BA156" s="359" t="s">
        <v>54</v>
      </c>
      <c r="BB156" s="360" t="s">
        <v>1035</v>
      </c>
      <c r="BC156" s="377"/>
      <c r="BD156" s="378"/>
      <c r="BF156" s="365">
        <v>0.1</v>
      </c>
      <c r="BG156" s="365"/>
      <c r="BH156" s="365"/>
      <c r="BI156" s="365"/>
      <c r="BJ156" s="365"/>
      <c r="BK156" s="365"/>
      <c r="BL156" s="363">
        <f t="shared" si="84"/>
        <v>0.1</v>
      </c>
    </row>
    <row r="157" spans="1:64" s="376" customFormat="1" ht="114.75" outlineLevel="1" x14ac:dyDescent="0.2">
      <c r="A157" s="359" t="s">
        <v>952</v>
      </c>
      <c r="B157" s="604" t="s">
        <v>2473</v>
      </c>
      <c r="C157" s="360" t="s">
        <v>1889</v>
      </c>
      <c r="D157" s="361" t="s">
        <v>397</v>
      </c>
      <c r="E157" s="362" t="s">
        <v>504</v>
      </c>
      <c r="F157" s="361">
        <v>2013</v>
      </c>
      <c r="G157" s="361">
        <v>2015</v>
      </c>
      <c r="H157" s="363">
        <v>9.68</v>
      </c>
      <c r="I157" s="363">
        <v>9.5422999999999991</v>
      </c>
      <c r="J157" s="363">
        <f t="shared" si="81"/>
        <v>0.5423</v>
      </c>
      <c r="K157" s="361"/>
      <c r="L157" s="362" t="s">
        <v>504</v>
      </c>
      <c r="M157" s="364"/>
      <c r="N157" s="361"/>
      <c r="O157" s="361"/>
      <c r="P157" s="361"/>
      <c r="Q157" s="362" t="s">
        <v>504</v>
      </c>
      <c r="R157" s="365">
        <v>0.5423</v>
      </c>
      <c r="S157" s="365">
        <f>I157-R157</f>
        <v>9</v>
      </c>
      <c r="T157" s="365"/>
      <c r="U157" s="365"/>
      <c r="V157" s="365"/>
      <c r="W157" s="365"/>
      <c r="X157" s="363">
        <f t="shared" si="78"/>
        <v>9.5423000000000009</v>
      </c>
      <c r="Y157" s="366"/>
      <c r="Z157" s="363"/>
      <c r="AA157" s="367"/>
      <c r="AB157" s="368">
        <f t="shared" si="83"/>
        <v>0</v>
      </c>
      <c r="AC157" s="369"/>
      <c r="AD157" s="365"/>
      <c r="AE157" s="363"/>
      <c r="AF157" s="363"/>
      <c r="AG157" s="363">
        <f>H157</f>
        <v>9.68</v>
      </c>
      <c r="AH157" s="363"/>
      <c r="AI157" s="363"/>
      <c r="AJ157" s="363"/>
      <c r="AK157" s="370"/>
      <c r="AL157" s="367">
        <f t="shared" si="79"/>
        <v>9.68</v>
      </c>
      <c r="AM157" s="371"/>
      <c r="AN157" s="372"/>
      <c r="AO157" s="371">
        <v>1</v>
      </c>
      <c r="AP157" s="373">
        <v>2</v>
      </c>
      <c r="AQ157" s="371"/>
      <c r="AR157" s="373"/>
      <c r="AS157" s="371"/>
      <c r="AT157" s="373"/>
      <c r="AU157" s="371"/>
      <c r="AV157" s="373"/>
      <c r="AW157" s="371"/>
      <c r="AX157" s="373"/>
      <c r="AY157" s="374">
        <f t="shared" si="80"/>
        <v>1</v>
      </c>
      <c r="AZ157" s="375">
        <f t="shared" si="80"/>
        <v>2</v>
      </c>
      <c r="BA157" s="359" t="s">
        <v>1226</v>
      </c>
      <c r="BB157" s="393" t="s">
        <v>2614</v>
      </c>
      <c r="BC157" s="377" t="s">
        <v>1890</v>
      </c>
      <c r="BD157" s="378"/>
      <c r="BF157" s="365">
        <v>0.5423</v>
      </c>
      <c r="BG157" s="365">
        <v>9</v>
      </c>
      <c r="BH157" s="365"/>
      <c r="BI157" s="365"/>
      <c r="BJ157" s="365"/>
      <c r="BK157" s="365"/>
      <c r="BL157" s="363">
        <f t="shared" si="84"/>
        <v>9.5423000000000009</v>
      </c>
    </row>
    <row r="158" spans="1:64" s="376" customFormat="1" ht="63.75" outlineLevel="1" x14ac:dyDescent="0.2">
      <c r="A158" s="359" t="s">
        <v>956</v>
      </c>
      <c r="B158" s="604" t="s">
        <v>2474</v>
      </c>
      <c r="C158" s="360" t="s">
        <v>2118</v>
      </c>
      <c r="D158" s="361" t="s">
        <v>397</v>
      </c>
      <c r="E158" s="362" t="s">
        <v>1227</v>
      </c>
      <c r="F158" s="361">
        <v>2013</v>
      </c>
      <c r="G158" s="361">
        <v>2015</v>
      </c>
      <c r="H158" s="363">
        <v>1.5817699999999999</v>
      </c>
      <c r="I158" s="363">
        <v>1.5817699999999999</v>
      </c>
      <c r="J158" s="363">
        <f t="shared" si="81"/>
        <v>0.1</v>
      </c>
      <c r="K158" s="361"/>
      <c r="L158" s="362" t="s">
        <v>1227</v>
      </c>
      <c r="M158" s="364"/>
      <c r="N158" s="361"/>
      <c r="O158" s="361"/>
      <c r="P158" s="361"/>
      <c r="Q158" s="362" t="s">
        <v>1227</v>
      </c>
      <c r="R158" s="365">
        <v>0.1</v>
      </c>
      <c r="S158" s="365">
        <f>I158-R158</f>
        <v>1.4817699999999998</v>
      </c>
      <c r="T158" s="364"/>
      <c r="U158" s="365"/>
      <c r="V158" s="365"/>
      <c r="W158" s="365"/>
      <c r="X158" s="363">
        <f t="shared" si="78"/>
        <v>1.5817699999999999</v>
      </c>
      <c r="Y158" s="366"/>
      <c r="Z158" s="363"/>
      <c r="AA158" s="367"/>
      <c r="AB158" s="368">
        <f t="shared" si="83"/>
        <v>0</v>
      </c>
      <c r="AC158" s="369"/>
      <c r="AD158" s="365"/>
      <c r="AE158" s="363"/>
      <c r="AF158" s="363"/>
      <c r="AG158" s="363">
        <f>H158</f>
        <v>1.5817699999999999</v>
      </c>
      <c r="AH158" s="363"/>
      <c r="AI158" s="363"/>
      <c r="AJ158" s="363"/>
      <c r="AK158" s="370"/>
      <c r="AL158" s="367">
        <f t="shared" si="79"/>
        <v>1.5817699999999999</v>
      </c>
      <c r="AM158" s="371"/>
      <c r="AN158" s="372"/>
      <c r="AO158" s="371">
        <v>0</v>
      </c>
      <c r="AP158" s="373">
        <v>0</v>
      </c>
      <c r="AQ158" s="371"/>
      <c r="AR158" s="373"/>
      <c r="AS158" s="371"/>
      <c r="AT158" s="373"/>
      <c r="AU158" s="371"/>
      <c r="AV158" s="373"/>
      <c r="AW158" s="371"/>
      <c r="AX158" s="373"/>
      <c r="AY158" s="374">
        <f t="shared" si="80"/>
        <v>0</v>
      </c>
      <c r="AZ158" s="375">
        <f t="shared" si="80"/>
        <v>0</v>
      </c>
      <c r="BA158" s="359" t="s">
        <v>1234</v>
      </c>
      <c r="BB158" s="360" t="s">
        <v>2615</v>
      </c>
      <c r="BC158" s="377"/>
      <c r="BD158" s="378"/>
      <c r="BF158" s="365">
        <v>0.1</v>
      </c>
      <c r="BG158" s="365">
        <v>1.48</v>
      </c>
      <c r="BH158" s="364"/>
      <c r="BI158" s="365"/>
      <c r="BJ158" s="365"/>
      <c r="BK158" s="365"/>
      <c r="BL158" s="363">
        <f t="shared" si="84"/>
        <v>1.58</v>
      </c>
    </row>
    <row r="159" spans="1:64" s="376" customFormat="1" ht="165.75" outlineLevel="1" x14ac:dyDescent="0.2">
      <c r="A159" s="359" t="s">
        <v>959</v>
      </c>
      <c r="B159" s="604" t="s">
        <v>2475</v>
      </c>
      <c r="C159" s="360" t="s">
        <v>529</v>
      </c>
      <c r="D159" s="361" t="s">
        <v>397</v>
      </c>
      <c r="E159" s="362" t="s">
        <v>505</v>
      </c>
      <c r="F159" s="361">
        <v>2013</v>
      </c>
      <c r="G159" s="361">
        <v>2017</v>
      </c>
      <c r="H159" s="363">
        <v>23.07</v>
      </c>
      <c r="I159" s="363">
        <v>20.6404</v>
      </c>
      <c r="J159" s="363">
        <f t="shared" si="81"/>
        <v>0</v>
      </c>
      <c r="K159" s="361"/>
      <c r="L159" s="361"/>
      <c r="M159" s="362"/>
      <c r="N159" s="361" t="s">
        <v>505</v>
      </c>
      <c r="O159" s="361"/>
      <c r="P159" s="361"/>
      <c r="Q159" s="362" t="s">
        <v>505</v>
      </c>
      <c r="R159" s="365"/>
      <c r="S159" s="365">
        <f>5.64-4.05</f>
        <v>1.5899999999999999</v>
      </c>
      <c r="T159" s="365">
        <v>15</v>
      </c>
      <c r="U159" s="365">
        <f>4.05</f>
        <v>4.05</v>
      </c>
      <c r="V159" s="365"/>
      <c r="W159" s="365"/>
      <c r="X159" s="363">
        <f t="shared" si="78"/>
        <v>20.64</v>
      </c>
      <c r="Y159" s="366"/>
      <c r="Z159" s="363"/>
      <c r="AA159" s="367"/>
      <c r="AB159" s="368">
        <f t="shared" si="83"/>
        <v>3.9999999999906777E-4</v>
      </c>
      <c r="AC159" s="369"/>
      <c r="AD159" s="365"/>
      <c r="AE159" s="363"/>
      <c r="AF159" s="363"/>
      <c r="AG159" s="363"/>
      <c r="AH159" s="363">
        <f>H159</f>
        <v>23.07</v>
      </c>
      <c r="AI159" s="363"/>
      <c r="AJ159" s="363"/>
      <c r="AK159" s="370"/>
      <c r="AL159" s="367">
        <f t="shared" si="79"/>
        <v>23.07</v>
      </c>
      <c r="AM159" s="371"/>
      <c r="AN159" s="372"/>
      <c r="AO159" s="371"/>
      <c r="AP159" s="373"/>
      <c r="AQ159" s="371">
        <v>2</v>
      </c>
      <c r="AR159" s="373">
        <v>2</v>
      </c>
      <c r="AS159" s="371"/>
      <c r="AT159" s="373"/>
      <c r="AU159" s="371"/>
      <c r="AV159" s="373"/>
      <c r="AW159" s="371"/>
      <c r="AX159" s="373"/>
      <c r="AY159" s="374">
        <f t="shared" si="80"/>
        <v>2</v>
      </c>
      <c r="AZ159" s="375">
        <f t="shared" si="80"/>
        <v>2</v>
      </c>
      <c r="BA159" s="359" t="s">
        <v>1240</v>
      </c>
      <c r="BB159" s="393" t="s">
        <v>2616</v>
      </c>
      <c r="BC159" s="377"/>
      <c r="BD159" s="378"/>
      <c r="BF159" s="365"/>
      <c r="BG159" s="365">
        <v>5.64</v>
      </c>
      <c r="BH159" s="365">
        <v>15</v>
      </c>
      <c r="BI159" s="365"/>
      <c r="BJ159" s="365"/>
      <c r="BK159" s="365"/>
      <c r="BL159" s="363">
        <f t="shared" si="84"/>
        <v>20.64</v>
      </c>
    </row>
    <row r="160" spans="1:64" s="376" customFormat="1" ht="255" outlineLevel="1" x14ac:dyDescent="0.2">
      <c r="A160" s="359" t="s">
        <v>964</v>
      </c>
      <c r="B160" s="604" t="s">
        <v>2476</v>
      </c>
      <c r="C160" s="360" t="s">
        <v>2710</v>
      </c>
      <c r="D160" s="361" t="s">
        <v>1229</v>
      </c>
      <c r="E160" s="362" t="s">
        <v>1233</v>
      </c>
      <c r="F160" s="361">
        <v>2012</v>
      </c>
      <c r="G160" s="361">
        <v>2015</v>
      </c>
      <c r="H160" s="363">
        <v>18.73</v>
      </c>
      <c r="I160" s="363">
        <v>12.010160000000001</v>
      </c>
      <c r="J160" s="363">
        <f t="shared" si="81"/>
        <v>0</v>
      </c>
      <c r="K160" s="361"/>
      <c r="L160" s="362" t="s">
        <v>1233</v>
      </c>
      <c r="M160" s="364"/>
      <c r="N160" s="361"/>
      <c r="O160" s="361"/>
      <c r="P160" s="361"/>
      <c r="Q160" s="362" t="s">
        <v>1233</v>
      </c>
      <c r="R160" s="365"/>
      <c r="S160" s="365">
        <v>12.01</v>
      </c>
      <c r="T160" s="365"/>
      <c r="U160" s="365"/>
      <c r="V160" s="365"/>
      <c r="W160" s="365"/>
      <c r="X160" s="363">
        <f t="shared" si="78"/>
        <v>12.01</v>
      </c>
      <c r="Y160" s="366"/>
      <c r="Z160" s="363"/>
      <c r="AA160" s="367"/>
      <c r="AB160" s="368">
        <f t="shared" si="83"/>
        <v>1.6000000000104819E-4</v>
      </c>
      <c r="AC160" s="369"/>
      <c r="AD160" s="365"/>
      <c r="AE160" s="363"/>
      <c r="AF160" s="363"/>
      <c r="AG160" s="363">
        <f>H160</f>
        <v>18.73</v>
      </c>
      <c r="AH160" s="363"/>
      <c r="AI160" s="363"/>
      <c r="AJ160" s="363"/>
      <c r="AK160" s="370"/>
      <c r="AL160" s="367">
        <f t="shared" si="79"/>
        <v>18.73</v>
      </c>
      <c r="AM160" s="371"/>
      <c r="AN160" s="372"/>
      <c r="AO160" s="371">
        <v>4</v>
      </c>
      <c r="AP160" s="373">
        <v>0</v>
      </c>
      <c r="AQ160" s="371"/>
      <c r="AR160" s="373"/>
      <c r="AS160" s="371"/>
      <c r="AT160" s="373"/>
      <c r="AU160" s="371"/>
      <c r="AV160" s="373"/>
      <c r="AW160" s="371"/>
      <c r="AX160" s="373"/>
      <c r="AY160" s="374">
        <f t="shared" si="80"/>
        <v>4</v>
      </c>
      <c r="AZ160" s="375">
        <f t="shared" si="80"/>
        <v>0</v>
      </c>
      <c r="BA160" s="359" t="s">
        <v>1245</v>
      </c>
      <c r="BB160" s="393" t="s">
        <v>2617</v>
      </c>
      <c r="BC160" s="397" t="s">
        <v>1891</v>
      </c>
      <c r="BD160" s="378"/>
      <c r="BF160" s="365"/>
      <c r="BG160" s="365">
        <v>12.01</v>
      </c>
      <c r="BH160" s="365"/>
      <c r="BI160" s="365"/>
      <c r="BJ160" s="365"/>
      <c r="BK160" s="365"/>
      <c r="BL160" s="363">
        <f t="shared" si="84"/>
        <v>12.01</v>
      </c>
    </row>
    <row r="161" spans="1:64" s="376" customFormat="1" ht="102" outlineLevel="1" x14ac:dyDescent="0.2">
      <c r="A161" s="359" t="s">
        <v>965</v>
      </c>
      <c r="B161" s="604" t="s">
        <v>2477</v>
      </c>
      <c r="C161" s="360" t="s">
        <v>530</v>
      </c>
      <c r="D161" s="361" t="s">
        <v>397</v>
      </c>
      <c r="E161" s="362" t="s">
        <v>2759</v>
      </c>
      <c r="F161" s="361">
        <v>2012</v>
      </c>
      <c r="G161" s="361">
        <v>2014</v>
      </c>
      <c r="H161" s="363">
        <v>1.083</v>
      </c>
      <c r="I161" s="363">
        <v>0.38961000000000001</v>
      </c>
      <c r="J161" s="363">
        <f t="shared" si="81"/>
        <v>0.39</v>
      </c>
      <c r="K161" s="362" t="s">
        <v>2759</v>
      </c>
      <c r="L161" s="361"/>
      <c r="M161" s="361"/>
      <c r="N161" s="361"/>
      <c r="O161" s="361"/>
      <c r="P161" s="361"/>
      <c r="Q161" s="362" t="s">
        <v>2759</v>
      </c>
      <c r="R161" s="365">
        <v>0.39</v>
      </c>
      <c r="S161" s="365"/>
      <c r="T161" s="365"/>
      <c r="U161" s="365"/>
      <c r="V161" s="365"/>
      <c r="W161" s="365"/>
      <c r="X161" s="363">
        <f t="shared" si="78"/>
        <v>0.39</v>
      </c>
      <c r="Y161" s="366"/>
      <c r="Z161" s="363"/>
      <c r="AA161" s="367"/>
      <c r="AB161" s="368">
        <f t="shared" si="83"/>
        <v>-3.9000000000000146E-4</v>
      </c>
      <c r="AC161" s="369"/>
      <c r="AD161" s="365"/>
      <c r="AE161" s="363"/>
      <c r="AF161" s="363">
        <f>H161</f>
        <v>1.083</v>
      </c>
      <c r="AG161" s="363"/>
      <c r="AH161" s="363"/>
      <c r="AI161" s="363"/>
      <c r="AJ161" s="363"/>
      <c r="AK161" s="370"/>
      <c r="AL161" s="367">
        <f t="shared" si="79"/>
        <v>1.083</v>
      </c>
      <c r="AM161" s="371">
        <v>1</v>
      </c>
      <c r="AN161" s="372">
        <v>0.315</v>
      </c>
      <c r="AO161" s="371"/>
      <c r="AP161" s="373"/>
      <c r="AQ161" s="371"/>
      <c r="AR161" s="373"/>
      <c r="AS161" s="371"/>
      <c r="AT161" s="373"/>
      <c r="AU161" s="371"/>
      <c r="AV161" s="373"/>
      <c r="AW161" s="371"/>
      <c r="AX161" s="373"/>
      <c r="AY161" s="374">
        <f t="shared" si="80"/>
        <v>1</v>
      </c>
      <c r="AZ161" s="375">
        <f t="shared" si="80"/>
        <v>0.315</v>
      </c>
      <c r="BA161" s="359" t="s">
        <v>1246</v>
      </c>
      <c r="BB161" s="395" t="s">
        <v>2618</v>
      </c>
      <c r="BC161" s="377"/>
      <c r="BD161" s="378"/>
      <c r="BF161" s="365">
        <v>0.39</v>
      </c>
      <c r="BG161" s="365"/>
      <c r="BH161" s="365"/>
      <c r="BI161" s="365"/>
      <c r="BJ161" s="365"/>
      <c r="BK161" s="365"/>
      <c r="BL161" s="363">
        <f t="shared" si="84"/>
        <v>0.39</v>
      </c>
    </row>
    <row r="162" spans="1:64" s="376" customFormat="1" ht="114.75" outlineLevel="1" x14ac:dyDescent="0.2">
      <c r="A162" s="359" t="s">
        <v>967</v>
      </c>
      <c r="B162" s="604" t="s">
        <v>2478</v>
      </c>
      <c r="C162" s="360" t="s">
        <v>2554</v>
      </c>
      <c r="D162" s="361" t="s">
        <v>397</v>
      </c>
      <c r="E162" s="362" t="s">
        <v>510</v>
      </c>
      <c r="F162" s="361">
        <v>2014</v>
      </c>
      <c r="G162" s="361">
        <v>2015</v>
      </c>
      <c r="H162" s="363">
        <v>3</v>
      </c>
      <c r="I162" s="363">
        <v>2.91</v>
      </c>
      <c r="J162" s="363">
        <f t="shared" si="81"/>
        <v>0</v>
      </c>
      <c r="K162" s="361"/>
      <c r="L162" s="362" t="s">
        <v>510</v>
      </c>
      <c r="M162" s="364"/>
      <c r="N162" s="361"/>
      <c r="O162" s="361"/>
      <c r="P162" s="361"/>
      <c r="Q162" s="362" t="s">
        <v>510</v>
      </c>
      <c r="R162" s="365">
        <v>0</v>
      </c>
      <c r="S162" s="365">
        <f>I162-R162</f>
        <v>2.91</v>
      </c>
      <c r="T162" s="364"/>
      <c r="U162" s="365"/>
      <c r="V162" s="365"/>
      <c r="W162" s="365"/>
      <c r="X162" s="363">
        <f t="shared" si="78"/>
        <v>2.91</v>
      </c>
      <c r="Y162" s="366"/>
      <c r="Z162" s="363"/>
      <c r="AA162" s="367"/>
      <c r="AB162" s="368">
        <f t="shared" si="83"/>
        <v>0</v>
      </c>
      <c r="AC162" s="369"/>
      <c r="AD162" s="365"/>
      <c r="AE162" s="363"/>
      <c r="AF162" s="363"/>
      <c r="AG162" s="363">
        <f>H162</f>
        <v>3</v>
      </c>
      <c r="AH162" s="363"/>
      <c r="AI162" s="363"/>
      <c r="AJ162" s="363"/>
      <c r="AK162" s="370"/>
      <c r="AL162" s="367">
        <f t="shared" si="79"/>
        <v>3</v>
      </c>
      <c r="AM162" s="371"/>
      <c r="AN162" s="372"/>
      <c r="AO162" s="371">
        <v>0</v>
      </c>
      <c r="AP162" s="373">
        <v>1</v>
      </c>
      <c r="AQ162" s="371"/>
      <c r="AR162" s="373"/>
      <c r="AS162" s="371"/>
      <c r="AT162" s="373"/>
      <c r="AU162" s="371"/>
      <c r="AV162" s="373"/>
      <c r="AW162" s="371"/>
      <c r="AX162" s="373"/>
      <c r="AY162" s="374">
        <f t="shared" si="80"/>
        <v>0</v>
      </c>
      <c r="AZ162" s="375">
        <f t="shared" si="80"/>
        <v>1</v>
      </c>
      <c r="BA162" s="359" t="s">
        <v>1247</v>
      </c>
      <c r="BB162" s="360" t="s">
        <v>2619</v>
      </c>
      <c r="BC162" s="377"/>
      <c r="BD162" s="378"/>
      <c r="BF162" s="365">
        <v>0</v>
      </c>
      <c r="BG162" s="365">
        <v>2.91</v>
      </c>
      <c r="BH162" s="364"/>
      <c r="BI162" s="365"/>
      <c r="BJ162" s="365"/>
      <c r="BK162" s="365"/>
      <c r="BL162" s="363">
        <f t="shared" si="84"/>
        <v>2.91</v>
      </c>
    </row>
    <row r="163" spans="1:64" s="376" customFormat="1" ht="89.25" outlineLevel="1" x14ac:dyDescent="0.2">
      <c r="A163" s="359" t="s">
        <v>968</v>
      </c>
      <c r="B163" s="604" t="s">
        <v>2479</v>
      </c>
      <c r="C163" s="360" t="s">
        <v>59</v>
      </c>
      <c r="D163" s="361" t="s">
        <v>397</v>
      </c>
      <c r="E163" s="362" t="s">
        <v>2119</v>
      </c>
      <c r="F163" s="361">
        <v>2013</v>
      </c>
      <c r="G163" s="361">
        <v>2016</v>
      </c>
      <c r="H163" s="363">
        <v>4.5089899999999998</v>
      </c>
      <c r="I163" s="363">
        <v>4.3637899999999998</v>
      </c>
      <c r="J163" s="363">
        <f t="shared" si="81"/>
        <v>0</v>
      </c>
      <c r="K163" s="361"/>
      <c r="L163" s="361"/>
      <c r="M163" s="362" t="s">
        <v>2119</v>
      </c>
      <c r="N163" s="361"/>
      <c r="O163" s="361"/>
      <c r="P163" s="361"/>
      <c r="Q163" s="362" t="s">
        <v>2119</v>
      </c>
      <c r="R163" s="365"/>
      <c r="S163" s="365">
        <v>0.1</v>
      </c>
      <c r="T163" s="365">
        <v>4.26</v>
      </c>
      <c r="U163" s="365"/>
      <c r="V163" s="365"/>
      <c r="W163" s="365"/>
      <c r="X163" s="363">
        <f t="shared" si="78"/>
        <v>4.3599999999999994</v>
      </c>
      <c r="Y163" s="366"/>
      <c r="Z163" s="363"/>
      <c r="AA163" s="367"/>
      <c r="AB163" s="368">
        <f t="shared" si="83"/>
        <v>3.7900000000004042E-3</v>
      </c>
      <c r="AC163" s="369"/>
      <c r="AD163" s="365"/>
      <c r="AE163" s="363"/>
      <c r="AF163" s="363"/>
      <c r="AG163" s="363"/>
      <c r="AH163" s="363">
        <f>H163</f>
        <v>4.5089899999999998</v>
      </c>
      <c r="AI163" s="363"/>
      <c r="AJ163" s="363"/>
      <c r="AK163" s="370"/>
      <c r="AL163" s="367">
        <f t="shared" si="79"/>
        <v>4.5089899999999998</v>
      </c>
      <c r="AM163" s="371"/>
      <c r="AN163" s="372"/>
      <c r="AO163" s="371"/>
      <c r="AP163" s="373"/>
      <c r="AQ163" s="371">
        <v>2</v>
      </c>
      <c r="AR163" s="373">
        <v>0</v>
      </c>
      <c r="AS163" s="371"/>
      <c r="AT163" s="373"/>
      <c r="AU163" s="371"/>
      <c r="AV163" s="373"/>
      <c r="AW163" s="371"/>
      <c r="AX163" s="373"/>
      <c r="AY163" s="374">
        <f t="shared" si="80"/>
        <v>2</v>
      </c>
      <c r="AZ163" s="375">
        <f t="shared" si="80"/>
        <v>0</v>
      </c>
      <c r="BA163" s="359" t="s">
        <v>2167</v>
      </c>
      <c r="BB163" s="360" t="s">
        <v>59</v>
      </c>
      <c r="BC163" s="397" t="s">
        <v>1892</v>
      </c>
      <c r="BD163" s="378"/>
      <c r="BF163" s="365"/>
      <c r="BG163" s="365">
        <v>0.1</v>
      </c>
      <c r="BH163" s="365">
        <v>4.26</v>
      </c>
      <c r="BI163" s="365"/>
      <c r="BJ163" s="365"/>
      <c r="BK163" s="365"/>
      <c r="BL163" s="363">
        <f t="shared" si="84"/>
        <v>4.3599999999999994</v>
      </c>
    </row>
    <row r="164" spans="1:64" s="376" customFormat="1" ht="102" outlineLevel="1" x14ac:dyDescent="0.2">
      <c r="A164" s="359" t="s">
        <v>969</v>
      </c>
      <c r="B164" s="604" t="s">
        <v>2480</v>
      </c>
      <c r="C164" s="360" t="s">
        <v>2665</v>
      </c>
      <c r="D164" s="361" t="s">
        <v>397</v>
      </c>
      <c r="E164" s="362" t="s">
        <v>970</v>
      </c>
      <c r="F164" s="361">
        <v>2013</v>
      </c>
      <c r="G164" s="361">
        <v>2014</v>
      </c>
      <c r="H164" s="363">
        <v>1.02708</v>
      </c>
      <c r="I164" s="363">
        <v>1.03</v>
      </c>
      <c r="J164" s="363">
        <f t="shared" si="81"/>
        <v>1.03</v>
      </c>
      <c r="K164" s="362" t="s">
        <v>970</v>
      </c>
      <c r="L164" s="361"/>
      <c r="M164" s="364"/>
      <c r="N164" s="361"/>
      <c r="O164" s="361"/>
      <c r="P164" s="361"/>
      <c r="Q164" s="362" t="s">
        <v>970</v>
      </c>
      <c r="R164" s="365">
        <v>1.03</v>
      </c>
      <c r="S164" s="365"/>
      <c r="T164" s="365"/>
      <c r="U164" s="365"/>
      <c r="V164" s="365"/>
      <c r="W164" s="365"/>
      <c r="X164" s="363">
        <f t="shared" si="78"/>
        <v>1.03</v>
      </c>
      <c r="Y164" s="366"/>
      <c r="Z164" s="363"/>
      <c r="AA164" s="367"/>
      <c r="AB164" s="368">
        <f t="shared" si="83"/>
        <v>0</v>
      </c>
      <c r="AC164" s="369"/>
      <c r="AD164" s="365"/>
      <c r="AE164" s="363"/>
      <c r="AF164" s="363">
        <f>H164</f>
        <v>1.02708</v>
      </c>
      <c r="AG164" s="363"/>
      <c r="AH164" s="363"/>
      <c r="AI164" s="363"/>
      <c r="AJ164" s="363"/>
      <c r="AK164" s="370"/>
      <c r="AL164" s="367">
        <f t="shared" si="79"/>
        <v>1.02708</v>
      </c>
      <c r="AM164" s="371">
        <v>0.5</v>
      </c>
      <c r="AN164" s="372">
        <v>0</v>
      </c>
      <c r="AO164" s="371"/>
      <c r="AP164" s="373"/>
      <c r="AQ164" s="371"/>
      <c r="AR164" s="373"/>
      <c r="AS164" s="371"/>
      <c r="AT164" s="373"/>
      <c r="AU164" s="371"/>
      <c r="AV164" s="373"/>
      <c r="AW164" s="371"/>
      <c r="AX164" s="373"/>
      <c r="AY164" s="374">
        <f t="shared" si="80"/>
        <v>0.5</v>
      </c>
      <c r="AZ164" s="375">
        <f t="shared" si="80"/>
        <v>0</v>
      </c>
      <c r="BA164" s="359" t="s">
        <v>1248</v>
      </c>
      <c r="BB164" s="393" t="s">
        <v>2620</v>
      </c>
      <c r="BC164" s="377"/>
      <c r="BD164" s="378"/>
      <c r="BF164" s="365">
        <v>1.03</v>
      </c>
      <c r="BG164" s="365"/>
      <c r="BH164" s="365"/>
      <c r="BI164" s="365"/>
      <c r="BJ164" s="365"/>
      <c r="BK164" s="365"/>
      <c r="BL164" s="363">
        <f t="shared" si="84"/>
        <v>1.03</v>
      </c>
    </row>
    <row r="165" spans="1:64" s="376" customFormat="1" ht="51" outlineLevel="1" x14ac:dyDescent="0.2">
      <c r="A165" s="359" t="s">
        <v>971</v>
      </c>
      <c r="B165" s="604" t="s">
        <v>2481</v>
      </c>
      <c r="C165" s="360" t="s">
        <v>2666</v>
      </c>
      <c r="D165" s="361" t="s">
        <v>397</v>
      </c>
      <c r="E165" s="362" t="s">
        <v>364</v>
      </c>
      <c r="F165" s="361">
        <v>2013</v>
      </c>
      <c r="G165" s="361">
        <v>2014</v>
      </c>
      <c r="H165" s="363">
        <v>0.05</v>
      </c>
      <c r="I165" s="363">
        <v>0.05</v>
      </c>
      <c r="J165" s="363">
        <f t="shared" si="81"/>
        <v>0.05</v>
      </c>
      <c r="K165" s="362" t="s">
        <v>364</v>
      </c>
      <c r="L165" s="361"/>
      <c r="M165" s="361"/>
      <c r="N165" s="361"/>
      <c r="O165" s="361"/>
      <c r="P165" s="361"/>
      <c r="Q165" s="362" t="s">
        <v>364</v>
      </c>
      <c r="R165" s="365">
        <v>0.05</v>
      </c>
      <c r="S165" s="365"/>
      <c r="T165" s="365"/>
      <c r="U165" s="365"/>
      <c r="V165" s="365"/>
      <c r="W165" s="365"/>
      <c r="X165" s="363">
        <f t="shared" si="78"/>
        <v>0.05</v>
      </c>
      <c r="Y165" s="366"/>
      <c r="Z165" s="363"/>
      <c r="AA165" s="367"/>
      <c r="AB165" s="368">
        <f t="shared" si="83"/>
        <v>0</v>
      </c>
      <c r="AC165" s="369"/>
      <c r="AD165" s="365"/>
      <c r="AE165" s="363"/>
      <c r="AF165" s="363">
        <f>H165</f>
        <v>0.05</v>
      </c>
      <c r="AG165" s="363"/>
      <c r="AH165" s="363"/>
      <c r="AI165" s="363"/>
      <c r="AJ165" s="363"/>
      <c r="AK165" s="370"/>
      <c r="AL165" s="367">
        <f t="shared" si="79"/>
        <v>0.05</v>
      </c>
      <c r="AM165" s="371">
        <v>0</v>
      </c>
      <c r="AN165" s="372">
        <v>0</v>
      </c>
      <c r="AO165" s="371"/>
      <c r="AP165" s="373"/>
      <c r="AQ165" s="371"/>
      <c r="AR165" s="373"/>
      <c r="AS165" s="371"/>
      <c r="AT165" s="373"/>
      <c r="AU165" s="371"/>
      <c r="AV165" s="373"/>
      <c r="AW165" s="371"/>
      <c r="AX165" s="373"/>
      <c r="AY165" s="374">
        <f t="shared" si="80"/>
        <v>0</v>
      </c>
      <c r="AZ165" s="375">
        <f t="shared" si="80"/>
        <v>0</v>
      </c>
      <c r="BA165" s="359" t="s">
        <v>1249</v>
      </c>
      <c r="BB165" s="360" t="s">
        <v>2621</v>
      </c>
      <c r="BC165" s="377"/>
      <c r="BD165" s="378"/>
      <c r="BF165" s="365">
        <v>0.05</v>
      </c>
      <c r="BG165" s="365"/>
      <c r="BH165" s="365"/>
      <c r="BI165" s="365"/>
      <c r="BJ165" s="365"/>
      <c r="BK165" s="365"/>
      <c r="BL165" s="363">
        <f t="shared" si="84"/>
        <v>0.05</v>
      </c>
    </row>
    <row r="166" spans="1:64" s="376" customFormat="1" ht="114.75" outlineLevel="1" x14ac:dyDescent="0.2">
      <c r="A166" s="359" t="s">
        <v>972</v>
      </c>
      <c r="B166" s="604" t="s">
        <v>2482</v>
      </c>
      <c r="C166" s="360" t="s">
        <v>2667</v>
      </c>
      <c r="D166" s="361" t="s">
        <v>397</v>
      </c>
      <c r="E166" s="362" t="s">
        <v>2732</v>
      </c>
      <c r="F166" s="361">
        <v>2013</v>
      </c>
      <c r="G166" s="361">
        <v>2015</v>
      </c>
      <c r="H166" s="363">
        <v>5.20289</v>
      </c>
      <c r="I166" s="363">
        <v>5</v>
      </c>
      <c r="J166" s="363">
        <f t="shared" si="81"/>
        <v>3.03</v>
      </c>
      <c r="K166" s="362"/>
      <c r="L166" s="362" t="s">
        <v>2732</v>
      </c>
      <c r="M166" s="361"/>
      <c r="N166" s="361"/>
      <c r="O166" s="361"/>
      <c r="P166" s="361"/>
      <c r="Q166" s="362" t="s">
        <v>2732</v>
      </c>
      <c r="R166" s="365">
        <v>3.03</v>
      </c>
      <c r="S166" s="365">
        <f>I166-R166</f>
        <v>1.9700000000000002</v>
      </c>
      <c r="T166" s="365"/>
      <c r="U166" s="365"/>
      <c r="V166" s="365"/>
      <c r="W166" s="365"/>
      <c r="X166" s="363">
        <f t="shared" si="78"/>
        <v>5</v>
      </c>
      <c r="Y166" s="366"/>
      <c r="Z166" s="363"/>
      <c r="AA166" s="367"/>
      <c r="AB166" s="368">
        <f t="shared" si="83"/>
        <v>0</v>
      </c>
      <c r="AC166" s="369"/>
      <c r="AD166" s="365"/>
      <c r="AE166" s="363"/>
      <c r="AF166" s="363"/>
      <c r="AG166" s="363">
        <f>H166</f>
        <v>5.20289</v>
      </c>
      <c r="AH166" s="363"/>
      <c r="AI166" s="363"/>
      <c r="AJ166" s="363"/>
      <c r="AK166" s="370"/>
      <c r="AL166" s="367">
        <f t="shared" si="79"/>
        <v>5.20289</v>
      </c>
      <c r="AM166" s="371"/>
      <c r="AN166" s="372"/>
      <c r="AO166" s="371">
        <v>5</v>
      </c>
      <c r="AP166" s="372">
        <v>0</v>
      </c>
      <c r="AQ166" s="371"/>
      <c r="AR166" s="373"/>
      <c r="AS166" s="371"/>
      <c r="AT166" s="373"/>
      <c r="AU166" s="371"/>
      <c r="AV166" s="373"/>
      <c r="AW166" s="371"/>
      <c r="AX166" s="373"/>
      <c r="AY166" s="374">
        <f t="shared" si="80"/>
        <v>5</v>
      </c>
      <c r="AZ166" s="375">
        <f t="shared" si="80"/>
        <v>0</v>
      </c>
      <c r="BA166" s="359" t="s">
        <v>1250</v>
      </c>
      <c r="BB166" s="393" t="s">
        <v>2622</v>
      </c>
      <c r="BC166" s="377"/>
      <c r="BD166" s="378"/>
      <c r="BF166" s="365">
        <v>3.03</v>
      </c>
      <c r="BG166" s="365">
        <v>1.97</v>
      </c>
      <c r="BH166" s="365"/>
      <c r="BI166" s="365"/>
      <c r="BJ166" s="365"/>
      <c r="BK166" s="365"/>
      <c r="BL166" s="363">
        <f t="shared" si="84"/>
        <v>5</v>
      </c>
    </row>
    <row r="167" spans="1:64" s="376" customFormat="1" ht="89.25" outlineLevel="1" x14ac:dyDescent="0.2">
      <c r="A167" s="359" t="s">
        <v>973</v>
      </c>
      <c r="B167" s="604" t="s">
        <v>2483</v>
      </c>
      <c r="C167" s="360" t="s">
        <v>2668</v>
      </c>
      <c r="D167" s="361" t="s">
        <v>397</v>
      </c>
      <c r="E167" s="362" t="s">
        <v>364</v>
      </c>
      <c r="F167" s="361">
        <v>2013</v>
      </c>
      <c r="G167" s="361">
        <v>2014</v>
      </c>
      <c r="H167" s="363">
        <v>0.222</v>
      </c>
      <c r="I167" s="363">
        <v>0.21</v>
      </c>
      <c r="J167" s="363">
        <f t="shared" si="81"/>
        <v>0.21</v>
      </c>
      <c r="K167" s="362" t="s">
        <v>364</v>
      </c>
      <c r="L167" s="361"/>
      <c r="M167" s="361"/>
      <c r="N167" s="361"/>
      <c r="O167" s="361"/>
      <c r="P167" s="361"/>
      <c r="Q167" s="362" t="s">
        <v>364</v>
      </c>
      <c r="R167" s="365">
        <v>0.21</v>
      </c>
      <c r="S167" s="365"/>
      <c r="T167" s="365"/>
      <c r="U167" s="365"/>
      <c r="V167" s="365"/>
      <c r="W167" s="365"/>
      <c r="X167" s="363">
        <f t="shared" si="78"/>
        <v>0.21</v>
      </c>
      <c r="Y167" s="366"/>
      <c r="Z167" s="363"/>
      <c r="AA167" s="367"/>
      <c r="AB167" s="368">
        <f t="shared" si="83"/>
        <v>0</v>
      </c>
      <c r="AC167" s="369"/>
      <c r="AD167" s="365"/>
      <c r="AE167" s="363"/>
      <c r="AF167" s="363">
        <f>H167</f>
        <v>0.222</v>
      </c>
      <c r="AG167" s="363"/>
      <c r="AH167" s="363"/>
      <c r="AI167" s="363"/>
      <c r="AJ167" s="363"/>
      <c r="AK167" s="370"/>
      <c r="AL167" s="367">
        <f t="shared" si="79"/>
        <v>0.222</v>
      </c>
      <c r="AM167" s="371">
        <v>0</v>
      </c>
      <c r="AN167" s="372">
        <v>0</v>
      </c>
      <c r="AO167" s="371"/>
      <c r="AP167" s="373"/>
      <c r="AQ167" s="371"/>
      <c r="AR167" s="373"/>
      <c r="AS167" s="371"/>
      <c r="AT167" s="373"/>
      <c r="AU167" s="371"/>
      <c r="AV167" s="373"/>
      <c r="AW167" s="371"/>
      <c r="AX167" s="373"/>
      <c r="AY167" s="374">
        <f t="shared" si="80"/>
        <v>0</v>
      </c>
      <c r="AZ167" s="375">
        <f t="shared" si="80"/>
        <v>0</v>
      </c>
      <c r="BA167" s="359" t="s">
        <v>1253</v>
      </c>
      <c r="BB167" s="360" t="s">
        <v>2543</v>
      </c>
      <c r="BC167" s="377"/>
      <c r="BD167" s="378"/>
      <c r="BF167" s="365">
        <v>0.21</v>
      </c>
      <c r="BG167" s="365"/>
      <c r="BH167" s="365"/>
      <c r="BI167" s="365"/>
      <c r="BJ167" s="365"/>
      <c r="BK167" s="365"/>
      <c r="BL167" s="363">
        <f t="shared" si="84"/>
        <v>0.21</v>
      </c>
    </row>
    <row r="168" spans="1:64" s="376" customFormat="1" ht="63.75" outlineLevel="1" x14ac:dyDescent="0.2">
      <c r="A168" s="359" t="s">
        <v>976</v>
      </c>
      <c r="B168" s="604" t="s">
        <v>2484</v>
      </c>
      <c r="C168" s="360" t="s">
        <v>2669</v>
      </c>
      <c r="D168" s="361" t="s">
        <v>397</v>
      </c>
      <c r="E168" s="362" t="s">
        <v>364</v>
      </c>
      <c r="F168" s="361">
        <v>2013</v>
      </c>
      <c r="G168" s="361">
        <v>2014</v>
      </c>
      <c r="H168" s="363">
        <v>0.21199999999999999</v>
      </c>
      <c r="I168" s="363">
        <v>0.21199999999999999</v>
      </c>
      <c r="J168" s="363">
        <f t="shared" si="81"/>
        <v>0.21199999999999999</v>
      </c>
      <c r="K168" s="362" t="s">
        <v>364</v>
      </c>
      <c r="L168" s="361"/>
      <c r="M168" s="361"/>
      <c r="N168" s="361"/>
      <c r="O168" s="361"/>
      <c r="P168" s="361"/>
      <c r="Q168" s="362" t="s">
        <v>364</v>
      </c>
      <c r="R168" s="365">
        <v>0.21199999999999999</v>
      </c>
      <c r="S168" s="365"/>
      <c r="T168" s="365"/>
      <c r="U168" s="365"/>
      <c r="V168" s="365"/>
      <c r="W168" s="365"/>
      <c r="X168" s="363">
        <f t="shared" si="78"/>
        <v>0.21199999999999999</v>
      </c>
      <c r="Y168" s="366"/>
      <c r="Z168" s="363"/>
      <c r="AA168" s="367"/>
      <c r="AB168" s="368">
        <f t="shared" si="83"/>
        <v>0</v>
      </c>
      <c r="AC168" s="369"/>
      <c r="AD168" s="365"/>
      <c r="AE168" s="363"/>
      <c r="AF168" s="363">
        <f>H168</f>
        <v>0.21199999999999999</v>
      </c>
      <c r="AG168" s="363"/>
      <c r="AH168" s="363"/>
      <c r="AI168" s="363"/>
      <c r="AJ168" s="363"/>
      <c r="AK168" s="370"/>
      <c r="AL168" s="367">
        <f t="shared" si="79"/>
        <v>0.21199999999999999</v>
      </c>
      <c r="AM168" s="371">
        <v>0</v>
      </c>
      <c r="AN168" s="372">
        <v>0</v>
      </c>
      <c r="AO168" s="371"/>
      <c r="AP168" s="373"/>
      <c r="AQ168" s="371"/>
      <c r="AR168" s="373"/>
      <c r="AS168" s="371"/>
      <c r="AT168" s="373"/>
      <c r="AU168" s="371"/>
      <c r="AV168" s="373"/>
      <c r="AW168" s="371"/>
      <c r="AX168" s="373"/>
      <c r="AY168" s="374">
        <f t="shared" si="80"/>
        <v>0</v>
      </c>
      <c r="AZ168" s="375">
        <f t="shared" si="80"/>
        <v>0</v>
      </c>
      <c r="BA168" s="359" t="s">
        <v>2472</v>
      </c>
      <c r="BB168" s="360" t="s">
        <v>2544</v>
      </c>
      <c r="BC168" s="377"/>
      <c r="BD168" s="378"/>
      <c r="BF168" s="365">
        <v>0.21199999999999999</v>
      </c>
      <c r="BG168" s="365"/>
      <c r="BH168" s="365"/>
      <c r="BI168" s="365"/>
      <c r="BJ168" s="365"/>
      <c r="BK168" s="365"/>
      <c r="BL168" s="363">
        <f t="shared" si="84"/>
        <v>0.21199999999999999</v>
      </c>
    </row>
    <row r="169" spans="1:64" s="376" customFormat="1" ht="114.75" outlineLevel="1" x14ac:dyDescent="0.2">
      <c r="A169" s="359" t="s">
        <v>977</v>
      </c>
      <c r="B169" s="604" t="s">
        <v>2485</v>
      </c>
      <c r="C169" s="360" t="s">
        <v>2670</v>
      </c>
      <c r="D169" s="361" t="s">
        <v>397</v>
      </c>
      <c r="E169" s="362" t="s">
        <v>1237</v>
      </c>
      <c r="F169" s="361">
        <v>2013</v>
      </c>
      <c r="G169" s="361">
        <v>2017</v>
      </c>
      <c r="H169" s="363">
        <v>31.79</v>
      </c>
      <c r="I169" s="363">
        <v>31.79</v>
      </c>
      <c r="J169" s="363">
        <v>2.91</v>
      </c>
      <c r="K169" s="361"/>
      <c r="L169" s="363"/>
      <c r="M169" s="362"/>
      <c r="N169" s="362" t="s">
        <v>1237</v>
      </c>
      <c r="O169" s="361"/>
      <c r="P169" s="361"/>
      <c r="Q169" s="362" t="s">
        <v>1237</v>
      </c>
      <c r="R169" s="365">
        <f>2.0689-0.28+1.5868+0.0036-0.0079-0.1036+0.107-1.4152+0.95+0.0027</f>
        <v>2.9123000000000001</v>
      </c>
      <c r="S169" s="365">
        <f>4.794+0.28+2.433+0.083+0.0456</f>
        <v>7.6356000000000002</v>
      </c>
      <c r="T169" s="365">
        <f>11.8944-2.433+5.693+1.9593+0.0015+0.03+0.07</f>
        <v>17.215199999999999</v>
      </c>
      <c r="U169" s="365">
        <f>I169-R169-S169-T169</f>
        <v>4.0268999999999977</v>
      </c>
      <c r="V169" s="365"/>
      <c r="W169" s="365"/>
      <c r="X169" s="363">
        <f>SUM(R169:W169)</f>
        <v>31.79</v>
      </c>
      <c r="Y169" s="366"/>
      <c r="Z169" s="363"/>
      <c r="AA169" s="367"/>
      <c r="AB169" s="368">
        <f t="shared" si="83"/>
        <v>0</v>
      </c>
      <c r="AC169" s="369"/>
      <c r="AD169" s="365"/>
      <c r="AE169" s="363"/>
      <c r="AF169" s="363"/>
      <c r="AG169" s="363"/>
      <c r="AH169" s="363"/>
      <c r="AI169" s="363">
        <f>H169</f>
        <v>31.79</v>
      </c>
      <c r="AJ169" s="363"/>
      <c r="AK169" s="370"/>
      <c r="AL169" s="367">
        <f t="shared" si="79"/>
        <v>31.79</v>
      </c>
      <c r="AM169" s="371"/>
      <c r="AN169" s="372"/>
      <c r="AO169" s="371"/>
      <c r="AP169" s="373"/>
      <c r="AQ169" s="371"/>
      <c r="AR169" s="373"/>
      <c r="AS169" s="371">
        <v>4.0999999999999996</v>
      </c>
      <c r="AT169" s="373">
        <v>0</v>
      </c>
      <c r="AU169" s="371"/>
      <c r="AV169" s="373"/>
      <c r="AW169" s="371"/>
      <c r="AX169" s="373"/>
      <c r="AY169" s="374">
        <f t="shared" si="80"/>
        <v>4.0999999999999996</v>
      </c>
      <c r="AZ169" s="375">
        <f t="shared" si="80"/>
        <v>0</v>
      </c>
      <c r="BA169" s="359" t="s">
        <v>2473</v>
      </c>
      <c r="BB169" s="360" t="s">
        <v>2545</v>
      </c>
      <c r="BC169" s="397" t="s">
        <v>1893</v>
      </c>
      <c r="BD169" s="378"/>
      <c r="BF169" s="365">
        <v>1.0899999999999999</v>
      </c>
      <c r="BG169" s="365">
        <v>5.3839999999999986</v>
      </c>
      <c r="BH169" s="365">
        <v>10.816000000000003</v>
      </c>
      <c r="BI169" s="365">
        <v>14.5</v>
      </c>
      <c r="BJ169" s="365"/>
      <c r="BK169" s="365"/>
      <c r="BL169" s="363">
        <f>SUM(BF169:BK169)</f>
        <v>31.79</v>
      </c>
    </row>
    <row r="170" spans="1:64" s="376" customFormat="1" ht="76.5" outlineLevel="1" x14ac:dyDescent="0.2">
      <c r="A170" s="359" t="s">
        <v>978</v>
      </c>
      <c r="B170" s="604" t="s">
        <v>2486</v>
      </c>
      <c r="C170" s="360" t="s">
        <v>60</v>
      </c>
      <c r="D170" s="361" t="s">
        <v>397</v>
      </c>
      <c r="E170" s="362" t="s">
        <v>366</v>
      </c>
      <c r="F170" s="361">
        <v>2013</v>
      </c>
      <c r="G170" s="361">
        <v>2014</v>
      </c>
      <c r="H170" s="363">
        <v>0.11</v>
      </c>
      <c r="I170" s="363">
        <v>0.11</v>
      </c>
      <c r="J170" s="363">
        <f t="shared" si="81"/>
        <v>0.11</v>
      </c>
      <c r="K170" s="362" t="s">
        <v>366</v>
      </c>
      <c r="L170" s="361"/>
      <c r="M170" s="361"/>
      <c r="N170" s="361"/>
      <c r="O170" s="361"/>
      <c r="P170" s="361"/>
      <c r="Q170" s="362" t="s">
        <v>366</v>
      </c>
      <c r="R170" s="365">
        <v>0.11</v>
      </c>
      <c r="S170" s="365"/>
      <c r="T170" s="365"/>
      <c r="U170" s="365"/>
      <c r="V170" s="365"/>
      <c r="W170" s="365"/>
      <c r="X170" s="363">
        <f t="shared" si="78"/>
        <v>0.11</v>
      </c>
      <c r="Y170" s="366"/>
      <c r="Z170" s="363"/>
      <c r="AA170" s="367"/>
      <c r="AB170" s="368">
        <f t="shared" si="83"/>
        <v>0</v>
      </c>
      <c r="AC170" s="369"/>
      <c r="AD170" s="365"/>
      <c r="AE170" s="363"/>
      <c r="AF170" s="363">
        <f>H170</f>
        <v>0.11</v>
      </c>
      <c r="AG170" s="363"/>
      <c r="AH170" s="363"/>
      <c r="AI170" s="363"/>
      <c r="AJ170" s="363"/>
      <c r="AK170" s="370"/>
      <c r="AL170" s="367">
        <f t="shared" si="79"/>
        <v>0.11</v>
      </c>
      <c r="AM170" s="371">
        <v>0.1</v>
      </c>
      <c r="AN170" s="372">
        <v>0</v>
      </c>
      <c r="AO170" s="371"/>
      <c r="AP170" s="373"/>
      <c r="AQ170" s="371"/>
      <c r="AR170" s="373"/>
      <c r="AS170" s="371"/>
      <c r="AT170" s="373"/>
      <c r="AU170" s="371"/>
      <c r="AV170" s="373"/>
      <c r="AW170" s="371"/>
      <c r="AX170" s="373"/>
      <c r="AY170" s="374">
        <f t="shared" si="80"/>
        <v>0.1</v>
      </c>
      <c r="AZ170" s="375">
        <f t="shared" si="80"/>
        <v>0</v>
      </c>
      <c r="BA170" s="359" t="s">
        <v>2475</v>
      </c>
      <c r="BB170" s="360" t="s">
        <v>60</v>
      </c>
      <c r="BC170" s="377"/>
      <c r="BD170" s="378"/>
      <c r="BF170" s="365">
        <v>0.11</v>
      </c>
      <c r="BG170" s="365"/>
      <c r="BH170" s="365"/>
      <c r="BI170" s="365"/>
      <c r="BJ170" s="365"/>
      <c r="BK170" s="365"/>
      <c r="BL170" s="363">
        <f t="shared" ref="BL170:BL186" si="85">SUM(BF170:BK170)</f>
        <v>0.11</v>
      </c>
    </row>
    <row r="171" spans="1:64" s="376" customFormat="1" ht="38.25" outlineLevel="1" x14ac:dyDescent="0.2">
      <c r="A171" s="359" t="s">
        <v>979</v>
      </c>
      <c r="B171" s="604" t="s">
        <v>2487</v>
      </c>
      <c r="C171" s="360" t="s">
        <v>61</v>
      </c>
      <c r="D171" s="361" t="s">
        <v>397</v>
      </c>
      <c r="E171" s="362" t="s">
        <v>364</v>
      </c>
      <c r="F171" s="361">
        <v>2013</v>
      </c>
      <c r="G171" s="361">
        <v>2014</v>
      </c>
      <c r="H171" s="363">
        <v>7.0000000000000007E-2</v>
      </c>
      <c r="I171" s="363">
        <v>7.0000000000000007E-2</v>
      </c>
      <c r="J171" s="363">
        <f t="shared" si="81"/>
        <v>7.0000000000000007E-2</v>
      </c>
      <c r="K171" s="362" t="s">
        <v>364</v>
      </c>
      <c r="L171" s="361"/>
      <c r="M171" s="361"/>
      <c r="N171" s="361"/>
      <c r="O171" s="361"/>
      <c r="P171" s="361"/>
      <c r="Q171" s="362" t="s">
        <v>364</v>
      </c>
      <c r="R171" s="365">
        <v>7.0000000000000007E-2</v>
      </c>
      <c r="S171" s="365"/>
      <c r="T171" s="365"/>
      <c r="U171" s="365"/>
      <c r="V171" s="365"/>
      <c r="W171" s="365"/>
      <c r="X171" s="363">
        <f t="shared" si="78"/>
        <v>7.0000000000000007E-2</v>
      </c>
      <c r="Y171" s="366"/>
      <c r="Z171" s="363"/>
      <c r="AA171" s="367"/>
      <c r="AB171" s="368">
        <f t="shared" si="83"/>
        <v>0</v>
      </c>
      <c r="AC171" s="369"/>
      <c r="AD171" s="365"/>
      <c r="AE171" s="363"/>
      <c r="AF171" s="363">
        <f>H171</f>
        <v>7.0000000000000007E-2</v>
      </c>
      <c r="AG171" s="363"/>
      <c r="AH171" s="363"/>
      <c r="AI171" s="363"/>
      <c r="AJ171" s="363"/>
      <c r="AK171" s="370"/>
      <c r="AL171" s="367">
        <f t="shared" si="79"/>
        <v>7.0000000000000007E-2</v>
      </c>
      <c r="AM171" s="371">
        <v>0</v>
      </c>
      <c r="AN171" s="372">
        <v>0</v>
      </c>
      <c r="AO171" s="371"/>
      <c r="AP171" s="373"/>
      <c r="AQ171" s="371"/>
      <c r="AR171" s="373"/>
      <c r="AS171" s="371"/>
      <c r="AT171" s="373"/>
      <c r="AU171" s="371"/>
      <c r="AV171" s="373"/>
      <c r="AW171" s="371"/>
      <c r="AX171" s="373"/>
      <c r="AY171" s="374">
        <f t="shared" ref="AY171:AZ230" si="86">AM171+AO171+AQ171+AS171+AU171+AW171</f>
        <v>0</v>
      </c>
      <c r="AZ171" s="375">
        <f t="shared" si="86"/>
        <v>0</v>
      </c>
      <c r="BA171" s="359" t="s">
        <v>2476</v>
      </c>
      <c r="BB171" s="360" t="s">
        <v>61</v>
      </c>
      <c r="BC171" s="377"/>
      <c r="BD171" s="378"/>
      <c r="BF171" s="365">
        <v>7.0000000000000007E-2</v>
      </c>
      <c r="BG171" s="365"/>
      <c r="BH171" s="365"/>
      <c r="BI171" s="365"/>
      <c r="BJ171" s="365"/>
      <c r="BK171" s="365"/>
      <c r="BL171" s="363">
        <f t="shared" si="85"/>
        <v>7.0000000000000007E-2</v>
      </c>
    </row>
    <row r="172" spans="1:64" s="376" customFormat="1" ht="102" outlineLevel="1" x14ac:dyDescent="0.2">
      <c r="A172" s="359" t="s">
        <v>982</v>
      </c>
      <c r="B172" s="604" t="s">
        <v>2488</v>
      </c>
      <c r="C172" s="360" t="s">
        <v>531</v>
      </c>
      <c r="D172" s="361" t="s">
        <v>397</v>
      </c>
      <c r="E172" s="362" t="s">
        <v>364</v>
      </c>
      <c r="F172" s="361">
        <v>2013</v>
      </c>
      <c r="G172" s="361">
        <v>2014</v>
      </c>
      <c r="H172" s="363">
        <v>0.17</v>
      </c>
      <c r="I172" s="363">
        <v>0.17</v>
      </c>
      <c r="J172" s="363">
        <f t="shared" si="81"/>
        <v>0.17</v>
      </c>
      <c r="K172" s="362" t="s">
        <v>364</v>
      </c>
      <c r="L172" s="361"/>
      <c r="M172" s="361"/>
      <c r="N172" s="361"/>
      <c r="O172" s="361"/>
      <c r="P172" s="361"/>
      <c r="Q172" s="362" t="s">
        <v>364</v>
      </c>
      <c r="R172" s="365">
        <v>0.17</v>
      </c>
      <c r="S172" s="365"/>
      <c r="T172" s="365"/>
      <c r="U172" s="365"/>
      <c r="V172" s="365"/>
      <c r="W172" s="365"/>
      <c r="X172" s="363">
        <f t="shared" si="78"/>
        <v>0.17</v>
      </c>
      <c r="Y172" s="366"/>
      <c r="Z172" s="363"/>
      <c r="AA172" s="367"/>
      <c r="AB172" s="368">
        <f t="shared" si="83"/>
        <v>0</v>
      </c>
      <c r="AC172" s="369"/>
      <c r="AD172" s="365"/>
      <c r="AE172" s="363"/>
      <c r="AF172" s="363">
        <f>H172</f>
        <v>0.17</v>
      </c>
      <c r="AG172" s="363"/>
      <c r="AH172" s="363"/>
      <c r="AI172" s="363"/>
      <c r="AJ172" s="363"/>
      <c r="AK172" s="370"/>
      <c r="AL172" s="367">
        <f t="shared" si="79"/>
        <v>0.17</v>
      </c>
      <c r="AM172" s="371">
        <v>0</v>
      </c>
      <c r="AN172" s="372">
        <v>0</v>
      </c>
      <c r="AO172" s="371"/>
      <c r="AP172" s="373"/>
      <c r="AQ172" s="371"/>
      <c r="AR172" s="373"/>
      <c r="AS172" s="371"/>
      <c r="AT172" s="373"/>
      <c r="AU172" s="371"/>
      <c r="AV172" s="373"/>
      <c r="AW172" s="371"/>
      <c r="AX172" s="373"/>
      <c r="AY172" s="374">
        <f t="shared" si="86"/>
        <v>0</v>
      </c>
      <c r="AZ172" s="375">
        <f t="shared" si="86"/>
        <v>0</v>
      </c>
      <c r="BA172" s="359" t="s">
        <v>2480</v>
      </c>
      <c r="BB172" s="360" t="s">
        <v>2546</v>
      </c>
      <c r="BC172" s="377"/>
      <c r="BD172" s="378"/>
      <c r="BF172" s="365">
        <v>0.17</v>
      </c>
      <c r="BG172" s="365"/>
      <c r="BH172" s="365"/>
      <c r="BI172" s="365"/>
      <c r="BJ172" s="365"/>
      <c r="BK172" s="365"/>
      <c r="BL172" s="363">
        <f t="shared" si="85"/>
        <v>0.17</v>
      </c>
    </row>
    <row r="173" spans="1:64" s="376" customFormat="1" ht="89.25" outlineLevel="1" x14ac:dyDescent="0.2">
      <c r="A173" s="359" t="s">
        <v>983</v>
      </c>
      <c r="B173" s="604" t="s">
        <v>2489</v>
      </c>
      <c r="C173" s="360" t="s">
        <v>2671</v>
      </c>
      <c r="D173" s="361" t="s">
        <v>397</v>
      </c>
      <c r="E173" s="362" t="s">
        <v>364</v>
      </c>
      <c r="F173" s="361">
        <v>2013</v>
      </c>
      <c r="G173" s="361">
        <v>2014</v>
      </c>
      <c r="H173" s="363">
        <v>0.11</v>
      </c>
      <c r="I173" s="363">
        <v>0.11</v>
      </c>
      <c r="J173" s="363">
        <f t="shared" si="81"/>
        <v>0.11</v>
      </c>
      <c r="K173" s="362" t="s">
        <v>364</v>
      </c>
      <c r="L173" s="361"/>
      <c r="M173" s="361"/>
      <c r="N173" s="361"/>
      <c r="O173" s="361"/>
      <c r="P173" s="361"/>
      <c r="Q173" s="362" t="s">
        <v>364</v>
      </c>
      <c r="R173" s="365">
        <v>0.11</v>
      </c>
      <c r="S173" s="365"/>
      <c r="T173" s="365"/>
      <c r="U173" s="365"/>
      <c r="V173" s="365"/>
      <c r="W173" s="365"/>
      <c r="X173" s="363">
        <f t="shared" si="78"/>
        <v>0.11</v>
      </c>
      <c r="Y173" s="366"/>
      <c r="Z173" s="363"/>
      <c r="AA173" s="367"/>
      <c r="AB173" s="368">
        <f t="shared" si="83"/>
        <v>0</v>
      </c>
      <c r="AC173" s="369"/>
      <c r="AD173" s="365"/>
      <c r="AE173" s="363"/>
      <c r="AF173" s="363">
        <f>H173</f>
        <v>0.11</v>
      </c>
      <c r="AG173" s="363"/>
      <c r="AH173" s="363"/>
      <c r="AI173" s="363"/>
      <c r="AJ173" s="363"/>
      <c r="AK173" s="370"/>
      <c r="AL173" s="367">
        <f t="shared" si="79"/>
        <v>0.11</v>
      </c>
      <c r="AM173" s="371">
        <v>0</v>
      </c>
      <c r="AN173" s="372">
        <v>0</v>
      </c>
      <c r="AO173" s="371"/>
      <c r="AP173" s="373"/>
      <c r="AQ173" s="371"/>
      <c r="AR173" s="373"/>
      <c r="AS173" s="371"/>
      <c r="AT173" s="373"/>
      <c r="AU173" s="371"/>
      <c r="AV173" s="373"/>
      <c r="AW173" s="371"/>
      <c r="AX173" s="373"/>
      <c r="AY173" s="374">
        <f t="shared" si="86"/>
        <v>0</v>
      </c>
      <c r="AZ173" s="375">
        <f t="shared" si="86"/>
        <v>0</v>
      </c>
      <c r="BA173" s="359" t="s">
        <v>2483</v>
      </c>
      <c r="BB173" s="360" t="s">
        <v>2547</v>
      </c>
      <c r="BC173" s="397" t="s">
        <v>1894</v>
      </c>
      <c r="BD173" s="378"/>
      <c r="BF173" s="365">
        <v>0.11</v>
      </c>
      <c r="BG173" s="365"/>
      <c r="BH173" s="365"/>
      <c r="BI173" s="365"/>
      <c r="BJ173" s="365"/>
      <c r="BK173" s="365"/>
      <c r="BL173" s="363">
        <f t="shared" si="85"/>
        <v>0.11</v>
      </c>
    </row>
    <row r="174" spans="1:64" s="376" customFormat="1" ht="76.5" outlineLevel="1" x14ac:dyDescent="0.2">
      <c r="A174" s="359" t="s">
        <v>984</v>
      </c>
      <c r="B174" s="604" t="s">
        <v>2490</v>
      </c>
      <c r="C174" s="360" t="s">
        <v>2555</v>
      </c>
      <c r="D174" s="361" t="s">
        <v>397</v>
      </c>
      <c r="E174" s="362" t="s">
        <v>364</v>
      </c>
      <c r="F174" s="361">
        <v>2013</v>
      </c>
      <c r="G174" s="361">
        <v>2014</v>
      </c>
      <c r="H174" s="363">
        <v>0.13</v>
      </c>
      <c r="I174" s="363">
        <v>0.13</v>
      </c>
      <c r="J174" s="363">
        <f t="shared" si="81"/>
        <v>0.13</v>
      </c>
      <c r="K174" s="362" t="s">
        <v>364</v>
      </c>
      <c r="L174" s="361"/>
      <c r="M174" s="361"/>
      <c r="N174" s="361"/>
      <c r="O174" s="361"/>
      <c r="P174" s="361"/>
      <c r="Q174" s="362" t="s">
        <v>364</v>
      </c>
      <c r="R174" s="365">
        <v>0.13</v>
      </c>
      <c r="S174" s="365"/>
      <c r="T174" s="365"/>
      <c r="U174" s="365"/>
      <c r="V174" s="365"/>
      <c r="W174" s="365"/>
      <c r="X174" s="363">
        <f t="shared" si="78"/>
        <v>0.13</v>
      </c>
      <c r="Y174" s="366"/>
      <c r="Z174" s="363"/>
      <c r="AA174" s="367"/>
      <c r="AB174" s="368">
        <f t="shared" si="83"/>
        <v>0</v>
      </c>
      <c r="AC174" s="369"/>
      <c r="AD174" s="365"/>
      <c r="AE174" s="363"/>
      <c r="AF174" s="363">
        <f>H174</f>
        <v>0.13</v>
      </c>
      <c r="AG174" s="363"/>
      <c r="AH174" s="363"/>
      <c r="AI174" s="363"/>
      <c r="AJ174" s="363"/>
      <c r="AK174" s="370"/>
      <c r="AL174" s="367">
        <f t="shared" si="79"/>
        <v>0.13</v>
      </c>
      <c r="AM174" s="371">
        <v>0</v>
      </c>
      <c r="AN174" s="372">
        <v>0</v>
      </c>
      <c r="AO174" s="371"/>
      <c r="AP174" s="373"/>
      <c r="AQ174" s="371"/>
      <c r="AR174" s="373"/>
      <c r="AS174" s="371"/>
      <c r="AT174" s="373"/>
      <c r="AU174" s="371"/>
      <c r="AV174" s="373"/>
      <c r="AW174" s="371"/>
      <c r="AX174" s="373"/>
      <c r="AY174" s="374">
        <f t="shared" si="86"/>
        <v>0</v>
      </c>
      <c r="AZ174" s="375">
        <f t="shared" si="86"/>
        <v>0</v>
      </c>
      <c r="BA174" s="359" t="s">
        <v>2484</v>
      </c>
      <c r="BB174" s="360" t="s">
        <v>2548</v>
      </c>
      <c r="BC174" s="377"/>
      <c r="BD174" s="378"/>
      <c r="BF174" s="365">
        <v>0.13</v>
      </c>
      <c r="BG174" s="365"/>
      <c r="BH174" s="365"/>
      <c r="BI174" s="365"/>
      <c r="BJ174" s="365"/>
      <c r="BK174" s="365"/>
      <c r="BL174" s="363">
        <f t="shared" si="85"/>
        <v>0.13</v>
      </c>
    </row>
    <row r="175" spans="1:64" s="376" customFormat="1" ht="127.5" outlineLevel="1" x14ac:dyDescent="0.2">
      <c r="A175" s="359" t="s">
        <v>986</v>
      </c>
      <c r="B175" s="604" t="s">
        <v>502</v>
      </c>
      <c r="C175" s="360" t="s">
        <v>532</v>
      </c>
      <c r="D175" s="361" t="s">
        <v>397</v>
      </c>
      <c r="E175" s="362" t="s">
        <v>1257</v>
      </c>
      <c r="F175" s="361">
        <v>2013</v>
      </c>
      <c r="G175" s="361">
        <v>2016</v>
      </c>
      <c r="H175" s="363">
        <v>5.5024300000000004</v>
      </c>
      <c r="I175" s="363">
        <v>5.33223</v>
      </c>
      <c r="J175" s="363">
        <f t="shared" si="81"/>
        <v>0.33</v>
      </c>
      <c r="K175" s="361"/>
      <c r="L175" s="361"/>
      <c r="M175" s="362" t="s">
        <v>1257</v>
      </c>
      <c r="N175" s="361"/>
      <c r="O175" s="361"/>
      <c r="P175" s="361"/>
      <c r="Q175" s="362" t="s">
        <v>1257</v>
      </c>
      <c r="R175" s="365">
        <v>0.33</v>
      </c>
      <c r="S175" s="365">
        <f>I175-R175</f>
        <v>5.00223</v>
      </c>
      <c r="T175" s="365"/>
      <c r="U175" s="365"/>
      <c r="V175" s="365"/>
      <c r="W175" s="365"/>
      <c r="X175" s="363">
        <f t="shared" si="78"/>
        <v>5.33223</v>
      </c>
      <c r="Y175" s="366"/>
      <c r="Z175" s="363"/>
      <c r="AA175" s="367"/>
      <c r="AB175" s="368">
        <f t="shared" si="83"/>
        <v>0</v>
      </c>
      <c r="AC175" s="369"/>
      <c r="AD175" s="365"/>
      <c r="AE175" s="363"/>
      <c r="AF175" s="363"/>
      <c r="AG175" s="363"/>
      <c r="AH175" s="363">
        <f>H175</f>
        <v>5.5024300000000004</v>
      </c>
      <c r="AI175" s="363"/>
      <c r="AJ175" s="363"/>
      <c r="AK175" s="370"/>
      <c r="AL175" s="367">
        <f t="shared" si="79"/>
        <v>5.5024300000000004</v>
      </c>
      <c r="AM175" s="371"/>
      <c r="AN175" s="372"/>
      <c r="AO175" s="371"/>
      <c r="AP175" s="373"/>
      <c r="AQ175" s="371">
        <v>1.5</v>
      </c>
      <c r="AR175" s="373">
        <v>0</v>
      </c>
      <c r="AS175" s="371"/>
      <c r="AT175" s="373"/>
      <c r="AU175" s="371"/>
      <c r="AV175" s="373"/>
      <c r="AW175" s="371"/>
      <c r="AX175" s="373"/>
      <c r="AY175" s="374">
        <f t="shared" si="86"/>
        <v>1.5</v>
      </c>
      <c r="AZ175" s="375">
        <f t="shared" si="86"/>
        <v>0</v>
      </c>
      <c r="BA175" s="359" t="s">
        <v>2486</v>
      </c>
      <c r="BB175" s="360" t="s">
        <v>2549</v>
      </c>
      <c r="BC175" s="377"/>
      <c r="BD175" s="378"/>
      <c r="BF175" s="365">
        <v>0.33</v>
      </c>
      <c r="BG175" s="365">
        <v>5</v>
      </c>
      <c r="BH175" s="365"/>
      <c r="BI175" s="365"/>
      <c r="BJ175" s="365"/>
      <c r="BK175" s="365"/>
      <c r="BL175" s="363">
        <f t="shared" si="85"/>
        <v>5.33</v>
      </c>
    </row>
    <row r="176" spans="1:64" s="376" customFormat="1" ht="102" outlineLevel="1" x14ac:dyDescent="0.2">
      <c r="A176" s="359" t="s">
        <v>1884</v>
      </c>
      <c r="B176" s="604" t="s">
        <v>1612</v>
      </c>
      <c r="C176" s="360" t="s">
        <v>62</v>
      </c>
      <c r="D176" s="361" t="s">
        <v>397</v>
      </c>
      <c r="E176" s="362" t="s">
        <v>364</v>
      </c>
      <c r="F176" s="361">
        <v>2013</v>
      </c>
      <c r="G176" s="361">
        <v>2014</v>
      </c>
      <c r="H176" s="363">
        <v>0.5</v>
      </c>
      <c r="I176" s="363">
        <v>0.49</v>
      </c>
      <c r="J176" s="363">
        <f t="shared" si="81"/>
        <v>0.49</v>
      </c>
      <c r="K176" s="361" t="s">
        <v>363</v>
      </c>
      <c r="L176" s="361"/>
      <c r="M176" s="362" t="s">
        <v>2386</v>
      </c>
      <c r="N176" s="361"/>
      <c r="O176" s="361"/>
      <c r="P176" s="361"/>
      <c r="Q176" s="362" t="s">
        <v>364</v>
      </c>
      <c r="R176" s="365">
        <v>0.49</v>
      </c>
      <c r="S176" s="365"/>
      <c r="T176" s="365"/>
      <c r="U176" s="365"/>
      <c r="V176" s="365"/>
      <c r="W176" s="365"/>
      <c r="X176" s="363">
        <f t="shared" si="78"/>
        <v>0.49</v>
      </c>
      <c r="Y176" s="366"/>
      <c r="Z176" s="363"/>
      <c r="AA176" s="367"/>
      <c r="AB176" s="368">
        <f t="shared" si="83"/>
        <v>0</v>
      </c>
      <c r="AC176" s="369"/>
      <c r="AD176" s="365"/>
      <c r="AE176" s="363"/>
      <c r="AF176" s="363">
        <f>H176</f>
        <v>0.5</v>
      </c>
      <c r="AG176" s="363"/>
      <c r="AH176" s="363"/>
      <c r="AI176" s="363"/>
      <c r="AJ176" s="363"/>
      <c r="AK176" s="370"/>
      <c r="AL176" s="367">
        <f t="shared" si="79"/>
        <v>0.5</v>
      </c>
      <c r="AM176" s="371">
        <v>0</v>
      </c>
      <c r="AN176" s="372">
        <v>0</v>
      </c>
      <c r="AO176" s="371"/>
      <c r="AP176" s="373"/>
      <c r="AQ176" s="371"/>
      <c r="AR176" s="373"/>
      <c r="AS176" s="371"/>
      <c r="AT176" s="373"/>
      <c r="AU176" s="371"/>
      <c r="AV176" s="373"/>
      <c r="AW176" s="371"/>
      <c r="AX176" s="373"/>
      <c r="AY176" s="374">
        <f t="shared" si="86"/>
        <v>0</v>
      </c>
      <c r="AZ176" s="375">
        <f t="shared" si="86"/>
        <v>0</v>
      </c>
      <c r="BA176" s="359" t="s">
        <v>502</v>
      </c>
      <c r="BB176" s="360" t="s">
        <v>62</v>
      </c>
      <c r="BC176" s="377"/>
      <c r="BD176" s="378"/>
      <c r="BF176" s="365">
        <v>0.49</v>
      </c>
      <c r="BG176" s="365"/>
      <c r="BH176" s="365"/>
      <c r="BI176" s="365"/>
      <c r="BJ176" s="365"/>
      <c r="BK176" s="365"/>
      <c r="BL176" s="363">
        <f t="shared" si="85"/>
        <v>0.49</v>
      </c>
    </row>
    <row r="177" spans="1:64" s="376" customFormat="1" ht="191.25" outlineLevel="1" x14ac:dyDescent="0.2">
      <c r="A177" s="610" t="s">
        <v>990</v>
      </c>
      <c r="B177" s="604" t="s">
        <v>1613</v>
      </c>
      <c r="C177" s="360" t="s">
        <v>2412</v>
      </c>
      <c r="D177" s="361" t="s">
        <v>397</v>
      </c>
      <c r="E177" s="362" t="s">
        <v>2711</v>
      </c>
      <c r="F177" s="361">
        <v>2013</v>
      </c>
      <c r="G177" s="361">
        <v>2014</v>
      </c>
      <c r="H177" s="363">
        <v>3</v>
      </c>
      <c r="I177" s="363">
        <v>2.9901</v>
      </c>
      <c r="J177" s="363">
        <f t="shared" si="81"/>
        <v>2.99</v>
      </c>
      <c r="K177" s="362" t="s">
        <v>2711</v>
      </c>
      <c r="L177" s="361"/>
      <c r="M177" s="364"/>
      <c r="N177" s="361"/>
      <c r="O177" s="361"/>
      <c r="P177" s="361"/>
      <c r="Q177" s="362" t="s">
        <v>2711</v>
      </c>
      <c r="R177" s="365">
        <v>2.99</v>
      </c>
      <c r="S177" s="365"/>
      <c r="T177" s="365"/>
      <c r="U177" s="365"/>
      <c r="V177" s="365"/>
      <c r="W177" s="365"/>
      <c r="X177" s="363">
        <f t="shared" si="78"/>
        <v>2.99</v>
      </c>
      <c r="Y177" s="366"/>
      <c r="Z177" s="363"/>
      <c r="AA177" s="367"/>
      <c r="AB177" s="368">
        <f t="shared" si="83"/>
        <v>9.9999999999766942E-5</v>
      </c>
      <c r="AC177" s="369"/>
      <c r="AD177" s="365"/>
      <c r="AE177" s="363"/>
      <c r="AF177" s="363">
        <f t="shared" ref="AF177:AF185" si="87">H177</f>
        <v>3</v>
      </c>
      <c r="AG177" s="363"/>
      <c r="AH177" s="363"/>
      <c r="AI177" s="363"/>
      <c r="AJ177" s="363"/>
      <c r="AK177" s="370"/>
      <c r="AL177" s="367">
        <f t="shared" si="79"/>
        <v>3</v>
      </c>
      <c r="AM177" s="371">
        <v>0</v>
      </c>
      <c r="AN177" s="372">
        <v>1.26</v>
      </c>
      <c r="AO177" s="371"/>
      <c r="AP177" s="373"/>
      <c r="AQ177" s="371"/>
      <c r="AR177" s="373"/>
      <c r="AS177" s="371"/>
      <c r="AT177" s="373"/>
      <c r="AU177" s="371"/>
      <c r="AV177" s="373"/>
      <c r="AW177" s="371"/>
      <c r="AX177" s="373"/>
      <c r="AY177" s="374">
        <f t="shared" si="86"/>
        <v>0</v>
      </c>
      <c r="AZ177" s="375">
        <f t="shared" si="86"/>
        <v>1.26</v>
      </c>
      <c r="BA177" s="359" t="s">
        <v>1615</v>
      </c>
      <c r="BB177" s="393" t="s">
        <v>2550</v>
      </c>
      <c r="BC177" s="377"/>
      <c r="BD177" s="378"/>
      <c r="BF177" s="365">
        <v>2.99</v>
      </c>
      <c r="BG177" s="365"/>
      <c r="BH177" s="365"/>
      <c r="BI177" s="365"/>
      <c r="BJ177" s="365"/>
      <c r="BK177" s="365"/>
      <c r="BL177" s="363">
        <f t="shared" si="85"/>
        <v>2.99</v>
      </c>
    </row>
    <row r="178" spans="1:64" s="376" customFormat="1" ht="76.5" outlineLevel="1" x14ac:dyDescent="0.2">
      <c r="A178" s="359" t="s">
        <v>991</v>
      </c>
      <c r="B178" s="604" t="s">
        <v>1614</v>
      </c>
      <c r="C178" s="360" t="s">
        <v>503</v>
      </c>
      <c r="D178" s="361" t="s">
        <v>397</v>
      </c>
      <c r="E178" s="362" t="s">
        <v>364</v>
      </c>
      <c r="F178" s="361">
        <v>2013</v>
      </c>
      <c r="G178" s="361">
        <v>2014</v>
      </c>
      <c r="H178" s="363">
        <v>0.05</v>
      </c>
      <c r="I178" s="363">
        <v>0.05</v>
      </c>
      <c r="J178" s="363">
        <f t="shared" si="81"/>
        <v>0.05</v>
      </c>
      <c r="K178" s="362" t="s">
        <v>364</v>
      </c>
      <c r="L178" s="361"/>
      <c r="M178" s="361"/>
      <c r="N178" s="361"/>
      <c r="O178" s="361"/>
      <c r="P178" s="361"/>
      <c r="Q178" s="362" t="s">
        <v>364</v>
      </c>
      <c r="R178" s="365">
        <v>0.05</v>
      </c>
      <c r="S178" s="365"/>
      <c r="T178" s="365"/>
      <c r="U178" s="365"/>
      <c r="V178" s="365"/>
      <c r="W178" s="365"/>
      <c r="X178" s="363">
        <f t="shared" si="78"/>
        <v>0.05</v>
      </c>
      <c r="Y178" s="366"/>
      <c r="Z178" s="363"/>
      <c r="AA178" s="367"/>
      <c r="AB178" s="368">
        <f t="shared" si="83"/>
        <v>0</v>
      </c>
      <c r="AC178" s="369"/>
      <c r="AD178" s="365"/>
      <c r="AE178" s="363"/>
      <c r="AF178" s="363">
        <f t="shared" si="87"/>
        <v>0.05</v>
      </c>
      <c r="AG178" s="363"/>
      <c r="AH178" s="363"/>
      <c r="AI178" s="363"/>
      <c r="AJ178" s="363"/>
      <c r="AK178" s="370"/>
      <c r="AL178" s="367">
        <f t="shared" si="79"/>
        <v>0.05</v>
      </c>
      <c r="AM178" s="371">
        <v>0</v>
      </c>
      <c r="AN178" s="372">
        <v>0</v>
      </c>
      <c r="AO178" s="371"/>
      <c r="AP178" s="373"/>
      <c r="AQ178" s="371"/>
      <c r="AR178" s="373"/>
      <c r="AS178" s="371"/>
      <c r="AT178" s="373"/>
      <c r="AU178" s="371"/>
      <c r="AV178" s="373"/>
      <c r="AW178" s="371"/>
      <c r="AX178" s="373"/>
      <c r="AY178" s="374">
        <f t="shared" si="86"/>
        <v>0</v>
      </c>
      <c r="AZ178" s="375">
        <f t="shared" si="86"/>
        <v>0</v>
      </c>
      <c r="BA178" s="359" t="s">
        <v>1617</v>
      </c>
      <c r="BB178" s="360" t="s">
        <v>503</v>
      </c>
      <c r="BC178" s="377"/>
      <c r="BD178" s="378"/>
      <c r="BF178" s="365">
        <v>0.05</v>
      </c>
      <c r="BG178" s="365"/>
      <c r="BH178" s="365"/>
      <c r="BI178" s="365"/>
      <c r="BJ178" s="365"/>
      <c r="BK178" s="365"/>
      <c r="BL178" s="363">
        <f t="shared" si="85"/>
        <v>0.05</v>
      </c>
    </row>
    <row r="179" spans="1:64" s="376" customFormat="1" ht="102" outlineLevel="1" x14ac:dyDescent="0.2">
      <c r="A179" s="359" t="s">
        <v>994</v>
      </c>
      <c r="B179" s="604" t="s">
        <v>1615</v>
      </c>
      <c r="C179" s="360" t="s">
        <v>533</v>
      </c>
      <c r="D179" s="361" t="s">
        <v>397</v>
      </c>
      <c r="E179" s="362" t="s">
        <v>365</v>
      </c>
      <c r="F179" s="361">
        <v>2013</v>
      </c>
      <c r="G179" s="361">
        <v>2014</v>
      </c>
      <c r="H179" s="363">
        <v>2</v>
      </c>
      <c r="I179" s="363">
        <v>1.901</v>
      </c>
      <c r="J179" s="363">
        <f t="shared" si="81"/>
        <v>1.901</v>
      </c>
      <c r="K179" s="362" t="s">
        <v>365</v>
      </c>
      <c r="L179" s="361"/>
      <c r="M179" s="361"/>
      <c r="N179" s="361"/>
      <c r="O179" s="361"/>
      <c r="P179" s="361"/>
      <c r="Q179" s="362" t="s">
        <v>365</v>
      </c>
      <c r="R179" s="365">
        <v>1.901</v>
      </c>
      <c r="S179" s="365"/>
      <c r="T179" s="365"/>
      <c r="U179" s="365"/>
      <c r="V179" s="365"/>
      <c r="W179" s="365"/>
      <c r="X179" s="363">
        <f t="shared" si="78"/>
        <v>1.901</v>
      </c>
      <c r="Y179" s="366"/>
      <c r="Z179" s="363"/>
      <c r="AA179" s="367"/>
      <c r="AB179" s="368">
        <f t="shared" si="83"/>
        <v>0</v>
      </c>
      <c r="AC179" s="369"/>
      <c r="AD179" s="365"/>
      <c r="AE179" s="363"/>
      <c r="AF179" s="363">
        <f t="shared" si="87"/>
        <v>2</v>
      </c>
      <c r="AG179" s="363"/>
      <c r="AH179" s="363"/>
      <c r="AI179" s="363"/>
      <c r="AJ179" s="363"/>
      <c r="AK179" s="370"/>
      <c r="AL179" s="367">
        <f t="shared" si="79"/>
        <v>2</v>
      </c>
      <c r="AM179" s="371">
        <v>0</v>
      </c>
      <c r="AN179" s="372">
        <v>0</v>
      </c>
      <c r="AO179" s="371"/>
      <c r="AP179" s="373"/>
      <c r="AQ179" s="371"/>
      <c r="AR179" s="373"/>
      <c r="AS179" s="371"/>
      <c r="AT179" s="373"/>
      <c r="AU179" s="371"/>
      <c r="AV179" s="373"/>
      <c r="AW179" s="371"/>
      <c r="AX179" s="373"/>
      <c r="AY179" s="374">
        <f t="shared" si="86"/>
        <v>0</v>
      </c>
      <c r="AZ179" s="375">
        <f t="shared" si="86"/>
        <v>0</v>
      </c>
      <c r="BA179" s="359" t="s">
        <v>1621</v>
      </c>
      <c r="BB179" s="360" t="s">
        <v>2551</v>
      </c>
      <c r="BC179" s="377"/>
      <c r="BD179" s="378"/>
      <c r="BF179" s="365">
        <v>1.901</v>
      </c>
      <c r="BG179" s="365"/>
      <c r="BH179" s="365"/>
      <c r="BI179" s="365"/>
      <c r="BJ179" s="365"/>
      <c r="BK179" s="365"/>
      <c r="BL179" s="363">
        <f t="shared" si="85"/>
        <v>1.901</v>
      </c>
    </row>
    <row r="180" spans="1:64" s="376" customFormat="1" ht="89.25" outlineLevel="1" x14ac:dyDescent="0.2">
      <c r="A180" s="359" t="s">
        <v>995</v>
      </c>
      <c r="B180" s="604" t="s">
        <v>1616</v>
      </c>
      <c r="C180" s="360" t="s">
        <v>534</v>
      </c>
      <c r="D180" s="361" t="s">
        <v>397</v>
      </c>
      <c r="E180" s="362" t="s">
        <v>364</v>
      </c>
      <c r="F180" s="361">
        <v>2013</v>
      </c>
      <c r="G180" s="361">
        <v>2014</v>
      </c>
      <c r="H180" s="363">
        <v>0.2</v>
      </c>
      <c r="I180" s="363">
        <v>0.2</v>
      </c>
      <c r="J180" s="363">
        <f t="shared" si="81"/>
        <v>0.2</v>
      </c>
      <c r="K180" s="362" t="s">
        <v>364</v>
      </c>
      <c r="L180" s="361"/>
      <c r="M180" s="361"/>
      <c r="N180" s="361"/>
      <c r="O180" s="361"/>
      <c r="P180" s="361"/>
      <c r="Q180" s="362" t="s">
        <v>364</v>
      </c>
      <c r="R180" s="365">
        <v>0.2</v>
      </c>
      <c r="S180" s="365"/>
      <c r="T180" s="365"/>
      <c r="U180" s="365"/>
      <c r="V180" s="365"/>
      <c r="W180" s="365"/>
      <c r="X180" s="363">
        <f t="shared" si="78"/>
        <v>0.2</v>
      </c>
      <c r="Y180" s="366"/>
      <c r="Z180" s="363"/>
      <c r="AA180" s="367"/>
      <c r="AB180" s="368">
        <f t="shared" si="83"/>
        <v>0</v>
      </c>
      <c r="AC180" s="369"/>
      <c r="AD180" s="365"/>
      <c r="AE180" s="363"/>
      <c r="AF180" s="363">
        <f t="shared" si="87"/>
        <v>0.2</v>
      </c>
      <c r="AG180" s="363"/>
      <c r="AH180" s="363"/>
      <c r="AI180" s="363"/>
      <c r="AJ180" s="363"/>
      <c r="AK180" s="370"/>
      <c r="AL180" s="367">
        <f t="shared" si="79"/>
        <v>0.2</v>
      </c>
      <c r="AM180" s="371">
        <v>0</v>
      </c>
      <c r="AN180" s="372">
        <v>0</v>
      </c>
      <c r="AO180" s="371"/>
      <c r="AP180" s="373"/>
      <c r="AQ180" s="371"/>
      <c r="AR180" s="373"/>
      <c r="AS180" s="371"/>
      <c r="AT180" s="373"/>
      <c r="AU180" s="371"/>
      <c r="AV180" s="373"/>
      <c r="AW180" s="371"/>
      <c r="AX180" s="373"/>
      <c r="AY180" s="374">
        <f t="shared" si="86"/>
        <v>0</v>
      </c>
      <c r="AZ180" s="375">
        <f t="shared" si="86"/>
        <v>0</v>
      </c>
      <c r="BA180" s="359" t="s">
        <v>1622</v>
      </c>
      <c r="BB180" s="360" t="s">
        <v>1837</v>
      </c>
      <c r="BC180" s="377"/>
      <c r="BD180" s="378"/>
      <c r="BF180" s="365">
        <v>0.2</v>
      </c>
      <c r="BG180" s="365"/>
      <c r="BH180" s="365"/>
      <c r="BI180" s="365"/>
      <c r="BJ180" s="365"/>
      <c r="BK180" s="365"/>
      <c r="BL180" s="363">
        <f t="shared" si="85"/>
        <v>0.2</v>
      </c>
    </row>
    <row r="181" spans="1:64" s="376" customFormat="1" ht="76.5" outlineLevel="1" x14ac:dyDescent="0.2">
      <c r="A181" s="359" t="s">
        <v>997</v>
      </c>
      <c r="B181" s="604" t="s">
        <v>1617</v>
      </c>
      <c r="C181" s="360" t="s">
        <v>535</v>
      </c>
      <c r="D181" s="361" t="s">
        <v>397</v>
      </c>
      <c r="E181" s="362" t="s">
        <v>364</v>
      </c>
      <c r="F181" s="361">
        <v>2013</v>
      </c>
      <c r="G181" s="361">
        <v>2014</v>
      </c>
      <c r="H181" s="363">
        <v>0.6</v>
      </c>
      <c r="I181" s="363">
        <v>0.57999999999999996</v>
      </c>
      <c r="J181" s="363">
        <f t="shared" si="81"/>
        <v>0.57999999999999996</v>
      </c>
      <c r="K181" s="361" t="s">
        <v>364</v>
      </c>
      <c r="L181" s="361"/>
      <c r="M181" s="362"/>
      <c r="N181" s="361"/>
      <c r="O181" s="361"/>
      <c r="P181" s="361"/>
      <c r="Q181" s="362" t="s">
        <v>364</v>
      </c>
      <c r="R181" s="365">
        <v>0.57999999999999996</v>
      </c>
      <c r="S181" s="365"/>
      <c r="T181" s="365"/>
      <c r="U181" s="365"/>
      <c r="V181" s="365"/>
      <c r="W181" s="365"/>
      <c r="X181" s="363">
        <f t="shared" si="78"/>
        <v>0.57999999999999996</v>
      </c>
      <c r="Y181" s="366"/>
      <c r="Z181" s="363"/>
      <c r="AA181" s="367"/>
      <c r="AB181" s="368">
        <f t="shared" si="83"/>
        <v>0</v>
      </c>
      <c r="AC181" s="369"/>
      <c r="AD181" s="365"/>
      <c r="AE181" s="363"/>
      <c r="AF181" s="363">
        <f t="shared" si="87"/>
        <v>0.6</v>
      </c>
      <c r="AG181" s="363"/>
      <c r="AH181" s="363"/>
      <c r="AI181" s="363"/>
      <c r="AJ181" s="363"/>
      <c r="AK181" s="370"/>
      <c r="AL181" s="367">
        <f t="shared" si="79"/>
        <v>0.6</v>
      </c>
      <c r="AM181" s="371">
        <v>0</v>
      </c>
      <c r="AN181" s="372">
        <v>0</v>
      </c>
      <c r="AO181" s="371"/>
      <c r="AP181" s="373"/>
      <c r="AQ181" s="371"/>
      <c r="AR181" s="373"/>
      <c r="AS181" s="371"/>
      <c r="AT181" s="373"/>
      <c r="AU181" s="371"/>
      <c r="AV181" s="373"/>
      <c r="AW181" s="371"/>
      <c r="AX181" s="373"/>
      <c r="AY181" s="374">
        <f t="shared" si="86"/>
        <v>0</v>
      </c>
      <c r="AZ181" s="375">
        <f t="shared" si="86"/>
        <v>0</v>
      </c>
      <c r="BA181" s="359" t="s">
        <v>1623</v>
      </c>
      <c r="BB181" s="360" t="s">
        <v>1838</v>
      </c>
      <c r="BC181" s="377"/>
      <c r="BD181" s="378"/>
      <c r="BF181" s="365">
        <v>0.57999999999999996</v>
      </c>
      <c r="BG181" s="365"/>
      <c r="BH181" s="365"/>
      <c r="BI181" s="365"/>
      <c r="BJ181" s="365"/>
      <c r="BK181" s="365"/>
      <c r="BL181" s="363">
        <f t="shared" si="85"/>
        <v>0.57999999999999996</v>
      </c>
    </row>
    <row r="182" spans="1:64" s="376" customFormat="1" ht="63.75" outlineLevel="1" x14ac:dyDescent="0.2">
      <c r="A182" s="359" t="s">
        <v>999</v>
      </c>
      <c r="B182" s="604" t="s">
        <v>1618</v>
      </c>
      <c r="C182" s="360" t="s">
        <v>1606</v>
      </c>
      <c r="D182" s="361" t="s">
        <v>397</v>
      </c>
      <c r="E182" s="362" t="s">
        <v>35</v>
      </c>
      <c r="F182" s="361">
        <v>2014</v>
      </c>
      <c r="G182" s="361">
        <v>2014</v>
      </c>
      <c r="H182" s="363">
        <v>2.0099999999999998</v>
      </c>
      <c r="I182" s="363">
        <v>2.0092999999999996</v>
      </c>
      <c r="J182" s="363">
        <f t="shared" si="81"/>
        <v>2.0093000000000001</v>
      </c>
      <c r="K182" s="362" t="s">
        <v>35</v>
      </c>
      <c r="L182" s="361"/>
      <c r="M182" s="364"/>
      <c r="N182" s="361"/>
      <c r="O182" s="361"/>
      <c r="P182" s="361"/>
      <c r="Q182" s="362" t="s">
        <v>35</v>
      </c>
      <c r="R182" s="365">
        <v>2.0093000000000001</v>
      </c>
      <c r="S182" s="365"/>
      <c r="T182" s="365"/>
      <c r="U182" s="365"/>
      <c r="V182" s="365"/>
      <c r="W182" s="365"/>
      <c r="X182" s="363">
        <f t="shared" si="78"/>
        <v>2.0093000000000001</v>
      </c>
      <c r="Y182" s="366"/>
      <c r="Z182" s="363"/>
      <c r="AA182" s="367"/>
      <c r="AB182" s="368">
        <f t="shared" si="83"/>
        <v>0</v>
      </c>
      <c r="AC182" s="369"/>
      <c r="AD182" s="365"/>
      <c r="AE182" s="363"/>
      <c r="AF182" s="363">
        <f t="shared" si="87"/>
        <v>2.0099999999999998</v>
      </c>
      <c r="AG182" s="363"/>
      <c r="AH182" s="363"/>
      <c r="AI182" s="363"/>
      <c r="AJ182" s="363"/>
      <c r="AK182" s="370"/>
      <c r="AL182" s="367">
        <f t="shared" si="79"/>
        <v>2.0099999999999998</v>
      </c>
      <c r="AM182" s="371">
        <v>1.7</v>
      </c>
      <c r="AN182" s="372">
        <v>0</v>
      </c>
      <c r="AO182" s="371"/>
      <c r="AP182" s="373"/>
      <c r="AQ182" s="371"/>
      <c r="AR182" s="373"/>
      <c r="AS182" s="371"/>
      <c r="AT182" s="373"/>
      <c r="AU182" s="371"/>
      <c r="AV182" s="373"/>
      <c r="AW182" s="371"/>
      <c r="AX182" s="373"/>
      <c r="AY182" s="374">
        <f t="shared" si="86"/>
        <v>1.7</v>
      </c>
      <c r="AZ182" s="375">
        <f t="shared" si="86"/>
        <v>0</v>
      </c>
      <c r="BA182" s="359" t="s">
        <v>1624</v>
      </c>
      <c r="BB182" s="360" t="s">
        <v>1606</v>
      </c>
      <c r="BC182" s="377"/>
      <c r="BD182" s="378"/>
      <c r="BF182" s="365">
        <v>2.0093000000000001</v>
      </c>
      <c r="BG182" s="365"/>
      <c r="BH182" s="365"/>
      <c r="BI182" s="365"/>
      <c r="BJ182" s="365"/>
      <c r="BK182" s="365"/>
      <c r="BL182" s="363">
        <f t="shared" si="85"/>
        <v>2.0093000000000001</v>
      </c>
    </row>
    <row r="183" spans="1:64" s="376" customFormat="1" ht="51" outlineLevel="1" x14ac:dyDescent="0.2">
      <c r="A183" s="359" t="s">
        <v>1001</v>
      </c>
      <c r="B183" s="604" t="s">
        <v>1619</v>
      </c>
      <c r="C183" s="360" t="s">
        <v>1607</v>
      </c>
      <c r="D183" s="361" t="s">
        <v>397</v>
      </c>
      <c r="E183" s="362" t="s">
        <v>364</v>
      </c>
      <c r="F183" s="361">
        <v>2013</v>
      </c>
      <c r="G183" s="361">
        <v>2014</v>
      </c>
      <c r="H183" s="363">
        <v>0.05</v>
      </c>
      <c r="I183" s="363">
        <v>0.05</v>
      </c>
      <c r="J183" s="363">
        <f t="shared" si="81"/>
        <v>0.05</v>
      </c>
      <c r="K183" s="362" t="s">
        <v>364</v>
      </c>
      <c r="L183" s="361"/>
      <c r="M183" s="361"/>
      <c r="N183" s="361"/>
      <c r="O183" s="361"/>
      <c r="P183" s="361"/>
      <c r="Q183" s="362" t="s">
        <v>364</v>
      </c>
      <c r="R183" s="365">
        <v>0.05</v>
      </c>
      <c r="S183" s="365"/>
      <c r="T183" s="365"/>
      <c r="U183" s="365"/>
      <c r="V183" s="365"/>
      <c r="W183" s="365"/>
      <c r="X183" s="363">
        <f t="shared" si="78"/>
        <v>0.05</v>
      </c>
      <c r="Y183" s="366"/>
      <c r="Z183" s="363"/>
      <c r="AA183" s="367"/>
      <c r="AB183" s="368">
        <f t="shared" si="83"/>
        <v>0</v>
      </c>
      <c r="AC183" s="369"/>
      <c r="AD183" s="365"/>
      <c r="AE183" s="363"/>
      <c r="AF183" s="363">
        <f t="shared" si="87"/>
        <v>0.05</v>
      </c>
      <c r="AG183" s="363"/>
      <c r="AH183" s="363"/>
      <c r="AI183" s="363"/>
      <c r="AJ183" s="363"/>
      <c r="AK183" s="370"/>
      <c r="AL183" s="367">
        <f t="shared" si="79"/>
        <v>0.05</v>
      </c>
      <c r="AM183" s="371">
        <v>0</v>
      </c>
      <c r="AN183" s="372">
        <v>0</v>
      </c>
      <c r="AO183" s="371"/>
      <c r="AP183" s="373"/>
      <c r="AQ183" s="371"/>
      <c r="AR183" s="373"/>
      <c r="AS183" s="371"/>
      <c r="AT183" s="373"/>
      <c r="AU183" s="371"/>
      <c r="AV183" s="373"/>
      <c r="AW183" s="371"/>
      <c r="AX183" s="373"/>
      <c r="AY183" s="374">
        <f t="shared" si="86"/>
        <v>0</v>
      </c>
      <c r="AZ183" s="375">
        <f t="shared" si="86"/>
        <v>0</v>
      </c>
      <c r="BA183" s="359" t="s">
        <v>1625</v>
      </c>
      <c r="BB183" s="360" t="s">
        <v>1607</v>
      </c>
      <c r="BC183" s="377"/>
      <c r="BD183" s="378"/>
      <c r="BF183" s="365">
        <v>0.05</v>
      </c>
      <c r="BG183" s="365"/>
      <c r="BH183" s="365"/>
      <c r="BI183" s="365"/>
      <c r="BJ183" s="365"/>
      <c r="BK183" s="365"/>
      <c r="BL183" s="363">
        <f t="shared" si="85"/>
        <v>0.05</v>
      </c>
    </row>
    <row r="184" spans="1:64" s="376" customFormat="1" ht="63.75" outlineLevel="1" x14ac:dyDescent="0.2">
      <c r="A184" s="359" t="s">
        <v>1003</v>
      </c>
      <c r="B184" s="604" t="s">
        <v>1620</v>
      </c>
      <c r="C184" s="360" t="s">
        <v>536</v>
      </c>
      <c r="D184" s="361" t="s">
        <v>397</v>
      </c>
      <c r="E184" s="362" t="s">
        <v>1241</v>
      </c>
      <c r="F184" s="361">
        <v>2013</v>
      </c>
      <c r="G184" s="361">
        <v>2014</v>
      </c>
      <c r="H184" s="363">
        <v>0.15</v>
      </c>
      <c r="I184" s="363">
        <v>0.15</v>
      </c>
      <c r="J184" s="363">
        <f t="shared" si="81"/>
        <v>0.15</v>
      </c>
      <c r="K184" s="362" t="s">
        <v>1241</v>
      </c>
      <c r="L184" s="361"/>
      <c r="M184" s="361"/>
      <c r="N184" s="361"/>
      <c r="O184" s="361"/>
      <c r="P184" s="361"/>
      <c r="Q184" s="362" t="s">
        <v>1241</v>
      </c>
      <c r="R184" s="365">
        <v>0.15</v>
      </c>
      <c r="S184" s="365"/>
      <c r="T184" s="365"/>
      <c r="U184" s="365"/>
      <c r="V184" s="365"/>
      <c r="W184" s="365"/>
      <c r="X184" s="363">
        <f t="shared" si="78"/>
        <v>0.15</v>
      </c>
      <c r="Y184" s="366"/>
      <c r="Z184" s="363"/>
      <c r="AA184" s="367"/>
      <c r="AB184" s="368">
        <f t="shared" si="83"/>
        <v>0</v>
      </c>
      <c r="AC184" s="369"/>
      <c r="AD184" s="365"/>
      <c r="AE184" s="363"/>
      <c r="AF184" s="363">
        <f t="shared" si="87"/>
        <v>0.15</v>
      </c>
      <c r="AG184" s="363"/>
      <c r="AH184" s="363"/>
      <c r="AI184" s="363"/>
      <c r="AJ184" s="363"/>
      <c r="AK184" s="370"/>
      <c r="AL184" s="367">
        <f t="shared" si="79"/>
        <v>0.15</v>
      </c>
      <c r="AM184" s="371">
        <v>0</v>
      </c>
      <c r="AN184" s="372">
        <v>0</v>
      </c>
      <c r="AO184" s="371"/>
      <c r="AP184" s="373"/>
      <c r="AQ184" s="371"/>
      <c r="AR184" s="373"/>
      <c r="AS184" s="371"/>
      <c r="AT184" s="373"/>
      <c r="AU184" s="371"/>
      <c r="AV184" s="373"/>
      <c r="AW184" s="371"/>
      <c r="AX184" s="373"/>
      <c r="AY184" s="374">
        <f t="shared" si="86"/>
        <v>0</v>
      </c>
      <c r="AZ184" s="375">
        <f t="shared" si="86"/>
        <v>0</v>
      </c>
      <c r="BA184" s="359" t="s">
        <v>1626</v>
      </c>
      <c r="BB184" s="360" t="s">
        <v>1839</v>
      </c>
      <c r="BC184" s="377"/>
      <c r="BD184" s="378"/>
      <c r="BF184" s="365">
        <v>0.15</v>
      </c>
      <c r="BG184" s="365"/>
      <c r="BH184" s="365"/>
      <c r="BI184" s="365"/>
      <c r="BJ184" s="365"/>
      <c r="BK184" s="365"/>
      <c r="BL184" s="363">
        <f t="shared" si="85"/>
        <v>0.15</v>
      </c>
    </row>
    <row r="185" spans="1:64" s="376" customFormat="1" ht="127.5" outlineLevel="1" x14ac:dyDescent="0.2">
      <c r="A185" s="359" t="s">
        <v>1006</v>
      </c>
      <c r="B185" s="604" t="s">
        <v>1621</v>
      </c>
      <c r="C185" s="360" t="s">
        <v>1895</v>
      </c>
      <c r="D185" s="361" t="s">
        <v>397</v>
      </c>
      <c r="E185" s="362" t="s">
        <v>364</v>
      </c>
      <c r="F185" s="361">
        <v>2013</v>
      </c>
      <c r="G185" s="361">
        <v>2014</v>
      </c>
      <c r="H185" s="363">
        <v>1.1000000000000001</v>
      </c>
      <c r="I185" s="363">
        <v>1.0336000000000001</v>
      </c>
      <c r="J185" s="363">
        <f t="shared" si="81"/>
        <v>1.0336000000000001</v>
      </c>
      <c r="K185" s="361" t="s">
        <v>364</v>
      </c>
      <c r="L185" s="361"/>
      <c r="M185" s="361"/>
      <c r="N185" s="362"/>
      <c r="O185" s="361"/>
      <c r="P185" s="361"/>
      <c r="Q185" s="362" t="s">
        <v>364</v>
      </c>
      <c r="R185" s="365">
        <v>1.0336000000000001</v>
      </c>
      <c r="S185" s="365"/>
      <c r="T185" s="365"/>
      <c r="U185" s="365"/>
      <c r="V185" s="365"/>
      <c r="W185" s="365"/>
      <c r="X185" s="363">
        <f t="shared" si="78"/>
        <v>1.0336000000000001</v>
      </c>
      <c r="Y185" s="366"/>
      <c r="Z185" s="363"/>
      <c r="AA185" s="367"/>
      <c r="AB185" s="368">
        <f t="shared" si="83"/>
        <v>0</v>
      </c>
      <c r="AC185" s="369"/>
      <c r="AD185" s="365"/>
      <c r="AE185" s="363"/>
      <c r="AF185" s="363">
        <f t="shared" si="87"/>
        <v>1.1000000000000001</v>
      </c>
      <c r="AG185" s="363"/>
      <c r="AH185" s="363"/>
      <c r="AI185" s="363"/>
      <c r="AJ185" s="363"/>
      <c r="AK185" s="370"/>
      <c r="AL185" s="367">
        <f t="shared" si="79"/>
        <v>1.1000000000000001</v>
      </c>
      <c r="AM185" s="371">
        <v>0</v>
      </c>
      <c r="AN185" s="372">
        <v>0</v>
      </c>
      <c r="AO185" s="371"/>
      <c r="AP185" s="373"/>
      <c r="AQ185" s="371"/>
      <c r="AR185" s="373"/>
      <c r="AS185" s="371"/>
      <c r="AT185" s="373"/>
      <c r="AU185" s="371"/>
      <c r="AV185" s="373"/>
      <c r="AW185" s="371"/>
      <c r="AX185" s="373"/>
      <c r="AY185" s="374">
        <f t="shared" si="86"/>
        <v>0</v>
      </c>
      <c r="AZ185" s="375">
        <f t="shared" si="86"/>
        <v>0</v>
      </c>
      <c r="BA185" s="359" t="s">
        <v>1627</v>
      </c>
      <c r="BB185" s="360" t="s">
        <v>1840</v>
      </c>
      <c r="BC185" s="397" t="s">
        <v>1896</v>
      </c>
      <c r="BD185" s="378"/>
      <c r="BF185" s="365">
        <v>1.0336000000000001</v>
      </c>
      <c r="BG185" s="365"/>
      <c r="BH185" s="365"/>
      <c r="BI185" s="365"/>
      <c r="BJ185" s="365"/>
      <c r="BK185" s="365"/>
      <c r="BL185" s="363">
        <f t="shared" si="85"/>
        <v>1.0336000000000001</v>
      </c>
    </row>
    <row r="186" spans="1:64" s="376" customFormat="1" ht="102" outlineLevel="1" x14ac:dyDescent="0.2">
      <c r="A186" s="359" t="s">
        <v>1008</v>
      </c>
      <c r="B186" s="604" t="s">
        <v>1622</v>
      </c>
      <c r="C186" s="360" t="s">
        <v>537</v>
      </c>
      <c r="D186" s="361" t="s">
        <v>397</v>
      </c>
      <c r="E186" s="362" t="s">
        <v>966</v>
      </c>
      <c r="F186" s="361">
        <v>2013</v>
      </c>
      <c r="G186" s="361">
        <v>2015</v>
      </c>
      <c r="H186" s="363">
        <v>1.0215700000000001</v>
      </c>
      <c r="I186" s="363">
        <v>0.71257000000000015</v>
      </c>
      <c r="J186" s="363">
        <f t="shared" si="81"/>
        <v>0.71</v>
      </c>
      <c r="K186" s="361"/>
      <c r="L186" s="361" t="s">
        <v>966</v>
      </c>
      <c r="M186" s="362"/>
      <c r="N186" s="361"/>
      <c r="O186" s="361"/>
      <c r="P186" s="361"/>
      <c r="Q186" s="362" t="s">
        <v>966</v>
      </c>
      <c r="R186" s="365">
        <v>0.71</v>
      </c>
      <c r="S186" s="365"/>
      <c r="T186" s="364"/>
      <c r="U186" s="365"/>
      <c r="V186" s="365"/>
      <c r="W186" s="365"/>
      <c r="X186" s="363">
        <f t="shared" si="78"/>
        <v>0.71</v>
      </c>
      <c r="Y186" s="366"/>
      <c r="Z186" s="363"/>
      <c r="AA186" s="367"/>
      <c r="AB186" s="368">
        <f t="shared" si="83"/>
        <v>2.5700000000001832E-3</v>
      </c>
      <c r="AC186" s="369"/>
      <c r="AD186" s="365"/>
      <c r="AE186" s="363"/>
      <c r="AF186" s="363"/>
      <c r="AG186" s="363">
        <f>H186</f>
        <v>1.0215700000000001</v>
      </c>
      <c r="AH186" s="363"/>
      <c r="AI186" s="363"/>
      <c r="AJ186" s="363"/>
      <c r="AK186" s="370"/>
      <c r="AL186" s="367">
        <f t="shared" si="79"/>
        <v>1.0215700000000001</v>
      </c>
      <c r="AM186" s="371"/>
      <c r="AN186" s="372"/>
      <c r="AO186" s="371">
        <v>1</v>
      </c>
      <c r="AP186" s="373">
        <v>0</v>
      </c>
      <c r="AQ186" s="371"/>
      <c r="AR186" s="373"/>
      <c r="AS186" s="371"/>
      <c r="AT186" s="373"/>
      <c r="AU186" s="371"/>
      <c r="AV186" s="373"/>
      <c r="AW186" s="371"/>
      <c r="AX186" s="373"/>
      <c r="AY186" s="374">
        <f t="shared" si="86"/>
        <v>1</v>
      </c>
      <c r="AZ186" s="375">
        <f t="shared" si="86"/>
        <v>0</v>
      </c>
      <c r="BA186" s="359" t="s">
        <v>1628</v>
      </c>
      <c r="BB186" s="360" t="s">
        <v>1841</v>
      </c>
      <c r="BC186" s="377"/>
      <c r="BD186" s="378"/>
      <c r="BF186" s="365">
        <v>0.71</v>
      </c>
      <c r="BG186" s="365"/>
      <c r="BH186" s="364"/>
      <c r="BI186" s="365"/>
      <c r="BJ186" s="365"/>
      <c r="BK186" s="365"/>
      <c r="BL186" s="363">
        <f t="shared" si="85"/>
        <v>0.71</v>
      </c>
    </row>
    <row r="187" spans="1:64" s="376" customFormat="1" ht="63.75" outlineLevel="1" x14ac:dyDescent="0.2">
      <c r="A187" s="359" t="s">
        <v>1011</v>
      </c>
      <c r="B187" s="604" t="s">
        <v>1623</v>
      </c>
      <c r="C187" s="360" t="s">
        <v>1608</v>
      </c>
      <c r="D187" s="361" t="s">
        <v>397</v>
      </c>
      <c r="E187" s="362" t="s">
        <v>364</v>
      </c>
      <c r="F187" s="361">
        <v>2013</v>
      </c>
      <c r="G187" s="361">
        <v>2014</v>
      </c>
      <c r="H187" s="363">
        <v>0.11</v>
      </c>
      <c r="I187" s="363">
        <v>0.11</v>
      </c>
      <c r="J187" s="363">
        <f t="shared" si="81"/>
        <v>0.11</v>
      </c>
      <c r="K187" s="362" t="s">
        <v>364</v>
      </c>
      <c r="L187" s="361"/>
      <c r="M187" s="361"/>
      <c r="N187" s="361"/>
      <c r="O187" s="361"/>
      <c r="P187" s="361"/>
      <c r="Q187" s="362" t="s">
        <v>364</v>
      </c>
      <c r="R187" s="365">
        <v>0.11</v>
      </c>
      <c r="S187" s="365"/>
      <c r="T187" s="365"/>
      <c r="U187" s="365"/>
      <c r="V187" s="365"/>
      <c r="W187" s="365"/>
      <c r="X187" s="363">
        <f t="shared" ref="X187:X235" si="88">SUM(R187:W187)</f>
        <v>0.11</v>
      </c>
      <c r="Y187" s="366"/>
      <c r="Z187" s="363"/>
      <c r="AA187" s="367"/>
      <c r="AB187" s="368">
        <f t="shared" si="83"/>
        <v>0</v>
      </c>
      <c r="AC187" s="369"/>
      <c r="AD187" s="365"/>
      <c r="AE187" s="363"/>
      <c r="AF187" s="363">
        <f>H187</f>
        <v>0.11</v>
      </c>
      <c r="AG187" s="363"/>
      <c r="AH187" s="363"/>
      <c r="AI187" s="363"/>
      <c r="AJ187" s="363"/>
      <c r="AK187" s="370"/>
      <c r="AL187" s="367">
        <f t="shared" ref="AL187:AL235" si="89">SUM(AF187:AK187)</f>
        <v>0.11</v>
      </c>
      <c r="AM187" s="371">
        <v>0</v>
      </c>
      <c r="AN187" s="372">
        <v>0</v>
      </c>
      <c r="AO187" s="371"/>
      <c r="AP187" s="373"/>
      <c r="AQ187" s="371"/>
      <c r="AR187" s="373"/>
      <c r="AS187" s="371"/>
      <c r="AT187" s="373"/>
      <c r="AU187" s="371"/>
      <c r="AV187" s="373"/>
      <c r="AW187" s="371"/>
      <c r="AX187" s="373"/>
      <c r="AY187" s="374">
        <f t="shared" si="86"/>
        <v>0</v>
      </c>
      <c r="AZ187" s="375">
        <f t="shared" si="86"/>
        <v>0</v>
      </c>
      <c r="BA187" s="359" t="s">
        <v>1630</v>
      </c>
      <c r="BB187" s="360" t="s">
        <v>1608</v>
      </c>
      <c r="BC187" s="377"/>
      <c r="BD187" s="378"/>
      <c r="BF187" s="365">
        <v>0.11</v>
      </c>
      <c r="BG187" s="365"/>
      <c r="BH187" s="365"/>
      <c r="BI187" s="365"/>
      <c r="BJ187" s="365"/>
      <c r="BK187" s="365"/>
      <c r="BL187" s="363">
        <f t="shared" ref="BL187:BL192" si="90">SUM(BF187:BK187)</f>
        <v>0.11</v>
      </c>
    </row>
    <row r="188" spans="1:64" s="376" customFormat="1" ht="51" outlineLevel="1" x14ac:dyDescent="0.2">
      <c r="A188" s="359" t="s">
        <v>1014</v>
      </c>
      <c r="B188" s="604" t="s">
        <v>1624</v>
      </c>
      <c r="C188" s="360" t="s">
        <v>1847</v>
      </c>
      <c r="D188" s="361" t="s">
        <v>397</v>
      </c>
      <c r="E188" s="362" t="s">
        <v>364</v>
      </c>
      <c r="F188" s="361">
        <v>2013</v>
      </c>
      <c r="G188" s="361">
        <v>2014</v>
      </c>
      <c r="H188" s="363">
        <v>1.1000000000000001</v>
      </c>
      <c r="I188" s="363">
        <v>1</v>
      </c>
      <c r="J188" s="363">
        <f t="shared" ref="J188:J241" si="91">R188</f>
        <v>1</v>
      </c>
      <c r="K188" s="362" t="s">
        <v>364</v>
      </c>
      <c r="L188" s="361"/>
      <c r="M188" s="361"/>
      <c r="N188" s="361"/>
      <c r="O188" s="361"/>
      <c r="P188" s="361"/>
      <c r="Q188" s="362" t="s">
        <v>364</v>
      </c>
      <c r="R188" s="365">
        <v>1</v>
      </c>
      <c r="S188" s="365"/>
      <c r="T188" s="365"/>
      <c r="U188" s="365"/>
      <c r="V188" s="365"/>
      <c r="W188" s="365"/>
      <c r="X188" s="363">
        <f t="shared" si="88"/>
        <v>1</v>
      </c>
      <c r="Y188" s="366"/>
      <c r="Z188" s="363"/>
      <c r="AA188" s="367"/>
      <c r="AB188" s="368">
        <f t="shared" si="83"/>
        <v>0</v>
      </c>
      <c r="AC188" s="369"/>
      <c r="AD188" s="365"/>
      <c r="AE188" s="363"/>
      <c r="AF188" s="363">
        <f>H188</f>
        <v>1.1000000000000001</v>
      </c>
      <c r="AG188" s="363"/>
      <c r="AH188" s="363"/>
      <c r="AI188" s="363"/>
      <c r="AJ188" s="363"/>
      <c r="AK188" s="370"/>
      <c r="AL188" s="367">
        <f t="shared" si="89"/>
        <v>1.1000000000000001</v>
      </c>
      <c r="AM188" s="371">
        <v>0</v>
      </c>
      <c r="AN188" s="372">
        <v>0</v>
      </c>
      <c r="AO188" s="371"/>
      <c r="AP188" s="373"/>
      <c r="AQ188" s="371"/>
      <c r="AR188" s="373"/>
      <c r="AS188" s="371"/>
      <c r="AT188" s="373"/>
      <c r="AU188" s="371"/>
      <c r="AV188" s="373"/>
      <c r="AW188" s="371"/>
      <c r="AX188" s="373"/>
      <c r="AY188" s="374">
        <f t="shared" si="86"/>
        <v>0</v>
      </c>
      <c r="AZ188" s="375">
        <f t="shared" si="86"/>
        <v>0</v>
      </c>
      <c r="BA188" s="359" t="s">
        <v>998</v>
      </c>
      <c r="BB188" s="360" t="s">
        <v>1842</v>
      </c>
      <c r="BC188" s="377"/>
      <c r="BD188" s="378"/>
      <c r="BF188" s="365">
        <v>1</v>
      </c>
      <c r="BG188" s="365"/>
      <c r="BH188" s="365"/>
      <c r="BI188" s="365"/>
      <c r="BJ188" s="365"/>
      <c r="BK188" s="365"/>
      <c r="BL188" s="363">
        <f t="shared" si="90"/>
        <v>1</v>
      </c>
    </row>
    <row r="189" spans="1:64" s="376" customFormat="1" ht="255" outlineLevel="1" x14ac:dyDescent="0.2">
      <c r="A189" s="359" t="s">
        <v>1017</v>
      </c>
      <c r="B189" s="604" t="s">
        <v>1625</v>
      </c>
      <c r="C189" s="360" t="s">
        <v>1848</v>
      </c>
      <c r="D189" s="361" t="s">
        <v>397</v>
      </c>
      <c r="E189" s="362" t="s">
        <v>1018</v>
      </c>
      <c r="F189" s="361">
        <v>2013</v>
      </c>
      <c r="G189" s="361">
        <v>2014</v>
      </c>
      <c r="H189" s="363">
        <v>1.5</v>
      </c>
      <c r="I189" s="363">
        <v>1.5</v>
      </c>
      <c r="J189" s="363">
        <f t="shared" si="91"/>
        <v>1.5</v>
      </c>
      <c r="K189" s="362" t="s">
        <v>1018</v>
      </c>
      <c r="L189" s="361"/>
      <c r="M189" s="361"/>
      <c r="N189" s="361"/>
      <c r="O189" s="361"/>
      <c r="P189" s="361"/>
      <c r="Q189" s="362" t="s">
        <v>1018</v>
      </c>
      <c r="R189" s="365">
        <v>1.5</v>
      </c>
      <c r="S189" s="365"/>
      <c r="T189" s="365"/>
      <c r="U189" s="365"/>
      <c r="V189" s="365"/>
      <c r="W189" s="365"/>
      <c r="X189" s="363">
        <f t="shared" si="88"/>
        <v>1.5</v>
      </c>
      <c r="Y189" s="366"/>
      <c r="Z189" s="363"/>
      <c r="AA189" s="367"/>
      <c r="AB189" s="368">
        <f t="shared" si="83"/>
        <v>0</v>
      </c>
      <c r="AC189" s="369"/>
      <c r="AD189" s="365"/>
      <c r="AE189" s="363"/>
      <c r="AF189" s="363">
        <f>H189</f>
        <v>1.5</v>
      </c>
      <c r="AG189" s="363"/>
      <c r="AH189" s="363"/>
      <c r="AI189" s="363"/>
      <c r="AJ189" s="363"/>
      <c r="AK189" s="370"/>
      <c r="AL189" s="367">
        <f t="shared" si="89"/>
        <v>1.5</v>
      </c>
      <c r="AM189" s="371">
        <v>0.3</v>
      </c>
      <c r="AN189" s="372">
        <v>0.25</v>
      </c>
      <c r="AO189" s="371"/>
      <c r="AP189" s="373"/>
      <c r="AQ189" s="371"/>
      <c r="AR189" s="373"/>
      <c r="AS189" s="371"/>
      <c r="AT189" s="373"/>
      <c r="AU189" s="371"/>
      <c r="AV189" s="373"/>
      <c r="AW189" s="371"/>
      <c r="AX189" s="373"/>
      <c r="AY189" s="374">
        <f t="shared" si="86"/>
        <v>0.3</v>
      </c>
      <c r="AZ189" s="375">
        <f t="shared" si="86"/>
        <v>0.25</v>
      </c>
      <c r="BA189" s="359" t="s">
        <v>1002</v>
      </c>
      <c r="BB189" s="393" t="s">
        <v>1843</v>
      </c>
      <c r="BC189" s="377"/>
      <c r="BD189" s="378"/>
      <c r="BF189" s="365">
        <v>1.5</v>
      </c>
      <c r="BG189" s="365"/>
      <c r="BH189" s="365"/>
      <c r="BI189" s="365"/>
      <c r="BJ189" s="365"/>
      <c r="BK189" s="365"/>
      <c r="BL189" s="363">
        <f t="shared" si="90"/>
        <v>1.5</v>
      </c>
    </row>
    <row r="190" spans="1:64" s="376" customFormat="1" ht="51" outlineLevel="1" x14ac:dyDescent="0.2">
      <c r="A190" s="359" t="s">
        <v>1022</v>
      </c>
      <c r="B190" s="604" t="s">
        <v>1626</v>
      </c>
      <c r="C190" s="360" t="s">
        <v>1609</v>
      </c>
      <c r="D190" s="361" t="s">
        <v>397</v>
      </c>
      <c r="E190" s="362" t="s">
        <v>364</v>
      </c>
      <c r="F190" s="361">
        <v>2013</v>
      </c>
      <c r="G190" s="361">
        <v>2014</v>
      </c>
      <c r="H190" s="363">
        <v>0.01</v>
      </c>
      <c r="I190" s="363">
        <v>0.01</v>
      </c>
      <c r="J190" s="363">
        <f t="shared" si="91"/>
        <v>0.01</v>
      </c>
      <c r="K190" s="362" t="s">
        <v>364</v>
      </c>
      <c r="L190" s="361"/>
      <c r="M190" s="361"/>
      <c r="N190" s="361"/>
      <c r="O190" s="361"/>
      <c r="P190" s="361"/>
      <c r="Q190" s="362" t="s">
        <v>364</v>
      </c>
      <c r="R190" s="365">
        <v>0.01</v>
      </c>
      <c r="S190" s="365"/>
      <c r="T190" s="365"/>
      <c r="U190" s="365"/>
      <c r="V190" s="365"/>
      <c r="W190" s="365"/>
      <c r="X190" s="363">
        <f t="shared" si="88"/>
        <v>0.01</v>
      </c>
      <c r="Y190" s="366"/>
      <c r="Z190" s="363"/>
      <c r="AA190" s="367"/>
      <c r="AB190" s="368">
        <f t="shared" si="83"/>
        <v>0</v>
      </c>
      <c r="AC190" s="369"/>
      <c r="AD190" s="365"/>
      <c r="AE190" s="363"/>
      <c r="AF190" s="363">
        <f>H190</f>
        <v>0.01</v>
      </c>
      <c r="AG190" s="363"/>
      <c r="AH190" s="363"/>
      <c r="AI190" s="363"/>
      <c r="AJ190" s="363"/>
      <c r="AK190" s="370"/>
      <c r="AL190" s="367">
        <f t="shared" si="89"/>
        <v>0.01</v>
      </c>
      <c r="AM190" s="371">
        <v>0</v>
      </c>
      <c r="AN190" s="372">
        <v>0</v>
      </c>
      <c r="AO190" s="371"/>
      <c r="AP190" s="373"/>
      <c r="AQ190" s="371"/>
      <c r="AR190" s="373"/>
      <c r="AS190" s="371"/>
      <c r="AT190" s="373"/>
      <c r="AU190" s="371"/>
      <c r="AV190" s="373"/>
      <c r="AW190" s="371"/>
      <c r="AX190" s="373"/>
      <c r="AY190" s="374">
        <f t="shared" si="86"/>
        <v>0</v>
      </c>
      <c r="AZ190" s="375">
        <f t="shared" si="86"/>
        <v>0</v>
      </c>
      <c r="BA190" s="359" t="s">
        <v>1005</v>
      </c>
      <c r="BB190" s="360" t="s">
        <v>1609</v>
      </c>
      <c r="BC190" s="377"/>
      <c r="BD190" s="378"/>
      <c r="BF190" s="365">
        <v>0.01</v>
      </c>
      <c r="BG190" s="365"/>
      <c r="BH190" s="365"/>
      <c r="BI190" s="365"/>
      <c r="BJ190" s="365"/>
      <c r="BK190" s="365"/>
      <c r="BL190" s="363">
        <f t="shared" si="90"/>
        <v>0.01</v>
      </c>
    </row>
    <row r="191" spans="1:64" s="376" customFormat="1" ht="102" outlineLevel="1" x14ac:dyDescent="0.2">
      <c r="A191" s="359" t="s">
        <v>1026</v>
      </c>
      <c r="B191" s="604" t="s">
        <v>1627</v>
      </c>
      <c r="C191" s="360" t="s">
        <v>2672</v>
      </c>
      <c r="D191" s="361" t="s">
        <v>397</v>
      </c>
      <c r="E191" s="362" t="s">
        <v>364</v>
      </c>
      <c r="F191" s="361">
        <v>2013</v>
      </c>
      <c r="G191" s="361">
        <v>2014</v>
      </c>
      <c r="H191" s="363">
        <v>0.11</v>
      </c>
      <c r="I191" s="363">
        <v>0.11</v>
      </c>
      <c r="J191" s="363">
        <f t="shared" si="91"/>
        <v>0.11</v>
      </c>
      <c r="K191" s="362" t="s">
        <v>364</v>
      </c>
      <c r="L191" s="361"/>
      <c r="M191" s="361"/>
      <c r="N191" s="361"/>
      <c r="O191" s="361"/>
      <c r="P191" s="361"/>
      <c r="Q191" s="362" t="s">
        <v>364</v>
      </c>
      <c r="R191" s="365">
        <v>0.11</v>
      </c>
      <c r="S191" s="365"/>
      <c r="T191" s="365"/>
      <c r="U191" s="365"/>
      <c r="V191" s="365"/>
      <c r="W191" s="365"/>
      <c r="X191" s="363">
        <f t="shared" si="88"/>
        <v>0.11</v>
      </c>
      <c r="Y191" s="366"/>
      <c r="Z191" s="363"/>
      <c r="AA191" s="367"/>
      <c r="AB191" s="368">
        <f t="shared" si="83"/>
        <v>0</v>
      </c>
      <c r="AC191" s="369"/>
      <c r="AD191" s="365"/>
      <c r="AE191" s="363"/>
      <c r="AF191" s="363">
        <f>H191</f>
        <v>0.11</v>
      </c>
      <c r="AG191" s="363"/>
      <c r="AH191" s="363"/>
      <c r="AI191" s="363"/>
      <c r="AJ191" s="363"/>
      <c r="AK191" s="370"/>
      <c r="AL191" s="367">
        <f t="shared" si="89"/>
        <v>0.11</v>
      </c>
      <c r="AM191" s="371">
        <v>0</v>
      </c>
      <c r="AN191" s="372">
        <v>0</v>
      </c>
      <c r="AO191" s="371"/>
      <c r="AP191" s="373"/>
      <c r="AQ191" s="371"/>
      <c r="AR191" s="373"/>
      <c r="AS191" s="371"/>
      <c r="AT191" s="373"/>
      <c r="AU191" s="371"/>
      <c r="AV191" s="373"/>
      <c r="AW191" s="371"/>
      <c r="AX191" s="373"/>
      <c r="AY191" s="374">
        <f t="shared" si="86"/>
        <v>0</v>
      </c>
      <c r="AZ191" s="375">
        <f t="shared" si="86"/>
        <v>0</v>
      </c>
      <c r="BA191" s="359" t="s">
        <v>1009</v>
      </c>
      <c r="BB191" s="360" t="s">
        <v>1844</v>
      </c>
      <c r="BC191" s="377"/>
      <c r="BD191" s="378"/>
      <c r="BF191" s="365">
        <v>0.11</v>
      </c>
      <c r="BG191" s="365"/>
      <c r="BH191" s="365"/>
      <c r="BI191" s="365"/>
      <c r="BJ191" s="365"/>
      <c r="BK191" s="365"/>
      <c r="BL191" s="363">
        <f t="shared" si="90"/>
        <v>0.11</v>
      </c>
    </row>
    <row r="192" spans="1:64" s="376" customFormat="1" ht="89.25" outlineLevel="1" x14ac:dyDescent="0.2">
      <c r="A192" s="359" t="s">
        <v>1037</v>
      </c>
      <c r="B192" s="604" t="s">
        <v>1628</v>
      </c>
      <c r="C192" s="360" t="s">
        <v>1849</v>
      </c>
      <c r="D192" s="361" t="s">
        <v>397</v>
      </c>
      <c r="E192" s="362" t="s">
        <v>363</v>
      </c>
      <c r="F192" s="361">
        <v>2013</v>
      </c>
      <c r="G192" s="361">
        <v>2015</v>
      </c>
      <c r="H192" s="363">
        <v>7.2329999999999997</v>
      </c>
      <c r="I192" s="363">
        <v>7.2262999999999993</v>
      </c>
      <c r="J192" s="363">
        <f t="shared" si="91"/>
        <v>0.7</v>
      </c>
      <c r="K192" s="361"/>
      <c r="L192" s="361" t="s">
        <v>363</v>
      </c>
      <c r="M192" s="362"/>
      <c r="N192" s="361"/>
      <c r="O192" s="361"/>
      <c r="P192" s="361"/>
      <c r="Q192" s="362" t="s">
        <v>363</v>
      </c>
      <c r="R192" s="365">
        <v>0.7</v>
      </c>
      <c r="S192" s="365">
        <f>I192-R192</f>
        <v>6.5262999999999991</v>
      </c>
      <c r="T192" s="365"/>
      <c r="U192" s="365"/>
      <c r="V192" s="365"/>
      <c r="W192" s="365"/>
      <c r="X192" s="363">
        <f t="shared" si="88"/>
        <v>7.2262999999999993</v>
      </c>
      <c r="Y192" s="366"/>
      <c r="Z192" s="363"/>
      <c r="AA192" s="367"/>
      <c r="AB192" s="368">
        <f t="shared" si="83"/>
        <v>0</v>
      </c>
      <c r="AC192" s="369"/>
      <c r="AD192" s="365"/>
      <c r="AE192" s="363"/>
      <c r="AG192" s="363">
        <f>H192</f>
        <v>7.2329999999999997</v>
      </c>
      <c r="AH192" s="363"/>
      <c r="AI192" s="363"/>
      <c r="AJ192" s="363"/>
      <c r="AK192" s="370"/>
      <c r="AL192" s="367">
        <f>SUM(AG192:AK192)</f>
        <v>7.2329999999999997</v>
      </c>
      <c r="AM192" s="371"/>
      <c r="AN192" s="372"/>
      <c r="AO192" s="371">
        <v>0</v>
      </c>
      <c r="AP192" s="373">
        <v>0</v>
      </c>
      <c r="AQ192" s="371"/>
      <c r="AR192" s="373"/>
      <c r="AS192" s="371"/>
      <c r="AT192" s="373"/>
      <c r="AU192" s="371"/>
      <c r="AV192" s="373"/>
      <c r="AW192" s="371"/>
      <c r="AX192" s="373"/>
      <c r="AY192" s="374">
        <f>AM192+AO192+AQ192+AS192+AU192+AW192</f>
        <v>0</v>
      </c>
      <c r="AZ192" s="375">
        <f>AN192+AP192+AR192+AT192+AV192+AX192</f>
        <v>0</v>
      </c>
      <c r="BA192" s="359" t="s">
        <v>1023</v>
      </c>
      <c r="BB192" s="360" t="s">
        <v>1845</v>
      </c>
      <c r="BC192" s="377"/>
      <c r="BD192" s="378"/>
      <c r="BF192" s="365">
        <v>0.7</v>
      </c>
      <c r="BG192" s="365">
        <v>6.5262999999999991</v>
      </c>
      <c r="BH192" s="365"/>
      <c r="BI192" s="365"/>
      <c r="BJ192" s="365"/>
      <c r="BK192" s="365"/>
      <c r="BL192" s="363">
        <f t="shared" si="90"/>
        <v>7.2262999999999993</v>
      </c>
    </row>
    <row r="193" spans="1:64" s="376" customFormat="1" ht="114.95" customHeight="1" outlineLevel="1" x14ac:dyDescent="0.2">
      <c r="A193" s="359" t="s">
        <v>1039</v>
      </c>
      <c r="B193" s="604" t="s">
        <v>1629</v>
      </c>
      <c r="C193" s="360" t="s">
        <v>63</v>
      </c>
      <c r="D193" s="361" t="s">
        <v>397</v>
      </c>
      <c r="E193" s="362" t="s">
        <v>2352</v>
      </c>
      <c r="F193" s="361">
        <v>2014</v>
      </c>
      <c r="G193" s="361">
        <v>2015</v>
      </c>
      <c r="H193" s="363">
        <v>1.86</v>
      </c>
      <c r="I193" s="363">
        <v>1.86</v>
      </c>
      <c r="J193" s="363">
        <f t="shared" si="91"/>
        <v>1.86</v>
      </c>
      <c r="K193" s="361"/>
      <c r="L193" s="362" t="s">
        <v>2352</v>
      </c>
      <c r="M193" s="362"/>
      <c r="N193" s="361"/>
      <c r="O193" s="361"/>
      <c r="P193" s="361"/>
      <c r="Q193" s="362" t="s">
        <v>2352</v>
      </c>
      <c r="R193" s="365">
        <v>1.86</v>
      </c>
      <c r="S193" s="365"/>
      <c r="T193" s="365"/>
      <c r="U193" s="365"/>
      <c r="V193" s="365"/>
      <c r="W193" s="365"/>
      <c r="X193" s="363">
        <f>SUM(R193:W193)</f>
        <v>1.86</v>
      </c>
      <c r="Y193" s="366"/>
      <c r="Z193" s="363"/>
      <c r="AA193" s="367"/>
      <c r="AB193" s="368">
        <f t="shared" si="83"/>
        <v>0</v>
      </c>
      <c r="AC193" s="369"/>
      <c r="AD193" s="365"/>
      <c r="AE193" s="363"/>
      <c r="AF193" s="363"/>
      <c r="AG193" s="363">
        <f>H193</f>
        <v>1.86</v>
      </c>
      <c r="AH193" s="363"/>
      <c r="AI193" s="363"/>
      <c r="AJ193" s="363"/>
      <c r="AK193" s="370"/>
      <c r="AL193" s="367">
        <f>SUM(AF193:AK193)</f>
        <v>1.86</v>
      </c>
      <c r="AM193" s="371"/>
      <c r="AN193" s="372"/>
      <c r="AO193" s="371">
        <v>1.45</v>
      </c>
      <c r="AP193" s="373">
        <v>0</v>
      </c>
      <c r="AQ193" s="371"/>
      <c r="AR193" s="373"/>
      <c r="AS193" s="371"/>
      <c r="AT193" s="373"/>
      <c r="AU193" s="371"/>
      <c r="AV193" s="373"/>
      <c r="AW193" s="371"/>
      <c r="AX193" s="373"/>
      <c r="AY193" s="374">
        <f t="shared" si="86"/>
        <v>1.45</v>
      </c>
      <c r="AZ193" s="375">
        <f t="shared" si="86"/>
        <v>0</v>
      </c>
      <c r="BA193" s="359" t="s">
        <v>1025</v>
      </c>
      <c r="BB193" s="393" t="s">
        <v>63</v>
      </c>
      <c r="BC193" s="397" t="s">
        <v>1897</v>
      </c>
      <c r="BD193" s="378"/>
      <c r="BF193" s="365">
        <v>1.86</v>
      </c>
      <c r="BG193" s="365"/>
      <c r="BH193" s="365"/>
      <c r="BI193" s="365"/>
      <c r="BJ193" s="365"/>
      <c r="BK193" s="365"/>
      <c r="BL193" s="363">
        <f>SUM(BF193:BK193)</f>
        <v>1.86</v>
      </c>
    </row>
    <row r="194" spans="1:64" s="376" customFormat="1" ht="191.25" outlineLevel="1" x14ac:dyDescent="0.2">
      <c r="A194" s="359" t="s">
        <v>2508</v>
      </c>
      <c r="B194" s="604" t="s">
        <v>1630</v>
      </c>
      <c r="C194" s="360" t="s">
        <v>2673</v>
      </c>
      <c r="D194" s="361" t="s">
        <v>397</v>
      </c>
      <c r="E194" s="362" t="s">
        <v>2712</v>
      </c>
      <c r="F194" s="361">
        <v>2013</v>
      </c>
      <c r="G194" s="361">
        <v>2014</v>
      </c>
      <c r="H194" s="363">
        <v>2.0099999999999998</v>
      </c>
      <c r="I194" s="363">
        <v>2.0099999999999998</v>
      </c>
      <c r="J194" s="363">
        <f t="shared" si="91"/>
        <v>2.0099999999999998</v>
      </c>
      <c r="K194" s="362" t="s">
        <v>2712</v>
      </c>
      <c r="L194" s="361"/>
      <c r="M194" s="361"/>
      <c r="N194" s="361"/>
      <c r="O194" s="361"/>
      <c r="P194" s="361"/>
      <c r="Q194" s="362" t="s">
        <v>2712</v>
      </c>
      <c r="R194" s="365">
        <v>2.0099999999999998</v>
      </c>
      <c r="S194" s="365"/>
      <c r="T194" s="365"/>
      <c r="U194" s="365"/>
      <c r="V194" s="365"/>
      <c r="W194" s="365"/>
      <c r="X194" s="363">
        <f t="shared" si="88"/>
        <v>2.0099999999999998</v>
      </c>
      <c r="Y194" s="366"/>
      <c r="Z194" s="363"/>
      <c r="AA194" s="367"/>
      <c r="AB194" s="368">
        <f t="shared" si="83"/>
        <v>0</v>
      </c>
      <c r="AC194" s="369"/>
      <c r="AD194" s="365"/>
      <c r="AE194" s="363"/>
      <c r="AF194" s="363">
        <f>H194</f>
        <v>2.0099999999999998</v>
      </c>
      <c r="AG194" s="363"/>
      <c r="AH194" s="363"/>
      <c r="AI194" s="363"/>
      <c r="AJ194" s="363"/>
      <c r="AK194" s="370"/>
      <c r="AL194" s="367">
        <f t="shared" si="89"/>
        <v>2.0099999999999998</v>
      </c>
      <c r="AM194" s="371">
        <v>0.01</v>
      </c>
      <c r="AN194" s="372">
        <v>1.26</v>
      </c>
      <c r="AO194" s="371"/>
      <c r="AP194" s="373"/>
      <c r="AQ194" s="371"/>
      <c r="AR194" s="373"/>
      <c r="AS194" s="371"/>
      <c r="AT194" s="373"/>
      <c r="AU194" s="371"/>
      <c r="AV194" s="373"/>
      <c r="AW194" s="371"/>
      <c r="AX194" s="373"/>
      <c r="AY194" s="374">
        <f t="shared" si="86"/>
        <v>0.01</v>
      </c>
      <c r="AZ194" s="375">
        <f t="shared" si="86"/>
        <v>1.26</v>
      </c>
      <c r="BA194" s="359" t="s">
        <v>1027</v>
      </c>
      <c r="BB194" s="393" t="s">
        <v>1846</v>
      </c>
      <c r="BC194" s="377"/>
      <c r="BD194" s="378"/>
      <c r="BF194" s="365">
        <v>2.0099999999999998</v>
      </c>
      <c r="BG194" s="365"/>
      <c r="BH194" s="365"/>
      <c r="BI194" s="365"/>
      <c r="BJ194" s="365"/>
      <c r="BK194" s="365"/>
      <c r="BL194" s="363">
        <f t="shared" ref="BL194:BL230" si="92">SUM(BF194:BK194)</f>
        <v>2.0099999999999998</v>
      </c>
    </row>
    <row r="195" spans="1:64" s="376" customFormat="1" ht="102" outlineLevel="1" x14ac:dyDescent="0.2">
      <c r="A195" s="359" t="s">
        <v>2552</v>
      </c>
      <c r="B195" s="604" t="s">
        <v>996</v>
      </c>
      <c r="C195" s="360" t="s">
        <v>1850</v>
      </c>
      <c r="D195" s="361" t="s">
        <v>397</v>
      </c>
      <c r="E195" s="362" t="s">
        <v>364</v>
      </c>
      <c r="F195" s="361">
        <v>2013</v>
      </c>
      <c r="G195" s="361">
        <v>2014</v>
      </c>
      <c r="H195" s="363">
        <v>1.01</v>
      </c>
      <c r="I195" s="363">
        <v>0.98</v>
      </c>
      <c r="J195" s="363">
        <f t="shared" si="91"/>
        <v>0.98</v>
      </c>
      <c r="K195" s="361" t="s">
        <v>364</v>
      </c>
      <c r="L195" s="361"/>
      <c r="M195" s="361"/>
      <c r="N195" s="362"/>
      <c r="O195" s="361"/>
      <c r="P195" s="361"/>
      <c r="Q195" s="362" t="s">
        <v>364</v>
      </c>
      <c r="R195" s="365">
        <v>0.98</v>
      </c>
      <c r="S195" s="365"/>
      <c r="T195" s="365"/>
      <c r="U195" s="365"/>
      <c r="V195" s="365"/>
      <c r="W195" s="365"/>
      <c r="X195" s="363">
        <f t="shared" si="88"/>
        <v>0.98</v>
      </c>
      <c r="Y195" s="366"/>
      <c r="Z195" s="363"/>
      <c r="AA195" s="367"/>
      <c r="AB195" s="368">
        <f t="shared" si="83"/>
        <v>0</v>
      </c>
      <c r="AC195" s="369"/>
      <c r="AD195" s="365"/>
      <c r="AE195" s="363"/>
      <c r="AF195" s="363">
        <f>H195</f>
        <v>1.01</v>
      </c>
      <c r="AG195" s="363"/>
      <c r="AH195" s="363"/>
      <c r="AI195" s="363"/>
      <c r="AJ195" s="363"/>
      <c r="AK195" s="370"/>
      <c r="AL195" s="367">
        <f t="shared" si="89"/>
        <v>1.01</v>
      </c>
      <c r="AM195" s="371">
        <v>0</v>
      </c>
      <c r="AN195" s="372">
        <v>0</v>
      </c>
      <c r="AO195" s="371"/>
      <c r="AP195" s="373"/>
      <c r="AQ195" s="371"/>
      <c r="AR195" s="373"/>
      <c r="AS195" s="371"/>
      <c r="AT195" s="373"/>
      <c r="AU195" s="371"/>
      <c r="AV195" s="373"/>
      <c r="AW195" s="371"/>
      <c r="AX195" s="373"/>
      <c r="AY195" s="374">
        <f t="shared" si="86"/>
        <v>0</v>
      </c>
      <c r="AZ195" s="375">
        <f t="shared" si="86"/>
        <v>0</v>
      </c>
      <c r="BA195" s="359" t="s">
        <v>1028</v>
      </c>
      <c r="BB195" s="393" t="s">
        <v>2623</v>
      </c>
      <c r="BC195" s="377"/>
      <c r="BD195" s="378"/>
      <c r="BF195" s="365">
        <v>0.98</v>
      </c>
      <c r="BG195" s="365"/>
      <c r="BH195" s="365"/>
      <c r="BI195" s="365"/>
      <c r="BJ195" s="365"/>
      <c r="BK195" s="365"/>
      <c r="BL195" s="363">
        <f t="shared" si="92"/>
        <v>0.98</v>
      </c>
    </row>
    <row r="196" spans="1:64" s="376" customFormat="1" ht="89.25" outlineLevel="1" x14ac:dyDescent="0.2">
      <c r="A196" s="359" t="s">
        <v>1042</v>
      </c>
      <c r="B196" s="604" t="s">
        <v>998</v>
      </c>
      <c r="C196" s="360" t="s">
        <v>2413</v>
      </c>
      <c r="D196" s="361" t="s">
        <v>397</v>
      </c>
      <c r="E196" s="362" t="s">
        <v>364</v>
      </c>
      <c r="F196" s="361">
        <v>2014</v>
      </c>
      <c r="G196" s="361">
        <v>2014</v>
      </c>
      <c r="H196" s="363">
        <v>1.5</v>
      </c>
      <c r="I196" s="363">
        <v>1.5</v>
      </c>
      <c r="J196" s="363">
        <f t="shared" si="91"/>
        <v>1.5</v>
      </c>
      <c r="K196" s="362" t="s">
        <v>364</v>
      </c>
      <c r="L196" s="361"/>
      <c r="M196" s="361"/>
      <c r="N196" s="361"/>
      <c r="O196" s="361"/>
      <c r="P196" s="361"/>
      <c r="Q196" s="362" t="s">
        <v>364</v>
      </c>
      <c r="R196" s="365">
        <v>1.5</v>
      </c>
      <c r="S196" s="365"/>
      <c r="T196" s="365"/>
      <c r="U196" s="365"/>
      <c r="V196" s="365"/>
      <c r="W196" s="365"/>
      <c r="X196" s="363">
        <f t="shared" si="88"/>
        <v>1.5</v>
      </c>
      <c r="Y196" s="366"/>
      <c r="Z196" s="363"/>
      <c r="AA196" s="367"/>
      <c r="AB196" s="368">
        <f t="shared" si="83"/>
        <v>0</v>
      </c>
      <c r="AC196" s="369"/>
      <c r="AD196" s="365"/>
      <c r="AE196" s="363"/>
      <c r="AF196" s="363">
        <f>H196</f>
        <v>1.5</v>
      </c>
      <c r="AG196" s="363"/>
      <c r="AH196" s="363"/>
      <c r="AI196" s="363"/>
      <c r="AJ196" s="363"/>
      <c r="AK196" s="370"/>
      <c r="AL196" s="367">
        <f t="shared" si="89"/>
        <v>1.5</v>
      </c>
      <c r="AM196" s="371">
        <v>0</v>
      </c>
      <c r="AN196" s="372">
        <v>0</v>
      </c>
      <c r="AO196" s="371"/>
      <c r="AP196" s="373"/>
      <c r="AQ196" s="371"/>
      <c r="AR196" s="373"/>
      <c r="AS196" s="371"/>
      <c r="AT196" s="373"/>
      <c r="AU196" s="371"/>
      <c r="AV196" s="373"/>
      <c r="AW196" s="371"/>
      <c r="AX196" s="373"/>
      <c r="AY196" s="374">
        <f t="shared" si="86"/>
        <v>0</v>
      </c>
      <c r="AZ196" s="375">
        <f t="shared" si="86"/>
        <v>0</v>
      </c>
      <c r="BA196" s="359" t="s">
        <v>1029</v>
      </c>
      <c r="BB196" s="360" t="s">
        <v>2624</v>
      </c>
      <c r="BC196" s="377"/>
      <c r="BD196" s="378"/>
      <c r="BF196" s="365">
        <v>1.5</v>
      </c>
      <c r="BG196" s="365"/>
      <c r="BH196" s="365"/>
      <c r="BI196" s="365"/>
      <c r="BJ196" s="365"/>
      <c r="BK196" s="365"/>
      <c r="BL196" s="363">
        <f t="shared" si="92"/>
        <v>1.5</v>
      </c>
    </row>
    <row r="197" spans="1:64" s="376" customFormat="1" ht="102" outlineLevel="1" x14ac:dyDescent="0.2">
      <c r="A197" s="359" t="s">
        <v>1044</v>
      </c>
      <c r="B197" s="604" t="s">
        <v>1000</v>
      </c>
      <c r="C197" s="360" t="s">
        <v>1851</v>
      </c>
      <c r="D197" s="361" t="s">
        <v>397</v>
      </c>
      <c r="E197" s="362" t="s">
        <v>2717</v>
      </c>
      <c r="F197" s="361">
        <v>2013</v>
      </c>
      <c r="G197" s="361">
        <v>2014</v>
      </c>
      <c r="H197" s="363">
        <v>1.97</v>
      </c>
      <c r="I197" s="363">
        <v>1.9632000000000001</v>
      </c>
      <c r="J197" s="363">
        <f t="shared" si="91"/>
        <v>1.9632000000000001</v>
      </c>
      <c r="K197" s="362" t="s">
        <v>2717</v>
      </c>
      <c r="L197" s="361"/>
      <c r="M197" s="361"/>
      <c r="N197" s="364"/>
      <c r="O197" s="361"/>
      <c r="P197" s="361"/>
      <c r="Q197" s="362" t="s">
        <v>2717</v>
      </c>
      <c r="R197" s="365">
        <v>1.9632000000000001</v>
      </c>
      <c r="S197" s="365"/>
      <c r="T197" s="365"/>
      <c r="U197" s="365"/>
      <c r="V197" s="365"/>
      <c r="W197" s="365"/>
      <c r="X197" s="363">
        <f t="shared" si="88"/>
        <v>1.9632000000000001</v>
      </c>
      <c r="Y197" s="366"/>
      <c r="Z197" s="363"/>
      <c r="AA197" s="367"/>
      <c r="AB197" s="368">
        <f t="shared" si="83"/>
        <v>0</v>
      </c>
      <c r="AC197" s="369"/>
      <c r="AD197" s="365"/>
      <c r="AE197" s="363"/>
      <c r="AF197" s="363">
        <f>H197</f>
        <v>1.97</v>
      </c>
      <c r="AG197" s="363"/>
      <c r="AH197" s="363"/>
      <c r="AI197" s="363"/>
      <c r="AJ197" s="363"/>
      <c r="AK197" s="370"/>
      <c r="AL197" s="367">
        <f t="shared" si="89"/>
        <v>1.97</v>
      </c>
      <c r="AM197" s="371">
        <v>0</v>
      </c>
      <c r="AN197" s="372">
        <v>3.2</v>
      </c>
      <c r="AO197" s="371"/>
      <c r="AP197" s="373"/>
      <c r="AQ197" s="371"/>
      <c r="AR197" s="373"/>
      <c r="AS197" s="371"/>
      <c r="AT197" s="373"/>
      <c r="AU197" s="371"/>
      <c r="AV197" s="373"/>
      <c r="AW197" s="371"/>
      <c r="AX197" s="373"/>
      <c r="AY197" s="374">
        <f t="shared" si="86"/>
        <v>0</v>
      </c>
      <c r="AZ197" s="375">
        <f t="shared" si="86"/>
        <v>3.2</v>
      </c>
      <c r="BA197" s="359" t="s">
        <v>1030</v>
      </c>
      <c r="BB197" s="393" t="s">
        <v>2625</v>
      </c>
      <c r="BC197" s="377"/>
      <c r="BD197" s="378"/>
      <c r="BF197" s="365">
        <v>1.9632000000000001</v>
      </c>
      <c r="BG197" s="365"/>
      <c r="BH197" s="365"/>
      <c r="BI197" s="365"/>
      <c r="BJ197" s="365"/>
      <c r="BK197" s="365"/>
      <c r="BL197" s="363">
        <f t="shared" si="92"/>
        <v>1.9632000000000001</v>
      </c>
    </row>
    <row r="198" spans="1:64" s="376" customFormat="1" ht="51" outlineLevel="1" x14ac:dyDescent="0.2">
      <c r="A198" s="359" t="s">
        <v>1046</v>
      </c>
      <c r="B198" s="604" t="s">
        <v>1002</v>
      </c>
      <c r="C198" s="360" t="s">
        <v>2571</v>
      </c>
      <c r="D198" s="361" t="s">
        <v>397</v>
      </c>
      <c r="E198" s="362" t="s">
        <v>1241</v>
      </c>
      <c r="F198" s="361">
        <v>2013</v>
      </c>
      <c r="G198" s="361">
        <v>2014</v>
      </c>
      <c r="H198" s="363">
        <v>0.5</v>
      </c>
      <c r="I198" s="363">
        <v>0.49590000000000001</v>
      </c>
      <c r="J198" s="363">
        <f t="shared" si="91"/>
        <v>0.49590000000000001</v>
      </c>
      <c r="K198" s="362" t="s">
        <v>1241</v>
      </c>
      <c r="L198" s="361"/>
      <c r="M198" s="361"/>
      <c r="N198" s="364"/>
      <c r="O198" s="361"/>
      <c r="P198" s="361"/>
      <c r="Q198" s="362" t="s">
        <v>1241</v>
      </c>
      <c r="R198" s="365">
        <v>0.49590000000000001</v>
      </c>
      <c r="S198" s="365"/>
      <c r="T198" s="365"/>
      <c r="U198" s="365"/>
      <c r="V198" s="365"/>
      <c r="W198" s="365"/>
      <c r="X198" s="363">
        <f t="shared" si="88"/>
        <v>0.49590000000000001</v>
      </c>
      <c r="Y198" s="366"/>
      <c r="Z198" s="363"/>
      <c r="AA198" s="367"/>
      <c r="AB198" s="368">
        <f t="shared" si="83"/>
        <v>0</v>
      </c>
      <c r="AC198" s="369"/>
      <c r="AD198" s="365"/>
      <c r="AE198" s="363"/>
      <c r="AF198" s="363">
        <f>H198</f>
        <v>0.5</v>
      </c>
      <c r="AG198" s="363"/>
      <c r="AH198" s="363"/>
      <c r="AI198" s="363"/>
      <c r="AJ198" s="363"/>
      <c r="AK198" s="370"/>
      <c r="AL198" s="367">
        <f t="shared" si="89"/>
        <v>0.5</v>
      </c>
      <c r="AM198" s="371">
        <v>0</v>
      </c>
      <c r="AN198" s="372">
        <v>0</v>
      </c>
      <c r="AO198" s="371"/>
      <c r="AP198" s="373"/>
      <c r="AQ198" s="371"/>
      <c r="AR198" s="373"/>
      <c r="AS198" s="371"/>
      <c r="AT198" s="373"/>
      <c r="AU198" s="371"/>
      <c r="AV198" s="373"/>
      <c r="AW198" s="371"/>
      <c r="AX198" s="373"/>
      <c r="AY198" s="374">
        <f t="shared" si="86"/>
        <v>0</v>
      </c>
      <c r="AZ198" s="375">
        <f t="shared" si="86"/>
        <v>0</v>
      </c>
      <c r="BA198" s="359" t="s">
        <v>1031</v>
      </c>
      <c r="BB198" s="360" t="s">
        <v>2626</v>
      </c>
      <c r="BC198" s="377"/>
      <c r="BD198" s="378"/>
      <c r="BF198" s="365">
        <v>0.49590000000000001</v>
      </c>
      <c r="BG198" s="365"/>
      <c r="BH198" s="365"/>
      <c r="BI198" s="365"/>
      <c r="BJ198" s="365"/>
      <c r="BK198" s="365"/>
      <c r="BL198" s="363">
        <f t="shared" si="92"/>
        <v>0.49590000000000001</v>
      </c>
    </row>
    <row r="199" spans="1:64" s="376" customFormat="1" ht="114.75" outlineLevel="1" x14ac:dyDescent="0.2">
      <c r="A199" s="359" t="s">
        <v>1852</v>
      </c>
      <c r="B199" s="604" t="s">
        <v>1004</v>
      </c>
      <c r="C199" s="360" t="s">
        <v>498</v>
      </c>
      <c r="D199" s="361" t="s">
        <v>397</v>
      </c>
      <c r="E199" s="362" t="s">
        <v>2733</v>
      </c>
      <c r="F199" s="361">
        <v>2013</v>
      </c>
      <c r="G199" s="361">
        <v>2015</v>
      </c>
      <c r="H199" s="363">
        <v>21</v>
      </c>
      <c r="I199" s="363">
        <v>20.5838</v>
      </c>
      <c r="J199" s="363">
        <f t="shared" si="91"/>
        <v>3</v>
      </c>
      <c r="K199" s="361"/>
      <c r="L199" s="362" t="s">
        <v>2733</v>
      </c>
      <c r="M199" s="364"/>
      <c r="N199" s="361"/>
      <c r="O199" s="361"/>
      <c r="P199" s="361"/>
      <c r="Q199" s="362" t="s">
        <v>2733</v>
      </c>
      <c r="R199" s="365">
        <v>3</v>
      </c>
      <c r="S199" s="365">
        <f>I199-R199</f>
        <v>17.5838</v>
      </c>
      <c r="T199" s="365"/>
      <c r="U199" s="365"/>
      <c r="V199" s="365"/>
      <c r="W199" s="365"/>
      <c r="X199" s="363">
        <f t="shared" si="88"/>
        <v>20.5838</v>
      </c>
      <c r="Y199" s="366"/>
      <c r="Z199" s="363"/>
      <c r="AA199" s="367"/>
      <c r="AB199" s="368">
        <f t="shared" si="83"/>
        <v>0</v>
      </c>
      <c r="AC199" s="369"/>
      <c r="AD199" s="365"/>
      <c r="AE199" s="363"/>
      <c r="AF199" s="363"/>
      <c r="AG199" s="363">
        <f>H199</f>
        <v>21</v>
      </c>
      <c r="AH199" s="363"/>
      <c r="AI199" s="363"/>
      <c r="AJ199" s="363"/>
      <c r="AK199" s="370"/>
      <c r="AL199" s="367">
        <f t="shared" si="89"/>
        <v>21</v>
      </c>
      <c r="AM199" s="371"/>
      <c r="AN199" s="372"/>
      <c r="AO199" s="371">
        <v>3</v>
      </c>
      <c r="AP199" s="373">
        <v>2</v>
      </c>
      <c r="AQ199" s="371"/>
      <c r="AR199" s="373"/>
      <c r="AS199" s="371"/>
      <c r="AT199" s="373"/>
      <c r="AU199" s="371"/>
      <c r="AV199" s="373"/>
      <c r="AW199" s="371"/>
      <c r="AX199" s="373"/>
      <c r="AY199" s="374">
        <f t="shared" si="86"/>
        <v>3</v>
      </c>
      <c r="AZ199" s="375">
        <f t="shared" si="86"/>
        <v>2</v>
      </c>
      <c r="BA199" s="359" t="s">
        <v>1041</v>
      </c>
      <c r="BB199" s="393" t="s">
        <v>498</v>
      </c>
      <c r="BC199" s="377"/>
      <c r="BD199" s="378"/>
      <c r="BF199" s="365">
        <v>3</v>
      </c>
      <c r="BG199" s="365">
        <v>17.5838</v>
      </c>
      <c r="BH199" s="365"/>
      <c r="BI199" s="365"/>
      <c r="BJ199" s="365"/>
      <c r="BK199" s="365"/>
      <c r="BL199" s="363">
        <f t="shared" si="92"/>
        <v>20.5838</v>
      </c>
    </row>
    <row r="200" spans="1:64" s="376" customFormat="1" ht="89.25" outlineLevel="1" x14ac:dyDescent="0.2">
      <c r="A200" s="359" t="s">
        <v>1853</v>
      </c>
      <c r="B200" s="604" t="s">
        <v>1005</v>
      </c>
      <c r="C200" s="360" t="s">
        <v>2414</v>
      </c>
      <c r="D200" s="361" t="s">
        <v>397</v>
      </c>
      <c r="E200" s="362" t="s">
        <v>2415</v>
      </c>
      <c r="F200" s="361">
        <v>2013</v>
      </c>
      <c r="G200" s="361">
        <v>2014</v>
      </c>
      <c r="H200" s="363">
        <v>1.7250000000000001</v>
      </c>
      <c r="I200" s="363">
        <v>1.72</v>
      </c>
      <c r="J200" s="363">
        <f t="shared" si="91"/>
        <v>1.72</v>
      </c>
      <c r="K200" s="362" t="s">
        <v>2415</v>
      </c>
      <c r="L200" s="361"/>
      <c r="M200" s="361"/>
      <c r="N200" s="364"/>
      <c r="O200" s="361"/>
      <c r="P200" s="361"/>
      <c r="Q200" s="362" t="s">
        <v>2415</v>
      </c>
      <c r="R200" s="365">
        <v>1.72</v>
      </c>
      <c r="S200" s="365"/>
      <c r="T200" s="365"/>
      <c r="U200" s="365"/>
      <c r="V200" s="365"/>
      <c r="W200" s="365"/>
      <c r="X200" s="363">
        <f t="shared" si="88"/>
        <v>1.72</v>
      </c>
      <c r="Y200" s="366"/>
      <c r="Z200" s="363"/>
      <c r="AA200" s="367"/>
      <c r="AB200" s="368">
        <f t="shared" si="83"/>
        <v>0</v>
      </c>
      <c r="AC200" s="369"/>
      <c r="AD200" s="365"/>
      <c r="AE200" s="363"/>
      <c r="AF200" s="363">
        <f t="shared" ref="AF200:AF206" si="93">H200</f>
        <v>1.7250000000000001</v>
      </c>
      <c r="AG200" s="363"/>
      <c r="AH200" s="363"/>
      <c r="AI200" s="363"/>
      <c r="AJ200" s="363"/>
      <c r="AK200" s="370"/>
      <c r="AL200" s="367">
        <f t="shared" si="89"/>
        <v>1.7250000000000001</v>
      </c>
      <c r="AM200" s="371">
        <v>0</v>
      </c>
      <c r="AN200" s="372">
        <v>0</v>
      </c>
      <c r="AO200" s="371"/>
      <c r="AP200" s="373"/>
      <c r="AQ200" s="371"/>
      <c r="AR200" s="373"/>
      <c r="AS200" s="371"/>
      <c r="AT200" s="373"/>
      <c r="AU200" s="371"/>
      <c r="AV200" s="373"/>
      <c r="AW200" s="371"/>
      <c r="AX200" s="373"/>
      <c r="AY200" s="374">
        <f t="shared" si="86"/>
        <v>0</v>
      </c>
      <c r="AZ200" s="375">
        <f t="shared" si="86"/>
        <v>0</v>
      </c>
      <c r="BA200" s="376" t="s">
        <v>2452</v>
      </c>
      <c r="BC200" s="377"/>
      <c r="BD200" s="378"/>
      <c r="BF200" s="365">
        <v>1.72</v>
      </c>
      <c r="BG200" s="365"/>
      <c r="BH200" s="365"/>
      <c r="BI200" s="365"/>
      <c r="BJ200" s="365"/>
      <c r="BK200" s="365"/>
      <c r="BL200" s="363">
        <f t="shared" si="92"/>
        <v>1.72</v>
      </c>
    </row>
    <row r="201" spans="1:64" s="376" customFormat="1" ht="38.25" outlineLevel="1" x14ac:dyDescent="0.2">
      <c r="A201" s="359" t="s">
        <v>1854</v>
      </c>
      <c r="B201" s="604" t="s">
        <v>1007</v>
      </c>
      <c r="C201" s="360" t="s">
        <v>2674</v>
      </c>
      <c r="D201" s="361" t="s">
        <v>397</v>
      </c>
      <c r="E201" s="362" t="s">
        <v>364</v>
      </c>
      <c r="F201" s="361">
        <v>2013</v>
      </c>
      <c r="G201" s="361">
        <v>2014</v>
      </c>
      <c r="H201" s="363">
        <v>0.2</v>
      </c>
      <c r="I201" s="363">
        <v>0.2</v>
      </c>
      <c r="J201" s="363">
        <f t="shared" si="91"/>
        <v>0.2</v>
      </c>
      <c r="K201" s="362" t="s">
        <v>364</v>
      </c>
      <c r="L201" s="361"/>
      <c r="M201" s="361"/>
      <c r="N201" s="361"/>
      <c r="O201" s="361"/>
      <c r="P201" s="361"/>
      <c r="Q201" s="362" t="s">
        <v>364</v>
      </c>
      <c r="R201" s="365">
        <v>0.2</v>
      </c>
      <c r="S201" s="365"/>
      <c r="T201" s="365"/>
      <c r="U201" s="365"/>
      <c r="V201" s="365"/>
      <c r="W201" s="365"/>
      <c r="X201" s="363">
        <f t="shared" si="88"/>
        <v>0.2</v>
      </c>
      <c r="Y201" s="366"/>
      <c r="Z201" s="363"/>
      <c r="AA201" s="367"/>
      <c r="AB201" s="368">
        <f t="shared" si="83"/>
        <v>0</v>
      </c>
      <c r="AC201" s="369"/>
      <c r="AD201" s="365"/>
      <c r="AE201" s="363"/>
      <c r="AF201" s="363">
        <f t="shared" si="93"/>
        <v>0.2</v>
      </c>
      <c r="AG201" s="363"/>
      <c r="AH201" s="363"/>
      <c r="AI201" s="363"/>
      <c r="AJ201" s="363"/>
      <c r="AK201" s="370"/>
      <c r="AL201" s="367">
        <f t="shared" si="89"/>
        <v>0.2</v>
      </c>
      <c r="AM201" s="371">
        <v>0</v>
      </c>
      <c r="AN201" s="372">
        <v>0</v>
      </c>
      <c r="AO201" s="371"/>
      <c r="AP201" s="373"/>
      <c r="AQ201" s="371"/>
      <c r="AR201" s="373"/>
      <c r="AS201" s="371"/>
      <c r="AT201" s="373"/>
      <c r="AU201" s="371"/>
      <c r="AV201" s="373"/>
      <c r="AW201" s="371"/>
      <c r="AX201" s="373"/>
      <c r="AY201" s="374">
        <f t="shared" si="86"/>
        <v>0</v>
      </c>
      <c r="AZ201" s="375">
        <f t="shared" si="86"/>
        <v>0</v>
      </c>
      <c r="BA201" s="376" t="s">
        <v>2452</v>
      </c>
      <c r="BC201" s="377"/>
      <c r="BD201" s="378"/>
      <c r="BF201" s="365">
        <v>0.2</v>
      </c>
      <c r="BG201" s="365"/>
      <c r="BH201" s="365"/>
      <c r="BI201" s="365"/>
      <c r="BJ201" s="365"/>
      <c r="BK201" s="365"/>
      <c r="BL201" s="363">
        <f t="shared" si="92"/>
        <v>0.2</v>
      </c>
    </row>
    <row r="202" spans="1:64" s="376" customFormat="1" ht="63.75" outlineLevel="1" x14ac:dyDescent="0.2">
      <c r="A202" s="359" t="s">
        <v>1855</v>
      </c>
      <c r="B202" s="604" t="s">
        <v>1009</v>
      </c>
      <c r="C202" s="360" t="s">
        <v>1947</v>
      </c>
      <c r="D202" s="361" t="s">
        <v>397</v>
      </c>
      <c r="E202" s="362" t="s">
        <v>364</v>
      </c>
      <c r="F202" s="361">
        <v>2013</v>
      </c>
      <c r="G202" s="361">
        <v>2014</v>
      </c>
      <c r="H202" s="363">
        <v>0.05</v>
      </c>
      <c r="I202" s="363">
        <v>0.05</v>
      </c>
      <c r="J202" s="363">
        <f t="shared" si="91"/>
        <v>0.05</v>
      </c>
      <c r="K202" s="362" t="s">
        <v>364</v>
      </c>
      <c r="L202" s="361"/>
      <c r="M202" s="361"/>
      <c r="N202" s="361"/>
      <c r="O202" s="361"/>
      <c r="P202" s="361"/>
      <c r="Q202" s="362" t="s">
        <v>364</v>
      </c>
      <c r="R202" s="365">
        <v>0.05</v>
      </c>
      <c r="S202" s="365"/>
      <c r="T202" s="365"/>
      <c r="U202" s="365"/>
      <c r="V202" s="365"/>
      <c r="W202" s="365"/>
      <c r="X202" s="363">
        <f t="shared" si="88"/>
        <v>0.05</v>
      </c>
      <c r="Y202" s="366"/>
      <c r="Z202" s="363"/>
      <c r="AA202" s="367"/>
      <c r="AB202" s="368">
        <f t="shared" si="83"/>
        <v>0</v>
      </c>
      <c r="AC202" s="369"/>
      <c r="AD202" s="365"/>
      <c r="AE202" s="363"/>
      <c r="AF202" s="363">
        <f t="shared" si="93"/>
        <v>0.05</v>
      </c>
      <c r="AG202" s="363"/>
      <c r="AH202" s="363"/>
      <c r="AI202" s="363"/>
      <c r="AJ202" s="363"/>
      <c r="AK202" s="370"/>
      <c r="AL202" s="367">
        <f t="shared" si="89"/>
        <v>0.05</v>
      </c>
      <c r="AM202" s="371">
        <v>0</v>
      </c>
      <c r="AN202" s="372">
        <v>0</v>
      </c>
      <c r="AO202" s="371"/>
      <c r="AP202" s="373"/>
      <c r="AQ202" s="371"/>
      <c r="AR202" s="373"/>
      <c r="AS202" s="371"/>
      <c r="AT202" s="373"/>
      <c r="AU202" s="371"/>
      <c r="AV202" s="373"/>
      <c r="AW202" s="371"/>
      <c r="AX202" s="373"/>
      <c r="AY202" s="374">
        <f t="shared" si="86"/>
        <v>0</v>
      </c>
      <c r="AZ202" s="375">
        <f t="shared" si="86"/>
        <v>0</v>
      </c>
      <c r="BA202" s="376" t="s">
        <v>2452</v>
      </c>
      <c r="BC202" s="377"/>
      <c r="BD202" s="378"/>
      <c r="BF202" s="365">
        <v>0.05</v>
      </c>
      <c r="BG202" s="365"/>
      <c r="BH202" s="365"/>
      <c r="BI202" s="365"/>
      <c r="BJ202" s="365"/>
      <c r="BK202" s="365"/>
      <c r="BL202" s="363">
        <f t="shared" si="92"/>
        <v>0.05</v>
      </c>
    </row>
    <row r="203" spans="1:64" s="376" customFormat="1" ht="51" outlineLevel="1" x14ac:dyDescent="0.2">
      <c r="A203" s="359" t="s">
        <v>1856</v>
      </c>
      <c r="B203" s="604" t="s">
        <v>1010</v>
      </c>
      <c r="C203" s="360" t="s">
        <v>1536</v>
      </c>
      <c r="D203" s="361" t="s">
        <v>397</v>
      </c>
      <c r="E203" s="362" t="s">
        <v>1227</v>
      </c>
      <c r="F203" s="361">
        <v>2013</v>
      </c>
      <c r="G203" s="361">
        <v>2014</v>
      </c>
      <c r="H203" s="363">
        <v>0.5</v>
      </c>
      <c r="I203" s="363">
        <v>0.5</v>
      </c>
      <c r="J203" s="363">
        <f t="shared" si="91"/>
        <v>0.5</v>
      </c>
      <c r="K203" s="362" t="s">
        <v>1227</v>
      </c>
      <c r="L203" s="361"/>
      <c r="M203" s="361"/>
      <c r="N203" s="361"/>
      <c r="O203" s="361"/>
      <c r="P203" s="361"/>
      <c r="Q203" s="362" t="s">
        <v>1227</v>
      </c>
      <c r="R203" s="365">
        <v>0.5</v>
      </c>
      <c r="S203" s="365"/>
      <c r="T203" s="365"/>
      <c r="U203" s="365"/>
      <c r="V203" s="365"/>
      <c r="W203" s="365"/>
      <c r="X203" s="363">
        <f t="shared" si="88"/>
        <v>0.5</v>
      </c>
      <c r="Y203" s="366"/>
      <c r="Z203" s="363"/>
      <c r="AA203" s="367"/>
      <c r="AB203" s="368">
        <f t="shared" si="83"/>
        <v>0</v>
      </c>
      <c r="AC203" s="369"/>
      <c r="AD203" s="365"/>
      <c r="AE203" s="363"/>
      <c r="AF203" s="363">
        <f t="shared" si="93"/>
        <v>0.5</v>
      </c>
      <c r="AG203" s="363"/>
      <c r="AH203" s="363"/>
      <c r="AI203" s="363"/>
      <c r="AJ203" s="363"/>
      <c r="AK203" s="370"/>
      <c r="AL203" s="367">
        <f t="shared" si="89"/>
        <v>0.5</v>
      </c>
      <c r="AM203" s="371">
        <v>0</v>
      </c>
      <c r="AN203" s="372">
        <v>0</v>
      </c>
      <c r="AO203" s="371"/>
      <c r="AP203" s="373"/>
      <c r="AQ203" s="371"/>
      <c r="AR203" s="373"/>
      <c r="AS203" s="371"/>
      <c r="AT203" s="373"/>
      <c r="AU203" s="371"/>
      <c r="AV203" s="373"/>
      <c r="AW203" s="371"/>
      <c r="AX203" s="373"/>
      <c r="AY203" s="374">
        <f t="shared" si="86"/>
        <v>0</v>
      </c>
      <c r="AZ203" s="375">
        <f t="shared" si="86"/>
        <v>0</v>
      </c>
      <c r="BA203" s="376" t="s">
        <v>2452</v>
      </c>
      <c r="BC203" s="377"/>
      <c r="BD203" s="378"/>
      <c r="BF203" s="365">
        <v>0.5</v>
      </c>
      <c r="BG203" s="365"/>
      <c r="BH203" s="365"/>
      <c r="BI203" s="365"/>
      <c r="BJ203" s="365"/>
      <c r="BK203" s="365"/>
      <c r="BL203" s="363">
        <f t="shared" si="92"/>
        <v>0.5</v>
      </c>
    </row>
    <row r="204" spans="1:64" s="376" customFormat="1" ht="89.25" outlineLevel="1" x14ac:dyDescent="0.2">
      <c r="A204" s="359" t="s">
        <v>1857</v>
      </c>
      <c r="B204" s="604" t="s">
        <v>1012</v>
      </c>
      <c r="C204" s="360" t="s">
        <v>1537</v>
      </c>
      <c r="D204" s="361" t="s">
        <v>397</v>
      </c>
      <c r="E204" s="362" t="s">
        <v>364</v>
      </c>
      <c r="F204" s="361">
        <v>2013</v>
      </c>
      <c r="G204" s="361">
        <v>2014</v>
      </c>
      <c r="H204" s="363">
        <v>1.6</v>
      </c>
      <c r="I204" s="363">
        <v>1.58</v>
      </c>
      <c r="J204" s="363">
        <f t="shared" si="91"/>
        <v>1.58</v>
      </c>
      <c r="K204" s="362" t="s">
        <v>364</v>
      </c>
      <c r="L204" s="361"/>
      <c r="M204" s="361"/>
      <c r="N204" s="364"/>
      <c r="O204" s="361"/>
      <c r="P204" s="361"/>
      <c r="Q204" s="362" t="s">
        <v>364</v>
      </c>
      <c r="R204" s="365">
        <v>1.58</v>
      </c>
      <c r="S204" s="365"/>
      <c r="T204" s="365"/>
      <c r="U204" s="365"/>
      <c r="V204" s="365"/>
      <c r="W204" s="365"/>
      <c r="X204" s="363">
        <f t="shared" si="88"/>
        <v>1.58</v>
      </c>
      <c r="Y204" s="366"/>
      <c r="Z204" s="363"/>
      <c r="AA204" s="367"/>
      <c r="AB204" s="368">
        <f t="shared" si="83"/>
        <v>0</v>
      </c>
      <c r="AC204" s="369"/>
      <c r="AD204" s="365"/>
      <c r="AE204" s="363"/>
      <c r="AF204" s="363">
        <f t="shared" si="93"/>
        <v>1.6</v>
      </c>
      <c r="AG204" s="363"/>
      <c r="AH204" s="363"/>
      <c r="AI204" s="363"/>
      <c r="AJ204" s="363"/>
      <c r="AK204" s="370"/>
      <c r="AL204" s="367">
        <f t="shared" si="89"/>
        <v>1.6</v>
      </c>
      <c r="AM204" s="371">
        <v>0</v>
      </c>
      <c r="AN204" s="372">
        <v>0</v>
      </c>
      <c r="AO204" s="371"/>
      <c r="AP204" s="373"/>
      <c r="AQ204" s="371"/>
      <c r="AR204" s="373"/>
      <c r="AS204" s="371"/>
      <c r="AT204" s="373"/>
      <c r="AU204" s="371"/>
      <c r="AV204" s="373"/>
      <c r="AW204" s="371"/>
      <c r="AX204" s="373"/>
      <c r="AY204" s="374">
        <f t="shared" si="86"/>
        <v>0</v>
      </c>
      <c r="AZ204" s="375">
        <f t="shared" si="86"/>
        <v>0</v>
      </c>
      <c r="BA204" s="376" t="s">
        <v>2452</v>
      </c>
      <c r="BC204" s="377"/>
      <c r="BD204" s="378"/>
      <c r="BF204" s="365">
        <v>1.58</v>
      </c>
      <c r="BG204" s="365"/>
      <c r="BH204" s="365"/>
      <c r="BI204" s="365"/>
      <c r="BJ204" s="365"/>
      <c r="BK204" s="365"/>
      <c r="BL204" s="363">
        <f t="shared" si="92"/>
        <v>1.58</v>
      </c>
    </row>
    <row r="205" spans="1:64" s="376" customFormat="1" ht="63.75" outlineLevel="1" x14ac:dyDescent="0.2">
      <c r="A205" s="359" t="s">
        <v>1858</v>
      </c>
      <c r="B205" s="604" t="s">
        <v>1013</v>
      </c>
      <c r="C205" s="360" t="s">
        <v>1948</v>
      </c>
      <c r="D205" s="361" t="s">
        <v>397</v>
      </c>
      <c r="E205" s="362" t="s">
        <v>364</v>
      </c>
      <c r="F205" s="361">
        <v>2014</v>
      </c>
      <c r="G205" s="361">
        <v>2014</v>
      </c>
      <c r="H205" s="363">
        <v>0.1</v>
      </c>
      <c r="I205" s="363">
        <v>0.1</v>
      </c>
      <c r="J205" s="363">
        <f t="shared" si="91"/>
        <v>0.1</v>
      </c>
      <c r="K205" s="362" t="s">
        <v>364</v>
      </c>
      <c r="L205" s="361"/>
      <c r="M205" s="364"/>
      <c r="N205" s="361"/>
      <c r="O205" s="361"/>
      <c r="P205" s="361"/>
      <c r="Q205" s="362" t="s">
        <v>364</v>
      </c>
      <c r="R205" s="365">
        <v>0.1</v>
      </c>
      <c r="S205" s="365"/>
      <c r="T205" s="365"/>
      <c r="U205" s="365"/>
      <c r="V205" s="365"/>
      <c r="W205" s="365"/>
      <c r="X205" s="363">
        <f t="shared" si="88"/>
        <v>0.1</v>
      </c>
      <c r="Y205" s="366"/>
      <c r="Z205" s="363"/>
      <c r="AA205" s="367"/>
      <c r="AB205" s="368">
        <f t="shared" si="83"/>
        <v>0</v>
      </c>
      <c r="AC205" s="369"/>
      <c r="AD205" s="365"/>
      <c r="AE205" s="363"/>
      <c r="AF205" s="363">
        <f t="shared" si="93"/>
        <v>0.1</v>
      </c>
      <c r="AG205" s="363"/>
      <c r="AH205" s="363"/>
      <c r="AI205" s="363"/>
      <c r="AJ205" s="363"/>
      <c r="AK205" s="370"/>
      <c r="AL205" s="367">
        <f t="shared" si="89"/>
        <v>0.1</v>
      </c>
      <c r="AM205" s="371">
        <v>0</v>
      </c>
      <c r="AN205" s="372">
        <v>0</v>
      </c>
      <c r="AO205" s="371"/>
      <c r="AP205" s="373"/>
      <c r="AQ205" s="371"/>
      <c r="AR205" s="373"/>
      <c r="AS205" s="371"/>
      <c r="AT205" s="373"/>
      <c r="AU205" s="371"/>
      <c r="AV205" s="373"/>
      <c r="AW205" s="371"/>
      <c r="AX205" s="373"/>
      <c r="AY205" s="374">
        <f t="shared" si="86"/>
        <v>0</v>
      </c>
      <c r="AZ205" s="375">
        <f t="shared" si="86"/>
        <v>0</v>
      </c>
      <c r="BA205" s="376" t="s">
        <v>2452</v>
      </c>
      <c r="BC205" s="377"/>
      <c r="BD205" s="378"/>
      <c r="BF205" s="365">
        <v>0.1</v>
      </c>
      <c r="BG205" s="365"/>
      <c r="BH205" s="365"/>
      <c r="BI205" s="365"/>
      <c r="BJ205" s="365"/>
      <c r="BK205" s="365"/>
      <c r="BL205" s="363">
        <f t="shared" si="92"/>
        <v>0.1</v>
      </c>
    </row>
    <row r="206" spans="1:64" s="376" customFormat="1" ht="51" outlineLevel="1" x14ac:dyDescent="0.2">
      <c r="A206" s="359" t="s">
        <v>1859</v>
      </c>
      <c r="B206" s="604" t="s">
        <v>1015</v>
      </c>
      <c r="C206" s="360" t="s">
        <v>1538</v>
      </c>
      <c r="D206" s="361" t="s">
        <v>397</v>
      </c>
      <c r="E206" s="362" t="s">
        <v>364</v>
      </c>
      <c r="F206" s="361">
        <v>2014</v>
      </c>
      <c r="G206" s="361">
        <v>2014</v>
      </c>
      <c r="H206" s="363">
        <v>2</v>
      </c>
      <c r="I206" s="363">
        <v>1.9766999999999999</v>
      </c>
      <c r="J206" s="363">
        <f t="shared" si="91"/>
        <v>1.9766999999999999</v>
      </c>
      <c r="K206" s="362" t="s">
        <v>364</v>
      </c>
      <c r="L206" s="361"/>
      <c r="M206" s="361"/>
      <c r="N206" s="364"/>
      <c r="O206" s="361"/>
      <c r="P206" s="361"/>
      <c r="Q206" s="362" t="s">
        <v>364</v>
      </c>
      <c r="R206" s="365">
        <v>1.9766999999999999</v>
      </c>
      <c r="S206" s="365"/>
      <c r="T206" s="365"/>
      <c r="U206" s="364"/>
      <c r="V206" s="365"/>
      <c r="W206" s="365"/>
      <c r="X206" s="363">
        <f t="shared" si="88"/>
        <v>1.9766999999999999</v>
      </c>
      <c r="Y206" s="366"/>
      <c r="Z206" s="363"/>
      <c r="AA206" s="367"/>
      <c r="AB206" s="368">
        <f t="shared" si="83"/>
        <v>0</v>
      </c>
      <c r="AC206" s="369"/>
      <c r="AD206" s="365"/>
      <c r="AE206" s="363"/>
      <c r="AF206" s="363">
        <f t="shared" si="93"/>
        <v>2</v>
      </c>
      <c r="AG206" s="363"/>
      <c r="AH206" s="363"/>
      <c r="AI206" s="363"/>
      <c r="AJ206" s="363"/>
      <c r="AK206" s="370"/>
      <c r="AL206" s="367">
        <f t="shared" si="89"/>
        <v>2</v>
      </c>
      <c r="AM206" s="371">
        <v>0</v>
      </c>
      <c r="AN206" s="372">
        <v>0</v>
      </c>
      <c r="AO206" s="371"/>
      <c r="AP206" s="373"/>
      <c r="AQ206" s="371"/>
      <c r="AR206" s="373"/>
      <c r="AS206" s="371"/>
      <c r="AT206" s="373"/>
      <c r="AU206" s="371"/>
      <c r="AV206" s="373"/>
      <c r="AW206" s="371"/>
      <c r="AX206" s="373"/>
      <c r="AY206" s="374">
        <f t="shared" si="86"/>
        <v>0</v>
      </c>
      <c r="AZ206" s="375">
        <f t="shared" si="86"/>
        <v>0</v>
      </c>
      <c r="BA206" s="376" t="s">
        <v>2452</v>
      </c>
      <c r="BC206" s="377"/>
      <c r="BD206" s="378"/>
      <c r="BF206" s="365">
        <v>1.9766999999999999</v>
      </c>
      <c r="BG206" s="365"/>
      <c r="BH206" s="365"/>
      <c r="BI206" s="364"/>
      <c r="BJ206" s="365"/>
      <c r="BK206" s="365"/>
      <c r="BL206" s="363">
        <f t="shared" si="92"/>
        <v>1.9766999999999999</v>
      </c>
    </row>
    <row r="207" spans="1:64" s="376" customFormat="1" ht="63.75" outlineLevel="1" x14ac:dyDescent="0.2">
      <c r="A207" s="359" t="s">
        <v>1860</v>
      </c>
      <c r="B207" s="604" t="s">
        <v>1016</v>
      </c>
      <c r="C207" s="360" t="s">
        <v>2675</v>
      </c>
      <c r="D207" s="361" t="s">
        <v>397</v>
      </c>
      <c r="E207" s="362" t="s">
        <v>364</v>
      </c>
      <c r="F207" s="361">
        <v>2014</v>
      </c>
      <c r="G207" s="361">
        <v>2015</v>
      </c>
      <c r="H207" s="363">
        <v>1.5</v>
      </c>
      <c r="I207" s="363">
        <v>1.5</v>
      </c>
      <c r="J207" s="363">
        <f t="shared" si="91"/>
        <v>1.5</v>
      </c>
      <c r="K207" s="364"/>
      <c r="L207" s="362" t="s">
        <v>364</v>
      </c>
      <c r="M207" s="361"/>
      <c r="N207" s="364"/>
      <c r="O207" s="361"/>
      <c r="P207" s="361"/>
      <c r="Q207" s="362" t="s">
        <v>364</v>
      </c>
      <c r="R207" s="365">
        <v>1.5</v>
      </c>
      <c r="S207" s="365"/>
      <c r="T207" s="365"/>
      <c r="U207" s="364"/>
      <c r="V207" s="365"/>
      <c r="W207" s="365"/>
      <c r="X207" s="363">
        <f t="shared" si="88"/>
        <v>1.5</v>
      </c>
      <c r="Y207" s="366"/>
      <c r="Z207" s="363"/>
      <c r="AA207" s="367"/>
      <c r="AB207" s="368">
        <f t="shared" si="83"/>
        <v>0</v>
      </c>
      <c r="AC207" s="369"/>
      <c r="AD207" s="365"/>
      <c r="AE207" s="363"/>
      <c r="AF207" s="363"/>
      <c r="AG207" s="363">
        <f>H207</f>
        <v>1.5</v>
      </c>
      <c r="AH207" s="363"/>
      <c r="AI207" s="363"/>
      <c r="AJ207" s="363"/>
      <c r="AK207" s="370"/>
      <c r="AL207" s="367">
        <f t="shared" si="89"/>
        <v>1.5</v>
      </c>
      <c r="AM207" s="371"/>
      <c r="AN207" s="372"/>
      <c r="AO207" s="371">
        <v>0</v>
      </c>
      <c r="AP207" s="373">
        <v>0</v>
      </c>
      <c r="AQ207" s="371"/>
      <c r="AR207" s="373"/>
      <c r="AS207" s="371"/>
      <c r="AT207" s="373"/>
      <c r="AU207" s="371"/>
      <c r="AV207" s="373"/>
      <c r="AW207" s="371"/>
      <c r="AX207" s="373"/>
      <c r="AY207" s="374">
        <f t="shared" si="86"/>
        <v>0</v>
      </c>
      <c r="AZ207" s="375">
        <f t="shared" si="86"/>
        <v>0</v>
      </c>
      <c r="BA207" s="376" t="s">
        <v>2452</v>
      </c>
      <c r="BC207" s="377"/>
      <c r="BD207" s="378"/>
      <c r="BF207" s="365">
        <v>1.5</v>
      </c>
      <c r="BG207" s="365"/>
      <c r="BH207" s="365"/>
      <c r="BI207" s="364"/>
      <c r="BJ207" s="365"/>
      <c r="BK207" s="365"/>
      <c r="BL207" s="363">
        <f t="shared" si="92"/>
        <v>1.5</v>
      </c>
    </row>
    <row r="208" spans="1:64" s="376" customFormat="1" ht="51" outlineLevel="1" x14ac:dyDescent="0.2">
      <c r="A208" s="359" t="s">
        <v>1863</v>
      </c>
      <c r="B208" s="604" t="s">
        <v>1019</v>
      </c>
      <c r="C208" s="360" t="s">
        <v>1541</v>
      </c>
      <c r="D208" s="361" t="s">
        <v>397</v>
      </c>
      <c r="E208" s="362" t="s">
        <v>364</v>
      </c>
      <c r="F208" s="361">
        <v>2014</v>
      </c>
      <c r="G208" s="361">
        <v>2015</v>
      </c>
      <c r="H208" s="363">
        <v>0.67200000000000004</v>
      </c>
      <c r="I208" s="363">
        <v>0.67200000000000004</v>
      </c>
      <c r="J208" s="363">
        <f t="shared" si="91"/>
        <v>0.1</v>
      </c>
      <c r="K208" s="361"/>
      <c r="L208" s="362" t="s">
        <v>364</v>
      </c>
      <c r="M208" s="361"/>
      <c r="N208" s="362"/>
      <c r="O208" s="361"/>
      <c r="P208" s="361"/>
      <c r="Q208" s="362" t="s">
        <v>364</v>
      </c>
      <c r="R208" s="365">
        <v>0.1</v>
      </c>
      <c r="S208" s="365">
        <f>I208-R208</f>
        <v>0.57200000000000006</v>
      </c>
      <c r="T208" s="365"/>
      <c r="U208" s="364"/>
      <c r="V208" s="365"/>
      <c r="W208" s="365"/>
      <c r="X208" s="363">
        <f t="shared" si="88"/>
        <v>0.67200000000000004</v>
      </c>
      <c r="Y208" s="366"/>
      <c r="Z208" s="363"/>
      <c r="AA208" s="367"/>
      <c r="AB208" s="368">
        <f t="shared" si="83"/>
        <v>0</v>
      </c>
      <c r="AC208" s="369"/>
      <c r="AD208" s="365"/>
      <c r="AE208" s="363"/>
      <c r="AF208" s="363"/>
      <c r="AG208" s="363">
        <f>H208</f>
        <v>0.67200000000000004</v>
      </c>
      <c r="AH208" s="363"/>
      <c r="AI208" s="363"/>
      <c r="AJ208" s="363"/>
      <c r="AK208" s="370"/>
      <c r="AL208" s="367">
        <f t="shared" si="89"/>
        <v>0.67200000000000004</v>
      </c>
      <c r="AM208" s="371"/>
      <c r="AN208" s="372"/>
      <c r="AO208" s="371">
        <v>0</v>
      </c>
      <c r="AP208" s="373">
        <v>0</v>
      </c>
      <c r="AQ208" s="371"/>
      <c r="AR208" s="373"/>
      <c r="AS208" s="371"/>
      <c r="AT208" s="373"/>
      <c r="AU208" s="371"/>
      <c r="AV208" s="373"/>
      <c r="AW208" s="371"/>
      <c r="AX208" s="373"/>
      <c r="AY208" s="374">
        <f t="shared" si="86"/>
        <v>0</v>
      </c>
      <c r="AZ208" s="375">
        <f t="shared" si="86"/>
        <v>0</v>
      </c>
      <c r="BA208" s="376" t="s">
        <v>2452</v>
      </c>
      <c r="BC208" s="377"/>
      <c r="BD208" s="378"/>
      <c r="BF208" s="365">
        <v>0.1</v>
      </c>
      <c r="BG208" s="365">
        <v>0.56999999999999995</v>
      </c>
      <c r="BH208" s="365"/>
      <c r="BI208" s="364"/>
      <c r="BJ208" s="365"/>
      <c r="BK208" s="365"/>
      <c r="BL208" s="363">
        <f t="shared" si="92"/>
        <v>0.66999999999999993</v>
      </c>
    </row>
    <row r="209" spans="1:64" s="376" customFormat="1" ht="153" outlineLevel="1" x14ac:dyDescent="0.2">
      <c r="A209" s="359" t="s">
        <v>1865</v>
      </c>
      <c r="B209" s="604" t="s">
        <v>1021</v>
      </c>
      <c r="C209" s="360" t="s">
        <v>1949</v>
      </c>
      <c r="D209" s="361" t="s">
        <v>397</v>
      </c>
      <c r="E209" s="362" t="s">
        <v>364</v>
      </c>
      <c r="F209" s="361">
        <v>2014</v>
      </c>
      <c r="G209" s="361">
        <v>2014</v>
      </c>
      <c r="H209" s="363">
        <v>0.1</v>
      </c>
      <c r="I209" s="363">
        <v>0.1</v>
      </c>
      <c r="J209" s="363">
        <f t="shared" si="91"/>
        <v>0.1</v>
      </c>
      <c r="K209" s="362" t="s">
        <v>364</v>
      </c>
      <c r="L209" s="361"/>
      <c r="M209" s="361"/>
      <c r="N209" s="361"/>
      <c r="O209" s="361"/>
      <c r="P209" s="361"/>
      <c r="Q209" s="362" t="s">
        <v>364</v>
      </c>
      <c r="R209" s="365">
        <v>0.1</v>
      </c>
      <c r="S209" s="365"/>
      <c r="T209" s="365"/>
      <c r="U209" s="365"/>
      <c r="V209" s="365"/>
      <c r="W209" s="365"/>
      <c r="X209" s="363">
        <f t="shared" si="88"/>
        <v>0.1</v>
      </c>
      <c r="Y209" s="366"/>
      <c r="Z209" s="363"/>
      <c r="AA209" s="367"/>
      <c r="AB209" s="368">
        <f t="shared" si="83"/>
        <v>0</v>
      </c>
      <c r="AC209" s="369"/>
      <c r="AD209" s="365"/>
      <c r="AE209" s="363"/>
      <c r="AF209" s="363">
        <f>H209</f>
        <v>0.1</v>
      </c>
      <c r="AG209" s="363"/>
      <c r="AH209" s="363"/>
      <c r="AI209" s="363"/>
      <c r="AJ209" s="363"/>
      <c r="AK209" s="370"/>
      <c r="AL209" s="367">
        <f t="shared" si="89"/>
        <v>0.1</v>
      </c>
      <c r="AM209" s="371">
        <v>0</v>
      </c>
      <c r="AN209" s="372">
        <v>0</v>
      </c>
      <c r="AO209" s="371"/>
      <c r="AP209" s="373"/>
      <c r="AQ209" s="371"/>
      <c r="AR209" s="373"/>
      <c r="AS209" s="371"/>
      <c r="AT209" s="373"/>
      <c r="AU209" s="371"/>
      <c r="AV209" s="373"/>
      <c r="AW209" s="371"/>
      <c r="AX209" s="373"/>
      <c r="AY209" s="374">
        <f t="shared" si="86"/>
        <v>0</v>
      </c>
      <c r="AZ209" s="375">
        <f t="shared" si="86"/>
        <v>0</v>
      </c>
      <c r="BA209" s="376" t="s">
        <v>2452</v>
      </c>
      <c r="BC209" s="377"/>
      <c r="BD209" s="378"/>
      <c r="BF209" s="365">
        <v>0.1</v>
      </c>
      <c r="BG209" s="365"/>
      <c r="BH209" s="365"/>
      <c r="BI209" s="365"/>
      <c r="BJ209" s="365"/>
      <c r="BK209" s="365"/>
      <c r="BL209" s="363">
        <f t="shared" si="92"/>
        <v>0.1</v>
      </c>
    </row>
    <row r="210" spans="1:64" s="376" customFormat="1" ht="114.75" outlineLevel="1" x14ac:dyDescent="0.2">
      <c r="A210" s="359" t="s">
        <v>1866</v>
      </c>
      <c r="B210" s="604" t="s">
        <v>1023</v>
      </c>
      <c r="C210" s="360" t="s">
        <v>1542</v>
      </c>
      <c r="D210" s="361" t="s">
        <v>397</v>
      </c>
      <c r="E210" s="362" t="s">
        <v>364</v>
      </c>
      <c r="F210" s="361">
        <v>2014</v>
      </c>
      <c r="G210" s="361">
        <v>2015</v>
      </c>
      <c r="H210" s="363">
        <v>0.69099999999999995</v>
      </c>
      <c r="I210" s="363">
        <v>0.69099999999999995</v>
      </c>
      <c r="J210" s="363">
        <f t="shared" si="91"/>
        <v>0.1</v>
      </c>
      <c r="K210" s="361"/>
      <c r="L210" s="362" t="s">
        <v>364</v>
      </c>
      <c r="M210" s="361"/>
      <c r="N210" s="362"/>
      <c r="O210" s="361"/>
      <c r="P210" s="361"/>
      <c r="Q210" s="362" t="s">
        <v>364</v>
      </c>
      <c r="R210" s="365">
        <v>0.1</v>
      </c>
      <c r="S210" s="365">
        <f>I210-R210</f>
        <v>0.59099999999999997</v>
      </c>
      <c r="T210" s="365"/>
      <c r="U210" s="364"/>
      <c r="V210" s="365"/>
      <c r="W210" s="365"/>
      <c r="X210" s="363">
        <f t="shared" si="88"/>
        <v>0.69099999999999995</v>
      </c>
      <c r="Y210" s="366"/>
      <c r="Z210" s="363"/>
      <c r="AA210" s="367"/>
      <c r="AB210" s="368">
        <f t="shared" si="83"/>
        <v>0</v>
      </c>
      <c r="AC210" s="369"/>
      <c r="AD210" s="365"/>
      <c r="AE210" s="363"/>
      <c r="AF210" s="363"/>
      <c r="AG210" s="363">
        <f>H210</f>
        <v>0.69099999999999995</v>
      </c>
      <c r="AH210" s="363"/>
      <c r="AI210" s="363"/>
      <c r="AJ210" s="363"/>
      <c r="AK210" s="370"/>
      <c r="AL210" s="367">
        <f t="shared" si="89"/>
        <v>0.69099999999999995</v>
      </c>
      <c r="AM210" s="371"/>
      <c r="AN210" s="372"/>
      <c r="AO210" s="371">
        <v>0</v>
      </c>
      <c r="AP210" s="373">
        <v>0</v>
      </c>
      <c r="AQ210" s="371"/>
      <c r="AR210" s="373"/>
      <c r="AS210" s="371"/>
      <c r="AT210" s="373"/>
      <c r="AU210" s="371"/>
      <c r="AV210" s="373"/>
      <c r="AW210" s="371"/>
      <c r="AX210" s="373"/>
      <c r="AY210" s="374">
        <f t="shared" si="86"/>
        <v>0</v>
      </c>
      <c r="AZ210" s="375">
        <f t="shared" si="86"/>
        <v>0</v>
      </c>
      <c r="BA210" s="376" t="s">
        <v>2452</v>
      </c>
      <c r="BC210" s="377"/>
      <c r="BD210" s="378"/>
      <c r="BF210" s="365">
        <v>0.1</v>
      </c>
      <c r="BG210" s="365">
        <v>0.59</v>
      </c>
      <c r="BH210" s="365"/>
      <c r="BI210" s="364"/>
      <c r="BJ210" s="365"/>
      <c r="BK210" s="365"/>
      <c r="BL210" s="363">
        <f t="shared" si="92"/>
        <v>0.69</v>
      </c>
    </row>
    <row r="211" spans="1:64" s="376" customFormat="1" ht="63.75" outlineLevel="1" x14ac:dyDescent="0.2">
      <c r="A211" s="359" t="s">
        <v>1867</v>
      </c>
      <c r="B211" s="604" t="s">
        <v>1025</v>
      </c>
      <c r="C211" s="360" t="s">
        <v>1543</v>
      </c>
      <c r="D211" s="361" t="s">
        <v>397</v>
      </c>
      <c r="E211" s="362" t="s">
        <v>1544</v>
      </c>
      <c r="F211" s="361">
        <v>2014</v>
      </c>
      <c r="G211" s="361">
        <v>2015</v>
      </c>
      <c r="H211" s="363">
        <v>3</v>
      </c>
      <c r="I211" s="363">
        <v>3</v>
      </c>
      <c r="J211" s="363">
        <f t="shared" si="91"/>
        <v>0.1</v>
      </c>
      <c r="K211" s="361"/>
      <c r="L211" s="362" t="s">
        <v>1544</v>
      </c>
      <c r="M211" s="361"/>
      <c r="N211" s="362"/>
      <c r="O211" s="361"/>
      <c r="P211" s="361"/>
      <c r="Q211" s="362" t="s">
        <v>1544</v>
      </c>
      <c r="R211" s="365">
        <v>0.1</v>
      </c>
      <c r="S211" s="365">
        <f>I211-R211</f>
        <v>2.9</v>
      </c>
      <c r="T211" s="365"/>
      <c r="U211" s="365"/>
      <c r="V211" s="365"/>
      <c r="W211" s="365"/>
      <c r="X211" s="363">
        <f t="shared" si="88"/>
        <v>3</v>
      </c>
      <c r="Y211" s="366"/>
      <c r="Z211" s="363"/>
      <c r="AA211" s="367"/>
      <c r="AB211" s="368">
        <f t="shared" si="83"/>
        <v>0</v>
      </c>
      <c r="AC211" s="369"/>
      <c r="AD211" s="365"/>
      <c r="AE211" s="363"/>
      <c r="AF211" s="363"/>
      <c r="AG211" s="363">
        <f>H211</f>
        <v>3</v>
      </c>
      <c r="AH211" s="363"/>
      <c r="AI211" s="363"/>
      <c r="AJ211" s="363"/>
      <c r="AK211" s="370"/>
      <c r="AL211" s="367">
        <f t="shared" si="89"/>
        <v>3</v>
      </c>
      <c r="AM211" s="371"/>
      <c r="AN211" s="372"/>
      <c r="AO211" s="371">
        <v>2.1</v>
      </c>
      <c r="AP211" s="373">
        <v>0</v>
      </c>
      <c r="AQ211" s="371"/>
      <c r="AR211" s="373"/>
      <c r="AS211" s="371"/>
      <c r="AT211" s="373"/>
      <c r="AU211" s="371"/>
      <c r="AV211" s="373"/>
      <c r="AW211" s="371"/>
      <c r="AX211" s="373"/>
      <c r="AY211" s="374">
        <f t="shared" si="86"/>
        <v>2.1</v>
      </c>
      <c r="AZ211" s="375">
        <f t="shared" si="86"/>
        <v>0</v>
      </c>
      <c r="BA211" s="376" t="s">
        <v>2452</v>
      </c>
      <c r="BC211" s="377"/>
      <c r="BD211" s="378"/>
      <c r="BF211" s="365">
        <v>0.1</v>
      </c>
      <c r="BG211" s="365">
        <v>2.9</v>
      </c>
      <c r="BH211" s="365"/>
      <c r="BI211" s="365"/>
      <c r="BJ211" s="365"/>
      <c r="BK211" s="365"/>
      <c r="BL211" s="363">
        <f t="shared" si="92"/>
        <v>3</v>
      </c>
    </row>
    <row r="212" spans="1:64" s="376" customFormat="1" ht="76.5" outlineLevel="1" x14ac:dyDescent="0.2">
      <c r="A212" s="359" t="s">
        <v>1868</v>
      </c>
      <c r="B212" s="604" t="s">
        <v>1027</v>
      </c>
      <c r="C212" s="360" t="s">
        <v>2676</v>
      </c>
      <c r="D212" s="361" t="s">
        <v>397</v>
      </c>
      <c r="E212" s="362" t="s">
        <v>2713</v>
      </c>
      <c r="F212" s="361">
        <v>2014</v>
      </c>
      <c r="G212" s="361">
        <v>2015</v>
      </c>
      <c r="H212" s="363">
        <v>2.5</v>
      </c>
      <c r="I212" s="363">
        <v>2.5</v>
      </c>
      <c r="J212" s="363">
        <f t="shared" si="91"/>
        <v>0.1</v>
      </c>
      <c r="K212" s="361"/>
      <c r="L212" s="362" t="s">
        <v>2713</v>
      </c>
      <c r="M212" s="361"/>
      <c r="N212" s="362"/>
      <c r="O212" s="361"/>
      <c r="P212" s="361"/>
      <c r="Q212" s="362" t="s">
        <v>2713</v>
      </c>
      <c r="R212" s="365">
        <v>0.1</v>
      </c>
      <c r="S212" s="365">
        <f>I212-R212</f>
        <v>2.4</v>
      </c>
      <c r="T212" s="365"/>
      <c r="U212" s="364"/>
      <c r="V212" s="365"/>
      <c r="W212" s="365"/>
      <c r="X212" s="363">
        <f t="shared" si="88"/>
        <v>2.5</v>
      </c>
      <c r="Y212" s="366"/>
      <c r="Z212" s="363"/>
      <c r="AA212" s="367"/>
      <c r="AB212" s="368">
        <f t="shared" ref="AB212:AB276" si="94">I212-X212</f>
        <v>0</v>
      </c>
      <c r="AC212" s="369"/>
      <c r="AD212" s="365"/>
      <c r="AE212" s="363"/>
      <c r="AF212" s="363"/>
      <c r="AG212" s="363">
        <f>H212</f>
        <v>2.5</v>
      </c>
      <c r="AH212" s="363"/>
      <c r="AI212" s="363"/>
      <c r="AJ212" s="363"/>
      <c r="AK212" s="370"/>
      <c r="AL212" s="367">
        <f t="shared" si="89"/>
        <v>2.5</v>
      </c>
      <c r="AM212" s="371"/>
      <c r="AN212" s="372"/>
      <c r="AO212" s="371">
        <v>1.2</v>
      </c>
      <c r="AP212" s="373">
        <v>1.26</v>
      </c>
      <c r="AQ212" s="371"/>
      <c r="AR212" s="373"/>
      <c r="AS212" s="371"/>
      <c r="AT212" s="373"/>
      <c r="AU212" s="371"/>
      <c r="AV212" s="373"/>
      <c r="AW212" s="371"/>
      <c r="AX212" s="373"/>
      <c r="AY212" s="374">
        <f t="shared" si="86"/>
        <v>1.2</v>
      </c>
      <c r="AZ212" s="375">
        <f t="shared" si="86"/>
        <v>1.26</v>
      </c>
      <c r="BA212" s="376" t="s">
        <v>2452</v>
      </c>
      <c r="BC212" s="377"/>
      <c r="BD212" s="378"/>
      <c r="BF212" s="365">
        <v>0.1</v>
      </c>
      <c r="BG212" s="365">
        <v>2.4</v>
      </c>
      <c r="BH212" s="365"/>
      <c r="BI212" s="364"/>
      <c r="BJ212" s="365"/>
      <c r="BK212" s="365"/>
      <c r="BL212" s="363">
        <f t="shared" si="92"/>
        <v>2.5</v>
      </c>
    </row>
    <row r="213" spans="1:64" s="376" customFormat="1" ht="63.75" outlineLevel="1" x14ac:dyDescent="0.2">
      <c r="A213" s="359" t="s">
        <v>1869</v>
      </c>
      <c r="B213" s="604" t="s">
        <v>1028</v>
      </c>
      <c r="C213" s="360" t="s">
        <v>2677</v>
      </c>
      <c r="D213" s="361" t="s">
        <v>397</v>
      </c>
      <c r="E213" s="362" t="s">
        <v>963</v>
      </c>
      <c r="F213" s="361">
        <v>2014</v>
      </c>
      <c r="G213" s="361">
        <v>2014</v>
      </c>
      <c r="H213" s="363">
        <v>0.01</v>
      </c>
      <c r="I213" s="363">
        <v>0.01</v>
      </c>
      <c r="J213" s="363">
        <f t="shared" si="91"/>
        <v>0.01</v>
      </c>
      <c r="K213" s="362" t="s">
        <v>963</v>
      </c>
      <c r="L213" s="361"/>
      <c r="M213" s="361"/>
      <c r="N213" s="361"/>
      <c r="O213" s="361"/>
      <c r="P213" s="361"/>
      <c r="Q213" s="362" t="s">
        <v>963</v>
      </c>
      <c r="R213" s="365">
        <v>0.01</v>
      </c>
      <c r="S213" s="365"/>
      <c r="T213" s="365"/>
      <c r="U213" s="365"/>
      <c r="V213" s="365"/>
      <c r="W213" s="365"/>
      <c r="X213" s="363">
        <f t="shared" si="88"/>
        <v>0.01</v>
      </c>
      <c r="Y213" s="366"/>
      <c r="Z213" s="363"/>
      <c r="AA213" s="367"/>
      <c r="AB213" s="368">
        <f t="shared" si="94"/>
        <v>0</v>
      </c>
      <c r="AC213" s="369"/>
      <c r="AD213" s="365"/>
      <c r="AE213" s="363"/>
      <c r="AF213" s="363">
        <f>H213</f>
        <v>0.01</v>
      </c>
      <c r="AG213" s="363"/>
      <c r="AH213" s="363"/>
      <c r="AI213" s="363"/>
      <c r="AJ213" s="363"/>
      <c r="AK213" s="370"/>
      <c r="AL213" s="367">
        <f t="shared" si="89"/>
        <v>0.01</v>
      </c>
      <c r="AM213" s="371">
        <v>1</v>
      </c>
      <c r="AN213" s="372">
        <v>0</v>
      </c>
      <c r="AO213" s="371"/>
      <c r="AP213" s="373"/>
      <c r="AQ213" s="371"/>
      <c r="AR213" s="373"/>
      <c r="AS213" s="371"/>
      <c r="AT213" s="373"/>
      <c r="AU213" s="371"/>
      <c r="AV213" s="373"/>
      <c r="AW213" s="371"/>
      <c r="AX213" s="373"/>
      <c r="AY213" s="374">
        <f t="shared" si="86"/>
        <v>1</v>
      </c>
      <c r="AZ213" s="375">
        <f t="shared" si="86"/>
        <v>0</v>
      </c>
      <c r="BA213" s="376" t="s">
        <v>2452</v>
      </c>
      <c r="BC213" s="377"/>
      <c r="BD213" s="378"/>
      <c r="BF213" s="365">
        <v>0.01</v>
      </c>
      <c r="BG213" s="365"/>
      <c r="BH213" s="365"/>
      <c r="BI213" s="365"/>
      <c r="BJ213" s="365"/>
      <c r="BK213" s="365"/>
      <c r="BL213" s="363">
        <f t="shared" si="92"/>
        <v>0.01</v>
      </c>
    </row>
    <row r="214" spans="1:64" s="376" customFormat="1" ht="63.75" outlineLevel="1" x14ac:dyDescent="0.2">
      <c r="A214" s="359" t="s">
        <v>1870</v>
      </c>
      <c r="B214" s="604" t="s">
        <v>1029</v>
      </c>
      <c r="C214" s="360" t="s">
        <v>2678</v>
      </c>
      <c r="D214" s="361" t="s">
        <v>397</v>
      </c>
      <c r="E214" s="362" t="s">
        <v>364</v>
      </c>
      <c r="F214" s="361">
        <v>2014</v>
      </c>
      <c r="G214" s="361">
        <v>2015</v>
      </c>
      <c r="H214" s="363">
        <v>2.3780000000000001</v>
      </c>
      <c r="I214" s="363">
        <v>2.3780000000000001</v>
      </c>
      <c r="J214" s="363">
        <f t="shared" si="91"/>
        <v>0.1</v>
      </c>
      <c r="K214" s="361"/>
      <c r="L214" s="362" t="s">
        <v>364</v>
      </c>
      <c r="M214" s="361"/>
      <c r="N214" s="364"/>
      <c r="O214" s="361"/>
      <c r="P214" s="361"/>
      <c r="Q214" s="362" t="s">
        <v>364</v>
      </c>
      <c r="R214" s="365">
        <v>0.1</v>
      </c>
      <c r="S214" s="365">
        <f>I214-R214</f>
        <v>2.278</v>
      </c>
      <c r="T214" s="365"/>
      <c r="U214" s="364"/>
      <c r="V214" s="365"/>
      <c r="W214" s="365"/>
      <c r="X214" s="363">
        <f t="shared" si="88"/>
        <v>2.3780000000000001</v>
      </c>
      <c r="Y214" s="366"/>
      <c r="Z214" s="363"/>
      <c r="AA214" s="367"/>
      <c r="AB214" s="368">
        <f t="shared" si="94"/>
        <v>0</v>
      </c>
      <c r="AC214" s="369"/>
      <c r="AD214" s="365"/>
      <c r="AE214" s="363"/>
      <c r="AF214" s="363"/>
      <c r="AG214" s="363">
        <f>H214</f>
        <v>2.3780000000000001</v>
      </c>
      <c r="AH214" s="363"/>
      <c r="AI214" s="363"/>
      <c r="AJ214" s="363"/>
      <c r="AK214" s="370"/>
      <c r="AL214" s="367">
        <f t="shared" si="89"/>
        <v>2.3780000000000001</v>
      </c>
      <c r="AM214" s="371"/>
      <c r="AN214" s="372"/>
      <c r="AO214" s="371">
        <v>0</v>
      </c>
      <c r="AP214" s="373">
        <v>0</v>
      </c>
      <c r="AQ214" s="371"/>
      <c r="AR214" s="373"/>
      <c r="AS214" s="371"/>
      <c r="AT214" s="373"/>
      <c r="AU214" s="371"/>
      <c r="AV214" s="373"/>
      <c r="AW214" s="371"/>
      <c r="AX214" s="373"/>
      <c r="AY214" s="374">
        <f t="shared" si="86"/>
        <v>0</v>
      </c>
      <c r="AZ214" s="375">
        <f t="shared" si="86"/>
        <v>0</v>
      </c>
      <c r="BA214" s="376" t="s">
        <v>2452</v>
      </c>
      <c r="BC214" s="377"/>
      <c r="BD214" s="378"/>
      <c r="BF214" s="365">
        <v>0.1</v>
      </c>
      <c r="BG214" s="365">
        <v>2.2999999999999998</v>
      </c>
      <c r="BH214" s="365"/>
      <c r="BI214" s="364"/>
      <c r="BJ214" s="365"/>
      <c r="BK214" s="365"/>
      <c r="BL214" s="363">
        <f t="shared" si="92"/>
        <v>2.4</v>
      </c>
    </row>
    <row r="215" spans="1:64" s="376" customFormat="1" ht="89.25" outlineLevel="1" x14ac:dyDescent="0.2">
      <c r="A215" s="359" t="s">
        <v>1871</v>
      </c>
      <c r="B215" s="604" t="s">
        <v>1030</v>
      </c>
      <c r="C215" s="360" t="s">
        <v>499</v>
      </c>
      <c r="D215" s="361" t="s">
        <v>397</v>
      </c>
      <c r="E215" s="362" t="s">
        <v>2714</v>
      </c>
      <c r="F215" s="361">
        <v>2014</v>
      </c>
      <c r="G215" s="361">
        <v>2015</v>
      </c>
      <c r="H215" s="363">
        <v>1.2507999999999999</v>
      </c>
      <c r="I215" s="363">
        <v>1.2403</v>
      </c>
      <c r="J215" s="363">
        <f t="shared" si="91"/>
        <v>0.1</v>
      </c>
      <c r="K215" s="361"/>
      <c r="L215" s="362" t="s">
        <v>2714</v>
      </c>
      <c r="M215" s="361"/>
      <c r="N215" s="364"/>
      <c r="O215" s="361"/>
      <c r="P215" s="361"/>
      <c r="Q215" s="362" t="s">
        <v>2714</v>
      </c>
      <c r="R215" s="365">
        <v>0.1</v>
      </c>
      <c r="S215" s="365">
        <f>I215-R215</f>
        <v>1.1402999999999999</v>
      </c>
      <c r="T215" s="365"/>
      <c r="U215" s="364"/>
      <c r="V215" s="365"/>
      <c r="W215" s="365"/>
      <c r="X215" s="363">
        <f t="shared" si="88"/>
        <v>1.2403</v>
      </c>
      <c r="Y215" s="366"/>
      <c r="Z215" s="363"/>
      <c r="AA215" s="367"/>
      <c r="AB215" s="368">
        <f t="shared" si="94"/>
        <v>0</v>
      </c>
      <c r="AC215" s="369"/>
      <c r="AD215" s="365"/>
      <c r="AE215" s="363"/>
      <c r="AF215" s="363"/>
      <c r="AG215" s="363">
        <f>H215</f>
        <v>1.2507999999999999</v>
      </c>
      <c r="AH215" s="363"/>
      <c r="AI215" s="363"/>
      <c r="AJ215" s="363"/>
      <c r="AK215" s="370"/>
      <c r="AL215" s="367">
        <f t="shared" si="89"/>
        <v>1.2507999999999999</v>
      </c>
      <c r="AM215" s="371"/>
      <c r="AN215" s="372"/>
      <c r="AO215" s="371">
        <v>0</v>
      </c>
      <c r="AP215" s="373">
        <v>0.63</v>
      </c>
      <c r="AQ215" s="371"/>
      <c r="AR215" s="373"/>
      <c r="AS215" s="371"/>
      <c r="AT215" s="373"/>
      <c r="AU215" s="371"/>
      <c r="AV215" s="373"/>
      <c r="AW215" s="371"/>
      <c r="AX215" s="373"/>
      <c r="AY215" s="374">
        <f t="shared" si="86"/>
        <v>0</v>
      </c>
      <c r="AZ215" s="375">
        <f t="shared" si="86"/>
        <v>0.63</v>
      </c>
      <c r="BA215" s="376" t="s">
        <v>2452</v>
      </c>
      <c r="BC215" s="377"/>
      <c r="BD215" s="378"/>
      <c r="BF215" s="365">
        <v>0.1</v>
      </c>
      <c r="BG215" s="365">
        <v>1.1399999999999999</v>
      </c>
      <c r="BH215" s="365"/>
      <c r="BI215" s="364"/>
      <c r="BJ215" s="365"/>
      <c r="BK215" s="365"/>
      <c r="BL215" s="363">
        <f t="shared" si="92"/>
        <v>1.24</v>
      </c>
    </row>
    <row r="216" spans="1:64" s="376" customFormat="1" ht="102" outlineLevel="1" x14ac:dyDescent="0.2">
      <c r="A216" s="359" t="s">
        <v>1872</v>
      </c>
      <c r="B216" s="604" t="s">
        <v>1031</v>
      </c>
      <c r="C216" s="360" t="s">
        <v>2556</v>
      </c>
      <c r="D216" s="361" t="s">
        <v>397</v>
      </c>
      <c r="E216" s="362" t="s">
        <v>508</v>
      </c>
      <c r="F216" s="361">
        <v>2014</v>
      </c>
      <c r="G216" s="361">
        <v>2014</v>
      </c>
      <c r="H216" s="363">
        <v>2.17</v>
      </c>
      <c r="I216" s="363">
        <v>2.17</v>
      </c>
      <c r="J216" s="363">
        <f t="shared" si="91"/>
        <v>2.17</v>
      </c>
      <c r="K216" s="362" t="s">
        <v>508</v>
      </c>
      <c r="L216" s="362"/>
      <c r="M216" s="361"/>
      <c r="N216" s="364"/>
      <c r="O216" s="361"/>
      <c r="P216" s="361"/>
      <c r="Q216" s="362" t="s">
        <v>508</v>
      </c>
      <c r="R216" s="365">
        <v>2.17</v>
      </c>
      <c r="S216" s="365"/>
      <c r="T216" s="365"/>
      <c r="U216" s="364"/>
      <c r="V216" s="365"/>
      <c r="W216" s="365"/>
      <c r="X216" s="363">
        <f t="shared" si="88"/>
        <v>2.17</v>
      </c>
      <c r="Y216" s="366"/>
      <c r="Z216" s="363"/>
      <c r="AA216" s="367"/>
      <c r="AB216" s="368">
        <f t="shared" si="94"/>
        <v>0</v>
      </c>
      <c r="AC216" s="369"/>
      <c r="AD216" s="365"/>
      <c r="AE216" s="363"/>
      <c r="AF216" s="363">
        <f>H216</f>
        <v>2.17</v>
      </c>
      <c r="AG216" s="363"/>
      <c r="AH216" s="363"/>
      <c r="AI216" s="363"/>
      <c r="AJ216" s="363"/>
      <c r="AK216" s="370"/>
      <c r="AL216" s="367">
        <f t="shared" si="89"/>
        <v>2.17</v>
      </c>
      <c r="AM216" s="371">
        <v>0</v>
      </c>
      <c r="AN216" s="373">
        <v>2</v>
      </c>
      <c r="AO216" s="371"/>
      <c r="AP216" s="373"/>
      <c r="AQ216" s="371"/>
      <c r="AR216" s="373"/>
      <c r="AS216" s="371"/>
      <c r="AT216" s="373"/>
      <c r="AU216" s="371"/>
      <c r="AV216" s="373"/>
      <c r="AW216" s="371"/>
      <c r="AX216" s="373"/>
      <c r="AY216" s="374">
        <f t="shared" si="86"/>
        <v>0</v>
      </c>
      <c r="AZ216" s="375">
        <f t="shared" si="86"/>
        <v>2</v>
      </c>
      <c r="BA216" s="376" t="s">
        <v>2452</v>
      </c>
      <c r="BB216" s="364" t="s">
        <v>1899</v>
      </c>
      <c r="BC216" s="377"/>
      <c r="BD216" s="378"/>
      <c r="BF216" s="365">
        <v>2.17</v>
      </c>
      <c r="BG216" s="365"/>
      <c r="BH216" s="365"/>
      <c r="BI216" s="364"/>
      <c r="BJ216" s="365"/>
      <c r="BK216" s="365"/>
      <c r="BL216" s="363">
        <f t="shared" si="92"/>
        <v>2.17</v>
      </c>
    </row>
    <row r="217" spans="1:64" s="376" customFormat="1" ht="76.5" outlineLevel="1" x14ac:dyDescent="0.2">
      <c r="A217" s="359" t="s">
        <v>1873</v>
      </c>
      <c r="B217" s="604" t="s">
        <v>1032</v>
      </c>
      <c r="C217" s="360" t="s">
        <v>2679</v>
      </c>
      <c r="D217" s="361" t="s">
        <v>397</v>
      </c>
      <c r="E217" s="362" t="s">
        <v>364</v>
      </c>
      <c r="F217" s="361">
        <v>2014</v>
      </c>
      <c r="G217" s="361">
        <v>2014</v>
      </c>
      <c r="H217" s="363">
        <v>0.01</v>
      </c>
      <c r="I217" s="363">
        <v>0.01</v>
      </c>
      <c r="J217" s="363">
        <f t="shared" si="91"/>
        <v>0.01</v>
      </c>
      <c r="K217" s="362" t="s">
        <v>364</v>
      </c>
      <c r="L217" s="361"/>
      <c r="M217" s="361"/>
      <c r="N217" s="361"/>
      <c r="O217" s="361"/>
      <c r="P217" s="361"/>
      <c r="Q217" s="362" t="s">
        <v>364</v>
      </c>
      <c r="R217" s="365">
        <v>0.01</v>
      </c>
      <c r="S217" s="365"/>
      <c r="T217" s="365"/>
      <c r="U217" s="365"/>
      <c r="V217" s="365"/>
      <c r="W217" s="365"/>
      <c r="X217" s="363">
        <f t="shared" si="88"/>
        <v>0.01</v>
      </c>
      <c r="Y217" s="366"/>
      <c r="Z217" s="363"/>
      <c r="AA217" s="367"/>
      <c r="AB217" s="368">
        <f t="shared" si="94"/>
        <v>0</v>
      </c>
      <c r="AC217" s="369"/>
      <c r="AD217" s="365"/>
      <c r="AE217" s="363"/>
      <c r="AF217" s="363">
        <f>H217</f>
        <v>0.01</v>
      </c>
      <c r="AG217" s="363"/>
      <c r="AH217" s="363"/>
      <c r="AI217" s="363"/>
      <c r="AJ217" s="363"/>
      <c r="AK217" s="370"/>
      <c r="AL217" s="367">
        <f t="shared" si="89"/>
        <v>0.01</v>
      </c>
      <c r="AM217" s="371">
        <v>0</v>
      </c>
      <c r="AN217" s="372">
        <v>0</v>
      </c>
      <c r="AO217" s="371"/>
      <c r="AP217" s="373"/>
      <c r="AQ217" s="371"/>
      <c r="AR217" s="373"/>
      <c r="AS217" s="371"/>
      <c r="AT217" s="373"/>
      <c r="AU217" s="371"/>
      <c r="AV217" s="373"/>
      <c r="AW217" s="371"/>
      <c r="AX217" s="373"/>
      <c r="AY217" s="374">
        <f t="shared" si="86"/>
        <v>0</v>
      </c>
      <c r="AZ217" s="375">
        <f t="shared" si="86"/>
        <v>0</v>
      </c>
      <c r="BA217" s="376" t="s">
        <v>2452</v>
      </c>
      <c r="BC217" s="377"/>
      <c r="BD217" s="378"/>
      <c r="BF217" s="365">
        <v>0.01</v>
      </c>
      <c r="BG217" s="365"/>
      <c r="BH217" s="365"/>
      <c r="BI217" s="365"/>
      <c r="BJ217" s="365"/>
      <c r="BK217" s="365"/>
      <c r="BL217" s="363">
        <f t="shared" si="92"/>
        <v>0.01</v>
      </c>
    </row>
    <row r="218" spans="1:64" s="376" customFormat="1" ht="89.25" outlineLevel="1" x14ac:dyDescent="0.2">
      <c r="A218" s="359" t="s">
        <v>1874</v>
      </c>
      <c r="B218" s="604" t="s">
        <v>1033</v>
      </c>
      <c r="C218" s="360" t="s">
        <v>1545</v>
      </c>
      <c r="D218" s="361" t="s">
        <v>397</v>
      </c>
      <c r="E218" s="362" t="s">
        <v>2709</v>
      </c>
      <c r="F218" s="361">
        <v>2014</v>
      </c>
      <c r="G218" s="361">
        <v>2015</v>
      </c>
      <c r="H218" s="363">
        <v>2.12</v>
      </c>
      <c r="I218" s="363">
        <v>2.12</v>
      </c>
      <c r="J218" s="363">
        <f t="shared" si="91"/>
        <v>0.1</v>
      </c>
      <c r="K218" s="361"/>
      <c r="L218" s="362" t="s">
        <v>2709</v>
      </c>
      <c r="M218" s="361"/>
      <c r="N218" s="364"/>
      <c r="O218" s="361"/>
      <c r="P218" s="361"/>
      <c r="Q218" s="362" t="s">
        <v>2709</v>
      </c>
      <c r="R218" s="365">
        <v>0.1</v>
      </c>
      <c r="S218" s="365">
        <f>I218-R218</f>
        <v>2.02</v>
      </c>
      <c r="T218" s="365"/>
      <c r="U218" s="364"/>
      <c r="V218" s="365"/>
      <c r="W218" s="365"/>
      <c r="X218" s="363">
        <f t="shared" si="88"/>
        <v>2.12</v>
      </c>
      <c r="Y218" s="366"/>
      <c r="Z218" s="363"/>
      <c r="AA218" s="367"/>
      <c r="AB218" s="368">
        <f t="shared" si="94"/>
        <v>0</v>
      </c>
      <c r="AC218" s="369"/>
      <c r="AD218" s="365"/>
      <c r="AE218" s="363"/>
      <c r="AF218" s="363"/>
      <c r="AG218" s="363">
        <f>H218</f>
        <v>2.12</v>
      </c>
      <c r="AH218" s="363"/>
      <c r="AI218" s="363"/>
      <c r="AJ218" s="363"/>
      <c r="AK218" s="370"/>
      <c r="AL218" s="367">
        <f t="shared" si="89"/>
        <v>2.12</v>
      </c>
      <c r="AM218" s="371"/>
      <c r="AN218" s="372"/>
      <c r="AO218" s="371">
        <v>0</v>
      </c>
      <c r="AP218" s="373">
        <v>1.26</v>
      </c>
      <c r="AQ218" s="371"/>
      <c r="AR218" s="373"/>
      <c r="AS218" s="371"/>
      <c r="AT218" s="373"/>
      <c r="AU218" s="371"/>
      <c r="AV218" s="373"/>
      <c r="AW218" s="371"/>
      <c r="AX218" s="373"/>
      <c r="AY218" s="374">
        <f t="shared" si="86"/>
        <v>0</v>
      </c>
      <c r="AZ218" s="375">
        <f t="shared" si="86"/>
        <v>1.26</v>
      </c>
      <c r="BA218" s="376" t="s">
        <v>2452</v>
      </c>
      <c r="BC218" s="377"/>
      <c r="BD218" s="378"/>
      <c r="BF218" s="365">
        <v>0.1</v>
      </c>
      <c r="BG218" s="365">
        <v>2.02</v>
      </c>
      <c r="BH218" s="365"/>
      <c r="BI218" s="364"/>
      <c r="BJ218" s="365"/>
      <c r="BK218" s="365"/>
      <c r="BL218" s="363">
        <f t="shared" si="92"/>
        <v>2.12</v>
      </c>
    </row>
    <row r="219" spans="1:64" s="376" customFormat="1" ht="102" outlineLevel="1" x14ac:dyDescent="0.2">
      <c r="A219" s="359" t="s">
        <v>1875</v>
      </c>
      <c r="B219" s="604" t="s">
        <v>948</v>
      </c>
      <c r="C219" s="360" t="s">
        <v>2680</v>
      </c>
      <c r="D219" s="361" t="s">
        <v>397</v>
      </c>
      <c r="E219" s="362" t="s">
        <v>1876</v>
      </c>
      <c r="F219" s="361">
        <v>2014</v>
      </c>
      <c r="G219" s="361">
        <v>2015</v>
      </c>
      <c r="H219" s="363">
        <v>2.7</v>
      </c>
      <c r="I219" s="363">
        <v>2.7</v>
      </c>
      <c r="J219" s="363">
        <f t="shared" si="91"/>
        <v>0.01</v>
      </c>
      <c r="K219" s="361"/>
      <c r="L219" s="362" t="s">
        <v>1876</v>
      </c>
      <c r="M219" s="361"/>
      <c r="N219" s="361"/>
      <c r="O219" s="364"/>
      <c r="P219" s="361"/>
      <c r="Q219" s="362" t="s">
        <v>1876</v>
      </c>
      <c r="R219" s="365">
        <v>0.01</v>
      </c>
      <c r="S219" s="365">
        <f>I219-R219</f>
        <v>2.6900000000000004</v>
      </c>
      <c r="T219" s="365"/>
      <c r="U219" s="365"/>
      <c r="V219" s="365"/>
      <c r="W219" s="365"/>
      <c r="X219" s="363">
        <f t="shared" si="88"/>
        <v>2.7</v>
      </c>
      <c r="Y219" s="366"/>
      <c r="Z219" s="363"/>
      <c r="AA219" s="367"/>
      <c r="AB219" s="368">
        <f t="shared" si="94"/>
        <v>0</v>
      </c>
      <c r="AC219" s="369"/>
      <c r="AD219" s="365"/>
      <c r="AE219" s="363"/>
      <c r="AF219" s="363"/>
      <c r="AG219" s="363">
        <f>H219</f>
        <v>2.7</v>
      </c>
      <c r="AH219" s="363"/>
      <c r="AI219" s="363"/>
      <c r="AJ219" s="363"/>
      <c r="AK219" s="370"/>
      <c r="AL219" s="367">
        <f t="shared" si="89"/>
        <v>2.7</v>
      </c>
      <c r="AM219" s="371"/>
      <c r="AN219" s="372"/>
      <c r="AO219" s="371">
        <v>2.7</v>
      </c>
      <c r="AP219" s="373">
        <v>0</v>
      </c>
      <c r="AQ219" s="371"/>
      <c r="AR219" s="373"/>
      <c r="AS219" s="371"/>
      <c r="AT219" s="373"/>
      <c r="AU219" s="371"/>
      <c r="AV219" s="373"/>
      <c r="AW219" s="371"/>
      <c r="AX219" s="373"/>
      <c r="AY219" s="374">
        <f t="shared" si="86"/>
        <v>2.7</v>
      </c>
      <c r="AZ219" s="375">
        <f t="shared" si="86"/>
        <v>0</v>
      </c>
      <c r="BA219" s="376" t="s">
        <v>2452</v>
      </c>
      <c r="BC219" s="377"/>
      <c r="BD219" s="378"/>
      <c r="BF219" s="365">
        <v>0.01</v>
      </c>
      <c r="BG219" s="365">
        <v>2.69</v>
      </c>
      <c r="BH219" s="365"/>
      <c r="BI219" s="365"/>
      <c r="BJ219" s="365"/>
      <c r="BK219" s="365"/>
      <c r="BL219" s="363">
        <f t="shared" si="92"/>
        <v>2.6999999999999997</v>
      </c>
    </row>
    <row r="220" spans="1:64" s="376" customFormat="1" ht="51" outlineLevel="1" x14ac:dyDescent="0.2">
      <c r="A220" s="359" t="s">
        <v>1877</v>
      </c>
      <c r="B220" s="604" t="s">
        <v>1036</v>
      </c>
      <c r="C220" s="360" t="s">
        <v>1950</v>
      </c>
      <c r="D220" s="361" t="s">
        <v>397</v>
      </c>
      <c r="E220" s="362" t="s">
        <v>364</v>
      </c>
      <c r="F220" s="361">
        <v>2014</v>
      </c>
      <c r="G220" s="361">
        <v>2014</v>
      </c>
      <c r="H220" s="363">
        <v>2.87E-2</v>
      </c>
      <c r="I220" s="363">
        <v>2.87E-2</v>
      </c>
      <c r="J220" s="363">
        <f t="shared" si="91"/>
        <v>2.87E-2</v>
      </c>
      <c r="K220" s="362" t="s">
        <v>364</v>
      </c>
      <c r="L220" s="364"/>
      <c r="M220" s="361"/>
      <c r="N220" s="364"/>
      <c r="O220" s="361"/>
      <c r="P220" s="361"/>
      <c r="Q220" s="362" t="s">
        <v>364</v>
      </c>
      <c r="R220" s="365">
        <v>2.87E-2</v>
      </c>
      <c r="S220" s="365"/>
      <c r="T220" s="365"/>
      <c r="U220" s="364"/>
      <c r="V220" s="365"/>
      <c r="W220" s="365"/>
      <c r="X220" s="363">
        <f t="shared" si="88"/>
        <v>2.87E-2</v>
      </c>
      <c r="Y220" s="366"/>
      <c r="Z220" s="363"/>
      <c r="AA220" s="367"/>
      <c r="AB220" s="368">
        <f t="shared" si="94"/>
        <v>0</v>
      </c>
      <c r="AC220" s="369"/>
      <c r="AD220" s="365"/>
      <c r="AE220" s="363"/>
      <c r="AF220" s="363">
        <f>H220</f>
        <v>2.87E-2</v>
      </c>
      <c r="AG220" s="363"/>
      <c r="AH220" s="363"/>
      <c r="AI220" s="363"/>
      <c r="AJ220" s="363"/>
      <c r="AK220" s="370"/>
      <c r="AL220" s="367">
        <f t="shared" si="89"/>
        <v>2.87E-2</v>
      </c>
      <c r="AM220" s="371">
        <v>0</v>
      </c>
      <c r="AN220" s="372">
        <v>0</v>
      </c>
      <c r="AO220" s="371"/>
      <c r="AP220" s="373"/>
      <c r="AQ220" s="371"/>
      <c r="AR220" s="373"/>
      <c r="AS220" s="371"/>
      <c r="AT220" s="373"/>
      <c r="AU220" s="371"/>
      <c r="AV220" s="373"/>
      <c r="AW220" s="371"/>
      <c r="AX220" s="373"/>
      <c r="AY220" s="374">
        <f t="shared" si="86"/>
        <v>0</v>
      </c>
      <c r="AZ220" s="375">
        <f t="shared" si="86"/>
        <v>0</v>
      </c>
      <c r="BA220" s="376" t="s">
        <v>2452</v>
      </c>
      <c r="BC220" s="377"/>
      <c r="BD220" s="378"/>
      <c r="BF220" s="365">
        <v>2.87E-2</v>
      </c>
      <c r="BG220" s="365"/>
      <c r="BH220" s="365"/>
      <c r="BI220" s="364"/>
      <c r="BJ220" s="365"/>
      <c r="BK220" s="365"/>
      <c r="BL220" s="363">
        <f t="shared" si="92"/>
        <v>2.87E-2</v>
      </c>
    </row>
    <row r="221" spans="1:64" s="376" customFormat="1" ht="51" outlineLevel="1" x14ac:dyDescent="0.2">
      <c r="A221" s="359" t="s">
        <v>1878</v>
      </c>
      <c r="B221" s="604" t="s">
        <v>1038</v>
      </c>
      <c r="C221" s="360" t="s">
        <v>1546</v>
      </c>
      <c r="D221" s="361" t="s">
        <v>397</v>
      </c>
      <c r="E221" s="362" t="s">
        <v>364</v>
      </c>
      <c r="F221" s="361">
        <v>2014</v>
      </c>
      <c r="G221" s="361">
        <v>2015</v>
      </c>
      <c r="H221" s="363">
        <v>0.5</v>
      </c>
      <c r="I221" s="363">
        <v>0.5</v>
      </c>
      <c r="J221" s="363">
        <f t="shared" si="91"/>
        <v>0.01</v>
      </c>
      <c r="K221" s="361"/>
      <c r="L221" s="362" t="s">
        <v>364</v>
      </c>
      <c r="M221" s="361"/>
      <c r="N221" s="364"/>
      <c r="O221" s="361"/>
      <c r="P221" s="361"/>
      <c r="Q221" s="362" t="s">
        <v>364</v>
      </c>
      <c r="R221" s="365">
        <v>0.01</v>
      </c>
      <c r="S221" s="365">
        <f>I221-R221</f>
        <v>0.49</v>
      </c>
      <c r="T221" s="365"/>
      <c r="U221" s="364"/>
      <c r="V221" s="365"/>
      <c r="W221" s="365"/>
      <c r="X221" s="363">
        <f t="shared" si="88"/>
        <v>0.5</v>
      </c>
      <c r="Y221" s="366"/>
      <c r="Z221" s="363"/>
      <c r="AA221" s="367"/>
      <c r="AB221" s="368">
        <f t="shared" si="94"/>
        <v>0</v>
      </c>
      <c r="AC221" s="369"/>
      <c r="AD221" s="365"/>
      <c r="AE221" s="363"/>
      <c r="AF221" s="363"/>
      <c r="AG221" s="363">
        <f>H221</f>
        <v>0.5</v>
      </c>
      <c r="AH221" s="363"/>
      <c r="AI221" s="363"/>
      <c r="AJ221" s="363"/>
      <c r="AK221" s="370"/>
      <c r="AL221" s="367">
        <f t="shared" si="89"/>
        <v>0.5</v>
      </c>
      <c r="AM221" s="371"/>
      <c r="AN221" s="372"/>
      <c r="AO221" s="371">
        <v>0</v>
      </c>
      <c r="AP221" s="373">
        <v>0</v>
      </c>
      <c r="AQ221" s="371"/>
      <c r="AR221" s="373"/>
      <c r="AS221" s="371"/>
      <c r="AT221" s="373"/>
      <c r="AU221" s="371"/>
      <c r="AV221" s="373"/>
      <c r="AW221" s="371"/>
      <c r="AX221" s="373"/>
      <c r="AY221" s="374">
        <f t="shared" si="86"/>
        <v>0</v>
      </c>
      <c r="AZ221" s="375">
        <f t="shared" si="86"/>
        <v>0</v>
      </c>
      <c r="BA221" s="376" t="s">
        <v>2452</v>
      </c>
      <c r="BC221" s="377"/>
      <c r="BD221" s="378"/>
      <c r="BF221" s="365">
        <v>0.01</v>
      </c>
      <c r="BG221" s="365">
        <v>0.49</v>
      </c>
      <c r="BH221" s="365"/>
      <c r="BI221" s="364"/>
      <c r="BJ221" s="365"/>
      <c r="BK221" s="365"/>
      <c r="BL221" s="363">
        <f t="shared" si="92"/>
        <v>0.5</v>
      </c>
    </row>
    <row r="222" spans="1:64" s="376" customFormat="1" ht="52.7" customHeight="1" outlineLevel="1" x14ac:dyDescent="0.2">
      <c r="A222" s="359" t="s">
        <v>1879</v>
      </c>
      <c r="B222" s="604" t="s">
        <v>1040</v>
      </c>
      <c r="C222" s="360" t="s">
        <v>2681</v>
      </c>
      <c r="D222" s="361" t="s">
        <v>397</v>
      </c>
      <c r="E222" s="362" t="s">
        <v>364</v>
      </c>
      <c r="F222" s="361">
        <v>2014</v>
      </c>
      <c r="G222" s="361">
        <v>2015</v>
      </c>
      <c r="H222" s="363">
        <v>1.5</v>
      </c>
      <c r="I222" s="363">
        <v>1.5</v>
      </c>
      <c r="J222" s="363">
        <f t="shared" si="91"/>
        <v>0.01</v>
      </c>
      <c r="K222" s="361"/>
      <c r="L222" s="362" t="s">
        <v>364</v>
      </c>
      <c r="M222" s="361"/>
      <c r="N222" s="364"/>
      <c r="O222" s="361"/>
      <c r="P222" s="361"/>
      <c r="Q222" s="362" t="s">
        <v>364</v>
      </c>
      <c r="R222" s="365">
        <v>0.01</v>
      </c>
      <c r="S222" s="365">
        <f>I222-R222</f>
        <v>1.49</v>
      </c>
      <c r="T222" s="365"/>
      <c r="U222" s="364"/>
      <c r="V222" s="365"/>
      <c r="W222" s="365"/>
      <c r="X222" s="363">
        <f t="shared" si="88"/>
        <v>1.5</v>
      </c>
      <c r="Y222" s="366"/>
      <c r="Z222" s="363"/>
      <c r="AA222" s="367"/>
      <c r="AB222" s="368">
        <f t="shared" si="94"/>
        <v>0</v>
      </c>
      <c r="AC222" s="369"/>
      <c r="AD222" s="365"/>
      <c r="AE222" s="363"/>
      <c r="AF222" s="363"/>
      <c r="AG222" s="363">
        <f>H222</f>
        <v>1.5</v>
      </c>
      <c r="AH222" s="363"/>
      <c r="AI222" s="363"/>
      <c r="AJ222" s="363"/>
      <c r="AK222" s="370"/>
      <c r="AL222" s="367">
        <f t="shared" si="89"/>
        <v>1.5</v>
      </c>
      <c r="AM222" s="371"/>
      <c r="AN222" s="372"/>
      <c r="AO222" s="371">
        <v>0</v>
      </c>
      <c r="AP222" s="373">
        <v>0</v>
      </c>
      <c r="AQ222" s="371"/>
      <c r="AR222" s="373"/>
      <c r="AS222" s="371"/>
      <c r="AT222" s="373"/>
      <c r="AU222" s="371"/>
      <c r="AV222" s="373"/>
      <c r="AW222" s="371"/>
      <c r="AX222" s="373"/>
      <c r="AY222" s="374">
        <f t="shared" si="86"/>
        <v>0</v>
      </c>
      <c r="AZ222" s="375">
        <f t="shared" si="86"/>
        <v>0</v>
      </c>
      <c r="BA222" s="376" t="s">
        <v>2452</v>
      </c>
      <c r="BC222" s="377"/>
      <c r="BD222" s="378"/>
      <c r="BF222" s="365">
        <v>0.01</v>
      </c>
      <c r="BG222" s="365">
        <v>1.49</v>
      </c>
      <c r="BH222" s="365"/>
      <c r="BI222" s="364"/>
      <c r="BJ222" s="365"/>
      <c r="BK222" s="365"/>
      <c r="BL222" s="363">
        <f t="shared" si="92"/>
        <v>1.5</v>
      </c>
    </row>
    <row r="223" spans="1:64" s="376" customFormat="1" ht="76.5" outlineLevel="1" x14ac:dyDescent="0.2">
      <c r="A223" s="359" t="s">
        <v>1880</v>
      </c>
      <c r="B223" s="604" t="s">
        <v>1041</v>
      </c>
      <c r="C223" s="360" t="s">
        <v>1951</v>
      </c>
      <c r="D223" s="361" t="s">
        <v>397</v>
      </c>
      <c r="E223" s="362" t="s">
        <v>364</v>
      </c>
      <c r="F223" s="361">
        <v>2014</v>
      </c>
      <c r="G223" s="361">
        <v>2015</v>
      </c>
      <c r="H223" s="363">
        <v>0.23872199999999999</v>
      </c>
      <c r="I223" s="363">
        <v>0.23872199999999999</v>
      </c>
      <c r="J223" s="363">
        <f t="shared" si="91"/>
        <v>0.01</v>
      </c>
      <c r="K223" s="361"/>
      <c r="L223" s="362" t="s">
        <v>364</v>
      </c>
      <c r="M223" s="361"/>
      <c r="N223" s="364"/>
      <c r="O223" s="361"/>
      <c r="P223" s="361"/>
      <c r="Q223" s="362" t="s">
        <v>364</v>
      </c>
      <c r="R223" s="365">
        <v>0.01</v>
      </c>
      <c r="S223" s="365">
        <f>I223-R223</f>
        <v>0.22872199999999998</v>
      </c>
      <c r="T223" s="365"/>
      <c r="U223" s="364"/>
      <c r="V223" s="365"/>
      <c r="W223" s="365"/>
      <c r="X223" s="363">
        <f t="shared" si="88"/>
        <v>0.23872199999999999</v>
      </c>
      <c r="Y223" s="366"/>
      <c r="Z223" s="363"/>
      <c r="AA223" s="367"/>
      <c r="AB223" s="368">
        <f t="shared" si="94"/>
        <v>0</v>
      </c>
      <c r="AC223" s="369"/>
      <c r="AD223" s="365"/>
      <c r="AE223" s="363"/>
      <c r="AF223" s="363"/>
      <c r="AG223" s="363">
        <f>H223</f>
        <v>0.23872199999999999</v>
      </c>
      <c r="AH223" s="363"/>
      <c r="AI223" s="363"/>
      <c r="AJ223" s="363"/>
      <c r="AK223" s="370"/>
      <c r="AL223" s="367">
        <f t="shared" si="89"/>
        <v>0.23872199999999999</v>
      </c>
      <c r="AM223" s="371"/>
      <c r="AN223" s="372"/>
      <c r="AO223" s="371">
        <v>0</v>
      </c>
      <c r="AP223" s="373">
        <v>0</v>
      </c>
      <c r="AQ223" s="371"/>
      <c r="AR223" s="373"/>
      <c r="AS223" s="371"/>
      <c r="AT223" s="373"/>
      <c r="AU223" s="371"/>
      <c r="AV223" s="373"/>
      <c r="AW223" s="371"/>
      <c r="AX223" s="373"/>
      <c r="AY223" s="374">
        <f t="shared" si="86"/>
        <v>0</v>
      </c>
      <c r="AZ223" s="375">
        <f t="shared" si="86"/>
        <v>0</v>
      </c>
      <c r="BA223" s="376" t="s">
        <v>2452</v>
      </c>
      <c r="BC223" s="377"/>
      <c r="BD223" s="378"/>
      <c r="BF223" s="365">
        <v>0.01</v>
      </c>
      <c r="BG223" s="365">
        <v>0.22872199999999998</v>
      </c>
      <c r="BH223" s="365"/>
      <c r="BI223" s="364"/>
      <c r="BJ223" s="365"/>
      <c r="BK223" s="365"/>
      <c r="BL223" s="363">
        <f t="shared" si="92"/>
        <v>0.23872199999999999</v>
      </c>
    </row>
    <row r="224" spans="1:64" s="376" customFormat="1" ht="63.75" outlineLevel="1" x14ac:dyDescent="0.2">
      <c r="A224" s="359" t="s">
        <v>1881</v>
      </c>
      <c r="B224" s="604" t="s">
        <v>949</v>
      </c>
      <c r="C224" s="360" t="s">
        <v>1547</v>
      </c>
      <c r="D224" s="361" t="s">
        <v>397</v>
      </c>
      <c r="E224" s="362" t="s">
        <v>508</v>
      </c>
      <c r="F224" s="361">
        <v>2014</v>
      </c>
      <c r="G224" s="361">
        <v>2015</v>
      </c>
      <c r="H224" s="363">
        <v>2.95</v>
      </c>
      <c r="I224" s="363">
        <v>2.95</v>
      </c>
      <c r="J224" s="363">
        <f t="shared" si="91"/>
        <v>0.01</v>
      </c>
      <c r="K224" s="361"/>
      <c r="L224" s="362" t="s">
        <v>508</v>
      </c>
      <c r="M224" s="361"/>
      <c r="N224" s="364"/>
      <c r="O224" s="361"/>
      <c r="P224" s="361"/>
      <c r="Q224" s="362" t="s">
        <v>508</v>
      </c>
      <c r="R224" s="365">
        <v>0.01</v>
      </c>
      <c r="S224" s="365">
        <f>I224-R224</f>
        <v>2.9400000000000004</v>
      </c>
      <c r="T224" s="365"/>
      <c r="U224" s="364"/>
      <c r="V224" s="365"/>
      <c r="W224" s="365"/>
      <c r="X224" s="363">
        <f t="shared" si="88"/>
        <v>2.95</v>
      </c>
      <c r="Y224" s="366"/>
      <c r="Z224" s="363"/>
      <c r="AA224" s="367"/>
      <c r="AB224" s="368">
        <f t="shared" si="94"/>
        <v>0</v>
      </c>
      <c r="AC224" s="369"/>
      <c r="AD224" s="365"/>
      <c r="AE224" s="363"/>
      <c r="AF224" s="363"/>
      <c r="AG224" s="363">
        <f>H224</f>
        <v>2.95</v>
      </c>
      <c r="AH224" s="363"/>
      <c r="AI224" s="363"/>
      <c r="AJ224" s="363"/>
      <c r="AK224" s="370"/>
      <c r="AL224" s="367">
        <f t="shared" si="89"/>
        <v>2.95</v>
      </c>
      <c r="AM224" s="371"/>
      <c r="AN224" s="372"/>
      <c r="AO224" s="371">
        <v>0</v>
      </c>
      <c r="AP224" s="373">
        <v>2</v>
      </c>
      <c r="AQ224" s="371"/>
      <c r="AR224" s="373"/>
      <c r="AS224" s="371"/>
      <c r="AT224" s="373"/>
      <c r="AU224" s="371"/>
      <c r="AV224" s="373"/>
      <c r="AW224" s="371"/>
      <c r="AX224" s="373"/>
      <c r="AY224" s="374">
        <f t="shared" si="86"/>
        <v>0</v>
      </c>
      <c r="AZ224" s="375">
        <f t="shared" si="86"/>
        <v>2</v>
      </c>
      <c r="BA224" s="376" t="s">
        <v>2452</v>
      </c>
      <c r="BC224" s="377"/>
      <c r="BD224" s="378"/>
      <c r="BF224" s="365">
        <v>0.01</v>
      </c>
      <c r="BG224" s="365">
        <v>2.94</v>
      </c>
      <c r="BH224" s="365"/>
      <c r="BI224" s="364"/>
      <c r="BJ224" s="365"/>
      <c r="BK224" s="365"/>
      <c r="BL224" s="363">
        <f t="shared" si="92"/>
        <v>2.9499999999999997</v>
      </c>
    </row>
    <row r="225" spans="1:64" s="376" customFormat="1" ht="76.5" outlineLevel="1" x14ac:dyDescent="0.2">
      <c r="A225" s="359" t="s">
        <v>1882</v>
      </c>
      <c r="B225" s="604" t="s">
        <v>1043</v>
      </c>
      <c r="C225" s="360" t="s">
        <v>1548</v>
      </c>
      <c r="D225" s="361" t="s">
        <v>397</v>
      </c>
      <c r="E225" s="362" t="s">
        <v>1227</v>
      </c>
      <c r="F225" s="361">
        <v>2014</v>
      </c>
      <c r="G225" s="361">
        <v>2014</v>
      </c>
      <c r="H225" s="363">
        <v>3.3000000000000002E-2</v>
      </c>
      <c r="I225" s="363">
        <v>3.3000000000000002E-2</v>
      </c>
      <c r="J225" s="363">
        <f t="shared" si="91"/>
        <v>3.3000000000000002E-2</v>
      </c>
      <c r="K225" s="362" t="s">
        <v>1227</v>
      </c>
      <c r="L225" s="364"/>
      <c r="M225" s="361"/>
      <c r="N225" s="364"/>
      <c r="O225" s="361"/>
      <c r="P225" s="361"/>
      <c r="Q225" s="362" t="s">
        <v>1227</v>
      </c>
      <c r="R225" s="365">
        <v>3.3000000000000002E-2</v>
      </c>
      <c r="S225" s="365"/>
      <c r="T225" s="365"/>
      <c r="U225" s="364"/>
      <c r="V225" s="365"/>
      <c r="W225" s="365"/>
      <c r="X225" s="363">
        <f t="shared" si="88"/>
        <v>3.3000000000000002E-2</v>
      </c>
      <c r="Y225" s="366"/>
      <c r="Z225" s="363"/>
      <c r="AA225" s="367"/>
      <c r="AB225" s="368">
        <f t="shared" si="94"/>
        <v>0</v>
      </c>
      <c r="AC225" s="369"/>
      <c r="AD225" s="365"/>
      <c r="AE225" s="363"/>
      <c r="AF225" s="363">
        <f>H225</f>
        <v>3.3000000000000002E-2</v>
      </c>
      <c r="AG225" s="363"/>
      <c r="AH225" s="363"/>
      <c r="AI225" s="363"/>
      <c r="AJ225" s="363"/>
      <c r="AK225" s="370"/>
      <c r="AL225" s="367">
        <f t="shared" si="89"/>
        <v>3.3000000000000002E-2</v>
      </c>
      <c r="AM225" s="371">
        <v>0</v>
      </c>
      <c r="AN225" s="372">
        <v>0</v>
      </c>
      <c r="AO225" s="371"/>
      <c r="AP225" s="373"/>
      <c r="AQ225" s="371"/>
      <c r="AR225" s="373"/>
      <c r="AS225" s="371"/>
      <c r="AT225" s="373"/>
      <c r="AU225" s="371"/>
      <c r="AV225" s="373"/>
      <c r="AW225" s="371"/>
      <c r="AX225" s="373"/>
      <c r="AY225" s="374">
        <f t="shared" si="86"/>
        <v>0</v>
      </c>
      <c r="AZ225" s="375">
        <f t="shared" si="86"/>
        <v>0</v>
      </c>
      <c r="BA225" s="376" t="s">
        <v>2452</v>
      </c>
      <c r="BC225" s="377"/>
      <c r="BD225" s="378"/>
      <c r="BF225" s="365">
        <v>3.3000000000000002E-2</v>
      </c>
      <c r="BG225" s="365"/>
      <c r="BH225" s="365"/>
      <c r="BI225" s="364"/>
      <c r="BJ225" s="365"/>
      <c r="BK225" s="365"/>
      <c r="BL225" s="363">
        <f t="shared" si="92"/>
        <v>3.3000000000000002E-2</v>
      </c>
    </row>
    <row r="226" spans="1:64" s="376" customFormat="1" ht="293.25" outlineLevel="1" x14ac:dyDescent="0.2">
      <c r="A226" s="359" t="s">
        <v>957</v>
      </c>
      <c r="B226" s="604" t="s">
        <v>1045</v>
      </c>
      <c r="C226" s="360" t="s">
        <v>2597</v>
      </c>
      <c r="D226" s="361" t="s">
        <v>397</v>
      </c>
      <c r="E226" s="362" t="s">
        <v>2709</v>
      </c>
      <c r="F226" s="361">
        <v>2010</v>
      </c>
      <c r="G226" s="361">
        <v>2014</v>
      </c>
      <c r="H226" s="363">
        <v>34.380600000000001</v>
      </c>
      <c r="I226" s="363">
        <v>0.01</v>
      </c>
      <c r="J226" s="363">
        <f t="shared" si="91"/>
        <v>0.01</v>
      </c>
      <c r="K226" s="362" t="s">
        <v>2709</v>
      </c>
      <c r="L226" s="361"/>
      <c r="M226" s="361"/>
      <c r="N226" s="361"/>
      <c r="O226" s="361"/>
      <c r="P226" s="361"/>
      <c r="Q226" s="362" t="s">
        <v>2709</v>
      </c>
      <c r="R226" s="365">
        <v>0.01</v>
      </c>
      <c r="S226" s="365"/>
      <c r="T226" s="365"/>
      <c r="U226" s="365"/>
      <c r="V226" s="365"/>
      <c r="W226" s="365"/>
      <c r="X226" s="363">
        <f t="shared" si="88"/>
        <v>0.01</v>
      </c>
      <c r="Y226" s="366"/>
      <c r="Z226" s="363"/>
      <c r="AA226" s="367"/>
      <c r="AB226" s="368">
        <f t="shared" si="94"/>
        <v>0</v>
      </c>
      <c r="AC226" s="369"/>
      <c r="AD226" s="365"/>
      <c r="AE226" s="363"/>
      <c r="AF226" s="363">
        <f>H226</f>
        <v>34.380600000000001</v>
      </c>
      <c r="AG226" s="363"/>
      <c r="AH226" s="363"/>
      <c r="AI226" s="363"/>
      <c r="AJ226" s="363"/>
      <c r="AK226" s="370"/>
      <c r="AL226" s="367">
        <f t="shared" si="89"/>
        <v>34.380600000000001</v>
      </c>
      <c r="AM226" s="371">
        <v>0</v>
      </c>
      <c r="AN226" s="372">
        <v>1.26</v>
      </c>
      <c r="AO226" s="371"/>
      <c r="AP226" s="373"/>
      <c r="AQ226" s="371"/>
      <c r="AR226" s="373"/>
      <c r="AS226" s="371"/>
      <c r="AT226" s="373"/>
      <c r="AU226" s="371"/>
      <c r="AV226" s="373"/>
      <c r="AW226" s="371"/>
      <c r="AX226" s="373"/>
      <c r="AY226" s="374">
        <f t="shared" si="86"/>
        <v>0</v>
      </c>
      <c r="AZ226" s="375">
        <f t="shared" si="86"/>
        <v>1.26</v>
      </c>
      <c r="BA226" s="359" t="s">
        <v>1238</v>
      </c>
      <c r="BB226" s="393" t="s">
        <v>2627</v>
      </c>
      <c r="BC226" s="377"/>
      <c r="BD226" s="378"/>
      <c r="BF226" s="365">
        <v>0.01</v>
      </c>
      <c r="BG226" s="365"/>
      <c r="BH226" s="365"/>
      <c r="BI226" s="365"/>
      <c r="BJ226" s="365"/>
      <c r="BK226" s="365"/>
      <c r="BL226" s="363">
        <f t="shared" si="92"/>
        <v>0.01</v>
      </c>
    </row>
    <row r="227" spans="1:64" s="376" customFormat="1" ht="306.75" customHeight="1" outlineLevel="1" x14ac:dyDescent="0.2">
      <c r="A227" s="359" t="s">
        <v>958</v>
      </c>
      <c r="B227" s="604" t="s">
        <v>2306</v>
      </c>
      <c r="C227" s="360" t="s">
        <v>2598</v>
      </c>
      <c r="D227" s="361" t="s">
        <v>397</v>
      </c>
      <c r="E227" s="361" t="s">
        <v>2729</v>
      </c>
      <c r="F227" s="361">
        <v>2013</v>
      </c>
      <c r="G227" s="361">
        <v>2015</v>
      </c>
      <c r="H227" s="363">
        <v>17.02</v>
      </c>
      <c r="I227" s="363">
        <v>15.7134</v>
      </c>
      <c r="J227" s="363">
        <f t="shared" si="91"/>
        <v>0.35959999999999998</v>
      </c>
      <c r="K227" s="361"/>
      <c r="L227" s="361" t="s">
        <v>2729</v>
      </c>
      <c r="M227" s="361"/>
      <c r="N227" s="364"/>
      <c r="O227" s="361"/>
      <c r="P227" s="361"/>
      <c r="Q227" s="361" t="s">
        <v>2729</v>
      </c>
      <c r="R227" s="365">
        <v>0.35959999999999998</v>
      </c>
      <c r="S227" s="365">
        <f>I227-R227</f>
        <v>15.3538</v>
      </c>
      <c r="T227" s="364"/>
      <c r="U227" s="365"/>
      <c r="V227" s="365"/>
      <c r="W227" s="365"/>
      <c r="X227" s="363">
        <f t="shared" si="88"/>
        <v>15.7134</v>
      </c>
      <c r="Y227" s="366"/>
      <c r="Z227" s="363"/>
      <c r="AA227" s="367"/>
      <c r="AB227" s="368">
        <f t="shared" si="94"/>
        <v>0</v>
      </c>
      <c r="AC227" s="369"/>
      <c r="AD227" s="365"/>
      <c r="AE227" s="363"/>
      <c r="AF227" s="363"/>
      <c r="AG227" s="363">
        <f>H227</f>
        <v>17.02</v>
      </c>
      <c r="AH227" s="363"/>
      <c r="AI227" s="363"/>
      <c r="AJ227" s="363"/>
      <c r="AK227" s="370"/>
      <c r="AL227" s="367">
        <f t="shared" si="89"/>
        <v>17.02</v>
      </c>
      <c r="AM227" s="371"/>
      <c r="AN227" s="372"/>
      <c r="AO227" s="371">
        <v>2</v>
      </c>
      <c r="AP227" s="373">
        <v>1.2</v>
      </c>
      <c r="AQ227" s="371"/>
      <c r="AR227" s="373"/>
      <c r="AS227" s="371"/>
      <c r="AT227" s="373"/>
      <c r="AU227" s="371"/>
      <c r="AV227" s="373"/>
      <c r="AW227" s="371"/>
      <c r="AX227" s="373"/>
      <c r="AY227" s="374">
        <f t="shared" si="86"/>
        <v>2</v>
      </c>
      <c r="AZ227" s="375">
        <f t="shared" si="86"/>
        <v>1.2</v>
      </c>
      <c r="BA227" s="359" t="s">
        <v>1239</v>
      </c>
      <c r="BB227" s="393" t="s">
        <v>2628</v>
      </c>
      <c r="BC227" s="377"/>
      <c r="BD227" s="378"/>
      <c r="BF227" s="365">
        <v>0.35959999999999998</v>
      </c>
      <c r="BG227" s="365">
        <v>15.3538</v>
      </c>
      <c r="BH227" s="364"/>
      <c r="BI227" s="365"/>
      <c r="BJ227" s="365"/>
      <c r="BK227" s="365"/>
      <c r="BL227" s="363">
        <f t="shared" si="92"/>
        <v>15.7134</v>
      </c>
    </row>
    <row r="228" spans="1:64" s="376" customFormat="1" ht="243" customHeight="1" outlineLevel="1" x14ac:dyDescent="0.2">
      <c r="A228" s="359" t="s">
        <v>951</v>
      </c>
      <c r="B228" s="604" t="s">
        <v>2307</v>
      </c>
      <c r="C228" s="360" t="s">
        <v>194</v>
      </c>
      <c r="D228" s="361" t="s">
        <v>397</v>
      </c>
      <c r="E228" s="361" t="s">
        <v>2715</v>
      </c>
      <c r="F228" s="361">
        <v>2013</v>
      </c>
      <c r="G228" s="361">
        <v>2014</v>
      </c>
      <c r="H228" s="363">
        <v>13.53</v>
      </c>
      <c r="I228" s="363">
        <v>11.006</v>
      </c>
      <c r="J228" s="363">
        <f t="shared" si="91"/>
        <v>11.006</v>
      </c>
      <c r="K228" s="361" t="s">
        <v>2715</v>
      </c>
      <c r="L228" s="361"/>
      <c r="M228" s="364"/>
      <c r="N228" s="400"/>
      <c r="O228" s="361"/>
      <c r="P228" s="361"/>
      <c r="Q228" s="361" t="s">
        <v>2715</v>
      </c>
      <c r="R228" s="365">
        <v>11.006</v>
      </c>
      <c r="S228" s="365"/>
      <c r="T228" s="365"/>
      <c r="U228" s="365"/>
      <c r="V228" s="365"/>
      <c r="W228" s="365"/>
      <c r="X228" s="363">
        <f t="shared" si="88"/>
        <v>11.006</v>
      </c>
      <c r="Y228" s="366"/>
      <c r="Z228" s="363"/>
      <c r="AA228" s="367"/>
      <c r="AB228" s="368">
        <f t="shared" si="94"/>
        <v>0</v>
      </c>
      <c r="AC228" s="369"/>
      <c r="AD228" s="365"/>
      <c r="AE228" s="363"/>
      <c r="AF228" s="363">
        <f>H228</f>
        <v>13.53</v>
      </c>
      <c r="AG228" s="363"/>
      <c r="AH228" s="363"/>
      <c r="AI228" s="363"/>
      <c r="AJ228" s="363"/>
      <c r="AK228" s="370"/>
      <c r="AL228" s="367">
        <f t="shared" si="89"/>
        <v>13.53</v>
      </c>
      <c r="AM228" s="371">
        <v>1</v>
      </c>
      <c r="AN228" s="372">
        <v>2</v>
      </c>
      <c r="AO228" s="371"/>
      <c r="AP228" s="373"/>
      <c r="AQ228" s="371"/>
      <c r="AR228" s="373"/>
      <c r="AS228" s="371"/>
      <c r="AT228" s="373"/>
      <c r="AU228" s="371"/>
      <c r="AV228" s="373"/>
      <c r="AW228" s="371"/>
      <c r="AX228" s="373"/>
      <c r="AY228" s="374">
        <f t="shared" si="86"/>
        <v>1</v>
      </c>
      <c r="AZ228" s="375">
        <f t="shared" si="86"/>
        <v>2</v>
      </c>
      <c r="BA228" s="359" t="s">
        <v>1225</v>
      </c>
      <c r="BB228" s="393" t="s">
        <v>2629</v>
      </c>
      <c r="BC228" s="397" t="s">
        <v>2645</v>
      </c>
      <c r="BD228" s="378"/>
      <c r="BF228" s="365">
        <v>11.006</v>
      </c>
      <c r="BG228" s="365"/>
      <c r="BH228" s="365"/>
      <c r="BI228" s="365"/>
      <c r="BJ228" s="365"/>
      <c r="BK228" s="365"/>
      <c r="BL228" s="363">
        <f t="shared" si="92"/>
        <v>11.006</v>
      </c>
    </row>
    <row r="229" spans="1:64" s="376" customFormat="1" ht="204" outlineLevel="1" x14ac:dyDescent="0.2">
      <c r="A229" s="359" t="s">
        <v>961</v>
      </c>
      <c r="B229" s="604" t="s">
        <v>2308</v>
      </c>
      <c r="C229" s="360" t="s">
        <v>2572</v>
      </c>
      <c r="D229" s="361" t="s">
        <v>397</v>
      </c>
      <c r="E229" s="362" t="s">
        <v>2715</v>
      </c>
      <c r="F229" s="361">
        <v>2013</v>
      </c>
      <c r="G229" s="361">
        <v>2015</v>
      </c>
      <c r="H229" s="363">
        <v>9.26</v>
      </c>
      <c r="I229" s="363">
        <v>7.2</v>
      </c>
      <c r="J229" s="363">
        <f t="shared" si="91"/>
        <v>4.2039999999999997</v>
      </c>
      <c r="K229" s="363"/>
      <c r="L229" s="362" t="s">
        <v>2715</v>
      </c>
      <c r="M229" s="362"/>
      <c r="N229" s="364"/>
      <c r="O229" s="361"/>
      <c r="P229" s="361"/>
      <c r="Q229" s="362" t="s">
        <v>2715</v>
      </c>
      <c r="R229" s="365">
        <v>4.2039999999999997</v>
      </c>
      <c r="S229" s="365">
        <f>I229-R229</f>
        <v>2.9960000000000004</v>
      </c>
      <c r="T229" s="365"/>
      <c r="U229" s="365"/>
      <c r="V229" s="365"/>
      <c r="W229" s="365"/>
      <c r="X229" s="363">
        <f t="shared" si="88"/>
        <v>7.2</v>
      </c>
      <c r="Y229" s="366"/>
      <c r="Z229" s="363"/>
      <c r="AA229" s="367"/>
      <c r="AB229" s="368">
        <f t="shared" si="94"/>
        <v>0</v>
      </c>
      <c r="AC229" s="369"/>
      <c r="AD229" s="365"/>
      <c r="AE229" s="363"/>
      <c r="AF229" s="363"/>
      <c r="AG229" s="363">
        <f>H229</f>
        <v>9.26</v>
      </c>
      <c r="AH229" s="363"/>
      <c r="AI229" s="363"/>
      <c r="AJ229" s="363"/>
      <c r="AK229" s="370"/>
      <c r="AL229" s="367">
        <f t="shared" si="89"/>
        <v>9.26</v>
      </c>
      <c r="AM229" s="371"/>
      <c r="AN229" s="372"/>
      <c r="AO229" s="371">
        <v>1</v>
      </c>
      <c r="AP229" s="373">
        <v>2</v>
      </c>
      <c r="AQ229" s="371"/>
      <c r="AR229" s="373"/>
      <c r="AS229" s="371"/>
      <c r="AT229" s="373"/>
      <c r="AU229" s="371"/>
      <c r="AV229" s="373"/>
      <c r="AW229" s="371"/>
      <c r="AX229" s="373"/>
      <c r="AY229" s="374">
        <f t="shared" si="86"/>
        <v>1</v>
      </c>
      <c r="AZ229" s="375">
        <f t="shared" si="86"/>
        <v>2</v>
      </c>
      <c r="BA229" s="359" t="s">
        <v>2166</v>
      </c>
      <c r="BB229" s="393" t="s">
        <v>2630</v>
      </c>
      <c r="BC229" s="397" t="s">
        <v>2645</v>
      </c>
      <c r="BD229" s="378"/>
      <c r="BF229" s="365">
        <v>4.2039999999999997</v>
      </c>
      <c r="BG229" s="365">
        <v>2.9960000000000004</v>
      </c>
      <c r="BH229" s="365"/>
      <c r="BI229" s="365"/>
      <c r="BJ229" s="365"/>
      <c r="BK229" s="365"/>
      <c r="BL229" s="363">
        <f t="shared" si="92"/>
        <v>7.2</v>
      </c>
    </row>
    <row r="230" spans="1:64" s="376" customFormat="1" ht="204" outlineLevel="1" x14ac:dyDescent="0.2">
      <c r="A230" s="359" t="s">
        <v>980</v>
      </c>
      <c r="B230" s="604" t="s">
        <v>2309</v>
      </c>
      <c r="C230" s="360" t="s">
        <v>1883</v>
      </c>
      <c r="D230" s="361" t="s">
        <v>397</v>
      </c>
      <c r="E230" s="362" t="s">
        <v>2716</v>
      </c>
      <c r="F230" s="361">
        <v>2013</v>
      </c>
      <c r="G230" s="361">
        <v>2016</v>
      </c>
      <c r="H230" s="363">
        <v>10.45</v>
      </c>
      <c r="I230" s="363">
        <v>10.45</v>
      </c>
      <c r="J230" s="363">
        <f t="shared" si="91"/>
        <v>0</v>
      </c>
      <c r="K230" s="361"/>
      <c r="L230" s="361"/>
      <c r="M230" s="362" t="s">
        <v>2716</v>
      </c>
      <c r="N230" s="364"/>
      <c r="O230" s="361"/>
      <c r="P230" s="361"/>
      <c r="Q230" s="362" t="s">
        <v>2716</v>
      </c>
      <c r="R230" s="365"/>
      <c r="S230" s="365"/>
      <c r="T230" s="365">
        <v>10.45</v>
      </c>
      <c r="U230" s="365"/>
      <c r="V230" s="365"/>
      <c r="W230" s="365"/>
      <c r="X230" s="363">
        <f t="shared" si="88"/>
        <v>10.45</v>
      </c>
      <c r="Y230" s="366"/>
      <c r="Z230" s="363"/>
      <c r="AA230" s="367"/>
      <c r="AB230" s="368">
        <f t="shared" si="94"/>
        <v>0</v>
      </c>
      <c r="AC230" s="369"/>
      <c r="AD230" s="365"/>
      <c r="AE230" s="363"/>
      <c r="AF230" s="363"/>
      <c r="AG230" s="363"/>
      <c r="AH230" s="363">
        <f>H230</f>
        <v>10.45</v>
      </c>
      <c r="AI230" s="363"/>
      <c r="AJ230" s="363"/>
      <c r="AK230" s="370"/>
      <c r="AL230" s="367">
        <f t="shared" si="89"/>
        <v>10.45</v>
      </c>
      <c r="AM230" s="371"/>
      <c r="AN230" s="372"/>
      <c r="AO230" s="371"/>
      <c r="AP230" s="373"/>
      <c r="AQ230" s="371">
        <v>1.41</v>
      </c>
      <c r="AR230" s="373">
        <v>1.26</v>
      </c>
      <c r="AS230" s="371"/>
      <c r="AT230" s="373"/>
      <c r="AU230" s="371"/>
      <c r="AV230" s="373"/>
      <c r="AW230" s="371"/>
      <c r="AX230" s="373"/>
      <c r="AY230" s="374">
        <f t="shared" si="86"/>
        <v>1.41</v>
      </c>
      <c r="AZ230" s="375">
        <f t="shared" si="86"/>
        <v>1.26</v>
      </c>
      <c r="BA230" s="359" t="s">
        <v>2477</v>
      </c>
      <c r="BB230" s="393" t="s">
        <v>2631</v>
      </c>
      <c r="BC230" s="377"/>
      <c r="BD230" s="378"/>
      <c r="BF230" s="365"/>
      <c r="BG230" s="365"/>
      <c r="BH230" s="365">
        <v>10.45</v>
      </c>
      <c r="BI230" s="365"/>
      <c r="BJ230" s="365"/>
      <c r="BK230" s="365"/>
      <c r="BL230" s="363">
        <f t="shared" si="92"/>
        <v>10.45</v>
      </c>
    </row>
    <row r="231" spans="1:64" s="376" customFormat="1" ht="82.5" customHeight="1" outlineLevel="1" x14ac:dyDescent="0.2">
      <c r="A231" s="359" t="s">
        <v>1549</v>
      </c>
      <c r="B231" s="604" t="s">
        <v>2310</v>
      </c>
      <c r="C231" s="391" t="s">
        <v>1550</v>
      </c>
      <c r="D231" s="361" t="s">
        <v>397</v>
      </c>
      <c r="E231" s="362" t="s">
        <v>2730</v>
      </c>
      <c r="F231" s="361">
        <v>2010</v>
      </c>
      <c r="G231" s="361">
        <v>2015</v>
      </c>
      <c r="H231" s="363">
        <v>15.4</v>
      </c>
      <c r="I231" s="363">
        <v>15.4</v>
      </c>
      <c r="J231" s="363">
        <f t="shared" si="91"/>
        <v>14.9</v>
      </c>
      <c r="K231" s="361"/>
      <c r="L231" s="362" t="s">
        <v>2730</v>
      </c>
      <c r="M231" s="363"/>
      <c r="N231" s="363"/>
      <c r="O231" s="361"/>
      <c r="P231" s="361"/>
      <c r="Q231" s="362" t="s">
        <v>2730</v>
      </c>
      <c r="R231" s="363">
        <v>14.9</v>
      </c>
      <c r="S231" s="365">
        <f>I231-R231</f>
        <v>0.5</v>
      </c>
      <c r="T231" s="363"/>
      <c r="U231" s="363"/>
      <c r="V231" s="363"/>
      <c r="W231" s="363"/>
      <c r="X231" s="363">
        <f t="shared" si="88"/>
        <v>15.4</v>
      </c>
      <c r="Y231" s="366"/>
      <c r="Z231" s="363"/>
      <c r="AA231" s="367"/>
      <c r="AB231" s="368">
        <f t="shared" si="94"/>
        <v>0</v>
      </c>
      <c r="AC231" s="369"/>
      <c r="AD231" s="365"/>
      <c r="AE231" s="363"/>
      <c r="AF231" s="363"/>
      <c r="AG231" s="363">
        <f>H231</f>
        <v>15.4</v>
      </c>
      <c r="AH231" s="363"/>
      <c r="AI231" s="363"/>
      <c r="AJ231" s="363"/>
      <c r="AK231" s="367"/>
      <c r="AL231" s="367">
        <f t="shared" si="89"/>
        <v>15.4</v>
      </c>
      <c r="AM231" s="401"/>
      <c r="AN231" s="372"/>
      <c r="AO231" s="401">
        <v>1.1160000000000001</v>
      </c>
      <c r="AP231" s="373">
        <v>2</v>
      </c>
      <c r="AQ231" s="401"/>
      <c r="AR231" s="373"/>
      <c r="AS231" s="401"/>
      <c r="AT231" s="373"/>
      <c r="AU231" s="401"/>
      <c r="AV231" s="373"/>
      <c r="AW231" s="401"/>
      <c r="AX231" s="373"/>
      <c r="AY231" s="374">
        <f t="shared" ref="AY231:AZ235" si="95">AM231+AO231+AQ231+AS231+AU231+AW231</f>
        <v>1.1160000000000001</v>
      </c>
      <c r="AZ231" s="375">
        <f t="shared" si="95"/>
        <v>2</v>
      </c>
      <c r="BA231" s="359" t="s">
        <v>2164</v>
      </c>
      <c r="BB231" s="393" t="s">
        <v>2632</v>
      </c>
      <c r="BC231" s="377"/>
      <c r="BD231" s="378"/>
      <c r="BF231" s="363">
        <v>14.9</v>
      </c>
      <c r="BG231" s="363">
        <v>0.5</v>
      </c>
      <c r="BH231" s="363"/>
      <c r="BI231" s="363"/>
      <c r="BJ231" s="363"/>
      <c r="BK231" s="363"/>
      <c r="BL231" s="363">
        <f t="shared" ref="BL231:BL240" si="96">SUM(BF231:BK231)</f>
        <v>15.4</v>
      </c>
    </row>
    <row r="232" spans="1:64" s="376" customFormat="1" ht="153" outlineLevel="1" x14ac:dyDescent="0.2">
      <c r="A232" s="359" t="s">
        <v>1551</v>
      </c>
      <c r="B232" s="604" t="s">
        <v>2311</v>
      </c>
      <c r="C232" s="393" t="s">
        <v>1552</v>
      </c>
      <c r="D232" s="361" t="s">
        <v>397</v>
      </c>
      <c r="E232" s="361" t="s">
        <v>505</v>
      </c>
      <c r="F232" s="361">
        <v>2010</v>
      </c>
      <c r="G232" s="361">
        <v>2015</v>
      </c>
      <c r="H232" s="363">
        <v>15.5</v>
      </c>
      <c r="I232" s="363">
        <v>15</v>
      </c>
      <c r="J232" s="363">
        <f t="shared" si="91"/>
        <v>14.5</v>
      </c>
      <c r="K232" s="361"/>
      <c r="L232" s="361" t="s">
        <v>505</v>
      </c>
      <c r="M232" s="363"/>
      <c r="N232" s="363"/>
      <c r="O232" s="361"/>
      <c r="P232" s="361"/>
      <c r="Q232" s="361" t="s">
        <v>505</v>
      </c>
      <c r="R232" s="363">
        <v>14.5</v>
      </c>
      <c r="S232" s="365">
        <f>I232-R232</f>
        <v>0.5</v>
      </c>
      <c r="T232" s="363"/>
      <c r="U232" s="363"/>
      <c r="V232" s="363"/>
      <c r="W232" s="363"/>
      <c r="X232" s="363">
        <f t="shared" si="88"/>
        <v>15</v>
      </c>
      <c r="Y232" s="366"/>
      <c r="Z232" s="363"/>
      <c r="AA232" s="367"/>
      <c r="AB232" s="368">
        <f t="shared" si="94"/>
        <v>0</v>
      </c>
      <c r="AC232" s="369"/>
      <c r="AD232" s="365"/>
      <c r="AE232" s="363"/>
      <c r="AF232" s="363"/>
      <c r="AG232" s="363">
        <f>H232</f>
        <v>15.5</v>
      </c>
      <c r="AH232" s="363"/>
      <c r="AI232" s="363"/>
      <c r="AJ232" s="363"/>
      <c r="AK232" s="367"/>
      <c r="AL232" s="367">
        <f t="shared" si="89"/>
        <v>15.5</v>
      </c>
      <c r="AM232" s="401"/>
      <c r="AN232" s="372"/>
      <c r="AO232" s="401">
        <v>2</v>
      </c>
      <c r="AP232" s="373">
        <v>2</v>
      </c>
      <c r="AQ232" s="401"/>
      <c r="AR232" s="373"/>
      <c r="AS232" s="401"/>
      <c r="AT232" s="373"/>
      <c r="AU232" s="401"/>
      <c r="AV232" s="373"/>
      <c r="AW232" s="401"/>
      <c r="AX232" s="373"/>
      <c r="AY232" s="374">
        <f t="shared" si="95"/>
        <v>2</v>
      </c>
      <c r="AZ232" s="375">
        <f t="shared" si="95"/>
        <v>2</v>
      </c>
      <c r="BA232" s="359" t="s">
        <v>1242</v>
      </c>
      <c r="BB232" s="393" t="s">
        <v>1552</v>
      </c>
      <c r="BC232" s="397" t="s">
        <v>1900</v>
      </c>
      <c r="BD232" s="378"/>
      <c r="BF232" s="363">
        <v>14.5</v>
      </c>
      <c r="BG232" s="363">
        <v>0.5</v>
      </c>
      <c r="BH232" s="363"/>
      <c r="BI232" s="363"/>
      <c r="BJ232" s="363"/>
      <c r="BK232" s="363"/>
      <c r="BL232" s="363">
        <f t="shared" si="96"/>
        <v>15</v>
      </c>
    </row>
    <row r="233" spans="1:64" s="376" customFormat="1" ht="165.75" outlineLevel="1" x14ac:dyDescent="0.2">
      <c r="A233" s="624" t="s">
        <v>2312</v>
      </c>
      <c r="B233" s="604" t="s">
        <v>2312</v>
      </c>
      <c r="C233" s="360" t="s">
        <v>64</v>
      </c>
      <c r="D233" s="361" t="s">
        <v>397</v>
      </c>
      <c r="E233" s="362" t="s">
        <v>1244</v>
      </c>
      <c r="F233" s="361">
        <v>2017</v>
      </c>
      <c r="G233" s="361">
        <v>2017</v>
      </c>
      <c r="H233" s="363">
        <v>11.5</v>
      </c>
      <c r="I233" s="363">
        <v>11.5</v>
      </c>
      <c r="J233" s="363">
        <f t="shared" si="91"/>
        <v>0</v>
      </c>
      <c r="K233" s="361"/>
      <c r="L233" s="364"/>
      <c r="M233" s="361"/>
      <c r="N233" s="362" t="s">
        <v>1244</v>
      </c>
      <c r="O233" s="361"/>
      <c r="P233" s="361"/>
      <c r="Q233" s="362" t="s">
        <v>1244</v>
      </c>
      <c r="R233" s="365"/>
      <c r="S233" s="365"/>
      <c r="T233" s="365">
        <v>2.23</v>
      </c>
      <c r="U233" s="365">
        <v>9.27</v>
      </c>
      <c r="V233" s="365"/>
      <c r="W233" s="365"/>
      <c r="X233" s="363">
        <f t="shared" si="88"/>
        <v>11.5</v>
      </c>
      <c r="Y233" s="366"/>
      <c r="Z233" s="363"/>
      <c r="AA233" s="367"/>
      <c r="AB233" s="368">
        <f t="shared" si="94"/>
        <v>0</v>
      </c>
      <c r="AC233" s="369"/>
      <c r="AD233" s="365"/>
      <c r="AE233" s="363"/>
      <c r="AF233" s="363"/>
      <c r="AG233" s="363"/>
      <c r="AH233" s="363"/>
      <c r="AI233" s="363">
        <f>H233</f>
        <v>11.5</v>
      </c>
      <c r="AJ233" s="363"/>
      <c r="AK233" s="370"/>
      <c r="AL233" s="367">
        <f t="shared" si="89"/>
        <v>11.5</v>
      </c>
      <c r="AM233" s="371"/>
      <c r="AN233" s="372"/>
      <c r="AO233" s="371"/>
      <c r="AP233" s="373"/>
      <c r="AQ233" s="371"/>
      <c r="AR233" s="373"/>
      <c r="AS233" s="371">
        <v>6</v>
      </c>
      <c r="AT233" s="373">
        <v>1.26</v>
      </c>
      <c r="AU233" s="371"/>
      <c r="AV233" s="373"/>
      <c r="AW233" s="371"/>
      <c r="AX233" s="373"/>
      <c r="AY233" s="374">
        <f t="shared" si="95"/>
        <v>6</v>
      </c>
      <c r="AZ233" s="375">
        <f t="shared" si="95"/>
        <v>1.26</v>
      </c>
      <c r="BA233" s="359" t="s">
        <v>1032</v>
      </c>
      <c r="BB233" s="393" t="s">
        <v>64</v>
      </c>
      <c r="BC233" s="397" t="s">
        <v>1901</v>
      </c>
      <c r="BD233" s="378"/>
      <c r="BF233" s="365"/>
      <c r="BG233" s="365"/>
      <c r="BH233" s="365">
        <v>2.23</v>
      </c>
      <c r="BI233" s="365">
        <v>9.27</v>
      </c>
      <c r="BJ233" s="365"/>
      <c r="BK233" s="365"/>
      <c r="BL233" s="363">
        <f t="shared" si="96"/>
        <v>11.5</v>
      </c>
    </row>
    <row r="234" spans="1:64" s="376" customFormat="1" ht="102" outlineLevel="1" x14ac:dyDescent="0.2">
      <c r="A234" s="624" t="s">
        <v>2313</v>
      </c>
      <c r="B234" s="604" t="s">
        <v>2313</v>
      </c>
      <c r="C234" s="360" t="s">
        <v>67</v>
      </c>
      <c r="D234" s="361" t="s">
        <v>1258</v>
      </c>
      <c r="E234" s="362" t="s">
        <v>362</v>
      </c>
      <c r="F234" s="361">
        <v>2017</v>
      </c>
      <c r="G234" s="361">
        <v>2017</v>
      </c>
      <c r="H234" s="363">
        <v>15</v>
      </c>
      <c r="I234" s="363">
        <v>15</v>
      </c>
      <c r="J234" s="363">
        <f t="shared" si="91"/>
        <v>0</v>
      </c>
      <c r="K234" s="361"/>
      <c r="L234" s="364"/>
      <c r="M234" s="361"/>
      <c r="N234" s="362" t="s">
        <v>362</v>
      </c>
      <c r="O234" s="361"/>
      <c r="P234" s="361"/>
      <c r="Q234" s="362" t="s">
        <v>362</v>
      </c>
      <c r="R234" s="365"/>
      <c r="S234" s="365"/>
      <c r="T234" s="365">
        <v>12.374000000000001</v>
      </c>
      <c r="U234" s="365">
        <v>2.6259999999999999</v>
      </c>
      <c r="V234" s="365"/>
      <c r="W234" s="365"/>
      <c r="X234" s="363">
        <f t="shared" si="88"/>
        <v>15</v>
      </c>
      <c r="Y234" s="366"/>
      <c r="Z234" s="363"/>
      <c r="AA234" s="367"/>
      <c r="AB234" s="368">
        <f t="shared" si="94"/>
        <v>0</v>
      </c>
      <c r="AC234" s="369"/>
      <c r="AD234" s="365"/>
      <c r="AE234" s="363"/>
      <c r="AF234" s="363"/>
      <c r="AG234" s="363"/>
      <c r="AH234" s="363"/>
      <c r="AI234" s="363">
        <f>H234</f>
        <v>15</v>
      </c>
      <c r="AJ234" s="363"/>
      <c r="AK234" s="370"/>
      <c r="AL234" s="367">
        <f t="shared" si="89"/>
        <v>15</v>
      </c>
      <c r="AM234" s="371"/>
      <c r="AN234" s="372"/>
      <c r="AO234" s="371"/>
      <c r="AP234" s="373"/>
      <c r="AQ234" s="371"/>
      <c r="AR234" s="373"/>
      <c r="AS234" s="371">
        <v>6.4</v>
      </c>
      <c r="AT234" s="373">
        <v>1.26</v>
      </c>
      <c r="AU234" s="371"/>
      <c r="AV234" s="373"/>
      <c r="AW234" s="371"/>
      <c r="AX234" s="373"/>
      <c r="AY234" s="374">
        <f t="shared" si="95"/>
        <v>6.4</v>
      </c>
      <c r="AZ234" s="375">
        <f t="shared" si="95"/>
        <v>1.26</v>
      </c>
      <c r="BA234" s="359" t="s">
        <v>1036</v>
      </c>
      <c r="BB234" s="360" t="s">
        <v>67</v>
      </c>
      <c r="BC234" s="377"/>
      <c r="BD234" s="378"/>
      <c r="BF234" s="365"/>
      <c r="BG234" s="365"/>
      <c r="BH234" s="365">
        <v>12.374000000000001</v>
      </c>
      <c r="BI234" s="365">
        <v>2.6259999999999999</v>
      </c>
      <c r="BJ234" s="365"/>
      <c r="BK234" s="365"/>
      <c r="BL234" s="363">
        <f t="shared" si="96"/>
        <v>15</v>
      </c>
    </row>
    <row r="235" spans="1:64" s="376" customFormat="1" ht="51" hidden="1" outlineLevel="2" x14ac:dyDescent="0.2">
      <c r="A235" s="359"/>
      <c r="B235" s="359"/>
      <c r="C235" s="360"/>
      <c r="D235" s="361"/>
      <c r="E235" s="362"/>
      <c r="F235" s="361"/>
      <c r="G235" s="361"/>
      <c r="H235" s="363"/>
      <c r="I235" s="363"/>
      <c r="J235" s="363"/>
      <c r="K235" s="361"/>
      <c r="L235" s="361"/>
      <c r="M235" s="364"/>
      <c r="N235" s="362"/>
      <c r="O235" s="361"/>
      <c r="P235" s="361"/>
      <c r="Q235" s="362"/>
      <c r="R235" s="365"/>
      <c r="S235" s="365"/>
      <c r="T235" s="365"/>
      <c r="U235" s="365"/>
      <c r="V235" s="365"/>
      <c r="W235" s="365"/>
      <c r="X235" s="394">
        <f t="shared" si="88"/>
        <v>0</v>
      </c>
      <c r="Y235" s="366"/>
      <c r="Z235" s="363"/>
      <c r="AA235" s="367"/>
      <c r="AB235" s="368">
        <f t="shared" si="94"/>
        <v>0</v>
      </c>
      <c r="AC235" s="369"/>
      <c r="AD235" s="365"/>
      <c r="AE235" s="363"/>
      <c r="AF235" s="363"/>
      <c r="AG235" s="363"/>
      <c r="AH235" s="363"/>
      <c r="AI235" s="363">
        <f>H235</f>
        <v>0</v>
      </c>
      <c r="AJ235" s="363"/>
      <c r="AK235" s="370"/>
      <c r="AL235" s="367">
        <f t="shared" si="89"/>
        <v>0</v>
      </c>
      <c r="AM235" s="371"/>
      <c r="AN235" s="372"/>
      <c r="AO235" s="371"/>
      <c r="AP235" s="373"/>
      <c r="AQ235" s="371"/>
      <c r="AR235" s="373"/>
      <c r="AS235" s="371">
        <v>1.8</v>
      </c>
      <c r="AT235" s="373">
        <v>0</v>
      </c>
      <c r="AU235" s="371"/>
      <c r="AV235" s="373"/>
      <c r="AW235" s="371"/>
      <c r="AX235" s="373"/>
      <c r="AY235" s="374">
        <f t="shared" si="95"/>
        <v>1.8</v>
      </c>
      <c r="AZ235" s="375">
        <f t="shared" si="95"/>
        <v>0</v>
      </c>
      <c r="BA235" s="359" t="s">
        <v>1038</v>
      </c>
      <c r="BB235" s="360" t="s">
        <v>1611</v>
      </c>
      <c r="BC235" s="397" t="s">
        <v>1902</v>
      </c>
      <c r="BD235" s="378"/>
      <c r="BF235" s="365"/>
      <c r="BG235" s="365"/>
      <c r="BH235" s="365">
        <v>0.1</v>
      </c>
      <c r="BI235" s="365">
        <v>0.9</v>
      </c>
      <c r="BJ235" s="365"/>
      <c r="BK235" s="365"/>
      <c r="BL235" s="363">
        <f t="shared" si="96"/>
        <v>1</v>
      </c>
    </row>
    <row r="236" spans="1:64" s="598" customFormat="1" ht="63.75" outlineLevel="1" collapsed="1" x14ac:dyDescent="0.2">
      <c r="A236" s="612" t="s">
        <v>2314</v>
      </c>
      <c r="B236" s="604" t="s">
        <v>2314</v>
      </c>
      <c r="C236" s="360" t="s">
        <v>2646</v>
      </c>
      <c r="D236" s="361" t="s">
        <v>397</v>
      </c>
      <c r="E236" s="362" t="s">
        <v>2724</v>
      </c>
      <c r="F236" s="361">
        <v>2014</v>
      </c>
      <c r="G236" s="361">
        <v>2014</v>
      </c>
      <c r="H236" s="363">
        <v>2.95</v>
      </c>
      <c r="I236" s="363">
        <v>2.95</v>
      </c>
      <c r="J236" s="363">
        <f t="shared" si="91"/>
        <v>2.95</v>
      </c>
      <c r="K236" s="362" t="s">
        <v>2724</v>
      </c>
      <c r="L236" s="361"/>
      <c r="M236" s="364"/>
      <c r="N236" s="364"/>
      <c r="O236" s="361"/>
      <c r="P236" s="361"/>
      <c r="Q236" s="362" t="s">
        <v>2724</v>
      </c>
      <c r="R236" s="365">
        <v>2.95</v>
      </c>
      <c r="S236" s="365"/>
      <c r="T236" s="365"/>
      <c r="U236" s="365"/>
      <c r="V236" s="365"/>
      <c r="W236" s="365"/>
      <c r="X236" s="363">
        <f t="shared" ref="X236:X244" si="97">SUM(R236:W236)</f>
        <v>2.95</v>
      </c>
      <c r="Y236" s="614"/>
      <c r="Z236" s="596"/>
      <c r="AA236" s="597"/>
      <c r="AB236" s="615">
        <f t="shared" si="94"/>
        <v>0</v>
      </c>
      <c r="AC236" s="616"/>
      <c r="AD236" s="613"/>
      <c r="AE236" s="596"/>
      <c r="AF236" s="596">
        <f>H236</f>
        <v>2.95</v>
      </c>
      <c r="AG236" s="596"/>
      <c r="AH236" s="596"/>
      <c r="AI236" s="596"/>
      <c r="AJ236" s="596"/>
      <c r="AK236" s="617"/>
      <c r="AL236" s="597"/>
      <c r="AM236" s="618">
        <v>0</v>
      </c>
      <c r="AN236" s="607">
        <v>2</v>
      </c>
      <c r="AO236" s="618"/>
      <c r="AP236" s="608"/>
      <c r="AQ236" s="618"/>
      <c r="AR236" s="608"/>
      <c r="AS236" s="618"/>
      <c r="AT236" s="608"/>
      <c r="AU236" s="618"/>
      <c r="AV236" s="608"/>
      <c r="AW236" s="618"/>
      <c r="AX236" s="608"/>
      <c r="AY236" s="619"/>
      <c r="AZ236" s="620"/>
      <c r="BA236" s="621"/>
      <c r="BB236" s="622"/>
      <c r="BC236" s="623"/>
      <c r="BD236" s="609"/>
      <c r="BF236" s="613">
        <v>2.95</v>
      </c>
      <c r="BG236" s="613"/>
      <c r="BH236" s="613"/>
      <c r="BI236" s="613"/>
      <c r="BJ236" s="613"/>
      <c r="BK236" s="613"/>
      <c r="BL236" s="596">
        <f t="shared" si="96"/>
        <v>2.95</v>
      </c>
    </row>
    <row r="237" spans="1:64" s="376" customFormat="1" ht="114.75" outlineLevel="1" x14ac:dyDescent="0.2">
      <c r="A237" s="610" t="s">
        <v>2962</v>
      </c>
      <c r="B237" s="604" t="s">
        <v>2315</v>
      </c>
      <c r="C237" s="360" t="s">
        <v>2682</v>
      </c>
      <c r="D237" s="361" t="s">
        <v>397</v>
      </c>
      <c r="E237" s="362" t="s">
        <v>2723</v>
      </c>
      <c r="F237" s="361">
        <v>2014</v>
      </c>
      <c r="G237" s="361">
        <v>2014</v>
      </c>
      <c r="H237" s="363">
        <v>3.7</v>
      </c>
      <c r="I237" s="363">
        <v>3.7</v>
      </c>
      <c r="J237" s="363">
        <f t="shared" si="91"/>
        <v>3.7</v>
      </c>
      <c r="K237" s="362" t="s">
        <v>2723</v>
      </c>
      <c r="L237" s="361"/>
      <c r="M237" s="364"/>
      <c r="N237" s="362"/>
      <c r="O237" s="361"/>
      <c r="P237" s="361"/>
      <c r="Q237" s="362" t="s">
        <v>2723</v>
      </c>
      <c r="R237" s="365">
        <v>3.7</v>
      </c>
      <c r="S237" s="365"/>
      <c r="T237" s="365"/>
      <c r="U237" s="365"/>
      <c r="V237" s="365"/>
      <c r="W237" s="365"/>
      <c r="X237" s="363">
        <f t="shared" si="97"/>
        <v>3.7</v>
      </c>
      <c r="Y237" s="366"/>
      <c r="Z237" s="363"/>
      <c r="AA237" s="367"/>
      <c r="AB237" s="368">
        <f t="shared" si="94"/>
        <v>0</v>
      </c>
      <c r="AC237" s="369"/>
      <c r="AD237" s="365"/>
      <c r="AE237" s="363"/>
      <c r="AF237" s="363">
        <f>H237</f>
        <v>3.7</v>
      </c>
      <c r="AG237" s="363"/>
      <c r="AH237" s="363"/>
      <c r="AI237" s="363"/>
      <c r="AJ237" s="363"/>
      <c r="AK237" s="370"/>
      <c r="AL237" s="367"/>
      <c r="AM237" s="371">
        <v>0</v>
      </c>
      <c r="AN237" s="372">
        <v>1.26</v>
      </c>
      <c r="AO237" s="371"/>
      <c r="AP237" s="373"/>
      <c r="AQ237" s="371"/>
      <c r="AR237" s="373"/>
      <c r="AS237" s="371"/>
      <c r="AT237" s="373"/>
      <c r="AU237" s="371"/>
      <c r="AV237" s="373"/>
      <c r="AW237" s="371"/>
      <c r="AX237" s="373"/>
      <c r="AY237" s="374"/>
      <c r="AZ237" s="375"/>
      <c r="BA237" s="402"/>
      <c r="BB237" s="403"/>
      <c r="BC237" s="377"/>
      <c r="BD237" s="378"/>
      <c r="BF237" s="365">
        <v>3.7</v>
      </c>
      <c r="BG237" s="365"/>
      <c r="BH237" s="365"/>
      <c r="BI237" s="365"/>
      <c r="BJ237" s="365"/>
      <c r="BK237" s="365"/>
      <c r="BL237" s="363">
        <f t="shared" si="96"/>
        <v>3.7</v>
      </c>
    </row>
    <row r="238" spans="1:64" s="376" customFormat="1" ht="102" outlineLevel="1" x14ac:dyDescent="0.2">
      <c r="A238" s="599" t="s">
        <v>2963</v>
      </c>
      <c r="B238" s="604" t="s">
        <v>2316</v>
      </c>
      <c r="C238" s="360" t="s">
        <v>2647</v>
      </c>
      <c r="D238" s="361" t="s">
        <v>397</v>
      </c>
      <c r="E238" s="362" t="s">
        <v>2724</v>
      </c>
      <c r="F238" s="361">
        <v>2014</v>
      </c>
      <c r="G238" s="361">
        <v>2015</v>
      </c>
      <c r="H238" s="363">
        <v>3.2570000000000001</v>
      </c>
      <c r="I238" s="363">
        <v>3.2570000000000001</v>
      </c>
      <c r="J238" s="363">
        <f t="shared" si="91"/>
        <v>0.32</v>
      </c>
      <c r="K238" s="364"/>
      <c r="L238" s="362" t="s">
        <v>2724</v>
      </c>
      <c r="M238" s="364"/>
      <c r="N238" s="362"/>
      <c r="O238" s="361"/>
      <c r="P238" s="361"/>
      <c r="Q238" s="362" t="s">
        <v>2724</v>
      </c>
      <c r="R238" s="365">
        <v>0.32</v>
      </c>
      <c r="S238" s="365">
        <f>I238-R238</f>
        <v>2.9370000000000003</v>
      </c>
      <c r="T238" s="365"/>
      <c r="U238" s="365"/>
      <c r="V238" s="365"/>
      <c r="W238" s="365"/>
      <c r="X238" s="363">
        <f t="shared" si="97"/>
        <v>3.2570000000000001</v>
      </c>
      <c r="Y238" s="366"/>
      <c r="Z238" s="363"/>
      <c r="AA238" s="367"/>
      <c r="AB238" s="368">
        <f t="shared" si="94"/>
        <v>0</v>
      </c>
      <c r="AC238" s="369"/>
      <c r="AD238" s="365"/>
      <c r="AE238" s="363"/>
      <c r="AF238" s="363"/>
      <c r="AG238" s="363">
        <f>H238</f>
        <v>3.2570000000000001</v>
      </c>
      <c r="AH238" s="363"/>
      <c r="AI238" s="363"/>
      <c r="AJ238" s="363"/>
      <c r="AK238" s="370"/>
      <c r="AL238" s="367"/>
      <c r="AM238" s="371"/>
      <c r="AN238" s="372"/>
      <c r="AO238" s="371">
        <v>0</v>
      </c>
      <c r="AP238" s="373">
        <v>2</v>
      </c>
      <c r="AQ238" s="371"/>
      <c r="AR238" s="373"/>
      <c r="AS238" s="371"/>
      <c r="AT238" s="373"/>
      <c r="AU238" s="371"/>
      <c r="AV238" s="373"/>
      <c r="AW238" s="371"/>
      <c r="AX238" s="373"/>
      <c r="AY238" s="374"/>
      <c r="AZ238" s="375"/>
      <c r="BA238" s="402"/>
      <c r="BB238" s="403"/>
      <c r="BC238" s="377"/>
      <c r="BD238" s="378"/>
      <c r="BF238" s="365">
        <v>0.32</v>
      </c>
      <c r="BG238" s="365">
        <v>2.9370000000000003</v>
      </c>
      <c r="BH238" s="365"/>
      <c r="BI238" s="365"/>
      <c r="BJ238" s="365"/>
      <c r="BK238" s="365"/>
      <c r="BL238" s="363">
        <f t="shared" si="96"/>
        <v>3.2570000000000001</v>
      </c>
    </row>
    <row r="239" spans="1:64" s="376" customFormat="1" ht="76.5" outlineLevel="1" x14ac:dyDescent="0.2">
      <c r="A239" s="599" t="s">
        <v>2964</v>
      </c>
      <c r="B239" s="604" t="s">
        <v>1931</v>
      </c>
      <c r="C239" s="360" t="s">
        <v>2648</v>
      </c>
      <c r="D239" s="361" t="s">
        <v>397</v>
      </c>
      <c r="E239" s="362" t="s">
        <v>2723</v>
      </c>
      <c r="F239" s="361">
        <v>2014</v>
      </c>
      <c r="G239" s="361">
        <v>2015</v>
      </c>
      <c r="H239" s="363">
        <v>1.5880000000000001</v>
      </c>
      <c r="I239" s="363">
        <v>1.5880000000000001</v>
      </c>
      <c r="J239" s="363">
        <f t="shared" si="91"/>
        <v>0.16</v>
      </c>
      <c r="K239" s="361"/>
      <c r="L239" s="362" t="s">
        <v>2723</v>
      </c>
      <c r="M239" s="364"/>
      <c r="N239" s="362"/>
      <c r="O239" s="361"/>
      <c r="P239" s="361"/>
      <c r="Q239" s="362" t="s">
        <v>2723</v>
      </c>
      <c r="R239" s="365">
        <v>0.16</v>
      </c>
      <c r="S239" s="365">
        <f>I239-R239</f>
        <v>1.4280000000000002</v>
      </c>
      <c r="T239" s="365"/>
      <c r="U239" s="365"/>
      <c r="V239" s="365"/>
      <c r="W239" s="365"/>
      <c r="X239" s="363">
        <f t="shared" si="97"/>
        <v>1.5880000000000001</v>
      </c>
      <c r="Y239" s="366"/>
      <c r="Z239" s="363"/>
      <c r="AA239" s="367"/>
      <c r="AB239" s="368">
        <f t="shared" si="94"/>
        <v>0</v>
      </c>
      <c r="AC239" s="369"/>
      <c r="AD239" s="365"/>
      <c r="AE239" s="363"/>
      <c r="AF239" s="363"/>
      <c r="AG239" s="363">
        <f>H239</f>
        <v>1.5880000000000001</v>
      </c>
      <c r="AH239" s="363"/>
      <c r="AI239" s="363"/>
      <c r="AJ239" s="363"/>
      <c r="AK239" s="370"/>
      <c r="AL239" s="367"/>
      <c r="AM239" s="371"/>
      <c r="AN239" s="372"/>
      <c r="AO239" s="371">
        <v>0</v>
      </c>
      <c r="AP239" s="373">
        <v>1.26</v>
      </c>
      <c r="AQ239" s="371"/>
      <c r="AR239" s="373"/>
      <c r="AS239" s="371"/>
      <c r="AT239" s="373"/>
      <c r="AU239" s="371"/>
      <c r="AV239" s="373"/>
      <c r="AW239" s="371"/>
      <c r="AX239" s="373"/>
      <c r="AY239" s="374"/>
      <c r="AZ239" s="375"/>
      <c r="BA239" s="402"/>
      <c r="BB239" s="403"/>
      <c r="BC239" s="377"/>
      <c r="BD239" s="378"/>
      <c r="BF239" s="365">
        <v>0.16</v>
      </c>
      <c r="BG239" s="365">
        <v>1.4280000000000002</v>
      </c>
      <c r="BH239" s="365"/>
      <c r="BI239" s="365"/>
      <c r="BJ239" s="365"/>
      <c r="BK239" s="365"/>
      <c r="BL239" s="363">
        <f t="shared" si="96"/>
        <v>1.5880000000000001</v>
      </c>
    </row>
    <row r="240" spans="1:64" s="376" customFormat="1" ht="63.75" outlineLevel="1" x14ac:dyDescent="0.2">
      <c r="A240" s="610" t="s">
        <v>2965</v>
      </c>
      <c r="B240" s="604" t="s">
        <v>950</v>
      </c>
      <c r="C240" s="360" t="s">
        <v>2649</v>
      </c>
      <c r="D240" s="361" t="s">
        <v>397</v>
      </c>
      <c r="E240" s="362" t="s">
        <v>2723</v>
      </c>
      <c r="F240" s="361">
        <v>2014</v>
      </c>
      <c r="G240" s="361">
        <v>2015</v>
      </c>
      <c r="H240" s="363">
        <v>3.0910000000000002</v>
      </c>
      <c r="I240" s="363">
        <v>3.0910000000000002</v>
      </c>
      <c r="J240" s="363">
        <f t="shared" si="91"/>
        <v>0.3</v>
      </c>
      <c r="K240" s="361"/>
      <c r="L240" s="362" t="s">
        <v>2723</v>
      </c>
      <c r="M240" s="364"/>
      <c r="N240" s="362"/>
      <c r="O240" s="361"/>
      <c r="P240" s="361"/>
      <c r="Q240" s="362" t="s">
        <v>2723</v>
      </c>
      <c r="R240" s="365">
        <v>0.3</v>
      </c>
      <c r="S240" s="365">
        <f>I240-R240</f>
        <v>2.7910000000000004</v>
      </c>
      <c r="T240" s="365"/>
      <c r="U240" s="365"/>
      <c r="V240" s="365"/>
      <c r="W240" s="365"/>
      <c r="X240" s="363">
        <f t="shared" si="97"/>
        <v>3.0910000000000002</v>
      </c>
      <c r="Y240" s="366"/>
      <c r="Z240" s="363"/>
      <c r="AA240" s="367"/>
      <c r="AB240" s="368">
        <f t="shared" si="94"/>
        <v>0</v>
      </c>
      <c r="AC240" s="369"/>
      <c r="AD240" s="365"/>
      <c r="AE240" s="363"/>
      <c r="AF240" s="363"/>
      <c r="AG240" s="363">
        <f>H240</f>
        <v>3.0910000000000002</v>
      </c>
      <c r="AH240" s="363"/>
      <c r="AI240" s="363"/>
      <c r="AJ240" s="363"/>
      <c r="AK240" s="370"/>
      <c r="AL240" s="367"/>
      <c r="AM240" s="371"/>
      <c r="AN240" s="372"/>
      <c r="AO240" s="371">
        <v>0</v>
      </c>
      <c r="AP240" s="373">
        <v>1.26</v>
      </c>
      <c r="AQ240" s="371"/>
      <c r="AR240" s="373"/>
      <c r="AS240" s="371"/>
      <c r="AT240" s="373"/>
      <c r="AU240" s="371"/>
      <c r="AV240" s="373"/>
      <c r="AW240" s="371"/>
      <c r="AX240" s="373"/>
      <c r="AY240" s="374"/>
      <c r="AZ240" s="375"/>
      <c r="BA240" s="402"/>
      <c r="BB240" s="403"/>
      <c r="BC240" s="377"/>
      <c r="BD240" s="378"/>
      <c r="BF240" s="365">
        <v>0.3</v>
      </c>
      <c r="BG240" s="365">
        <v>2.7910000000000004</v>
      </c>
      <c r="BH240" s="365"/>
      <c r="BI240" s="365"/>
      <c r="BJ240" s="365"/>
      <c r="BK240" s="365"/>
      <c r="BL240" s="363">
        <f t="shared" si="96"/>
        <v>3.0910000000000002</v>
      </c>
    </row>
    <row r="241" spans="1:64" s="376" customFormat="1" ht="182.25" customHeight="1" outlineLevel="1" x14ac:dyDescent="0.2">
      <c r="A241" s="359" t="s">
        <v>2966</v>
      </c>
      <c r="B241" s="604" t="s">
        <v>2317</v>
      </c>
      <c r="C241" s="360" t="s">
        <v>2683</v>
      </c>
      <c r="D241" s="361" t="s">
        <v>397</v>
      </c>
      <c r="E241" s="362" t="s">
        <v>1935</v>
      </c>
      <c r="F241" s="361">
        <v>2014</v>
      </c>
      <c r="G241" s="361">
        <v>2015</v>
      </c>
      <c r="H241" s="363">
        <v>4.5</v>
      </c>
      <c r="I241" s="363">
        <v>4.5</v>
      </c>
      <c r="J241" s="363">
        <f t="shared" si="91"/>
        <v>0.45</v>
      </c>
      <c r="K241" s="361"/>
      <c r="L241" s="362" t="s">
        <v>1935</v>
      </c>
      <c r="M241" s="364"/>
      <c r="N241" s="362"/>
      <c r="O241" s="361"/>
      <c r="P241" s="361"/>
      <c r="Q241" s="362" t="s">
        <v>1935</v>
      </c>
      <c r="R241" s="365">
        <v>0.45</v>
      </c>
      <c r="S241" s="365">
        <v>4.05</v>
      </c>
      <c r="T241" s="365"/>
      <c r="U241" s="365"/>
      <c r="V241" s="365"/>
      <c r="W241" s="365"/>
      <c r="X241" s="363">
        <f t="shared" si="97"/>
        <v>4.5</v>
      </c>
      <c r="Y241" s="366"/>
      <c r="Z241" s="363"/>
      <c r="AA241" s="367"/>
      <c r="AB241" s="368">
        <f t="shared" si="94"/>
        <v>0</v>
      </c>
      <c r="AC241" s="366"/>
      <c r="AD241" s="363"/>
      <c r="AE241" s="363"/>
      <c r="AF241" s="363"/>
      <c r="AG241" s="363">
        <f>H241</f>
        <v>4.5</v>
      </c>
      <c r="AH241" s="363"/>
      <c r="AI241" s="363"/>
      <c r="AJ241" s="363"/>
      <c r="AK241" s="363"/>
      <c r="AL241" s="363"/>
      <c r="AM241" s="371"/>
      <c r="AN241" s="372"/>
      <c r="AO241" s="371">
        <v>0.5</v>
      </c>
      <c r="AP241" s="373">
        <v>2.5</v>
      </c>
      <c r="AQ241" s="371"/>
      <c r="AR241" s="373"/>
      <c r="AS241" s="371"/>
      <c r="AT241" s="373"/>
      <c r="AU241" s="371"/>
      <c r="AV241" s="373"/>
      <c r="AW241" s="371"/>
      <c r="AX241" s="373"/>
      <c r="AY241" s="374"/>
      <c r="AZ241" s="375"/>
      <c r="BA241" s="378"/>
    </row>
    <row r="242" spans="1:64" s="376" customFormat="1" ht="25.5" outlineLevel="1" x14ac:dyDescent="0.2">
      <c r="A242" s="359"/>
      <c r="B242" s="359" t="s">
        <v>1936</v>
      </c>
      <c r="C242" s="360" t="s">
        <v>526</v>
      </c>
      <c r="D242" s="361" t="s">
        <v>397</v>
      </c>
      <c r="E242" s="362"/>
      <c r="F242" s="361">
        <v>2017</v>
      </c>
      <c r="G242" s="361">
        <v>2019</v>
      </c>
      <c r="H242" s="363">
        <v>545.66</v>
      </c>
      <c r="I242" s="363">
        <v>545.66</v>
      </c>
      <c r="J242" s="363">
        <v>0</v>
      </c>
      <c r="K242" s="361"/>
      <c r="L242" s="362"/>
      <c r="M242" s="364"/>
      <c r="N242" s="362"/>
      <c r="O242" s="361"/>
      <c r="P242" s="361"/>
      <c r="Q242" s="362"/>
      <c r="R242" s="365"/>
      <c r="S242" s="365"/>
      <c r="T242" s="365"/>
      <c r="U242" s="365">
        <v>148.33439999999999</v>
      </c>
      <c r="V242" s="365">
        <v>176.53</v>
      </c>
      <c r="W242" s="365">
        <v>220.8</v>
      </c>
      <c r="X242" s="363">
        <v>545.6644</v>
      </c>
      <c r="Y242" s="366"/>
      <c r="Z242" s="363"/>
      <c r="AA242" s="367"/>
      <c r="AB242" s="368"/>
      <c r="AC242" s="366"/>
      <c r="AD242" s="363"/>
      <c r="AE242" s="363"/>
      <c r="AF242" s="363"/>
      <c r="AG242" s="363">
        <f>H242</f>
        <v>545.66</v>
      </c>
      <c r="AH242" s="363"/>
      <c r="AI242" s="363"/>
      <c r="AJ242" s="363"/>
      <c r="AK242" s="367"/>
      <c r="AL242" s="367"/>
      <c r="AM242" s="371"/>
      <c r="AN242" s="372"/>
      <c r="AO242" s="371"/>
      <c r="AP242" s="373"/>
      <c r="AQ242" s="371"/>
      <c r="AR242" s="373"/>
      <c r="AS242" s="371"/>
      <c r="AT242" s="373"/>
      <c r="AU242" s="371"/>
      <c r="AV242" s="373"/>
      <c r="AW242" s="371"/>
      <c r="AX242" s="373"/>
      <c r="AY242" s="374"/>
      <c r="AZ242" s="375"/>
      <c r="BA242" s="378"/>
    </row>
    <row r="243" spans="1:64" s="91" customFormat="1" ht="89.25" x14ac:dyDescent="0.2">
      <c r="A243" s="156"/>
      <c r="B243" s="28" t="s">
        <v>461</v>
      </c>
      <c r="C243" s="29" t="s">
        <v>433</v>
      </c>
      <c r="D243" s="34"/>
      <c r="E243" s="34"/>
      <c r="F243" s="30"/>
      <c r="G243" s="30"/>
      <c r="H243" s="31">
        <f>SUMIF(D244:D1332,D1334,H244:H1332)+SUMIF(D244:D1332,D1060,H244:H1332)+SUMIF(D244:D1332,D1312,H244:H1332)</f>
        <v>271.72655775440671</v>
      </c>
      <c r="I243" s="31">
        <f>SUMIF(D244:D1332,D1334,I244:I1332)+SUMIF(D244:D1332,D1060,I244:I1332)+SUMIF(D244:D1332,D1312,I244:I1332)</f>
        <v>117.58238084745756</v>
      </c>
      <c r="J243" s="31">
        <f>SUMIF(D244:D1332,D1334,J244:J1332)+SUMIF(D244:D1332,D1060,J244:J1332)+SUMIF(D244:D1332,D1312,J244:J1332)</f>
        <v>82.40004600000006</v>
      </c>
      <c r="K243" s="31" t="s">
        <v>2438</v>
      </c>
      <c r="L243" s="30" t="s">
        <v>2439</v>
      </c>
      <c r="M243" s="30" t="s">
        <v>2440</v>
      </c>
      <c r="N243" s="30" t="s">
        <v>2440</v>
      </c>
      <c r="O243" s="30" t="s">
        <v>2440</v>
      </c>
      <c r="P243" s="30" t="s">
        <v>2440</v>
      </c>
      <c r="Q243" s="31" t="s">
        <v>2441</v>
      </c>
      <c r="R243" s="31">
        <f>SUM(R244:R1332)</f>
        <v>82.40004600000016</v>
      </c>
      <c r="S243" s="31">
        <f>77.3+37.7</f>
        <v>115</v>
      </c>
      <c r="T243" s="31">
        <v>120.75</v>
      </c>
      <c r="U243" s="31">
        <v>126.4</v>
      </c>
      <c r="V243" s="31">
        <v>132.69999999999999</v>
      </c>
      <c r="W243" s="31">
        <v>139.4</v>
      </c>
      <c r="X243" s="31">
        <f t="shared" si="97"/>
        <v>716.65004600000009</v>
      </c>
      <c r="Y243" s="132"/>
      <c r="Z243" s="31"/>
      <c r="AA243" s="95"/>
      <c r="AB243" s="310">
        <f t="shared" si="94"/>
        <v>-599.06766515254253</v>
      </c>
      <c r="AC243" s="300">
        <f>SUM(AC244:AC1332)</f>
        <v>0</v>
      </c>
      <c r="AD243" s="228">
        <f>SUM(AD244:AD1332)</f>
        <v>0</v>
      </c>
      <c r="AE243" s="31"/>
      <c r="AF243" s="48">
        <f>SUM(AF244:AF1332)</f>
        <v>115.94959725999995</v>
      </c>
      <c r="AG243" s="48">
        <f>SUM(AG244:AG1332)</f>
        <v>155.77696049440675</v>
      </c>
      <c r="AH243" s="48">
        <f>79.2+37.7</f>
        <v>116.9</v>
      </c>
      <c r="AI243" s="48">
        <f>81.1+173.8</f>
        <v>254.9</v>
      </c>
      <c r="AJ243" s="48">
        <f>81.1+157.9</f>
        <v>239</v>
      </c>
      <c r="AK243" s="158">
        <f>81.1+137</f>
        <v>218.1</v>
      </c>
      <c r="AL243" s="158">
        <f>SUM(AF243:AK243)</f>
        <v>1100.6265577544066</v>
      </c>
      <c r="AM243" s="130">
        <f>SUM(AM244:AM1332)</f>
        <v>50.41</v>
      </c>
      <c r="AN243" s="181">
        <f>SUM(AN244:AN1332)</f>
        <v>5.57</v>
      </c>
      <c r="AO243" s="130">
        <f>SUM(AO244:AO1332)</f>
        <v>44.800000000000018</v>
      </c>
      <c r="AP243" s="185">
        <f>SUM(AP244:AP1332)</f>
        <v>2.66</v>
      </c>
      <c r="AQ243" s="130">
        <v>47.61</v>
      </c>
      <c r="AR243" s="185">
        <v>4.12</v>
      </c>
      <c r="AS243" s="130">
        <v>47.61</v>
      </c>
      <c r="AT243" s="185">
        <v>4.12</v>
      </c>
      <c r="AU243" s="130">
        <v>47.61</v>
      </c>
      <c r="AV243" s="185">
        <v>4.12</v>
      </c>
      <c r="AW243" s="130">
        <v>47.61</v>
      </c>
      <c r="AX243" s="185">
        <v>4.12</v>
      </c>
      <c r="AY243" s="111">
        <f>AM243+AO243+AQ243+AS243+AU243+AW243</f>
        <v>285.65000000000003</v>
      </c>
      <c r="AZ243" s="178">
        <f>AN243+AP243+AR243+AT243+AV243+AX243</f>
        <v>24.710000000000004</v>
      </c>
      <c r="BC243" s="173"/>
      <c r="BD243" s="173"/>
      <c r="BF243" s="31">
        <f>SUM(BF244:BF1332)</f>
        <v>82.400046000000188</v>
      </c>
      <c r="BG243" s="31">
        <f>77.3+37.7</f>
        <v>115</v>
      </c>
      <c r="BH243" s="31">
        <f>79.2+173.8</f>
        <v>253</v>
      </c>
      <c r="BI243" s="31">
        <f>81.1+157.9</f>
        <v>239</v>
      </c>
      <c r="BJ243" s="31">
        <f>81.1+137</f>
        <v>218.1</v>
      </c>
      <c r="BK243" s="31">
        <f>81.1+261.9</f>
        <v>343</v>
      </c>
      <c r="BL243" s="31">
        <f>SUM(BF243:BK243)</f>
        <v>1250.5000460000001</v>
      </c>
    </row>
    <row r="244" spans="1:64" s="2" customFormat="1" ht="127.5" outlineLevel="1" x14ac:dyDescent="0.2">
      <c r="A244" s="593" t="s">
        <v>1047</v>
      </c>
      <c r="B244" s="600" t="s">
        <v>1260</v>
      </c>
      <c r="C244" s="7" t="s">
        <v>2171</v>
      </c>
      <c r="D244" s="8" t="s">
        <v>397</v>
      </c>
      <c r="E244" s="23" t="s">
        <v>10</v>
      </c>
      <c r="F244" s="8">
        <v>2010</v>
      </c>
      <c r="G244" s="8">
        <v>2014</v>
      </c>
      <c r="H244" s="5">
        <v>1.5261663799999998</v>
      </c>
      <c r="I244" s="5">
        <v>0.01</v>
      </c>
      <c r="J244" s="5">
        <f>R244</f>
        <v>0.01</v>
      </c>
      <c r="K244" s="8" t="s">
        <v>10</v>
      </c>
      <c r="L244" s="8"/>
      <c r="M244" s="8"/>
      <c r="N244" s="8"/>
      <c r="O244" s="8"/>
      <c r="P244" s="8"/>
      <c r="Q244" s="23" t="s">
        <v>10</v>
      </c>
      <c r="R244" s="113">
        <v>0.01</v>
      </c>
      <c r="S244" s="113"/>
      <c r="T244" s="113"/>
      <c r="U244" s="113"/>
      <c r="V244" s="113"/>
      <c r="W244" s="113"/>
      <c r="X244" s="5">
        <f t="shared" si="97"/>
        <v>0.01</v>
      </c>
      <c r="Y244" s="302">
        <f>H244-H245-H246</f>
        <v>0</v>
      </c>
      <c r="Z244" s="5">
        <f>I244-I245-I246</f>
        <v>0</v>
      </c>
      <c r="AA244" s="94">
        <f>J244-J245-J246</f>
        <v>0</v>
      </c>
      <c r="AB244" s="311">
        <f t="shared" si="94"/>
        <v>0</v>
      </c>
      <c r="AC244" s="296"/>
      <c r="AD244" s="113"/>
      <c r="AE244" s="5"/>
      <c r="AF244" s="5">
        <f>H244</f>
        <v>1.5261663799999998</v>
      </c>
      <c r="AG244" s="5"/>
      <c r="AH244" s="5"/>
      <c r="AI244" s="5"/>
      <c r="AJ244" s="5"/>
      <c r="AK244" s="141"/>
      <c r="AL244" s="94">
        <f>SUM(AF244:AK244)</f>
        <v>1.5261663799999998</v>
      </c>
      <c r="AM244" s="128">
        <v>0.5</v>
      </c>
      <c r="AN244" s="180">
        <v>0.25</v>
      </c>
      <c r="AO244" s="128"/>
      <c r="AP244" s="184"/>
      <c r="AQ244" s="128"/>
      <c r="AR244" s="184"/>
      <c r="AS244" s="128"/>
      <c r="AT244" s="184"/>
      <c r="AU244" s="128"/>
      <c r="AV244" s="184"/>
      <c r="AW244" s="128"/>
      <c r="AX244" s="184"/>
      <c r="AY244" s="111">
        <f>AM244+AO244+AQ244+AS244+AU244+AW244</f>
        <v>0.5</v>
      </c>
      <c r="AZ244" s="178">
        <f>AN244+AP244+AR244+AT244+AV244+AX244</f>
        <v>0.25</v>
      </c>
      <c r="BC244" s="216"/>
      <c r="BD244" s="47"/>
      <c r="BF244" s="113">
        <v>0.01</v>
      </c>
      <c r="BG244" s="113"/>
      <c r="BH244" s="113"/>
      <c r="BI244" s="113"/>
      <c r="BJ244" s="113"/>
      <c r="BK244" s="113"/>
      <c r="BL244" s="5">
        <f>SUM(BF244:BK244)</f>
        <v>0.01</v>
      </c>
    </row>
    <row r="245" spans="1:64" s="2" customFormat="1" ht="13.7" customHeight="1" outlineLevel="1" x14ac:dyDescent="0.2">
      <c r="A245" s="594"/>
      <c r="B245" s="601"/>
      <c r="C245" s="7" t="s">
        <v>1553</v>
      </c>
      <c r="D245" s="8"/>
      <c r="E245" s="23"/>
      <c r="F245" s="8"/>
      <c r="G245" s="8"/>
      <c r="H245" s="5"/>
      <c r="I245" s="5"/>
      <c r="J245" s="5"/>
      <c r="K245" s="8"/>
      <c r="L245" s="8"/>
      <c r="M245" s="8"/>
      <c r="N245" s="8"/>
      <c r="O245" s="8"/>
      <c r="P245" s="8"/>
      <c r="Q245" s="23"/>
      <c r="R245" s="113"/>
      <c r="S245" s="113"/>
      <c r="T245" s="113"/>
      <c r="U245" s="113"/>
      <c r="V245" s="113"/>
      <c r="W245" s="113"/>
      <c r="X245" s="5"/>
      <c r="Y245" s="302"/>
      <c r="Z245" s="5"/>
      <c r="AA245" s="94"/>
      <c r="AB245" s="311">
        <f t="shared" si="94"/>
        <v>0</v>
      </c>
      <c r="AC245" s="296"/>
      <c r="AD245" s="113"/>
      <c r="AE245" s="5"/>
      <c r="AF245" s="5"/>
      <c r="AG245" s="5"/>
      <c r="AH245" s="5"/>
      <c r="AI245" s="5"/>
      <c r="AJ245" s="5"/>
      <c r="AK245" s="141"/>
      <c r="AL245" s="94"/>
      <c r="AM245" s="128"/>
      <c r="AN245" s="180"/>
      <c r="AO245" s="128"/>
      <c r="AP245" s="184"/>
      <c r="AQ245" s="128"/>
      <c r="AR245" s="184"/>
      <c r="AS245" s="128"/>
      <c r="AT245" s="184"/>
      <c r="AU245" s="128"/>
      <c r="AV245" s="184"/>
      <c r="AW245" s="128"/>
      <c r="AX245" s="184"/>
      <c r="AY245" s="111"/>
      <c r="AZ245" s="178"/>
      <c r="BC245" s="216"/>
      <c r="BD245" s="47"/>
      <c r="BF245" s="113"/>
      <c r="BG245" s="113"/>
      <c r="BH245" s="113"/>
      <c r="BI245" s="113"/>
      <c r="BJ245" s="113"/>
      <c r="BK245" s="113"/>
      <c r="BL245" s="5"/>
    </row>
    <row r="246" spans="1:64" s="2" customFormat="1" ht="13.7" customHeight="1" outlineLevel="1" x14ac:dyDescent="0.2">
      <c r="A246" s="595"/>
      <c r="B246" s="602"/>
      <c r="C246" s="7" t="s">
        <v>1554</v>
      </c>
      <c r="D246" s="8"/>
      <c r="E246" s="23"/>
      <c r="F246" s="8"/>
      <c r="G246" s="8"/>
      <c r="H246" s="5">
        <f>H244</f>
        <v>1.5261663799999998</v>
      </c>
      <c r="I246" s="5">
        <v>0.01</v>
      </c>
      <c r="J246" s="5">
        <v>0.01</v>
      </c>
      <c r="K246" s="23"/>
      <c r="L246" s="23"/>
      <c r="M246" s="23"/>
      <c r="N246" s="23"/>
      <c r="O246" s="23"/>
      <c r="P246" s="23"/>
      <c r="Q246" s="23"/>
      <c r="R246" s="113"/>
      <c r="S246" s="113"/>
      <c r="T246" s="113"/>
      <c r="U246" s="113"/>
      <c r="V246" s="113"/>
      <c r="W246" s="113"/>
      <c r="X246" s="5"/>
      <c r="Y246" s="302"/>
      <c r="Z246" s="5"/>
      <c r="AA246" s="94"/>
      <c r="AB246" s="311">
        <f t="shared" si="94"/>
        <v>0.01</v>
      </c>
      <c r="AC246" s="296"/>
      <c r="AD246" s="113"/>
      <c r="AE246" s="5"/>
      <c r="AF246" s="5"/>
      <c r="AG246" s="5"/>
      <c r="AH246" s="5"/>
      <c r="AI246" s="5"/>
      <c r="AJ246" s="5"/>
      <c r="AK246" s="141"/>
      <c r="AL246" s="94"/>
      <c r="AM246" s="128"/>
      <c r="AN246" s="180"/>
      <c r="AO246" s="128"/>
      <c r="AP246" s="184"/>
      <c r="AQ246" s="128"/>
      <c r="AR246" s="184"/>
      <c r="AS246" s="128"/>
      <c r="AT246" s="184"/>
      <c r="AU246" s="128"/>
      <c r="AV246" s="184"/>
      <c r="AW246" s="128"/>
      <c r="AX246" s="184"/>
      <c r="AY246" s="111"/>
      <c r="AZ246" s="178"/>
      <c r="BC246" s="216"/>
      <c r="BD246" s="47"/>
      <c r="BF246" s="113"/>
      <c r="BG246" s="113"/>
      <c r="BH246" s="113"/>
      <c r="BI246" s="113"/>
      <c r="BJ246" s="113"/>
      <c r="BK246" s="113"/>
      <c r="BL246" s="5"/>
    </row>
    <row r="247" spans="1:64" s="2" customFormat="1" ht="140.25" outlineLevel="1" x14ac:dyDescent="0.2">
      <c r="A247" s="593" t="s">
        <v>1048</v>
      </c>
      <c r="B247" s="600" t="s">
        <v>1261</v>
      </c>
      <c r="C247" s="7" t="s">
        <v>1885</v>
      </c>
      <c r="D247" s="8" t="s">
        <v>397</v>
      </c>
      <c r="E247" s="23" t="s">
        <v>331</v>
      </c>
      <c r="F247" s="8">
        <v>2010</v>
      </c>
      <c r="G247" s="8">
        <v>2014</v>
      </c>
      <c r="H247" s="5">
        <v>1.5747709999999999</v>
      </c>
      <c r="I247" s="5">
        <v>0.01</v>
      </c>
      <c r="J247" s="5">
        <f>R247</f>
        <v>0.01</v>
      </c>
      <c r="K247" s="8" t="s">
        <v>331</v>
      </c>
      <c r="L247" s="8"/>
      <c r="M247" s="8"/>
      <c r="N247" s="8"/>
      <c r="O247" s="8"/>
      <c r="P247" s="8"/>
      <c r="Q247" s="23" t="s">
        <v>331</v>
      </c>
      <c r="R247" s="113">
        <v>0.01</v>
      </c>
      <c r="S247" s="113"/>
      <c r="T247" s="113"/>
      <c r="U247" s="113"/>
      <c r="V247" s="113"/>
      <c r="W247" s="113"/>
      <c r="X247" s="5">
        <f t="shared" ref="X247:X427" si="98">SUM(R247:W247)</f>
        <v>0.01</v>
      </c>
      <c r="Y247" s="302">
        <f>H247-H248-H249</f>
        <v>0</v>
      </c>
      <c r="Z247" s="5">
        <f>I247-I248-I249</f>
        <v>0</v>
      </c>
      <c r="AA247" s="94">
        <f>J247-J248-J249</f>
        <v>0</v>
      </c>
      <c r="AB247" s="311">
        <f t="shared" si="94"/>
        <v>0</v>
      </c>
      <c r="AC247" s="296"/>
      <c r="AD247" s="113"/>
      <c r="AE247" s="5"/>
      <c r="AF247" s="5">
        <f>H247</f>
        <v>1.5747709999999999</v>
      </c>
      <c r="AG247" s="5"/>
      <c r="AH247" s="5"/>
      <c r="AI247" s="5"/>
      <c r="AJ247" s="5"/>
      <c r="AK247" s="141"/>
      <c r="AL247" s="94">
        <f>SUM(AF247:AK247)</f>
        <v>1.5747709999999999</v>
      </c>
      <c r="AM247" s="128">
        <v>0.8</v>
      </c>
      <c r="AN247" s="180">
        <v>0</v>
      </c>
      <c r="AO247" s="128"/>
      <c r="AP247" s="184"/>
      <c r="AQ247" s="128"/>
      <c r="AR247" s="184"/>
      <c r="AS247" s="128"/>
      <c r="AT247" s="184"/>
      <c r="AU247" s="128"/>
      <c r="AV247" s="184"/>
      <c r="AW247" s="128"/>
      <c r="AX247" s="184"/>
      <c r="AY247" s="111">
        <f>AM247+AO247+AQ247+AS247+AU247+AW247</f>
        <v>0.8</v>
      </c>
      <c r="AZ247" s="178">
        <f>AN247+AP247+AR247+AT247+AV247+AX247</f>
        <v>0</v>
      </c>
      <c r="BC247" s="216"/>
      <c r="BD247" s="47"/>
      <c r="BF247" s="113">
        <v>0.01</v>
      </c>
      <c r="BG247" s="113"/>
      <c r="BH247" s="113"/>
      <c r="BI247" s="113"/>
      <c r="BJ247" s="113"/>
      <c r="BK247" s="113"/>
      <c r="BL247" s="5">
        <f>SUM(BF247:BK247)</f>
        <v>0.01</v>
      </c>
    </row>
    <row r="248" spans="1:64" s="2" customFormat="1" ht="13.5" customHeight="1" outlineLevel="1" x14ac:dyDescent="0.2">
      <c r="A248" s="594"/>
      <c r="B248" s="601"/>
      <c r="C248" s="7" t="s">
        <v>1553</v>
      </c>
      <c r="D248" s="8"/>
      <c r="E248" s="23"/>
      <c r="F248" s="8"/>
      <c r="G248" s="8"/>
      <c r="H248" s="5"/>
      <c r="I248" s="5"/>
      <c r="J248" s="5"/>
      <c r="K248" s="8"/>
      <c r="L248" s="8"/>
      <c r="M248" s="8"/>
      <c r="N248" s="8"/>
      <c r="O248" s="8"/>
      <c r="P248" s="8"/>
      <c r="Q248" s="23"/>
      <c r="R248" s="113"/>
      <c r="S248" s="113"/>
      <c r="T248" s="113"/>
      <c r="U248" s="113"/>
      <c r="V248" s="113"/>
      <c r="W248" s="113"/>
      <c r="X248" s="5"/>
      <c r="Y248" s="302"/>
      <c r="Z248" s="5"/>
      <c r="AA248" s="94"/>
      <c r="AB248" s="311">
        <f t="shared" si="94"/>
        <v>0</v>
      </c>
      <c r="AC248" s="296"/>
      <c r="AD248" s="113"/>
      <c r="AE248" s="5"/>
      <c r="AF248" s="5"/>
      <c r="AG248" s="5"/>
      <c r="AH248" s="5"/>
      <c r="AI248" s="5"/>
      <c r="AJ248" s="5"/>
      <c r="AK248" s="141"/>
      <c r="AL248" s="94"/>
      <c r="AM248" s="128"/>
      <c r="AN248" s="180"/>
      <c r="AO248" s="128"/>
      <c r="AP248" s="184"/>
      <c r="AQ248" s="128"/>
      <c r="AR248" s="184"/>
      <c r="AS248" s="128"/>
      <c r="AT248" s="184"/>
      <c r="AU248" s="128"/>
      <c r="AV248" s="184"/>
      <c r="AW248" s="128"/>
      <c r="AX248" s="184"/>
      <c r="AY248" s="111"/>
      <c r="AZ248" s="178"/>
      <c r="BC248" s="216"/>
      <c r="BD248" s="47"/>
      <c r="BF248" s="113"/>
      <c r="BG248" s="113"/>
      <c r="BH248" s="113"/>
      <c r="BI248" s="113"/>
      <c r="BJ248" s="113"/>
      <c r="BK248" s="113"/>
      <c r="BL248" s="5"/>
    </row>
    <row r="249" spans="1:64" s="2" customFormat="1" ht="13.5" customHeight="1" outlineLevel="1" x14ac:dyDescent="0.2">
      <c r="A249" s="595"/>
      <c r="B249" s="602"/>
      <c r="C249" s="7" t="s">
        <v>1554</v>
      </c>
      <c r="D249" s="8"/>
      <c r="E249" s="23"/>
      <c r="F249" s="8"/>
      <c r="G249" s="8"/>
      <c r="H249" s="5">
        <v>1.5747709999999999</v>
      </c>
      <c r="I249" s="5">
        <v>0.01</v>
      </c>
      <c r="J249" s="5">
        <v>0.01</v>
      </c>
      <c r="K249" s="23"/>
      <c r="L249" s="23"/>
      <c r="M249" s="23"/>
      <c r="N249" s="23"/>
      <c r="O249" s="23"/>
      <c r="P249" s="23"/>
      <c r="Q249" s="23"/>
      <c r="R249" s="113"/>
      <c r="S249" s="113"/>
      <c r="T249" s="113"/>
      <c r="U249" s="113"/>
      <c r="V249" s="113"/>
      <c r="W249" s="113"/>
      <c r="X249" s="5"/>
      <c r="Y249" s="302"/>
      <c r="Z249" s="5"/>
      <c r="AA249" s="94"/>
      <c r="AB249" s="311">
        <f t="shared" si="94"/>
        <v>0.01</v>
      </c>
      <c r="AC249" s="296"/>
      <c r="AD249" s="113"/>
      <c r="AE249" s="5"/>
      <c r="AF249" s="5"/>
      <c r="AG249" s="5"/>
      <c r="AH249" s="5"/>
      <c r="AI249" s="5"/>
      <c r="AJ249" s="5"/>
      <c r="AK249" s="141"/>
      <c r="AL249" s="94"/>
      <c r="AM249" s="128"/>
      <c r="AN249" s="180"/>
      <c r="AO249" s="128"/>
      <c r="AP249" s="184"/>
      <c r="AQ249" s="128"/>
      <c r="AR249" s="184"/>
      <c r="AS249" s="128"/>
      <c r="AT249" s="184"/>
      <c r="AU249" s="128"/>
      <c r="AV249" s="184"/>
      <c r="AW249" s="128"/>
      <c r="AX249" s="184"/>
      <c r="AY249" s="111"/>
      <c r="AZ249" s="178"/>
      <c r="BC249" s="216"/>
      <c r="BD249" s="47"/>
      <c r="BF249" s="113"/>
      <c r="BG249" s="113"/>
      <c r="BH249" s="113"/>
      <c r="BI249" s="113"/>
      <c r="BJ249" s="113"/>
      <c r="BK249" s="113"/>
      <c r="BL249" s="5"/>
    </row>
    <row r="250" spans="1:64" s="2" customFormat="1" ht="127.5" outlineLevel="1" x14ac:dyDescent="0.2">
      <c r="A250" s="593" t="s">
        <v>1049</v>
      </c>
      <c r="B250" s="600" t="s">
        <v>1262</v>
      </c>
      <c r="C250" s="7" t="s">
        <v>2172</v>
      </c>
      <c r="D250" s="8" t="s">
        <v>397</v>
      </c>
      <c r="E250" s="23" t="s">
        <v>332</v>
      </c>
      <c r="F250" s="8">
        <v>2010</v>
      </c>
      <c r="G250" s="8">
        <v>2014</v>
      </c>
      <c r="H250" s="5">
        <v>1.66137632</v>
      </c>
      <c r="I250" s="5">
        <v>0.01</v>
      </c>
      <c r="J250" s="5">
        <f>R250</f>
        <v>0.01</v>
      </c>
      <c r="K250" s="23" t="s">
        <v>332</v>
      </c>
      <c r="L250" s="23"/>
      <c r="M250" s="23"/>
      <c r="N250" s="23"/>
      <c r="O250" s="23"/>
      <c r="P250" s="8"/>
      <c r="Q250" s="23" t="s">
        <v>332</v>
      </c>
      <c r="R250" s="113">
        <v>0.01</v>
      </c>
      <c r="S250" s="113"/>
      <c r="T250" s="113"/>
      <c r="U250" s="113"/>
      <c r="V250" s="113"/>
      <c r="W250" s="113"/>
      <c r="X250" s="5">
        <f t="shared" si="98"/>
        <v>0.01</v>
      </c>
      <c r="Y250" s="302">
        <f>H250-H251-H252</f>
        <v>0</v>
      </c>
      <c r="Z250" s="5">
        <f>I250-I251-I252</f>
        <v>0</v>
      </c>
      <c r="AA250" s="94">
        <f>J250-J251-J252</f>
        <v>0</v>
      </c>
      <c r="AB250" s="311">
        <f t="shared" si="94"/>
        <v>0</v>
      </c>
      <c r="AC250" s="296"/>
      <c r="AD250" s="113"/>
      <c r="AE250" s="5"/>
      <c r="AF250" s="5">
        <f>H250</f>
        <v>1.66137632</v>
      </c>
      <c r="AG250" s="5"/>
      <c r="AH250" s="5"/>
      <c r="AI250" s="5"/>
      <c r="AJ250" s="5"/>
      <c r="AK250" s="141"/>
      <c r="AL250" s="94">
        <f>SUM(AF250:AK250)</f>
        <v>1.66137632</v>
      </c>
      <c r="AM250" s="128">
        <v>0.7</v>
      </c>
      <c r="AN250" s="180">
        <v>0.25</v>
      </c>
      <c r="AO250" s="128"/>
      <c r="AP250" s="184"/>
      <c r="AQ250" s="128"/>
      <c r="AR250" s="184"/>
      <c r="AS250" s="128"/>
      <c r="AT250" s="184"/>
      <c r="AU250" s="128"/>
      <c r="AV250" s="184"/>
      <c r="AW250" s="128"/>
      <c r="AX250" s="184"/>
      <c r="AY250" s="111">
        <f>AM250+AO250+AQ250+AS250+AU250+AW250</f>
        <v>0.7</v>
      </c>
      <c r="AZ250" s="178">
        <f>AN250+AP250+AR250+AT250+AV250+AX250</f>
        <v>0.25</v>
      </c>
      <c r="BC250" s="216"/>
      <c r="BD250" s="47"/>
      <c r="BF250" s="113">
        <v>0.01</v>
      </c>
      <c r="BG250" s="113"/>
      <c r="BH250" s="113"/>
      <c r="BI250" s="113"/>
      <c r="BJ250" s="113"/>
      <c r="BK250" s="113"/>
      <c r="BL250" s="5">
        <f t="shared" ref="BL250:BL259" si="99">SUM(BF250:BK250)</f>
        <v>0.01</v>
      </c>
    </row>
    <row r="251" spans="1:64" s="2" customFormat="1" ht="15.75" customHeight="1" outlineLevel="1" x14ac:dyDescent="0.2">
      <c r="A251" s="594"/>
      <c r="B251" s="601"/>
      <c r="C251" s="7" t="s">
        <v>1553</v>
      </c>
      <c r="D251" s="8"/>
      <c r="E251" s="23"/>
      <c r="F251" s="8"/>
      <c r="G251" s="8"/>
      <c r="H251" s="5"/>
      <c r="I251" s="5"/>
      <c r="J251" s="5"/>
      <c r="K251" s="23"/>
      <c r="L251" s="23"/>
      <c r="M251" s="23"/>
      <c r="N251" s="23"/>
      <c r="O251" s="23"/>
      <c r="P251" s="8"/>
      <c r="Q251" s="23"/>
      <c r="R251" s="113"/>
      <c r="S251" s="113"/>
      <c r="T251" s="113"/>
      <c r="U251" s="113"/>
      <c r="V251" s="113"/>
      <c r="W251" s="113"/>
      <c r="X251" s="5">
        <f t="shared" si="98"/>
        <v>0</v>
      </c>
      <c r="Y251" s="302"/>
      <c r="Z251" s="5"/>
      <c r="AA251" s="94"/>
      <c r="AB251" s="311">
        <f t="shared" si="94"/>
        <v>0</v>
      </c>
      <c r="AC251" s="296"/>
      <c r="AD251" s="113"/>
      <c r="AE251" s="5"/>
      <c r="AF251" s="5"/>
      <c r="AG251" s="5"/>
      <c r="AH251" s="5"/>
      <c r="AI251" s="5"/>
      <c r="AJ251" s="5"/>
      <c r="AK251" s="141"/>
      <c r="AL251" s="94"/>
      <c r="AM251" s="128"/>
      <c r="AN251" s="180"/>
      <c r="AO251" s="128"/>
      <c r="AP251" s="184"/>
      <c r="AQ251" s="128"/>
      <c r="AR251" s="184"/>
      <c r="AS251" s="128"/>
      <c r="AT251" s="184"/>
      <c r="AU251" s="128"/>
      <c r="AV251" s="184"/>
      <c r="AW251" s="128"/>
      <c r="AX251" s="184"/>
      <c r="AY251" s="111"/>
      <c r="AZ251" s="178"/>
      <c r="BC251" s="216"/>
      <c r="BD251" s="47"/>
      <c r="BF251" s="113"/>
      <c r="BG251" s="113"/>
      <c r="BH251" s="113"/>
      <c r="BI251" s="113"/>
      <c r="BJ251" s="113"/>
      <c r="BK251" s="113"/>
      <c r="BL251" s="5">
        <f t="shared" si="99"/>
        <v>0</v>
      </c>
    </row>
    <row r="252" spans="1:64" s="2" customFormat="1" ht="15.75" customHeight="1" outlineLevel="1" x14ac:dyDescent="0.2">
      <c r="A252" s="595"/>
      <c r="B252" s="602"/>
      <c r="C252" s="7" t="s">
        <v>1554</v>
      </c>
      <c r="D252" s="8"/>
      <c r="E252" s="23"/>
      <c r="F252" s="8"/>
      <c r="G252" s="8"/>
      <c r="H252" s="5">
        <f>H250</f>
        <v>1.66137632</v>
      </c>
      <c r="I252" s="5">
        <v>0.01</v>
      </c>
      <c r="J252" s="5">
        <v>0.01</v>
      </c>
      <c r="K252" s="23"/>
      <c r="L252" s="23"/>
      <c r="M252" s="23"/>
      <c r="N252" s="23"/>
      <c r="O252" s="23"/>
      <c r="P252" s="8"/>
      <c r="Q252" s="23"/>
      <c r="R252" s="113"/>
      <c r="S252" s="113"/>
      <c r="T252" s="113"/>
      <c r="U252" s="113"/>
      <c r="V252" s="113"/>
      <c r="W252" s="113"/>
      <c r="X252" s="5">
        <f t="shared" si="98"/>
        <v>0</v>
      </c>
      <c r="Y252" s="302"/>
      <c r="Z252" s="5"/>
      <c r="AA252" s="94"/>
      <c r="AB252" s="311">
        <f t="shared" si="94"/>
        <v>0.01</v>
      </c>
      <c r="AC252" s="296"/>
      <c r="AD252" s="113"/>
      <c r="AE252" s="5"/>
      <c r="AF252" s="5"/>
      <c r="AG252" s="5"/>
      <c r="AH252" s="5"/>
      <c r="AI252" s="5"/>
      <c r="AJ252" s="5"/>
      <c r="AK252" s="141"/>
      <c r="AL252" s="94"/>
      <c r="AM252" s="128"/>
      <c r="AN252" s="180"/>
      <c r="AO252" s="128"/>
      <c r="AP252" s="184"/>
      <c r="AQ252" s="128"/>
      <c r="AR252" s="184"/>
      <c r="AS252" s="128"/>
      <c r="AT252" s="184"/>
      <c r="AU252" s="128"/>
      <c r="AV252" s="184"/>
      <c r="AW252" s="128"/>
      <c r="AX252" s="184"/>
      <c r="AY252" s="111"/>
      <c r="AZ252" s="178"/>
      <c r="BC252" s="216"/>
      <c r="BD252" s="47"/>
      <c r="BF252" s="113"/>
      <c r="BG252" s="113"/>
      <c r="BH252" s="113"/>
      <c r="BI252" s="113"/>
      <c r="BJ252" s="113"/>
      <c r="BK252" s="113"/>
      <c r="BL252" s="5">
        <f t="shared" si="99"/>
        <v>0</v>
      </c>
    </row>
    <row r="253" spans="1:64" s="2" customFormat="1" ht="89.25" customHeight="1" outlineLevel="1" x14ac:dyDescent="0.2">
      <c r="A253" s="593" t="s">
        <v>1050</v>
      </c>
      <c r="B253" s="600" t="s">
        <v>2168</v>
      </c>
      <c r="C253" s="7" t="s">
        <v>1886</v>
      </c>
      <c r="D253" s="8" t="s">
        <v>397</v>
      </c>
      <c r="E253" s="23" t="s">
        <v>333</v>
      </c>
      <c r="F253" s="8">
        <v>2010</v>
      </c>
      <c r="G253" s="8">
        <v>2015</v>
      </c>
      <c r="H253" s="5">
        <v>0.79800000000000004</v>
      </c>
      <c r="I253" s="5">
        <v>0.16170000000000007</v>
      </c>
      <c r="J253" s="5">
        <f>R253</f>
        <v>0.01</v>
      </c>
      <c r="K253" s="8"/>
      <c r="L253" s="23" t="s">
        <v>333</v>
      </c>
      <c r="M253" s="8"/>
      <c r="N253" s="8"/>
      <c r="O253" s="8"/>
      <c r="P253" s="8"/>
      <c r="Q253" s="23" t="s">
        <v>333</v>
      </c>
      <c r="R253" s="113">
        <v>0.01</v>
      </c>
      <c r="S253" s="113"/>
      <c r="T253" s="113"/>
      <c r="U253" s="113"/>
      <c r="V253" s="113"/>
      <c r="W253" s="113"/>
      <c r="X253" s="5">
        <f t="shared" si="98"/>
        <v>0.01</v>
      </c>
      <c r="Y253" s="302">
        <f>H253-H254-H255</f>
        <v>0</v>
      </c>
      <c r="Z253" s="5">
        <f>I253-I254-I255</f>
        <v>0</v>
      </c>
      <c r="AA253" s="94">
        <f>J253-J254-J255</f>
        <v>0</v>
      </c>
      <c r="AB253" s="311">
        <f t="shared" si="94"/>
        <v>0.15170000000000006</v>
      </c>
      <c r="AC253" s="296"/>
      <c r="AD253" s="113"/>
      <c r="AE253" s="5"/>
      <c r="AF253" s="5"/>
      <c r="AG253" s="5">
        <f>H253</f>
        <v>0.79800000000000004</v>
      </c>
      <c r="AH253" s="5"/>
      <c r="AI253" s="5"/>
      <c r="AJ253" s="5"/>
      <c r="AK253" s="141"/>
      <c r="AL253" s="94">
        <f>SUM(AF253:AK253)</f>
        <v>0.79800000000000004</v>
      </c>
      <c r="AM253" s="128"/>
      <c r="AN253" s="180"/>
      <c r="AO253" s="128">
        <v>0.3</v>
      </c>
      <c r="AP253" s="184">
        <v>0</v>
      </c>
      <c r="AQ253" s="128"/>
      <c r="AR253" s="184"/>
      <c r="AS253" s="128"/>
      <c r="AT253" s="184"/>
      <c r="AU253" s="128"/>
      <c r="AV253" s="184"/>
      <c r="AW253" s="128"/>
      <c r="AX253" s="184"/>
      <c r="AY253" s="111">
        <f>AM253+AO253+AQ253+AS253+AU253+AW253</f>
        <v>0.3</v>
      </c>
      <c r="AZ253" s="178">
        <f>AN253+AP253+AR253+AT253+AV253+AX253</f>
        <v>0</v>
      </c>
      <c r="BC253" s="216"/>
      <c r="BD253" s="47"/>
      <c r="BF253" s="113">
        <v>0.01</v>
      </c>
      <c r="BG253" s="113"/>
      <c r="BH253" s="113"/>
      <c r="BI253" s="113"/>
      <c r="BJ253" s="113"/>
      <c r="BK253" s="113"/>
      <c r="BL253" s="5">
        <f t="shared" si="99"/>
        <v>0.01</v>
      </c>
    </row>
    <row r="254" spans="1:64" s="2" customFormat="1" ht="15.75" customHeight="1" outlineLevel="1" x14ac:dyDescent="0.2">
      <c r="A254" s="594"/>
      <c r="B254" s="601"/>
      <c r="C254" s="7" t="s">
        <v>1553</v>
      </c>
      <c r="D254" s="8"/>
      <c r="E254" s="23"/>
      <c r="F254" s="8"/>
      <c r="G254" s="8"/>
      <c r="H254" s="5"/>
      <c r="I254" s="5"/>
      <c r="J254" s="5"/>
      <c r="K254" s="8"/>
      <c r="L254" s="23"/>
      <c r="M254" s="8"/>
      <c r="N254" s="8"/>
      <c r="O254" s="8"/>
      <c r="P254" s="8"/>
      <c r="Q254" s="23"/>
      <c r="R254" s="113"/>
      <c r="S254" s="113"/>
      <c r="T254" s="113"/>
      <c r="U254" s="113"/>
      <c r="V254" s="113"/>
      <c r="W254" s="113"/>
      <c r="X254" s="5">
        <f t="shared" si="98"/>
        <v>0</v>
      </c>
      <c r="Y254" s="302"/>
      <c r="Z254" s="5"/>
      <c r="AA254" s="94"/>
      <c r="AB254" s="311">
        <f t="shared" si="94"/>
        <v>0</v>
      </c>
      <c r="AC254" s="296"/>
      <c r="AD254" s="113"/>
      <c r="AE254" s="5"/>
      <c r="AF254" s="5"/>
      <c r="AG254" s="5"/>
      <c r="AH254" s="5"/>
      <c r="AI254" s="5"/>
      <c r="AJ254" s="5"/>
      <c r="AK254" s="141"/>
      <c r="AL254" s="94"/>
      <c r="AM254" s="128"/>
      <c r="AN254" s="180"/>
      <c r="AO254" s="128"/>
      <c r="AP254" s="184"/>
      <c r="AQ254" s="128"/>
      <c r="AR254" s="184"/>
      <c r="AS254" s="128"/>
      <c r="AT254" s="184"/>
      <c r="AU254" s="128"/>
      <c r="AV254" s="184"/>
      <c r="AW254" s="128"/>
      <c r="AX254" s="184"/>
      <c r="AY254" s="111"/>
      <c r="AZ254" s="178"/>
      <c r="BC254" s="216"/>
      <c r="BD254" s="47"/>
      <c r="BF254" s="113"/>
      <c r="BG254" s="113"/>
      <c r="BH254" s="113"/>
      <c r="BI254" s="113"/>
      <c r="BJ254" s="113"/>
      <c r="BK254" s="113"/>
      <c r="BL254" s="5">
        <f t="shared" si="99"/>
        <v>0</v>
      </c>
    </row>
    <row r="255" spans="1:64" s="2" customFormat="1" ht="15.75" customHeight="1" outlineLevel="1" x14ac:dyDescent="0.2">
      <c r="A255" s="595"/>
      <c r="B255" s="602"/>
      <c r="C255" s="7" t="s">
        <v>1554</v>
      </c>
      <c r="D255" s="8"/>
      <c r="E255" s="23"/>
      <c r="F255" s="8"/>
      <c r="G255" s="8"/>
      <c r="H255" s="5">
        <v>0.79800000000000004</v>
      </c>
      <c r="I255" s="5">
        <f>I253</f>
        <v>0.16170000000000007</v>
      </c>
      <c r="J255" s="5">
        <f>J253</f>
        <v>0.01</v>
      </c>
      <c r="K255" s="23"/>
      <c r="L255" s="8"/>
      <c r="M255" s="8"/>
      <c r="N255" s="8"/>
      <c r="O255" s="8"/>
      <c r="P255" s="8"/>
      <c r="Q255" s="23"/>
      <c r="R255" s="113"/>
      <c r="S255" s="113"/>
      <c r="T255" s="113"/>
      <c r="U255" s="113"/>
      <c r="V255" s="113"/>
      <c r="W255" s="113"/>
      <c r="X255" s="5">
        <f t="shared" si="98"/>
        <v>0</v>
      </c>
      <c r="Y255" s="302"/>
      <c r="Z255" s="5"/>
      <c r="AA255" s="94"/>
      <c r="AB255" s="311">
        <f t="shared" si="94"/>
        <v>0.16170000000000007</v>
      </c>
      <c r="AC255" s="296"/>
      <c r="AD255" s="113"/>
      <c r="AE255" s="5"/>
      <c r="AF255" s="5"/>
      <c r="AG255" s="5"/>
      <c r="AH255" s="5"/>
      <c r="AI255" s="5"/>
      <c r="AJ255" s="5"/>
      <c r="AK255" s="141"/>
      <c r="AL255" s="94"/>
      <c r="AM255" s="128"/>
      <c r="AN255" s="180"/>
      <c r="AO255" s="128"/>
      <c r="AP255" s="184"/>
      <c r="AQ255" s="128"/>
      <c r="AR255" s="184"/>
      <c r="AS255" s="128"/>
      <c r="AT255" s="184"/>
      <c r="AU255" s="128"/>
      <c r="AV255" s="184"/>
      <c r="AW255" s="128"/>
      <c r="AX255" s="184"/>
      <c r="AY255" s="111"/>
      <c r="AZ255" s="178"/>
      <c r="BC255" s="216"/>
      <c r="BD255" s="47"/>
      <c r="BF255" s="113"/>
      <c r="BG255" s="113"/>
      <c r="BH255" s="113"/>
      <c r="BI255" s="113"/>
      <c r="BJ255" s="113"/>
      <c r="BK255" s="113"/>
      <c r="BL255" s="5">
        <f t="shared" si="99"/>
        <v>0</v>
      </c>
    </row>
    <row r="256" spans="1:64" s="2" customFormat="1" ht="102.95" customHeight="1" outlineLevel="1" x14ac:dyDescent="0.2">
      <c r="A256" s="593" t="s">
        <v>1051</v>
      </c>
      <c r="B256" s="600" t="s">
        <v>2169</v>
      </c>
      <c r="C256" s="7" t="s">
        <v>1887</v>
      </c>
      <c r="D256" s="8" t="s">
        <v>397</v>
      </c>
      <c r="E256" s="23" t="s">
        <v>334</v>
      </c>
      <c r="F256" s="8">
        <v>2010</v>
      </c>
      <c r="G256" s="8">
        <v>2014</v>
      </c>
      <c r="H256" s="5">
        <v>5.8311641099999996</v>
      </c>
      <c r="I256" s="5">
        <v>0.01</v>
      </c>
      <c r="J256" s="5">
        <f>R256</f>
        <v>0.01</v>
      </c>
      <c r="K256" s="23" t="s">
        <v>334</v>
      </c>
      <c r="L256" s="8"/>
      <c r="M256" s="8"/>
      <c r="N256" s="8"/>
      <c r="O256" s="8"/>
      <c r="P256" s="8"/>
      <c r="Q256" s="23" t="s">
        <v>334</v>
      </c>
      <c r="R256" s="113">
        <v>0.01</v>
      </c>
      <c r="S256" s="113"/>
      <c r="T256" s="113"/>
      <c r="U256" s="113"/>
      <c r="V256" s="113"/>
      <c r="W256" s="113"/>
      <c r="X256" s="5">
        <f t="shared" si="98"/>
        <v>0.01</v>
      </c>
      <c r="Y256" s="302">
        <f>H256-H257-H258</f>
        <v>0</v>
      </c>
      <c r="Z256" s="5">
        <f>I256-I257-I258</f>
        <v>0</v>
      </c>
      <c r="AA256" s="94">
        <f>J256-J257-J258</f>
        <v>0</v>
      </c>
      <c r="AB256" s="311">
        <f t="shared" si="94"/>
        <v>0</v>
      </c>
      <c r="AC256" s="296"/>
      <c r="AD256" s="113"/>
      <c r="AE256" s="5"/>
      <c r="AF256" s="5">
        <f>H256</f>
        <v>5.8311641099999996</v>
      </c>
      <c r="AG256" s="5"/>
      <c r="AH256" s="5"/>
      <c r="AI256" s="5"/>
      <c r="AJ256" s="5"/>
      <c r="AK256" s="141"/>
      <c r="AL256" s="94">
        <f>SUM(AF256:AK256)</f>
        <v>5.8311641099999996</v>
      </c>
      <c r="AM256" s="128">
        <v>3</v>
      </c>
      <c r="AN256" s="180">
        <v>0.25</v>
      </c>
      <c r="AO256" s="128"/>
      <c r="AP256" s="184"/>
      <c r="AQ256" s="128"/>
      <c r="AR256" s="184"/>
      <c r="AS256" s="128"/>
      <c r="AT256" s="184"/>
      <c r="AU256" s="128"/>
      <c r="AV256" s="184"/>
      <c r="AW256" s="128"/>
      <c r="AX256" s="184"/>
      <c r="AY256" s="111">
        <f>AM256+AO256+AQ256+AS256+AU256+AW256</f>
        <v>3</v>
      </c>
      <c r="AZ256" s="178">
        <f>AN256+AP256+AR256+AT256+AV256+AX256</f>
        <v>0.25</v>
      </c>
      <c r="BC256" s="216"/>
      <c r="BD256" s="47"/>
      <c r="BF256" s="113">
        <v>0.01</v>
      </c>
      <c r="BG256" s="113"/>
      <c r="BH256" s="113"/>
      <c r="BI256" s="113"/>
      <c r="BJ256" s="113"/>
      <c r="BK256" s="113"/>
      <c r="BL256" s="5">
        <f t="shared" si="99"/>
        <v>0.01</v>
      </c>
    </row>
    <row r="257" spans="1:64" s="2" customFormat="1" ht="15.75" customHeight="1" outlineLevel="1" x14ac:dyDescent="0.2">
      <c r="A257" s="594"/>
      <c r="B257" s="601"/>
      <c r="C257" s="7" t="s">
        <v>1553</v>
      </c>
      <c r="D257" s="8"/>
      <c r="E257" s="23"/>
      <c r="F257" s="8"/>
      <c r="G257" s="8"/>
      <c r="H257" s="5"/>
      <c r="I257" s="5"/>
      <c r="J257" s="5"/>
      <c r="K257" s="8"/>
      <c r="L257" s="23"/>
      <c r="M257" s="8"/>
      <c r="N257" s="8"/>
      <c r="O257" s="8"/>
      <c r="P257" s="8"/>
      <c r="Q257" s="23"/>
      <c r="R257" s="113"/>
      <c r="S257" s="113"/>
      <c r="T257" s="113"/>
      <c r="U257" s="113"/>
      <c r="V257" s="113"/>
      <c r="W257" s="113"/>
      <c r="X257" s="5">
        <f t="shared" si="98"/>
        <v>0</v>
      </c>
      <c r="Y257" s="302"/>
      <c r="Z257" s="5"/>
      <c r="AA257" s="94"/>
      <c r="AB257" s="311">
        <f t="shared" si="94"/>
        <v>0</v>
      </c>
      <c r="AC257" s="296"/>
      <c r="AD257" s="113"/>
      <c r="AE257" s="5"/>
      <c r="AF257" s="5"/>
      <c r="AG257" s="5"/>
      <c r="AH257" s="5"/>
      <c r="AI257" s="5"/>
      <c r="AJ257" s="5"/>
      <c r="AK257" s="141"/>
      <c r="AL257" s="94"/>
      <c r="AM257" s="128"/>
      <c r="AN257" s="180"/>
      <c r="AO257" s="128"/>
      <c r="AP257" s="184"/>
      <c r="AQ257" s="128"/>
      <c r="AR257" s="184"/>
      <c r="AS257" s="128"/>
      <c r="AT257" s="184"/>
      <c r="AU257" s="128"/>
      <c r="AV257" s="184"/>
      <c r="AW257" s="128"/>
      <c r="AX257" s="184"/>
      <c r="AY257" s="111"/>
      <c r="AZ257" s="178"/>
      <c r="BC257" s="216"/>
      <c r="BD257" s="47"/>
      <c r="BF257" s="113"/>
      <c r="BG257" s="113"/>
      <c r="BH257" s="113"/>
      <c r="BI257" s="113"/>
      <c r="BJ257" s="113"/>
      <c r="BK257" s="113"/>
      <c r="BL257" s="5">
        <f t="shared" si="99"/>
        <v>0</v>
      </c>
    </row>
    <row r="258" spans="1:64" s="2" customFormat="1" ht="15.75" customHeight="1" outlineLevel="1" x14ac:dyDescent="0.2">
      <c r="A258" s="595"/>
      <c r="B258" s="602"/>
      <c r="C258" s="7" t="s">
        <v>1554</v>
      </c>
      <c r="D258" s="8"/>
      <c r="E258" s="23"/>
      <c r="F258" s="8"/>
      <c r="G258" s="8"/>
      <c r="H258" s="5">
        <f>H256</f>
        <v>5.8311641099999996</v>
      </c>
      <c r="I258" s="5">
        <f>I256</f>
        <v>0.01</v>
      </c>
      <c r="J258" s="5">
        <v>0.01</v>
      </c>
      <c r="K258" s="23"/>
      <c r="L258" s="8"/>
      <c r="M258" s="8"/>
      <c r="N258" s="8"/>
      <c r="O258" s="8"/>
      <c r="P258" s="8"/>
      <c r="Q258" s="23"/>
      <c r="R258" s="113"/>
      <c r="S258" s="113"/>
      <c r="T258" s="113"/>
      <c r="U258" s="113"/>
      <c r="V258" s="113"/>
      <c r="W258" s="113"/>
      <c r="X258" s="5">
        <f t="shared" si="98"/>
        <v>0</v>
      </c>
      <c r="Y258" s="302"/>
      <c r="Z258" s="5"/>
      <c r="AA258" s="94"/>
      <c r="AB258" s="311">
        <f t="shared" si="94"/>
        <v>0.01</v>
      </c>
      <c r="AC258" s="296"/>
      <c r="AD258" s="113"/>
      <c r="AE258" s="5"/>
      <c r="AF258" s="5"/>
      <c r="AG258" s="5"/>
      <c r="AH258" s="5"/>
      <c r="AI258" s="5"/>
      <c r="AJ258" s="5"/>
      <c r="AK258" s="141"/>
      <c r="AL258" s="94"/>
      <c r="AM258" s="128"/>
      <c r="AN258" s="180"/>
      <c r="AO258" s="128"/>
      <c r="AP258" s="184"/>
      <c r="AQ258" s="128"/>
      <c r="AR258" s="184"/>
      <c r="AS258" s="128"/>
      <c r="AT258" s="184"/>
      <c r="AU258" s="128"/>
      <c r="AV258" s="184"/>
      <c r="AW258" s="128"/>
      <c r="AX258" s="184"/>
      <c r="AY258" s="111"/>
      <c r="AZ258" s="178"/>
      <c r="BC258" s="216"/>
      <c r="BD258" s="47"/>
      <c r="BF258" s="113"/>
      <c r="BG258" s="113"/>
      <c r="BH258" s="113"/>
      <c r="BI258" s="113"/>
      <c r="BJ258" s="113"/>
      <c r="BK258" s="113"/>
      <c r="BL258" s="5">
        <f t="shared" si="99"/>
        <v>0</v>
      </c>
    </row>
    <row r="259" spans="1:64" s="2" customFormat="1" ht="102.95" customHeight="1" outlineLevel="1" x14ac:dyDescent="0.2">
      <c r="A259" s="593" t="s">
        <v>1052</v>
      </c>
      <c r="B259" s="600" t="s">
        <v>2170</v>
      </c>
      <c r="C259" s="7" t="s">
        <v>2173</v>
      </c>
      <c r="D259" s="8" t="s">
        <v>397</v>
      </c>
      <c r="E259" s="23" t="s">
        <v>1387</v>
      </c>
      <c r="F259" s="8">
        <v>2010</v>
      </c>
      <c r="G259" s="8">
        <v>2015</v>
      </c>
      <c r="H259" s="5">
        <v>1.0889899999999999</v>
      </c>
      <c r="I259" s="5">
        <v>0.41227199999999997</v>
      </c>
      <c r="J259" s="5">
        <f>R259</f>
        <v>0.41227199999999997</v>
      </c>
      <c r="K259" s="8"/>
      <c r="L259" s="23" t="s">
        <v>1387</v>
      </c>
      <c r="M259" s="8"/>
      <c r="N259" s="8"/>
      <c r="O259" s="8"/>
      <c r="P259" s="8"/>
      <c r="Q259" s="23" t="s">
        <v>1387</v>
      </c>
      <c r="R259" s="113">
        <v>0.41227199999999997</v>
      </c>
      <c r="S259" s="113"/>
      <c r="T259" s="113"/>
      <c r="U259" s="113"/>
      <c r="V259" s="113"/>
      <c r="W259" s="113"/>
      <c r="X259" s="5">
        <f t="shared" si="98"/>
        <v>0.41227199999999997</v>
      </c>
      <c r="Y259" s="302">
        <f>H259-H260-H261</f>
        <v>0</v>
      </c>
      <c r="Z259" s="5">
        <f>I259-I260-I261</f>
        <v>0</v>
      </c>
      <c r="AA259" s="94">
        <f>J259-J260-J261</f>
        <v>0</v>
      </c>
      <c r="AB259" s="311">
        <f t="shared" si="94"/>
        <v>0</v>
      </c>
      <c r="AC259" s="296"/>
      <c r="AD259" s="113"/>
      <c r="AE259" s="5"/>
      <c r="AF259" s="5"/>
      <c r="AG259" s="5">
        <f>H259</f>
        <v>1.0889899999999999</v>
      </c>
      <c r="AH259" s="5"/>
      <c r="AI259" s="5"/>
      <c r="AJ259" s="5"/>
      <c r="AK259" s="141"/>
      <c r="AL259" s="94">
        <f>SUM(AF259:AK259)</f>
        <v>1.0889899999999999</v>
      </c>
      <c r="AM259" s="128"/>
      <c r="AN259" s="180"/>
      <c r="AO259" s="128">
        <v>0.5</v>
      </c>
      <c r="AP259" s="184">
        <v>0</v>
      </c>
      <c r="AQ259" s="128"/>
      <c r="AR259" s="184"/>
      <c r="AS259" s="128"/>
      <c r="AT259" s="184"/>
      <c r="AU259" s="128"/>
      <c r="AV259" s="184"/>
      <c r="AW259" s="128"/>
      <c r="AX259" s="184"/>
      <c r="AY259" s="111">
        <f t="shared" ref="AY259:AZ262" si="100">AM259+AO259+AQ259+AS259+AU259+AW259</f>
        <v>0.5</v>
      </c>
      <c r="AZ259" s="178">
        <f t="shared" si="100"/>
        <v>0</v>
      </c>
      <c r="BC259" s="216"/>
      <c r="BD259" s="47"/>
      <c r="BF259" s="113">
        <v>0.41227199999999997</v>
      </c>
      <c r="BG259" s="113"/>
      <c r="BH259" s="113"/>
      <c r="BI259" s="113"/>
      <c r="BJ259" s="113"/>
      <c r="BK259" s="113"/>
      <c r="BL259" s="5">
        <f t="shared" si="99"/>
        <v>0.41227199999999997</v>
      </c>
    </row>
    <row r="260" spans="1:64" s="2" customFormat="1" ht="15.75" customHeight="1" outlineLevel="1" x14ac:dyDescent="0.2">
      <c r="A260" s="594"/>
      <c r="B260" s="601"/>
      <c r="C260" s="7" t="s">
        <v>1553</v>
      </c>
      <c r="D260" s="8"/>
      <c r="E260" s="23"/>
      <c r="F260" s="8"/>
      <c r="G260" s="8"/>
      <c r="H260" s="5"/>
      <c r="I260" s="5"/>
      <c r="J260" s="5"/>
      <c r="K260" s="8"/>
      <c r="L260" s="23"/>
      <c r="M260" s="8"/>
      <c r="N260" s="8"/>
      <c r="O260" s="8"/>
      <c r="P260" s="8"/>
      <c r="Q260" s="23"/>
      <c r="R260" s="113"/>
      <c r="S260" s="113"/>
      <c r="T260" s="113"/>
      <c r="U260" s="113"/>
      <c r="V260" s="113"/>
      <c r="W260" s="113"/>
      <c r="X260" s="5">
        <f>SUM(R260:W260)</f>
        <v>0</v>
      </c>
      <c r="Y260" s="302"/>
      <c r="Z260" s="5"/>
      <c r="AA260" s="94"/>
      <c r="AB260" s="311">
        <f t="shared" si="94"/>
        <v>0</v>
      </c>
      <c r="AC260" s="296"/>
      <c r="AD260" s="113"/>
      <c r="AE260" s="5"/>
      <c r="AF260" s="5"/>
      <c r="AG260" s="5"/>
      <c r="AH260" s="5"/>
      <c r="AI260" s="5"/>
      <c r="AJ260" s="5"/>
      <c r="AK260" s="141"/>
      <c r="AL260" s="94"/>
      <c r="AM260" s="128"/>
      <c r="AN260" s="180"/>
      <c r="AO260" s="128"/>
      <c r="AP260" s="184"/>
      <c r="AQ260" s="128"/>
      <c r="AR260" s="184"/>
      <c r="AS260" s="128"/>
      <c r="AT260" s="184"/>
      <c r="AU260" s="128"/>
      <c r="AV260" s="184"/>
      <c r="AW260" s="128"/>
      <c r="AX260" s="184"/>
      <c r="AY260" s="111"/>
      <c r="AZ260" s="178"/>
      <c r="BC260" s="216"/>
      <c r="BD260" s="47"/>
      <c r="BF260" s="113"/>
      <c r="BG260" s="113"/>
      <c r="BH260" s="113"/>
      <c r="BI260" s="113"/>
      <c r="BJ260" s="113"/>
      <c r="BK260" s="113"/>
      <c r="BL260" s="5">
        <f>SUM(BF260:BK260)</f>
        <v>0</v>
      </c>
    </row>
    <row r="261" spans="1:64" s="2" customFormat="1" ht="15.75" customHeight="1" outlineLevel="1" x14ac:dyDescent="0.2">
      <c r="A261" s="595"/>
      <c r="B261" s="602"/>
      <c r="C261" s="7" t="s">
        <v>1554</v>
      </c>
      <c r="D261" s="8"/>
      <c r="E261" s="23"/>
      <c r="F261" s="8"/>
      <c r="G261" s="8"/>
      <c r="H261" s="5">
        <v>1.0889899999999999</v>
      </c>
      <c r="I261" s="5">
        <f>I259</f>
        <v>0.41227199999999997</v>
      </c>
      <c r="J261" s="5">
        <v>0.41227199999999997</v>
      </c>
      <c r="K261" s="23"/>
      <c r="L261" s="8"/>
      <c r="M261" s="8"/>
      <c r="N261" s="8"/>
      <c r="O261" s="8"/>
      <c r="P261" s="8"/>
      <c r="Q261" s="23"/>
      <c r="R261" s="113"/>
      <c r="S261" s="113"/>
      <c r="T261" s="113"/>
      <c r="U261" s="113"/>
      <c r="V261" s="113"/>
      <c r="W261" s="113"/>
      <c r="X261" s="5">
        <f>SUM(R261:W261)</f>
        <v>0</v>
      </c>
      <c r="Y261" s="302"/>
      <c r="Z261" s="5"/>
      <c r="AA261" s="94"/>
      <c r="AB261" s="311">
        <f t="shared" si="94"/>
        <v>0.41227199999999997</v>
      </c>
      <c r="AC261" s="296"/>
      <c r="AD261" s="113"/>
      <c r="AE261" s="5"/>
      <c r="AF261" s="5"/>
      <c r="AG261" s="5"/>
      <c r="AH261" s="5"/>
      <c r="AI261" s="5"/>
      <c r="AJ261" s="5"/>
      <c r="AK261" s="141"/>
      <c r="AL261" s="94"/>
      <c r="AM261" s="128"/>
      <c r="AN261" s="180"/>
      <c r="AO261" s="128"/>
      <c r="AP261" s="184"/>
      <c r="AQ261" s="128"/>
      <c r="AR261" s="184"/>
      <c r="AS261" s="128"/>
      <c r="AT261" s="184"/>
      <c r="AU261" s="128"/>
      <c r="AV261" s="184"/>
      <c r="AW261" s="128"/>
      <c r="AX261" s="184"/>
      <c r="AY261" s="111"/>
      <c r="AZ261" s="178"/>
      <c r="BC261" s="216"/>
      <c r="BD261" s="47"/>
      <c r="BF261" s="113"/>
      <c r="BG261" s="113"/>
      <c r="BH261" s="113"/>
      <c r="BI261" s="113"/>
      <c r="BJ261" s="113"/>
      <c r="BK261" s="113"/>
      <c r="BL261" s="5">
        <f>SUM(BF261:BK261)</f>
        <v>0</v>
      </c>
    </row>
    <row r="262" spans="1:64" s="2" customFormat="1" ht="102" outlineLevel="1" x14ac:dyDescent="0.2">
      <c r="A262" s="593" t="s">
        <v>1053</v>
      </c>
      <c r="B262" s="600" t="s">
        <v>902</v>
      </c>
      <c r="C262" s="7" t="s">
        <v>500</v>
      </c>
      <c r="D262" s="8" t="s">
        <v>397</v>
      </c>
      <c r="E262" s="23" t="s">
        <v>335</v>
      </c>
      <c r="F262" s="8">
        <v>2010</v>
      </c>
      <c r="G262" s="8">
        <v>2014</v>
      </c>
      <c r="H262" s="5">
        <v>0.24024000000000001</v>
      </c>
      <c r="I262" s="5">
        <v>4.3955000000000001E-2</v>
      </c>
      <c r="J262" s="5">
        <f>R262</f>
        <v>4.3955000000000001E-2</v>
      </c>
      <c r="K262" s="23" t="s">
        <v>335</v>
      </c>
      <c r="L262" s="8"/>
      <c r="M262" s="8"/>
      <c r="N262" s="8"/>
      <c r="O262" s="8"/>
      <c r="P262" s="8"/>
      <c r="Q262" s="23" t="s">
        <v>335</v>
      </c>
      <c r="R262" s="113">
        <v>4.3955000000000001E-2</v>
      </c>
      <c r="S262" s="113"/>
      <c r="T262" s="113"/>
      <c r="U262" s="113"/>
      <c r="V262" s="113"/>
      <c r="W262" s="113"/>
      <c r="X262" s="5">
        <f t="shared" si="98"/>
        <v>4.3955000000000001E-2</v>
      </c>
      <c r="Y262" s="302">
        <f>H262-H263-H264</f>
        <v>0</v>
      </c>
      <c r="Z262" s="5">
        <f>I262-I263-I264</f>
        <v>0</v>
      </c>
      <c r="AA262" s="94">
        <f>J262-J263-J264</f>
        <v>0</v>
      </c>
      <c r="AB262" s="311">
        <f t="shared" si="94"/>
        <v>0</v>
      </c>
      <c r="AC262" s="296"/>
      <c r="AD262" s="113"/>
      <c r="AE262" s="5"/>
      <c r="AF262" s="5">
        <f>H262</f>
        <v>0.24024000000000001</v>
      </c>
      <c r="AG262" s="5"/>
      <c r="AH262" s="5"/>
      <c r="AI262" s="5"/>
      <c r="AJ262" s="5"/>
      <c r="AK262" s="141"/>
      <c r="AL262" s="94">
        <f>SUM(AF262:AK262)</f>
        <v>0.24024000000000001</v>
      </c>
      <c r="AM262" s="128">
        <v>0.1</v>
      </c>
      <c r="AN262" s="180">
        <v>0</v>
      </c>
      <c r="AO262" s="128"/>
      <c r="AP262" s="184"/>
      <c r="AQ262" s="128"/>
      <c r="AR262" s="184"/>
      <c r="AS262" s="128"/>
      <c r="AT262" s="184"/>
      <c r="AU262" s="128"/>
      <c r="AV262" s="184"/>
      <c r="AW262" s="128"/>
      <c r="AX262" s="184"/>
      <c r="AY262" s="111">
        <f t="shared" si="100"/>
        <v>0.1</v>
      </c>
      <c r="AZ262" s="178">
        <f t="shared" si="100"/>
        <v>0</v>
      </c>
      <c r="BC262" s="216"/>
      <c r="BD262" s="47"/>
      <c r="BF262" s="113">
        <v>4.3955000000000001E-2</v>
      </c>
      <c r="BG262" s="113"/>
      <c r="BH262" s="113"/>
      <c r="BI262" s="113"/>
      <c r="BJ262" s="113"/>
      <c r="BK262" s="113"/>
      <c r="BL262" s="5">
        <f t="shared" ref="BL262:BL268" si="101">SUM(BF262:BK262)</f>
        <v>4.3955000000000001E-2</v>
      </c>
    </row>
    <row r="263" spans="1:64" s="2" customFormat="1" ht="15.75" customHeight="1" outlineLevel="1" x14ac:dyDescent="0.2">
      <c r="A263" s="594"/>
      <c r="B263" s="601"/>
      <c r="C263" s="7" t="s">
        <v>1553</v>
      </c>
      <c r="D263" s="8"/>
      <c r="E263" s="23"/>
      <c r="F263" s="8"/>
      <c r="G263" s="8"/>
      <c r="H263" s="5">
        <v>0.24024000000000001</v>
      </c>
      <c r="I263" s="5">
        <f>I262</f>
        <v>4.3955000000000001E-2</v>
      </c>
      <c r="J263" s="5">
        <v>4.3955000000000001E-2</v>
      </c>
      <c r="K263" s="8"/>
      <c r="L263" s="23"/>
      <c r="M263" s="8"/>
      <c r="N263" s="8"/>
      <c r="O263" s="8"/>
      <c r="P263" s="8"/>
      <c r="Q263" s="23"/>
      <c r="R263" s="113"/>
      <c r="S263" s="113"/>
      <c r="T263" s="113"/>
      <c r="U263" s="113"/>
      <c r="V263" s="113"/>
      <c r="W263" s="113"/>
      <c r="X263" s="5">
        <f t="shared" si="98"/>
        <v>0</v>
      </c>
      <c r="Y263" s="302"/>
      <c r="Z263" s="5"/>
      <c r="AA263" s="94"/>
      <c r="AB263" s="311">
        <f t="shared" si="94"/>
        <v>4.3955000000000001E-2</v>
      </c>
      <c r="AC263" s="296"/>
      <c r="AD263" s="113"/>
      <c r="AE263" s="5"/>
      <c r="AF263" s="5"/>
      <c r="AG263" s="5"/>
      <c r="AH263" s="5"/>
      <c r="AI263" s="5"/>
      <c r="AJ263" s="5"/>
      <c r="AK263" s="141"/>
      <c r="AL263" s="94"/>
      <c r="AM263" s="128"/>
      <c r="AN263" s="180"/>
      <c r="AO263" s="128"/>
      <c r="AP263" s="184"/>
      <c r="AQ263" s="128"/>
      <c r="AR263" s="184"/>
      <c r="AS263" s="128"/>
      <c r="AT263" s="184"/>
      <c r="AU263" s="128"/>
      <c r="AV263" s="184"/>
      <c r="AW263" s="128"/>
      <c r="AX263" s="184"/>
      <c r="AY263" s="111"/>
      <c r="AZ263" s="178"/>
      <c r="BC263" s="216"/>
      <c r="BD263" s="47"/>
      <c r="BF263" s="113"/>
      <c r="BG263" s="113"/>
      <c r="BH263" s="113"/>
      <c r="BI263" s="113"/>
      <c r="BJ263" s="113"/>
      <c r="BK263" s="113"/>
      <c r="BL263" s="5">
        <f t="shared" si="101"/>
        <v>0</v>
      </c>
    </row>
    <row r="264" spans="1:64" s="2" customFormat="1" ht="15.75" customHeight="1" outlineLevel="1" x14ac:dyDescent="0.2">
      <c r="A264" s="595"/>
      <c r="B264" s="602"/>
      <c r="C264" s="7" t="s">
        <v>1554</v>
      </c>
      <c r="D264" s="8"/>
      <c r="E264" s="23"/>
      <c r="F264" s="8"/>
      <c r="G264" s="8"/>
      <c r="H264" s="5"/>
      <c r="I264" s="5"/>
      <c r="J264" s="5"/>
      <c r="K264" s="23"/>
      <c r="L264" s="8"/>
      <c r="M264" s="8"/>
      <c r="N264" s="8"/>
      <c r="O264" s="8"/>
      <c r="P264" s="8"/>
      <c r="Q264" s="23"/>
      <c r="R264" s="113"/>
      <c r="S264" s="113"/>
      <c r="T264" s="113"/>
      <c r="U264" s="113"/>
      <c r="V264" s="113"/>
      <c r="W264" s="113"/>
      <c r="X264" s="5">
        <f t="shared" si="98"/>
        <v>0</v>
      </c>
      <c r="Y264" s="302"/>
      <c r="Z264" s="5"/>
      <c r="AA264" s="94"/>
      <c r="AB264" s="311">
        <f t="shared" si="94"/>
        <v>0</v>
      </c>
      <c r="AC264" s="296"/>
      <c r="AD264" s="113"/>
      <c r="AE264" s="5"/>
      <c r="AF264" s="5"/>
      <c r="AG264" s="5"/>
      <c r="AH264" s="5"/>
      <c r="AI264" s="5"/>
      <c r="AJ264" s="5"/>
      <c r="AK264" s="141"/>
      <c r="AL264" s="94"/>
      <c r="AM264" s="128"/>
      <c r="AN264" s="180"/>
      <c r="AO264" s="128"/>
      <c r="AP264" s="184"/>
      <c r="AQ264" s="128"/>
      <c r="AR264" s="184"/>
      <c r="AS264" s="128"/>
      <c r="AT264" s="184"/>
      <c r="AU264" s="128"/>
      <c r="AV264" s="184"/>
      <c r="AW264" s="128"/>
      <c r="AX264" s="184"/>
      <c r="AY264" s="111"/>
      <c r="AZ264" s="178"/>
      <c r="BC264" s="216"/>
      <c r="BD264" s="47"/>
      <c r="BF264" s="113"/>
      <c r="BG264" s="113"/>
      <c r="BH264" s="113"/>
      <c r="BI264" s="113"/>
      <c r="BJ264" s="113"/>
      <c r="BK264" s="113"/>
      <c r="BL264" s="5">
        <f t="shared" si="101"/>
        <v>0</v>
      </c>
    </row>
    <row r="265" spans="1:64" s="2" customFormat="1" ht="102" outlineLevel="1" x14ac:dyDescent="0.2">
      <c r="A265" s="593" t="s">
        <v>1054</v>
      </c>
      <c r="B265" s="600" t="s">
        <v>1263</v>
      </c>
      <c r="C265" s="7" t="s">
        <v>1888</v>
      </c>
      <c r="D265" s="8" t="s">
        <v>397</v>
      </c>
      <c r="E265" s="23" t="s">
        <v>334</v>
      </c>
      <c r="F265" s="8">
        <v>2010</v>
      </c>
      <c r="G265" s="8">
        <v>2014</v>
      </c>
      <c r="H265" s="5">
        <v>5.3245699999999996</v>
      </c>
      <c r="I265" s="5">
        <v>1.766391</v>
      </c>
      <c r="J265" s="5">
        <f>R265</f>
        <v>1.766391</v>
      </c>
      <c r="K265" s="23" t="s">
        <v>334</v>
      </c>
      <c r="L265" s="8"/>
      <c r="M265" s="8"/>
      <c r="N265" s="8"/>
      <c r="O265" s="8"/>
      <c r="P265" s="8"/>
      <c r="Q265" s="23" t="s">
        <v>334</v>
      </c>
      <c r="R265" s="113">
        <v>1.766391</v>
      </c>
      <c r="S265" s="113"/>
      <c r="T265" s="113"/>
      <c r="U265" s="113"/>
      <c r="V265" s="113"/>
      <c r="W265" s="113"/>
      <c r="X265" s="5">
        <f t="shared" si="98"/>
        <v>1.766391</v>
      </c>
      <c r="Y265" s="302">
        <f>H265-H266-H267</f>
        <v>0</v>
      </c>
      <c r="Z265" s="5">
        <f>I265-I266-I267</f>
        <v>0</v>
      </c>
      <c r="AA265" s="94">
        <f>J265-J266-J267</f>
        <v>0</v>
      </c>
      <c r="AB265" s="311">
        <f t="shared" si="94"/>
        <v>0</v>
      </c>
      <c r="AC265" s="296"/>
      <c r="AD265" s="113"/>
      <c r="AE265" s="5"/>
      <c r="AF265" s="5">
        <f>H265</f>
        <v>5.3245699999999996</v>
      </c>
      <c r="AG265" s="5"/>
      <c r="AH265" s="5"/>
      <c r="AI265" s="5"/>
      <c r="AJ265" s="5"/>
      <c r="AK265" s="141"/>
      <c r="AL265" s="94">
        <f>SUM(AF265:AK265)</f>
        <v>5.3245699999999996</v>
      </c>
      <c r="AM265" s="128">
        <v>3</v>
      </c>
      <c r="AN265" s="180">
        <v>0.25</v>
      </c>
      <c r="AO265" s="128"/>
      <c r="AP265" s="184"/>
      <c r="AQ265" s="128"/>
      <c r="AR265" s="184"/>
      <c r="AS265" s="128"/>
      <c r="AT265" s="184"/>
      <c r="AU265" s="128"/>
      <c r="AV265" s="184"/>
      <c r="AW265" s="128"/>
      <c r="AX265" s="184"/>
      <c r="AY265" s="111">
        <f>AM265+AO265+AQ265+AS265+AU265+AW265</f>
        <v>3</v>
      </c>
      <c r="AZ265" s="178">
        <f>AN265+AP265+AR265+AT265+AV265+AX265</f>
        <v>0.25</v>
      </c>
      <c r="BC265" s="216"/>
      <c r="BD265" s="47"/>
      <c r="BF265" s="113">
        <v>1.766391</v>
      </c>
      <c r="BG265" s="113"/>
      <c r="BH265" s="113"/>
      <c r="BI265" s="113"/>
      <c r="BJ265" s="113"/>
      <c r="BK265" s="113"/>
      <c r="BL265" s="5">
        <f t="shared" si="101"/>
        <v>1.766391</v>
      </c>
    </row>
    <row r="266" spans="1:64" s="2" customFormat="1" ht="15.75" customHeight="1" outlineLevel="1" x14ac:dyDescent="0.2">
      <c r="A266" s="594"/>
      <c r="B266" s="601"/>
      <c r="C266" s="7" t="s">
        <v>1553</v>
      </c>
      <c r="D266" s="8"/>
      <c r="E266" s="23"/>
      <c r="F266" s="8"/>
      <c r="G266" s="8"/>
      <c r="H266" s="5"/>
      <c r="I266" s="5"/>
      <c r="J266" s="5"/>
      <c r="K266" s="8"/>
      <c r="L266" s="23"/>
      <c r="M266" s="8"/>
      <c r="N266" s="8"/>
      <c r="O266" s="8"/>
      <c r="P266" s="8"/>
      <c r="Q266" s="23"/>
      <c r="R266" s="113"/>
      <c r="S266" s="113"/>
      <c r="T266" s="113"/>
      <c r="U266" s="113"/>
      <c r="V266" s="113"/>
      <c r="W266" s="113"/>
      <c r="X266" s="5">
        <f t="shared" si="98"/>
        <v>0</v>
      </c>
      <c r="Y266" s="302"/>
      <c r="Z266" s="5"/>
      <c r="AA266" s="94"/>
      <c r="AB266" s="311">
        <f t="shared" si="94"/>
        <v>0</v>
      </c>
      <c r="AC266" s="296"/>
      <c r="AD266" s="113"/>
      <c r="AE266" s="5"/>
      <c r="AF266" s="5"/>
      <c r="AG266" s="5"/>
      <c r="AH266" s="5"/>
      <c r="AI266" s="5"/>
      <c r="AJ266" s="5"/>
      <c r="AK266" s="141"/>
      <c r="AL266" s="94"/>
      <c r="AM266" s="128"/>
      <c r="AN266" s="180"/>
      <c r="AO266" s="128"/>
      <c r="AP266" s="184"/>
      <c r="AQ266" s="128"/>
      <c r="AR266" s="184"/>
      <c r="AS266" s="128"/>
      <c r="AT266" s="184"/>
      <c r="AU266" s="128"/>
      <c r="AV266" s="184"/>
      <c r="AW266" s="128"/>
      <c r="AX266" s="184"/>
      <c r="AY266" s="111"/>
      <c r="AZ266" s="178"/>
      <c r="BC266" s="216"/>
      <c r="BD266" s="47"/>
      <c r="BF266" s="113"/>
      <c r="BG266" s="113"/>
      <c r="BH266" s="113"/>
      <c r="BI266" s="113"/>
      <c r="BJ266" s="113"/>
      <c r="BK266" s="113"/>
      <c r="BL266" s="5">
        <f t="shared" si="101"/>
        <v>0</v>
      </c>
    </row>
    <row r="267" spans="1:64" s="2" customFormat="1" ht="15.75" customHeight="1" outlineLevel="1" x14ac:dyDescent="0.2">
      <c r="A267" s="595"/>
      <c r="B267" s="602"/>
      <c r="C267" s="7" t="s">
        <v>1554</v>
      </c>
      <c r="D267" s="8"/>
      <c r="E267" s="23"/>
      <c r="F267" s="8"/>
      <c r="G267" s="8"/>
      <c r="H267" s="5">
        <v>5.3245699999999996</v>
      </c>
      <c r="I267" s="5">
        <f>I265</f>
        <v>1.766391</v>
      </c>
      <c r="J267" s="5">
        <v>1.766391</v>
      </c>
      <c r="K267" s="23"/>
      <c r="L267" s="8"/>
      <c r="M267" s="8"/>
      <c r="N267" s="8"/>
      <c r="O267" s="8"/>
      <c r="P267" s="8"/>
      <c r="Q267" s="23"/>
      <c r="R267" s="113"/>
      <c r="S267" s="113"/>
      <c r="T267" s="113"/>
      <c r="U267" s="113"/>
      <c r="V267" s="113"/>
      <c r="W267" s="113"/>
      <c r="X267" s="5">
        <f t="shared" si="98"/>
        <v>0</v>
      </c>
      <c r="Y267" s="302"/>
      <c r="Z267" s="5"/>
      <c r="AA267" s="94"/>
      <c r="AB267" s="311">
        <f t="shared" si="94"/>
        <v>1.766391</v>
      </c>
      <c r="AC267" s="296"/>
      <c r="AD267" s="113"/>
      <c r="AE267" s="5"/>
      <c r="AF267" s="5"/>
      <c r="AG267" s="5"/>
      <c r="AH267" s="5"/>
      <c r="AI267" s="5"/>
      <c r="AJ267" s="5"/>
      <c r="AK267" s="141"/>
      <c r="AL267" s="94"/>
      <c r="AM267" s="128"/>
      <c r="AN267" s="180"/>
      <c r="AO267" s="128"/>
      <c r="AP267" s="184"/>
      <c r="AQ267" s="128"/>
      <c r="AR267" s="184"/>
      <c r="AS267" s="128"/>
      <c r="AT267" s="184"/>
      <c r="AU267" s="128"/>
      <c r="AV267" s="184"/>
      <c r="AW267" s="128"/>
      <c r="AX267" s="184"/>
      <c r="AY267" s="111"/>
      <c r="AZ267" s="178"/>
      <c r="BC267" s="216"/>
      <c r="BD267" s="47"/>
      <c r="BF267" s="113"/>
      <c r="BG267" s="113"/>
      <c r="BH267" s="113"/>
      <c r="BI267" s="113"/>
      <c r="BJ267" s="113"/>
      <c r="BK267" s="113"/>
      <c r="BL267" s="5">
        <f t="shared" si="101"/>
        <v>0</v>
      </c>
    </row>
    <row r="268" spans="1:64" s="2" customFormat="1" ht="114.75" customHeight="1" outlineLevel="1" x14ac:dyDescent="0.2">
      <c r="A268" s="593" t="s">
        <v>1055</v>
      </c>
      <c r="B268" s="600" t="s">
        <v>1264</v>
      </c>
      <c r="C268" s="7" t="s">
        <v>566</v>
      </c>
      <c r="D268" s="8" t="s">
        <v>397</v>
      </c>
      <c r="E268" s="23" t="s">
        <v>336</v>
      </c>
      <c r="F268" s="8">
        <v>2010</v>
      </c>
      <c r="G268" s="8">
        <v>2015</v>
      </c>
      <c r="H268" s="5">
        <v>1.08619</v>
      </c>
      <c r="I268" s="5">
        <v>1.1599999999999999</v>
      </c>
      <c r="J268" s="5">
        <f>R268</f>
        <v>1.157959</v>
      </c>
      <c r="K268" s="8"/>
      <c r="L268" s="23" t="s">
        <v>336</v>
      </c>
      <c r="M268" s="8"/>
      <c r="N268" s="8"/>
      <c r="O268" s="8"/>
      <c r="P268" s="8"/>
      <c r="Q268" s="23" t="s">
        <v>336</v>
      </c>
      <c r="R268" s="113">
        <v>1.157959</v>
      </c>
      <c r="S268" s="113"/>
      <c r="T268" s="113"/>
      <c r="U268" s="113"/>
      <c r="V268" s="113"/>
      <c r="W268" s="113"/>
      <c r="X268" s="5">
        <f t="shared" si="98"/>
        <v>1.157959</v>
      </c>
      <c r="Y268" s="302">
        <f>H268-H269-H270</f>
        <v>0</v>
      </c>
      <c r="Z268" s="5">
        <f>I268-I269-I270</f>
        <v>0</v>
      </c>
      <c r="AA268" s="94">
        <f>J268-J269-J270</f>
        <v>0</v>
      </c>
      <c r="AB268" s="311">
        <f t="shared" si="94"/>
        <v>2.0409999999999595E-3</v>
      </c>
      <c r="AC268" s="296"/>
      <c r="AD268" s="113"/>
      <c r="AE268" s="5"/>
      <c r="AF268" s="5"/>
      <c r="AG268" s="5">
        <f>H268</f>
        <v>1.08619</v>
      </c>
      <c r="AH268" s="5"/>
      <c r="AI268" s="5"/>
      <c r="AJ268" s="5"/>
      <c r="AK268" s="141"/>
      <c r="AL268" s="94">
        <f>SUM(AF268:AK268)</f>
        <v>1.08619</v>
      </c>
      <c r="AM268" s="128"/>
      <c r="AN268" s="180"/>
      <c r="AO268" s="128">
        <v>1</v>
      </c>
      <c r="AP268" s="184">
        <v>0.1</v>
      </c>
      <c r="AQ268" s="128"/>
      <c r="AR268" s="184"/>
      <c r="AS268" s="128"/>
      <c r="AT268" s="184"/>
      <c r="AU268" s="128"/>
      <c r="AV268" s="184"/>
      <c r="AW268" s="128"/>
      <c r="AX268" s="184"/>
      <c r="AY268" s="111">
        <f t="shared" ref="AY268:AZ271" si="102">AM268+AO268+AQ268+AS268+AU268+AW268</f>
        <v>1</v>
      </c>
      <c r="AZ268" s="178">
        <f t="shared" si="102"/>
        <v>0.1</v>
      </c>
      <c r="BC268" s="216"/>
      <c r="BD268" s="47"/>
      <c r="BF268" s="113">
        <v>1.157959</v>
      </c>
      <c r="BG268" s="113"/>
      <c r="BH268" s="113"/>
      <c r="BI268" s="113"/>
      <c r="BJ268" s="113"/>
      <c r="BK268" s="113"/>
      <c r="BL268" s="5">
        <f t="shared" si="101"/>
        <v>1.157959</v>
      </c>
    </row>
    <row r="269" spans="1:64" s="2" customFormat="1" ht="15.75" customHeight="1" outlineLevel="1" x14ac:dyDescent="0.2">
      <c r="A269" s="594"/>
      <c r="B269" s="601"/>
      <c r="C269" s="7" t="s">
        <v>1553</v>
      </c>
      <c r="D269" s="8"/>
      <c r="E269" s="23"/>
      <c r="F269" s="8"/>
      <c r="G269" s="8"/>
      <c r="H269" s="5"/>
      <c r="I269" s="5"/>
      <c r="J269" s="5"/>
      <c r="K269" s="8"/>
      <c r="L269" s="23"/>
      <c r="M269" s="8"/>
      <c r="N269" s="8"/>
      <c r="O269" s="8"/>
      <c r="P269" s="8"/>
      <c r="Q269" s="23"/>
      <c r="R269" s="113"/>
      <c r="S269" s="113"/>
      <c r="T269" s="113"/>
      <c r="U269" s="113"/>
      <c r="V269" s="113"/>
      <c r="W269" s="113"/>
      <c r="X269" s="5">
        <f>SUM(R269:W269)</f>
        <v>0</v>
      </c>
      <c r="Y269" s="302"/>
      <c r="Z269" s="5"/>
      <c r="AA269" s="94"/>
      <c r="AB269" s="311">
        <f t="shared" si="94"/>
        <v>0</v>
      </c>
      <c r="AC269" s="296"/>
      <c r="AD269" s="113"/>
      <c r="AE269" s="5"/>
      <c r="AF269" s="5"/>
      <c r="AG269" s="5"/>
      <c r="AH269" s="5"/>
      <c r="AI269" s="5"/>
      <c r="AJ269" s="5"/>
      <c r="AK269" s="141"/>
      <c r="AL269" s="94"/>
      <c r="AM269" s="128"/>
      <c r="AN269" s="180"/>
      <c r="AO269" s="128"/>
      <c r="AP269" s="184"/>
      <c r="AQ269" s="128"/>
      <c r="AR269" s="184"/>
      <c r="AS269" s="128"/>
      <c r="AT269" s="184"/>
      <c r="AU269" s="128"/>
      <c r="AV269" s="184"/>
      <c r="AW269" s="128"/>
      <c r="AX269" s="184"/>
      <c r="AY269" s="111"/>
      <c r="AZ269" s="178"/>
      <c r="BC269" s="216"/>
      <c r="BD269" s="47"/>
      <c r="BF269" s="113"/>
      <c r="BG269" s="113"/>
      <c r="BH269" s="113"/>
      <c r="BI269" s="113"/>
      <c r="BJ269" s="113"/>
      <c r="BK269" s="113"/>
      <c r="BL269" s="5">
        <f>SUM(BF269:BK269)</f>
        <v>0</v>
      </c>
    </row>
    <row r="270" spans="1:64" s="2" customFormat="1" ht="15.75" customHeight="1" outlineLevel="1" x14ac:dyDescent="0.2">
      <c r="A270" s="595"/>
      <c r="B270" s="602"/>
      <c r="C270" s="7" t="s">
        <v>1554</v>
      </c>
      <c r="D270" s="8"/>
      <c r="E270" s="23"/>
      <c r="F270" s="8"/>
      <c r="G270" s="8"/>
      <c r="H270" s="5">
        <v>1.08619</v>
      </c>
      <c r="I270" s="5">
        <f>I268</f>
        <v>1.1599999999999999</v>
      </c>
      <c r="J270" s="5">
        <v>1.157959</v>
      </c>
      <c r="K270" s="23"/>
      <c r="L270" s="8"/>
      <c r="M270" s="8"/>
      <c r="N270" s="8"/>
      <c r="O270" s="8"/>
      <c r="P270" s="8"/>
      <c r="Q270" s="23"/>
      <c r="R270" s="113"/>
      <c r="S270" s="113"/>
      <c r="T270" s="113"/>
      <c r="U270" s="113"/>
      <c r="V270" s="113"/>
      <c r="W270" s="113"/>
      <c r="X270" s="5">
        <f>SUM(R270:W270)</f>
        <v>0</v>
      </c>
      <c r="Y270" s="302"/>
      <c r="Z270" s="5"/>
      <c r="AA270" s="94"/>
      <c r="AB270" s="311">
        <f t="shared" si="94"/>
        <v>1.1599999999999999</v>
      </c>
      <c r="AC270" s="296"/>
      <c r="AD270" s="113"/>
      <c r="AE270" s="5"/>
      <c r="AF270" s="5"/>
      <c r="AG270" s="5"/>
      <c r="AH270" s="5"/>
      <c r="AI270" s="5"/>
      <c r="AJ270" s="5"/>
      <c r="AK270" s="141"/>
      <c r="AL270" s="94"/>
      <c r="AM270" s="128"/>
      <c r="AN270" s="180"/>
      <c r="AO270" s="128"/>
      <c r="AP270" s="184"/>
      <c r="AQ270" s="128"/>
      <c r="AR270" s="184"/>
      <c r="AS270" s="128"/>
      <c r="AT270" s="184"/>
      <c r="AU270" s="128"/>
      <c r="AV270" s="184"/>
      <c r="AW270" s="128"/>
      <c r="AX270" s="184"/>
      <c r="AY270" s="111"/>
      <c r="AZ270" s="178"/>
      <c r="BC270" s="216"/>
      <c r="BD270" s="47"/>
      <c r="BF270" s="113"/>
      <c r="BG270" s="113"/>
      <c r="BH270" s="113"/>
      <c r="BI270" s="113"/>
      <c r="BJ270" s="113"/>
      <c r="BK270" s="113"/>
      <c r="BL270" s="5">
        <f>SUM(BF270:BK270)</f>
        <v>0</v>
      </c>
    </row>
    <row r="271" spans="1:64" s="2" customFormat="1" ht="140.25" outlineLevel="1" x14ac:dyDescent="0.2">
      <c r="A271" s="593" t="s">
        <v>1056</v>
      </c>
      <c r="B271" s="600" t="s">
        <v>903</v>
      </c>
      <c r="C271" s="7" t="s">
        <v>2174</v>
      </c>
      <c r="D271" s="8" t="s">
        <v>397</v>
      </c>
      <c r="E271" s="23" t="s">
        <v>337</v>
      </c>
      <c r="F271" s="8">
        <v>2010</v>
      </c>
      <c r="G271" s="8">
        <v>2014</v>
      </c>
      <c r="H271" s="5">
        <v>7.9680794600000002</v>
      </c>
      <c r="I271" s="5">
        <v>0.14401</v>
      </c>
      <c r="J271" s="5">
        <f>R271</f>
        <v>0.14401</v>
      </c>
      <c r="K271" s="23" t="s">
        <v>337</v>
      </c>
      <c r="L271" s="8"/>
      <c r="M271" s="8"/>
      <c r="N271" s="8"/>
      <c r="O271" s="8"/>
      <c r="P271" s="8"/>
      <c r="Q271" s="23" t="s">
        <v>337</v>
      </c>
      <c r="R271" s="113">
        <v>0.14401</v>
      </c>
      <c r="S271" s="113"/>
      <c r="T271" s="113"/>
      <c r="U271" s="113"/>
      <c r="V271" s="113"/>
      <c r="W271" s="113"/>
      <c r="X271" s="5">
        <f t="shared" si="98"/>
        <v>0.14401</v>
      </c>
      <c r="Y271" s="302">
        <f>H271-H272-H273</f>
        <v>0</v>
      </c>
      <c r="Z271" s="5">
        <f>I271-I272-I273</f>
        <v>0</v>
      </c>
      <c r="AA271" s="94">
        <f>J271-J272-J273</f>
        <v>0</v>
      </c>
      <c r="AB271" s="311">
        <f t="shared" si="94"/>
        <v>0</v>
      </c>
      <c r="AC271" s="296"/>
      <c r="AD271" s="113"/>
      <c r="AE271" s="5"/>
      <c r="AF271" s="5">
        <f>H271</f>
        <v>7.9680794600000002</v>
      </c>
      <c r="AG271" s="5"/>
      <c r="AH271" s="5"/>
      <c r="AI271" s="5"/>
      <c r="AJ271" s="5"/>
      <c r="AK271" s="141"/>
      <c r="AL271" s="94">
        <f>SUM(AF271:AK271)</f>
        <v>7.9680794600000002</v>
      </c>
      <c r="AM271" s="128">
        <v>4</v>
      </c>
      <c r="AN271" s="180">
        <v>0.4</v>
      </c>
      <c r="AO271" s="128"/>
      <c r="AP271" s="184"/>
      <c r="AQ271" s="128"/>
      <c r="AR271" s="184"/>
      <c r="AS271" s="128"/>
      <c r="AT271" s="184"/>
      <c r="AU271" s="128"/>
      <c r="AV271" s="184"/>
      <c r="AW271" s="128"/>
      <c r="AX271" s="184"/>
      <c r="AY271" s="111">
        <f t="shared" si="102"/>
        <v>4</v>
      </c>
      <c r="AZ271" s="178">
        <f t="shared" si="102"/>
        <v>0.4</v>
      </c>
      <c r="BC271" s="216"/>
      <c r="BD271" s="47"/>
      <c r="BF271" s="113">
        <v>0.14401</v>
      </c>
      <c r="BG271" s="113"/>
      <c r="BH271" s="113"/>
      <c r="BI271" s="113"/>
      <c r="BJ271" s="113"/>
      <c r="BK271" s="113"/>
      <c r="BL271" s="5">
        <f t="shared" ref="BL271:BL277" si="103">SUM(BF271:BK271)</f>
        <v>0.14401</v>
      </c>
    </row>
    <row r="272" spans="1:64" s="2" customFormat="1" ht="15.75" customHeight="1" outlineLevel="1" x14ac:dyDescent="0.2">
      <c r="A272" s="594"/>
      <c r="B272" s="601"/>
      <c r="C272" s="7" t="s">
        <v>1553</v>
      </c>
      <c r="D272" s="8"/>
      <c r="E272" s="23"/>
      <c r="F272" s="8"/>
      <c r="G272" s="8"/>
      <c r="H272" s="5"/>
      <c r="I272" s="5"/>
      <c r="J272" s="5"/>
      <c r="K272" s="8"/>
      <c r="L272" s="23"/>
      <c r="M272" s="8"/>
      <c r="N272" s="8"/>
      <c r="O272" s="8"/>
      <c r="P272" s="8"/>
      <c r="Q272" s="23"/>
      <c r="R272" s="113"/>
      <c r="S272" s="113"/>
      <c r="T272" s="113"/>
      <c r="U272" s="113"/>
      <c r="V272" s="113"/>
      <c r="W272" s="113"/>
      <c r="X272" s="5">
        <f t="shared" si="98"/>
        <v>0</v>
      </c>
      <c r="Y272" s="302"/>
      <c r="Z272" s="5"/>
      <c r="AA272" s="94"/>
      <c r="AB272" s="311">
        <f t="shared" si="94"/>
        <v>0</v>
      </c>
      <c r="AC272" s="296"/>
      <c r="AD272" s="113"/>
      <c r="AE272" s="5"/>
      <c r="AF272" s="5"/>
      <c r="AG272" s="5"/>
      <c r="AH272" s="5"/>
      <c r="AI272" s="5"/>
      <c r="AJ272" s="5"/>
      <c r="AK272" s="141"/>
      <c r="AL272" s="94"/>
      <c r="AM272" s="128"/>
      <c r="AN272" s="180"/>
      <c r="AO272" s="128"/>
      <c r="AP272" s="184"/>
      <c r="AQ272" s="128"/>
      <c r="AR272" s="184"/>
      <c r="AS272" s="128"/>
      <c r="AT272" s="184"/>
      <c r="AU272" s="128"/>
      <c r="AV272" s="184"/>
      <c r="AW272" s="128"/>
      <c r="AX272" s="184"/>
      <c r="AY272" s="111"/>
      <c r="AZ272" s="178"/>
      <c r="BC272" s="216"/>
      <c r="BD272" s="47"/>
      <c r="BF272" s="113"/>
      <c r="BG272" s="113"/>
      <c r="BH272" s="113"/>
      <c r="BI272" s="113"/>
      <c r="BJ272" s="113"/>
      <c r="BK272" s="113"/>
      <c r="BL272" s="5">
        <f t="shared" si="103"/>
        <v>0</v>
      </c>
    </row>
    <row r="273" spans="1:64" s="2" customFormat="1" ht="15.75" customHeight="1" outlineLevel="1" x14ac:dyDescent="0.2">
      <c r="A273" s="595"/>
      <c r="B273" s="602"/>
      <c r="C273" s="7" t="s">
        <v>1554</v>
      </c>
      <c r="D273" s="8"/>
      <c r="E273" s="23"/>
      <c r="F273" s="8"/>
      <c r="G273" s="8"/>
      <c r="H273" s="5">
        <f>H271</f>
        <v>7.9680794600000002</v>
      </c>
      <c r="I273" s="5">
        <f>I271</f>
        <v>0.14401</v>
      </c>
      <c r="J273" s="5">
        <v>0.14401</v>
      </c>
      <c r="K273" s="23"/>
      <c r="L273" s="8"/>
      <c r="M273" s="8"/>
      <c r="N273" s="8"/>
      <c r="O273" s="8"/>
      <c r="P273" s="8"/>
      <c r="Q273" s="23"/>
      <c r="R273" s="113"/>
      <c r="S273" s="113"/>
      <c r="T273" s="113"/>
      <c r="U273" s="113"/>
      <c r="V273" s="113"/>
      <c r="W273" s="113"/>
      <c r="X273" s="5">
        <f t="shared" si="98"/>
        <v>0</v>
      </c>
      <c r="Y273" s="302"/>
      <c r="Z273" s="5"/>
      <c r="AA273" s="94"/>
      <c r="AB273" s="311">
        <f t="shared" si="94"/>
        <v>0.14401</v>
      </c>
      <c r="AC273" s="296"/>
      <c r="AD273" s="113"/>
      <c r="AE273" s="5"/>
      <c r="AF273" s="5"/>
      <c r="AG273" s="5"/>
      <c r="AH273" s="5"/>
      <c r="AI273" s="5"/>
      <c r="AJ273" s="5"/>
      <c r="AK273" s="141"/>
      <c r="AL273" s="94"/>
      <c r="AM273" s="128"/>
      <c r="AN273" s="180"/>
      <c r="AO273" s="128"/>
      <c r="AP273" s="184"/>
      <c r="AQ273" s="128"/>
      <c r="AR273" s="184"/>
      <c r="AS273" s="128"/>
      <c r="AT273" s="184"/>
      <c r="AU273" s="128"/>
      <c r="AV273" s="184"/>
      <c r="AW273" s="128"/>
      <c r="AX273" s="184"/>
      <c r="AY273" s="111"/>
      <c r="AZ273" s="178"/>
      <c r="BC273" s="216"/>
      <c r="BD273" s="47"/>
      <c r="BF273" s="113"/>
      <c r="BG273" s="113"/>
      <c r="BH273" s="113"/>
      <c r="BI273" s="113"/>
      <c r="BJ273" s="113"/>
      <c r="BK273" s="113"/>
      <c r="BL273" s="5">
        <f t="shared" si="103"/>
        <v>0</v>
      </c>
    </row>
    <row r="274" spans="1:64" s="2" customFormat="1" ht="114.75" outlineLevel="1" x14ac:dyDescent="0.2">
      <c r="A274" s="593" t="s">
        <v>1057</v>
      </c>
      <c r="B274" s="600" t="s">
        <v>1265</v>
      </c>
      <c r="C274" s="7" t="s">
        <v>567</v>
      </c>
      <c r="D274" s="8" t="s">
        <v>397</v>
      </c>
      <c r="E274" s="23" t="s">
        <v>333</v>
      </c>
      <c r="F274" s="8">
        <v>2010</v>
      </c>
      <c r="G274" s="8">
        <v>2014</v>
      </c>
      <c r="H274" s="5">
        <v>0.43278614999999998</v>
      </c>
      <c r="I274" s="5">
        <v>0.01</v>
      </c>
      <c r="J274" s="5">
        <f>R274</f>
        <v>0.01</v>
      </c>
      <c r="K274" s="23" t="s">
        <v>333</v>
      </c>
      <c r="L274" s="8"/>
      <c r="M274" s="8"/>
      <c r="N274" s="8"/>
      <c r="O274" s="8"/>
      <c r="P274" s="8"/>
      <c r="Q274" s="23" t="s">
        <v>333</v>
      </c>
      <c r="R274" s="113">
        <v>0.01</v>
      </c>
      <c r="S274" s="113"/>
      <c r="T274" s="113"/>
      <c r="U274" s="113"/>
      <c r="V274" s="113"/>
      <c r="W274" s="113"/>
      <c r="X274" s="5">
        <f t="shared" si="98"/>
        <v>0.01</v>
      </c>
      <c r="Y274" s="302">
        <f>H274-H275-H276</f>
        <v>0</v>
      </c>
      <c r="Z274" s="5">
        <f>I274-I275-I276</f>
        <v>0</v>
      </c>
      <c r="AA274" s="94">
        <f>J274-J275-J276</f>
        <v>0</v>
      </c>
      <c r="AB274" s="311">
        <f t="shared" si="94"/>
        <v>0</v>
      </c>
      <c r="AC274" s="296"/>
      <c r="AD274" s="113"/>
      <c r="AE274" s="5"/>
      <c r="AF274" s="5">
        <f>H274</f>
        <v>0.43278614999999998</v>
      </c>
      <c r="AG274" s="5"/>
      <c r="AH274" s="5"/>
      <c r="AI274" s="5"/>
      <c r="AJ274" s="5"/>
      <c r="AK274" s="141"/>
      <c r="AL274" s="94">
        <f>SUM(AF274:AK274)</f>
        <v>0.43278614999999998</v>
      </c>
      <c r="AM274" s="128">
        <v>0.3</v>
      </c>
      <c r="AN274" s="180">
        <v>0</v>
      </c>
      <c r="AO274" s="128"/>
      <c r="AP274" s="184"/>
      <c r="AQ274" s="128"/>
      <c r="AR274" s="184"/>
      <c r="AS274" s="128"/>
      <c r="AT274" s="184"/>
      <c r="AU274" s="128"/>
      <c r="AV274" s="184"/>
      <c r="AW274" s="128"/>
      <c r="AX274" s="184"/>
      <c r="AY274" s="111">
        <f>AM274+AO274+AQ274+AS274+AU274+AW274</f>
        <v>0.3</v>
      </c>
      <c r="AZ274" s="178">
        <f>AN274+AP274+AR274+AT274+AV274+AX274</f>
        <v>0</v>
      </c>
      <c r="BC274" s="216"/>
      <c r="BD274" s="47"/>
      <c r="BF274" s="113">
        <v>0.01</v>
      </c>
      <c r="BG274" s="113"/>
      <c r="BH274" s="113"/>
      <c r="BI274" s="113"/>
      <c r="BJ274" s="113"/>
      <c r="BK274" s="113"/>
      <c r="BL274" s="5">
        <f t="shared" si="103"/>
        <v>0.01</v>
      </c>
    </row>
    <row r="275" spans="1:64" s="2" customFormat="1" ht="15.75" customHeight="1" outlineLevel="1" x14ac:dyDescent="0.2">
      <c r="A275" s="594"/>
      <c r="B275" s="601"/>
      <c r="C275" s="7" t="s">
        <v>1553</v>
      </c>
      <c r="D275" s="8"/>
      <c r="E275" s="23"/>
      <c r="F275" s="8"/>
      <c r="G275" s="8"/>
      <c r="H275" s="5"/>
      <c r="I275" s="5"/>
      <c r="J275" s="5"/>
      <c r="K275" s="8"/>
      <c r="L275" s="23"/>
      <c r="M275" s="8"/>
      <c r="N275" s="8"/>
      <c r="O275" s="8"/>
      <c r="P275" s="8"/>
      <c r="Q275" s="23"/>
      <c r="R275" s="113"/>
      <c r="S275" s="113"/>
      <c r="T275" s="113"/>
      <c r="U275" s="113"/>
      <c r="V275" s="113"/>
      <c r="W275" s="113"/>
      <c r="X275" s="5">
        <f t="shared" si="98"/>
        <v>0</v>
      </c>
      <c r="Y275" s="302"/>
      <c r="Z275" s="5"/>
      <c r="AA275" s="94"/>
      <c r="AB275" s="311">
        <f t="shared" si="94"/>
        <v>0</v>
      </c>
      <c r="AC275" s="296"/>
      <c r="AD275" s="113"/>
      <c r="AE275" s="5"/>
      <c r="AF275" s="5"/>
      <c r="AG275" s="5"/>
      <c r="AH275" s="5"/>
      <c r="AI275" s="5"/>
      <c r="AJ275" s="5"/>
      <c r="AK275" s="141"/>
      <c r="AL275" s="94"/>
      <c r="AM275" s="128"/>
      <c r="AN275" s="180"/>
      <c r="AO275" s="128"/>
      <c r="AP275" s="184"/>
      <c r="AQ275" s="128"/>
      <c r="AR275" s="184"/>
      <c r="AS275" s="128"/>
      <c r="AT275" s="184"/>
      <c r="AU275" s="128"/>
      <c r="AV275" s="184"/>
      <c r="AW275" s="128"/>
      <c r="AX275" s="184"/>
      <c r="AY275" s="111"/>
      <c r="AZ275" s="178"/>
      <c r="BC275" s="216"/>
      <c r="BD275" s="47"/>
      <c r="BF275" s="113"/>
      <c r="BG275" s="113"/>
      <c r="BH275" s="113"/>
      <c r="BI275" s="113"/>
      <c r="BJ275" s="113"/>
      <c r="BK275" s="113"/>
      <c r="BL275" s="5">
        <f t="shared" si="103"/>
        <v>0</v>
      </c>
    </row>
    <row r="276" spans="1:64" s="2" customFormat="1" ht="15.75" customHeight="1" outlineLevel="1" x14ac:dyDescent="0.2">
      <c r="A276" s="595"/>
      <c r="B276" s="602"/>
      <c r="C276" s="7" t="s">
        <v>1554</v>
      </c>
      <c r="D276" s="8"/>
      <c r="E276" s="23"/>
      <c r="F276" s="8"/>
      <c r="G276" s="8"/>
      <c r="H276" s="5">
        <f>H274</f>
        <v>0.43278614999999998</v>
      </c>
      <c r="I276" s="5">
        <f>I274</f>
        <v>0.01</v>
      </c>
      <c r="J276" s="5">
        <f>J274</f>
        <v>0.01</v>
      </c>
      <c r="K276" s="23"/>
      <c r="L276" s="8"/>
      <c r="M276" s="8"/>
      <c r="N276" s="8"/>
      <c r="O276" s="8"/>
      <c r="P276" s="8"/>
      <c r="Q276" s="23"/>
      <c r="R276" s="113"/>
      <c r="S276" s="113"/>
      <c r="T276" s="113"/>
      <c r="U276" s="113"/>
      <c r="V276" s="113"/>
      <c r="W276" s="113"/>
      <c r="X276" s="5">
        <f t="shared" si="98"/>
        <v>0</v>
      </c>
      <c r="Y276" s="302"/>
      <c r="Z276" s="5"/>
      <c r="AA276" s="94"/>
      <c r="AB276" s="311">
        <f t="shared" si="94"/>
        <v>0.01</v>
      </c>
      <c r="AC276" s="296"/>
      <c r="AD276" s="113"/>
      <c r="AE276" s="5"/>
      <c r="AF276" s="5"/>
      <c r="AG276" s="5"/>
      <c r="AH276" s="5"/>
      <c r="AI276" s="5"/>
      <c r="AJ276" s="5"/>
      <c r="AK276" s="141"/>
      <c r="AL276" s="94"/>
      <c r="AM276" s="128"/>
      <c r="AN276" s="180"/>
      <c r="AO276" s="128"/>
      <c r="AP276" s="184"/>
      <c r="AQ276" s="128"/>
      <c r="AR276" s="184"/>
      <c r="AS276" s="128"/>
      <c r="AT276" s="184"/>
      <c r="AU276" s="128"/>
      <c r="AV276" s="184"/>
      <c r="AW276" s="128"/>
      <c r="AX276" s="184"/>
      <c r="AY276" s="111"/>
      <c r="AZ276" s="178"/>
      <c r="BC276" s="216"/>
      <c r="BD276" s="47"/>
      <c r="BF276" s="113"/>
      <c r="BG276" s="113"/>
      <c r="BH276" s="113"/>
      <c r="BI276" s="113"/>
      <c r="BJ276" s="113"/>
      <c r="BK276" s="113"/>
      <c r="BL276" s="5">
        <f t="shared" si="103"/>
        <v>0</v>
      </c>
    </row>
    <row r="277" spans="1:64" s="2" customFormat="1" ht="191.25" outlineLevel="1" x14ac:dyDescent="0.2">
      <c r="A277" s="593" t="s">
        <v>1058</v>
      </c>
      <c r="B277" s="600" t="s">
        <v>1266</v>
      </c>
      <c r="C277" s="7" t="s">
        <v>568</v>
      </c>
      <c r="D277" s="8" t="s">
        <v>397</v>
      </c>
      <c r="E277" s="23" t="s">
        <v>338</v>
      </c>
      <c r="F277" s="8">
        <v>2010</v>
      </c>
      <c r="G277" s="8">
        <v>2014</v>
      </c>
      <c r="H277" s="5">
        <v>2.6045110500000002</v>
      </c>
      <c r="I277" s="5">
        <v>0.01</v>
      </c>
      <c r="J277" s="5">
        <f>R277</f>
        <v>0.01</v>
      </c>
      <c r="K277" s="23" t="s">
        <v>338</v>
      </c>
      <c r="L277" s="8"/>
      <c r="M277" s="8"/>
      <c r="N277" s="8"/>
      <c r="O277" s="8"/>
      <c r="P277" s="8"/>
      <c r="Q277" s="23" t="s">
        <v>338</v>
      </c>
      <c r="R277" s="113">
        <v>0.01</v>
      </c>
      <c r="S277" s="113"/>
      <c r="T277" s="113"/>
      <c r="U277" s="113"/>
      <c r="V277" s="113"/>
      <c r="W277" s="113"/>
      <c r="X277" s="5">
        <f t="shared" si="98"/>
        <v>0.01</v>
      </c>
      <c r="Y277" s="302">
        <f>H277-H278-H279</f>
        <v>0</v>
      </c>
      <c r="Z277" s="5">
        <f>I277-I278-I279</f>
        <v>0</v>
      </c>
      <c r="AA277" s="94">
        <f>J277-J278-J279</f>
        <v>0</v>
      </c>
      <c r="AB277" s="311">
        <f t="shared" ref="AB277:AB340" si="104">I277-X277</f>
        <v>0</v>
      </c>
      <c r="AC277" s="296"/>
      <c r="AD277" s="113"/>
      <c r="AE277" s="5"/>
      <c r="AF277" s="5">
        <f>H277</f>
        <v>2.6045110500000002</v>
      </c>
      <c r="AG277" s="5"/>
      <c r="AH277" s="5"/>
      <c r="AI277" s="5"/>
      <c r="AJ277" s="5"/>
      <c r="AK277" s="141"/>
      <c r="AL277" s="94">
        <f>SUM(AF277:AK277)</f>
        <v>2.6045110500000002</v>
      </c>
      <c r="AM277" s="128">
        <v>2</v>
      </c>
      <c r="AN277" s="180">
        <v>0.25</v>
      </c>
      <c r="AO277" s="128"/>
      <c r="AP277" s="184"/>
      <c r="AQ277" s="128"/>
      <c r="AR277" s="184"/>
      <c r="AS277" s="128"/>
      <c r="AT277" s="184"/>
      <c r="AU277" s="128"/>
      <c r="AV277" s="184"/>
      <c r="AW277" s="128"/>
      <c r="AX277" s="184"/>
      <c r="AY277" s="111">
        <f t="shared" ref="AY277:AZ280" si="105">AM277+AO277+AQ277+AS277+AU277+AW277</f>
        <v>2</v>
      </c>
      <c r="AZ277" s="178">
        <f t="shared" si="105"/>
        <v>0.25</v>
      </c>
      <c r="BC277" s="216"/>
      <c r="BD277" s="47"/>
      <c r="BF277" s="113">
        <v>0.01</v>
      </c>
      <c r="BG277" s="113"/>
      <c r="BH277" s="113"/>
      <c r="BI277" s="113"/>
      <c r="BJ277" s="113"/>
      <c r="BK277" s="113"/>
      <c r="BL277" s="5">
        <f t="shared" si="103"/>
        <v>0.01</v>
      </c>
    </row>
    <row r="278" spans="1:64" s="2" customFormat="1" ht="15.75" customHeight="1" outlineLevel="1" x14ac:dyDescent="0.2">
      <c r="A278" s="594"/>
      <c r="B278" s="601"/>
      <c r="C278" s="7" t="s">
        <v>1553</v>
      </c>
      <c r="D278" s="8"/>
      <c r="E278" s="23"/>
      <c r="F278" s="8"/>
      <c r="G278" s="8"/>
      <c r="H278" s="5"/>
      <c r="I278" s="5"/>
      <c r="J278" s="5"/>
      <c r="K278" s="8"/>
      <c r="L278" s="23"/>
      <c r="M278" s="8"/>
      <c r="N278" s="8"/>
      <c r="O278" s="8"/>
      <c r="P278" s="8"/>
      <c r="Q278" s="23"/>
      <c r="R278" s="113"/>
      <c r="S278" s="113"/>
      <c r="T278" s="113"/>
      <c r="U278" s="113"/>
      <c r="V278" s="113"/>
      <c r="W278" s="113"/>
      <c r="X278" s="5">
        <f>SUM(R278:W278)</f>
        <v>0</v>
      </c>
      <c r="Y278" s="302"/>
      <c r="Z278" s="5"/>
      <c r="AA278" s="94"/>
      <c r="AB278" s="311">
        <f t="shared" si="104"/>
        <v>0</v>
      </c>
      <c r="AC278" s="296"/>
      <c r="AD278" s="113"/>
      <c r="AE278" s="5"/>
      <c r="AF278" s="5"/>
      <c r="AG278" s="5"/>
      <c r="AH278" s="5"/>
      <c r="AI278" s="5"/>
      <c r="AJ278" s="5"/>
      <c r="AK278" s="141"/>
      <c r="AL278" s="94"/>
      <c r="AM278" s="128"/>
      <c r="AN278" s="180"/>
      <c r="AO278" s="128"/>
      <c r="AP278" s="184"/>
      <c r="AQ278" s="128"/>
      <c r="AR278" s="184"/>
      <c r="AS278" s="128"/>
      <c r="AT278" s="184"/>
      <c r="AU278" s="128"/>
      <c r="AV278" s="184"/>
      <c r="AW278" s="128"/>
      <c r="AX278" s="184"/>
      <c r="AY278" s="111"/>
      <c r="AZ278" s="178"/>
      <c r="BC278" s="216"/>
      <c r="BD278" s="47"/>
      <c r="BF278" s="113"/>
      <c r="BG278" s="113"/>
      <c r="BH278" s="113"/>
      <c r="BI278" s="113"/>
      <c r="BJ278" s="113"/>
      <c r="BK278" s="113"/>
      <c r="BL278" s="5">
        <f t="shared" ref="BL278:BL288" si="106">SUM(BF278:BK278)</f>
        <v>0</v>
      </c>
    </row>
    <row r="279" spans="1:64" s="2" customFormat="1" ht="15.75" customHeight="1" outlineLevel="1" x14ac:dyDescent="0.2">
      <c r="A279" s="595"/>
      <c r="B279" s="602"/>
      <c r="C279" s="7" t="s">
        <v>1554</v>
      </c>
      <c r="D279" s="8"/>
      <c r="E279" s="23"/>
      <c r="F279" s="8"/>
      <c r="G279" s="8"/>
      <c r="H279" s="5">
        <f>H277</f>
        <v>2.6045110500000002</v>
      </c>
      <c r="I279" s="5">
        <f>I277</f>
        <v>0.01</v>
      </c>
      <c r="J279" s="5">
        <f>J277</f>
        <v>0.01</v>
      </c>
      <c r="K279" s="23"/>
      <c r="L279" s="8"/>
      <c r="M279" s="8"/>
      <c r="N279" s="8"/>
      <c r="O279" s="8"/>
      <c r="P279" s="8"/>
      <c r="Q279" s="23"/>
      <c r="R279" s="113"/>
      <c r="S279" s="113"/>
      <c r="T279" s="113"/>
      <c r="U279" s="113"/>
      <c r="V279" s="113"/>
      <c r="W279" s="113"/>
      <c r="X279" s="5">
        <f>SUM(R279:W279)</f>
        <v>0</v>
      </c>
      <c r="Y279" s="302"/>
      <c r="Z279" s="5"/>
      <c r="AA279" s="94"/>
      <c r="AB279" s="311">
        <f t="shared" si="104"/>
        <v>0.01</v>
      </c>
      <c r="AC279" s="296"/>
      <c r="AD279" s="113"/>
      <c r="AE279" s="5"/>
      <c r="AF279" s="5"/>
      <c r="AG279" s="5"/>
      <c r="AH279" s="5"/>
      <c r="AI279" s="5"/>
      <c r="AJ279" s="5"/>
      <c r="AK279" s="141"/>
      <c r="AL279" s="94"/>
      <c r="AM279" s="128"/>
      <c r="AN279" s="180"/>
      <c r="AO279" s="128"/>
      <c r="AP279" s="184"/>
      <c r="AQ279" s="128"/>
      <c r="AR279" s="184"/>
      <c r="AS279" s="128"/>
      <c r="AT279" s="184"/>
      <c r="AU279" s="128"/>
      <c r="AV279" s="184"/>
      <c r="AW279" s="128"/>
      <c r="AX279" s="184"/>
      <c r="AY279" s="111"/>
      <c r="AZ279" s="178"/>
      <c r="BC279" s="216"/>
      <c r="BD279" s="47"/>
      <c r="BF279" s="113"/>
      <c r="BG279" s="113"/>
      <c r="BH279" s="113"/>
      <c r="BI279" s="113"/>
      <c r="BJ279" s="113"/>
      <c r="BK279" s="113"/>
      <c r="BL279" s="5">
        <f t="shared" si="106"/>
        <v>0</v>
      </c>
    </row>
    <row r="280" spans="1:64" s="2" customFormat="1" ht="114.75" outlineLevel="1" x14ac:dyDescent="0.2">
      <c r="A280" s="593" t="s">
        <v>1059</v>
      </c>
      <c r="B280" s="600" t="s">
        <v>1267</v>
      </c>
      <c r="C280" s="7" t="s">
        <v>569</v>
      </c>
      <c r="D280" s="8" t="s">
        <v>397</v>
      </c>
      <c r="E280" s="23" t="s">
        <v>339</v>
      </c>
      <c r="F280" s="8">
        <v>2010</v>
      </c>
      <c r="G280" s="8">
        <v>2014</v>
      </c>
      <c r="H280" s="5">
        <v>0.81956002000000006</v>
      </c>
      <c r="I280" s="5">
        <v>0.01</v>
      </c>
      <c r="J280" s="5">
        <f>R280</f>
        <v>0.01</v>
      </c>
      <c r="K280" s="23" t="s">
        <v>339</v>
      </c>
      <c r="L280" s="8"/>
      <c r="M280" s="8"/>
      <c r="N280" s="8"/>
      <c r="O280" s="8"/>
      <c r="P280" s="8"/>
      <c r="Q280" s="23" t="s">
        <v>339</v>
      </c>
      <c r="R280" s="113">
        <v>0.01</v>
      </c>
      <c r="S280" s="113"/>
      <c r="T280" s="113"/>
      <c r="U280" s="113"/>
      <c r="V280" s="113"/>
      <c r="W280" s="113"/>
      <c r="X280" s="5">
        <f t="shared" si="98"/>
        <v>0.01</v>
      </c>
      <c r="Y280" s="302">
        <f>H280-H281-H282</f>
        <v>0</v>
      </c>
      <c r="Z280" s="5">
        <f>I280-I281-I282</f>
        <v>0</v>
      </c>
      <c r="AA280" s="94">
        <f>J280-J281-J282</f>
        <v>0</v>
      </c>
      <c r="AB280" s="311">
        <f t="shared" si="104"/>
        <v>0</v>
      </c>
      <c r="AC280" s="296"/>
      <c r="AD280" s="113"/>
      <c r="AE280" s="5"/>
      <c r="AF280" s="5">
        <f>H280</f>
        <v>0.81956002000000006</v>
      </c>
      <c r="AG280" s="5"/>
      <c r="AH280" s="5"/>
      <c r="AI280" s="5"/>
      <c r="AJ280" s="5"/>
      <c r="AK280" s="141"/>
      <c r="AL280" s="94">
        <f>SUM(AF280:AK280)</f>
        <v>0.81956002000000006</v>
      </c>
      <c r="AM280" s="128">
        <v>0.3</v>
      </c>
      <c r="AN280" s="180">
        <v>0.25</v>
      </c>
      <c r="AO280" s="128"/>
      <c r="AP280" s="184"/>
      <c r="AQ280" s="128"/>
      <c r="AR280" s="184"/>
      <c r="AS280" s="128"/>
      <c r="AT280" s="184"/>
      <c r="AU280" s="128"/>
      <c r="AV280" s="184"/>
      <c r="AW280" s="128"/>
      <c r="AX280" s="184"/>
      <c r="AY280" s="111">
        <f t="shared" si="105"/>
        <v>0.3</v>
      </c>
      <c r="AZ280" s="178">
        <f t="shared" si="105"/>
        <v>0.25</v>
      </c>
      <c r="BC280" s="216"/>
      <c r="BD280" s="47"/>
      <c r="BF280" s="113">
        <v>0.01</v>
      </c>
      <c r="BG280" s="113"/>
      <c r="BH280" s="113"/>
      <c r="BI280" s="113"/>
      <c r="BJ280" s="113"/>
      <c r="BK280" s="113"/>
      <c r="BL280" s="5">
        <f t="shared" si="106"/>
        <v>0.01</v>
      </c>
    </row>
    <row r="281" spans="1:64" s="2" customFormat="1" ht="15.75" customHeight="1" outlineLevel="1" x14ac:dyDescent="0.2">
      <c r="A281" s="594"/>
      <c r="B281" s="601"/>
      <c r="C281" s="7" t="s">
        <v>1553</v>
      </c>
      <c r="D281" s="8"/>
      <c r="E281" s="23"/>
      <c r="F281" s="8"/>
      <c r="G281" s="8"/>
      <c r="H281" s="5"/>
      <c r="I281" s="5"/>
      <c r="J281" s="5"/>
      <c r="K281" s="8"/>
      <c r="L281" s="23"/>
      <c r="M281" s="8"/>
      <c r="N281" s="8"/>
      <c r="O281" s="8"/>
      <c r="P281" s="8"/>
      <c r="Q281" s="23"/>
      <c r="R281" s="113"/>
      <c r="S281" s="113"/>
      <c r="T281" s="113"/>
      <c r="U281" s="113"/>
      <c r="V281" s="113"/>
      <c r="W281" s="113"/>
      <c r="X281" s="5">
        <f>SUM(R281:W281)</f>
        <v>0</v>
      </c>
      <c r="Y281" s="302"/>
      <c r="Z281" s="5"/>
      <c r="AA281" s="94"/>
      <c r="AB281" s="311">
        <f t="shared" si="104"/>
        <v>0</v>
      </c>
      <c r="AC281" s="296"/>
      <c r="AD281" s="113"/>
      <c r="AE281" s="5"/>
      <c r="AF281" s="5"/>
      <c r="AG281" s="5"/>
      <c r="AH281" s="5"/>
      <c r="AI281" s="5"/>
      <c r="AJ281" s="5"/>
      <c r="AK281" s="141"/>
      <c r="AL281" s="94"/>
      <c r="AM281" s="128"/>
      <c r="AN281" s="180"/>
      <c r="AO281" s="128"/>
      <c r="AP281" s="184"/>
      <c r="AQ281" s="128"/>
      <c r="AR281" s="184"/>
      <c r="AS281" s="128"/>
      <c r="AT281" s="184"/>
      <c r="AU281" s="128"/>
      <c r="AV281" s="184"/>
      <c r="AW281" s="128"/>
      <c r="AX281" s="184"/>
      <c r="AY281" s="111"/>
      <c r="AZ281" s="178"/>
      <c r="BC281" s="216"/>
      <c r="BD281" s="47"/>
      <c r="BF281" s="113"/>
      <c r="BG281" s="113"/>
      <c r="BH281" s="113"/>
      <c r="BI281" s="113"/>
      <c r="BJ281" s="113"/>
      <c r="BK281" s="113"/>
      <c r="BL281" s="5">
        <f t="shared" si="106"/>
        <v>0</v>
      </c>
    </row>
    <row r="282" spans="1:64" s="2" customFormat="1" ht="15.75" customHeight="1" outlineLevel="1" x14ac:dyDescent="0.2">
      <c r="A282" s="595"/>
      <c r="B282" s="602"/>
      <c r="C282" s="7" t="s">
        <v>1554</v>
      </c>
      <c r="D282" s="8"/>
      <c r="E282" s="23"/>
      <c r="F282" s="8"/>
      <c r="G282" s="8"/>
      <c r="H282" s="5">
        <f>H280</f>
        <v>0.81956002000000006</v>
      </c>
      <c r="I282" s="5">
        <f>I280</f>
        <v>0.01</v>
      </c>
      <c r="J282" s="5">
        <f>J280</f>
        <v>0.01</v>
      </c>
      <c r="K282" s="23"/>
      <c r="L282" s="8"/>
      <c r="M282" s="8"/>
      <c r="N282" s="8"/>
      <c r="O282" s="8"/>
      <c r="P282" s="8"/>
      <c r="Q282" s="23"/>
      <c r="R282" s="113"/>
      <c r="S282" s="113"/>
      <c r="T282" s="113"/>
      <c r="U282" s="113"/>
      <c r="V282" s="113"/>
      <c r="W282" s="113"/>
      <c r="X282" s="5">
        <f>SUM(R282:W282)</f>
        <v>0</v>
      </c>
      <c r="Y282" s="302"/>
      <c r="Z282" s="5"/>
      <c r="AA282" s="94"/>
      <c r="AB282" s="311">
        <f t="shared" si="104"/>
        <v>0.01</v>
      </c>
      <c r="AC282" s="296"/>
      <c r="AD282" s="113"/>
      <c r="AE282" s="5"/>
      <c r="AF282" s="5"/>
      <c r="AG282" s="5"/>
      <c r="AH282" s="5"/>
      <c r="AI282" s="5"/>
      <c r="AJ282" s="5"/>
      <c r="AK282" s="141"/>
      <c r="AL282" s="94"/>
      <c r="AM282" s="128"/>
      <c r="AN282" s="180"/>
      <c r="AO282" s="128"/>
      <c r="AP282" s="184"/>
      <c r="AQ282" s="128"/>
      <c r="AR282" s="184"/>
      <c r="AS282" s="128"/>
      <c r="AT282" s="184"/>
      <c r="AU282" s="128"/>
      <c r="AV282" s="184"/>
      <c r="AW282" s="128"/>
      <c r="AX282" s="184"/>
      <c r="AY282" s="111"/>
      <c r="AZ282" s="178"/>
      <c r="BC282" s="216"/>
      <c r="BD282" s="47"/>
      <c r="BF282" s="113"/>
      <c r="BG282" s="113"/>
      <c r="BH282" s="113"/>
      <c r="BI282" s="113"/>
      <c r="BJ282" s="113"/>
      <c r="BK282" s="113"/>
      <c r="BL282" s="5">
        <f t="shared" si="106"/>
        <v>0</v>
      </c>
    </row>
    <row r="283" spans="1:64" s="2" customFormat="1" ht="102" customHeight="1" outlineLevel="1" x14ac:dyDescent="0.2">
      <c r="A283" s="593" t="s">
        <v>1060</v>
      </c>
      <c r="B283" s="600" t="s">
        <v>1268</v>
      </c>
      <c r="C283" s="7" t="s">
        <v>570</v>
      </c>
      <c r="D283" s="8" t="s">
        <v>397</v>
      </c>
      <c r="E283" s="23" t="s">
        <v>1387</v>
      </c>
      <c r="F283" s="8">
        <v>2010</v>
      </c>
      <c r="G283" s="8">
        <v>2015</v>
      </c>
      <c r="H283" s="5">
        <v>0.52437999999999996</v>
      </c>
      <c r="I283" s="5">
        <v>0.14401</v>
      </c>
      <c r="J283" s="5">
        <f>R283</f>
        <v>0.14401</v>
      </c>
      <c r="K283" s="8"/>
      <c r="L283" s="23" t="s">
        <v>1387</v>
      </c>
      <c r="M283" s="8"/>
      <c r="N283" s="8"/>
      <c r="O283" s="8"/>
      <c r="P283" s="8"/>
      <c r="Q283" s="23" t="s">
        <v>1387</v>
      </c>
      <c r="R283" s="113">
        <v>0.14401</v>
      </c>
      <c r="S283" s="113"/>
      <c r="T283" s="113"/>
      <c r="U283" s="113"/>
      <c r="V283" s="113"/>
      <c r="W283" s="113"/>
      <c r="X283" s="5">
        <f t="shared" si="98"/>
        <v>0.14401</v>
      </c>
      <c r="Y283" s="302">
        <f>H283-H284-H285</f>
        <v>0</v>
      </c>
      <c r="Z283" s="5">
        <f>I283-I284-I285</f>
        <v>0</v>
      </c>
      <c r="AA283" s="94">
        <f>J283-J284-J285</f>
        <v>0</v>
      </c>
      <c r="AB283" s="311">
        <f t="shared" si="104"/>
        <v>0</v>
      </c>
      <c r="AC283" s="296"/>
      <c r="AD283" s="113"/>
      <c r="AE283" s="5"/>
      <c r="AF283" s="5"/>
      <c r="AG283" s="5">
        <f>H283</f>
        <v>0.52437999999999996</v>
      </c>
      <c r="AH283" s="5"/>
      <c r="AI283" s="5"/>
      <c r="AJ283" s="5"/>
      <c r="AK283" s="141"/>
      <c r="AL283" s="94">
        <f>SUM(AF283:AK283)</f>
        <v>0.52437999999999996</v>
      </c>
      <c r="AM283" s="128"/>
      <c r="AN283" s="180"/>
      <c r="AO283" s="128">
        <v>0.5</v>
      </c>
      <c r="AP283" s="184">
        <v>0</v>
      </c>
      <c r="AQ283" s="128"/>
      <c r="AR283" s="184"/>
      <c r="AS283" s="128"/>
      <c r="AT283" s="184"/>
      <c r="AU283" s="128"/>
      <c r="AV283" s="184"/>
      <c r="AW283" s="128"/>
      <c r="AX283" s="184"/>
      <c r="AY283" s="111">
        <f>AM283+AO283+AQ283+AS283+AU283+AW283</f>
        <v>0.5</v>
      </c>
      <c r="AZ283" s="178">
        <f>AN283+AP283+AR283+AT283+AV283+AX283</f>
        <v>0</v>
      </c>
      <c r="BC283" s="216"/>
      <c r="BD283" s="47"/>
      <c r="BF283" s="113">
        <v>0.14401</v>
      </c>
      <c r="BG283" s="113"/>
      <c r="BH283" s="113"/>
      <c r="BI283" s="113"/>
      <c r="BJ283" s="113"/>
      <c r="BK283" s="113"/>
      <c r="BL283" s="5">
        <f t="shared" si="106"/>
        <v>0.14401</v>
      </c>
    </row>
    <row r="284" spans="1:64" s="2" customFormat="1" ht="15.75" customHeight="1" outlineLevel="1" x14ac:dyDescent="0.2">
      <c r="A284" s="594"/>
      <c r="B284" s="601"/>
      <c r="C284" s="7" t="s">
        <v>1553</v>
      </c>
      <c r="D284" s="8"/>
      <c r="E284" s="23"/>
      <c r="F284" s="8"/>
      <c r="G284" s="8"/>
      <c r="H284" s="5"/>
      <c r="I284" s="5"/>
      <c r="J284" s="5"/>
      <c r="K284" s="8"/>
      <c r="L284" s="23"/>
      <c r="M284" s="8"/>
      <c r="N284" s="8"/>
      <c r="O284" s="8"/>
      <c r="P284" s="8"/>
      <c r="Q284" s="23"/>
      <c r="R284" s="113"/>
      <c r="S284" s="113"/>
      <c r="T284" s="113"/>
      <c r="U284" s="113"/>
      <c r="V284" s="113"/>
      <c r="W284" s="113"/>
      <c r="X284" s="5">
        <f t="shared" si="98"/>
        <v>0</v>
      </c>
      <c r="Y284" s="302"/>
      <c r="Z284" s="5"/>
      <c r="AA284" s="94"/>
      <c r="AB284" s="311">
        <f t="shared" si="104"/>
        <v>0</v>
      </c>
      <c r="AC284" s="296"/>
      <c r="AD284" s="113"/>
      <c r="AE284" s="5"/>
      <c r="AF284" s="5"/>
      <c r="AG284" s="5"/>
      <c r="AH284" s="5"/>
      <c r="AI284" s="5"/>
      <c r="AJ284" s="5"/>
      <c r="AK284" s="141"/>
      <c r="AL284" s="94"/>
      <c r="AM284" s="128"/>
      <c r="AN284" s="180"/>
      <c r="AO284" s="128"/>
      <c r="AP284" s="184"/>
      <c r="AQ284" s="128"/>
      <c r="AR284" s="184"/>
      <c r="AS284" s="128"/>
      <c r="AT284" s="184"/>
      <c r="AU284" s="128"/>
      <c r="AV284" s="184"/>
      <c r="AW284" s="128"/>
      <c r="AX284" s="184"/>
      <c r="AY284" s="111"/>
      <c r="AZ284" s="178"/>
      <c r="BC284" s="216"/>
      <c r="BD284" s="47"/>
      <c r="BF284" s="113"/>
      <c r="BG284" s="113"/>
      <c r="BH284" s="113"/>
      <c r="BI284" s="113"/>
      <c r="BJ284" s="113"/>
      <c r="BK284" s="113"/>
      <c r="BL284" s="5">
        <f t="shared" si="106"/>
        <v>0</v>
      </c>
    </row>
    <row r="285" spans="1:64" s="2" customFormat="1" ht="15.75" customHeight="1" outlineLevel="1" x14ac:dyDescent="0.2">
      <c r="A285" s="595"/>
      <c r="B285" s="602"/>
      <c r="C285" s="7" t="s">
        <v>1554</v>
      </c>
      <c r="D285" s="8"/>
      <c r="E285" s="23"/>
      <c r="F285" s="8"/>
      <c r="G285" s="8"/>
      <c r="H285" s="5">
        <v>0.52437999999999996</v>
      </c>
      <c r="I285" s="5">
        <f>I283</f>
        <v>0.14401</v>
      </c>
      <c r="J285" s="5">
        <v>0.14401</v>
      </c>
      <c r="K285" s="23"/>
      <c r="L285" s="8"/>
      <c r="M285" s="8"/>
      <c r="N285" s="8"/>
      <c r="O285" s="8"/>
      <c r="P285" s="8"/>
      <c r="Q285" s="23"/>
      <c r="R285" s="113"/>
      <c r="S285" s="113"/>
      <c r="T285" s="113"/>
      <c r="U285" s="113"/>
      <c r="V285" s="113"/>
      <c r="W285" s="113"/>
      <c r="X285" s="5">
        <f t="shared" si="98"/>
        <v>0</v>
      </c>
      <c r="Y285" s="302"/>
      <c r="Z285" s="5"/>
      <c r="AA285" s="94"/>
      <c r="AB285" s="311">
        <f t="shared" si="104"/>
        <v>0.14401</v>
      </c>
      <c r="AC285" s="296"/>
      <c r="AD285" s="113"/>
      <c r="AE285" s="5"/>
      <c r="AF285" s="5"/>
      <c r="AG285" s="5"/>
      <c r="AH285" s="5"/>
      <c r="AI285" s="5"/>
      <c r="AJ285" s="5"/>
      <c r="AK285" s="141"/>
      <c r="AL285" s="94"/>
      <c r="AM285" s="128"/>
      <c r="AN285" s="180"/>
      <c r="AO285" s="128"/>
      <c r="AP285" s="184"/>
      <c r="AQ285" s="128"/>
      <c r="AR285" s="184"/>
      <c r="AS285" s="128"/>
      <c r="AT285" s="184"/>
      <c r="AU285" s="128"/>
      <c r="AV285" s="184"/>
      <c r="AW285" s="128"/>
      <c r="AX285" s="184"/>
      <c r="AY285" s="111"/>
      <c r="AZ285" s="178"/>
      <c r="BC285" s="216"/>
      <c r="BD285" s="47"/>
      <c r="BF285" s="113"/>
      <c r="BG285" s="113"/>
      <c r="BH285" s="113"/>
      <c r="BI285" s="113"/>
      <c r="BJ285" s="113"/>
      <c r="BK285" s="113"/>
      <c r="BL285" s="5">
        <f t="shared" si="106"/>
        <v>0</v>
      </c>
    </row>
    <row r="286" spans="1:64" s="2" customFormat="1" ht="165.75" outlineLevel="1" x14ac:dyDescent="0.2">
      <c r="A286" s="593" t="s">
        <v>1061</v>
      </c>
      <c r="B286" s="600" t="s">
        <v>1269</v>
      </c>
      <c r="C286" s="7" t="s">
        <v>571</v>
      </c>
      <c r="D286" s="8" t="s">
        <v>397</v>
      </c>
      <c r="E286" s="23" t="s">
        <v>1387</v>
      </c>
      <c r="F286" s="8">
        <v>2010</v>
      </c>
      <c r="G286" s="8">
        <v>2014</v>
      </c>
      <c r="H286" s="5">
        <v>0.92710000000000004</v>
      </c>
      <c r="I286" s="5">
        <v>0.17811000000000002</v>
      </c>
      <c r="J286" s="5">
        <f>R286</f>
        <v>0.17811000000000002</v>
      </c>
      <c r="K286" s="23" t="s">
        <v>1387</v>
      </c>
      <c r="L286" s="8"/>
      <c r="M286" s="8"/>
      <c r="N286" s="8"/>
      <c r="O286" s="8"/>
      <c r="P286" s="8"/>
      <c r="Q286" s="23" t="s">
        <v>1387</v>
      </c>
      <c r="R286" s="113">
        <v>0.17811000000000002</v>
      </c>
      <c r="S286" s="113"/>
      <c r="T286" s="113"/>
      <c r="U286" s="113"/>
      <c r="V286" s="113"/>
      <c r="W286" s="113"/>
      <c r="X286" s="5">
        <f t="shared" si="98"/>
        <v>0.17811000000000002</v>
      </c>
      <c r="Y286" s="302">
        <f>H286-H287-H288</f>
        <v>0</v>
      </c>
      <c r="Z286" s="5">
        <f>I286-I287-I288</f>
        <v>0</v>
      </c>
      <c r="AA286" s="94">
        <f>J286-J287-J288</f>
        <v>0</v>
      </c>
      <c r="AB286" s="311">
        <f t="shared" si="104"/>
        <v>0</v>
      </c>
      <c r="AC286" s="296"/>
      <c r="AD286" s="113"/>
      <c r="AE286" s="5"/>
      <c r="AF286" s="5">
        <f>H286</f>
        <v>0.92710000000000004</v>
      </c>
      <c r="AG286" s="5"/>
      <c r="AH286" s="5"/>
      <c r="AI286" s="5"/>
      <c r="AJ286" s="5"/>
      <c r="AK286" s="141"/>
      <c r="AL286" s="94">
        <f>SUM(AF286:AK286)</f>
        <v>0.92710000000000004</v>
      </c>
      <c r="AM286" s="128">
        <v>0.5</v>
      </c>
      <c r="AN286" s="180">
        <v>0</v>
      </c>
      <c r="AO286" s="128"/>
      <c r="AP286" s="184"/>
      <c r="AQ286" s="128"/>
      <c r="AR286" s="184"/>
      <c r="AS286" s="128"/>
      <c r="AT286" s="184"/>
      <c r="AU286" s="128"/>
      <c r="AV286" s="184"/>
      <c r="AW286" s="128"/>
      <c r="AX286" s="184"/>
      <c r="AY286" s="111">
        <f t="shared" ref="AY286:AZ289" si="107">AM286+AO286+AQ286+AS286+AU286+AW286</f>
        <v>0.5</v>
      </c>
      <c r="AZ286" s="178">
        <f t="shared" si="107"/>
        <v>0</v>
      </c>
      <c r="BC286" s="216"/>
      <c r="BD286" s="47"/>
      <c r="BF286" s="113">
        <v>0.17811000000000002</v>
      </c>
      <c r="BG286" s="113"/>
      <c r="BH286" s="113"/>
      <c r="BI286" s="113"/>
      <c r="BJ286" s="113"/>
      <c r="BK286" s="113"/>
      <c r="BL286" s="5">
        <f t="shared" si="106"/>
        <v>0.17811000000000002</v>
      </c>
    </row>
    <row r="287" spans="1:64" s="2" customFormat="1" ht="15.75" customHeight="1" outlineLevel="1" x14ac:dyDescent="0.2">
      <c r="A287" s="594"/>
      <c r="B287" s="601"/>
      <c r="C287" s="7" t="s">
        <v>1553</v>
      </c>
      <c r="D287" s="8"/>
      <c r="E287" s="23"/>
      <c r="F287" s="8"/>
      <c r="G287" s="8"/>
      <c r="H287" s="5"/>
      <c r="I287" s="5"/>
      <c r="J287" s="5"/>
      <c r="K287" s="8"/>
      <c r="L287" s="23"/>
      <c r="M287" s="8"/>
      <c r="N287" s="8"/>
      <c r="O287" s="8"/>
      <c r="P287" s="8"/>
      <c r="Q287" s="23"/>
      <c r="R287" s="113"/>
      <c r="S287" s="113"/>
      <c r="T287" s="113"/>
      <c r="U287" s="113"/>
      <c r="V287" s="113"/>
      <c r="W287" s="113"/>
      <c r="X287" s="5">
        <f>SUM(R287:W287)</f>
        <v>0</v>
      </c>
      <c r="Y287" s="302"/>
      <c r="Z287" s="5"/>
      <c r="AA287" s="94"/>
      <c r="AB287" s="311">
        <f t="shared" si="104"/>
        <v>0</v>
      </c>
      <c r="AC287" s="296"/>
      <c r="AD287" s="113"/>
      <c r="AE287" s="5"/>
      <c r="AF287" s="5"/>
      <c r="AG287" s="5"/>
      <c r="AH287" s="5"/>
      <c r="AI287" s="5"/>
      <c r="AJ287" s="5"/>
      <c r="AK287" s="141"/>
      <c r="AL287" s="94"/>
      <c r="AM287" s="128"/>
      <c r="AN287" s="180"/>
      <c r="AO287" s="128"/>
      <c r="AP287" s="184"/>
      <c r="AQ287" s="128"/>
      <c r="AR287" s="184"/>
      <c r="AS287" s="128"/>
      <c r="AT287" s="184"/>
      <c r="AU287" s="128"/>
      <c r="AV287" s="184"/>
      <c r="AW287" s="128"/>
      <c r="AX287" s="184"/>
      <c r="AY287" s="111"/>
      <c r="AZ287" s="178"/>
      <c r="BC287" s="216"/>
      <c r="BD287" s="47"/>
      <c r="BF287" s="113"/>
      <c r="BG287" s="113"/>
      <c r="BH287" s="113"/>
      <c r="BI287" s="113"/>
      <c r="BJ287" s="113"/>
      <c r="BK287" s="113"/>
      <c r="BL287" s="5">
        <f t="shared" si="106"/>
        <v>0</v>
      </c>
    </row>
    <row r="288" spans="1:64" s="2" customFormat="1" ht="15.75" customHeight="1" outlineLevel="1" x14ac:dyDescent="0.2">
      <c r="A288" s="595"/>
      <c r="B288" s="602"/>
      <c r="C288" s="7" t="s">
        <v>1554</v>
      </c>
      <c r="D288" s="8"/>
      <c r="E288" s="23"/>
      <c r="F288" s="8"/>
      <c r="G288" s="8"/>
      <c r="H288" s="5">
        <v>0.92710000000000004</v>
      </c>
      <c r="I288" s="5">
        <f>I286</f>
        <v>0.17811000000000002</v>
      </c>
      <c r="J288" s="5">
        <v>0.17811000000000002</v>
      </c>
      <c r="K288" s="23"/>
      <c r="L288" s="8"/>
      <c r="M288" s="8"/>
      <c r="N288" s="8"/>
      <c r="O288" s="8"/>
      <c r="P288" s="8"/>
      <c r="Q288" s="23"/>
      <c r="R288" s="113"/>
      <c r="S288" s="113"/>
      <c r="T288" s="113"/>
      <c r="U288" s="113"/>
      <c r="V288" s="113"/>
      <c r="W288" s="113"/>
      <c r="X288" s="5">
        <f>SUM(R288:W288)</f>
        <v>0</v>
      </c>
      <c r="Y288" s="302"/>
      <c r="Z288" s="5"/>
      <c r="AA288" s="94"/>
      <c r="AB288" s="311">
        <f t="shared" si="104"/>
        <v>0.17811000000000002</v>
      </c>
      <c r="AC288" s="296"/>
      <c r="AD288" s="113"/>
      <c r="AE288" s="5"/>
      <c r="AF288" s="5"/>
      <c r="AG288" s="5"/>
      <c r="AH288" s="5"/>
      <c r="AI288" s="5"/>
      <c r="AJ288" s="5"/>
      <c r="AK288" s="141"/>
      <c r="AL288" s="94"/>
      <c r="AM288" s="128"/>
      <c r="AN288" s="180"/>
      <c r="AO288" s="128"/>
      <c r="AP288" s="184"/>
      <c r="AQ288" s="128"/>
      <c r="AR288" s="184"/>
      <c r="AS288" s="128"/>
      <c r="AT288" s="184"/>
      <c r="AU288" s="128"/>
      <c r="AV288" s="184"/>
      <c r="AW288" s="128"/>
      <c r="AX288" s="184"/>
      <c r="AY288" s="111"/>
      <c r="AZ288" s="178"/>
      <c r="BC288" s="216"/>
      <c r="BD288" s="47"/>
      <c r="BF288" s="113"/>
      <c r="BG288" s="113"/>
      <c r="BH288" s="113"/>
      <c r="BI288" s="113"/>
      <c r="BJ288" s="113"/>
      <c r="BK288" s="113"/>
      <c r="BL288" s="5">
        <f t="shared" si="106"/>
        <v>0</v>
      </c>
    </row>
    <row r="289" spans="1:64" s="2" customFormat="1" ht="76.5" customHeight="1" outlineLevel="1" x14ac:dyDescent="0.2">
      <c r="A289" s="593" t="s">
        <v>1062</v>
      </c>
      <c r="B289" s="600" t="s">
        <v>1270</v>
      </c>
      <c r="C289" s="7" t="s">
        <v>572</v>
      </c>
      <c r="D289" s="8" t="s">
        <v>397</v>
      </c>
      <c r="E289" s="23" t="s">
        <v>340</v>
      </c>
      <c r="F289" s="8">
        <v>2010</v>
      </c>
      <c r="G289" s="8">
        <v>2015</v>
      </c>
      <c r="H289" s="5">
        <v>0.42437999999999998</v>
      </c>
      <c r="I289" s="5">
        <v>0.33048</v>
      </c>
      <c r="J289" s="5">
        <f>R289</f>
        <v>0</v>
      </c>
      <c r="K289" s="8"/>
      <c r="L289" s="23" t="s">
        <v>340</v>
      </c>
      <c r="M289" s="8"/>
      <c r="N289" s="8"/>
      <c r="O289" s="8"/>
      <c r="P289" s="8"/>
      <c r="Q289" s="23" t="s">
        <v>340</v>
      </c>
      <c r="R289" s="113">
        <v>0</v>
      </c>
      <c r="S289" s="113"/>
      <c r="T289" s="113"/>
      <c r="U289" s="113"/>
      <c r="V289" s="113"/>
      <c r="W289" s="113"/>
      <c r="X289" s="5">
        <f t="shared" si="98"/>
        <v>0</v>
      </c>
      <c r="Y289" s="302">
        <f>H289-H290-H291</f>
        <v>0</v>
      </c>
      <c r="Z289" s="5">
        <f>I289-I290-I291</f>
        <v>0</v>
      </c>
      <c r="AA289" s="94">
        <f>J289-J290-J291</f>
        <v>0</v>
      </c>
      <c r="AB289" s="311">
        <f t="shared" si="104"/>
        <v>0.33048</v>
      </c>
      <c r="AC289" s="296"/>
      <c r="AD289" s="113"/>
      <c r="AE289" s="5"/>
      <c r="AF289" s="5"/>
      <c r="AG289" s="5">
        <f>H289</f>
        <v>0.42437999999999998</v>
      </c>
      <c r="AH289" s="5"/>
      <c r="AI289" s="5"/>
      <c r="AJ289" s="5"/>
      <c r="AK289" s="141"/>
      <c r="AL289" s="94">
        <f>SUM(AF289:AK289)</f>
        <v>0.42437999999999998</v>
      </c>
      <c r="AM289" s="128"/>
      <c r="AN289" s="180"/>
      <c r="AO289" s="128">
        <v>0.2</v>
      </c>
      <c r="AP289" s="184">
        <v>0</v>
      </c>
      <c r="AQ289" s="128"/>
      <c r="AR289" s="184"/>
      <c r="AS289" s="128"/>
      <c r="AT289" s="184"/>
      <c r="AU289" s="128"/>
      <c r="AV289" s="184"/>
      <c r="AW289" s="128"/>
      <c r="AX289" s="184"/>
      <c r="AY289" s="111">
        <f t="shared" si="107"/>
        <v>0.2</v>
      </c>
      <c r="AZ289" s="178">
        <f t="shared" si="107"/>
        <v>0</v>
      </c>
      <c r="BC289" s="216"/>
      <c r="BD289" s="47"/>
      <c r="BF289" s="113">
        <v>0</v>
      </c>
      <c r="BG289" s="113"/>
      <c r="BH289" s="113"/>
      <c r="BI289" s="113"/>
      <c r="BJ289" s="113"/>
      <c r="BK289" s="113"/>
      <c r="BL289" s="5">
        <f t="shared" ref="BL289:BL295" si="108">SUM(BF289:BK289)</f>
        <v>0</v>
      </c>
    </row>
    <row r="290" spans="1:64" s="2" customFormat="1" ht="15.75" customHeight="1" outlineLevel="1" x14ac:dyDescent="0.2">
      <c r="A290" s="594"/>
      <c r="B290" s="601"/>
      <c r="C290" s="7" t="s">
        <v>1553</v>
      </c>
      <c r="D290" s="8"/>
      <c r="E290" s="23"/>
      <c r="F290" s="8"/>
      <c r="G290" s="8"/>
      <c r="H290" s="5"/>
      <c r="I290" s="5"/>
      <c r="J290" s="5"/>
      <c r="K290" s="8"/>
      <c r="L290" s="23"/>
      <c r="M290" s="8"/>
      <c r="N290" s="8"/>
      <c r="O290" s="8"/>
      <c r="P290" s="8"/>
      <c r="Q290" s="23"/>
      <c r="R290" s="113"/>
      <c r="S290" s="113"/>
      <c r="T290" s="113"/>
      <c r="U290" s="113"/>
      <c r="V290" s="113"/>
      <c r="W290" s="113"/>
      <c r="X290" s="5">
        <f t="shared" si="98"/>
        <v>0</v>
      </c>
      <c r="Y290" s="302"/>
      <c r="Z290" s="5"/>
      <c r="AA290" s="94"/>
      <c r="AB290" s="311">
        <f t="shared" si="104"/>
        <v>0</v>
      </c>
      <c r="AC290" s="296"/>
      <c r="AD290" s="113"/>
      <c r="AE290" s="5"/>
      <c r="AF290" s="5"/>
      <c r="AG290" s="5"/>
      <c r="AH290" s="5"/>
      <c r="AI290" s="5"/>
      <c r="AJ290" s="5"/>
      <c r="AK290" s="141"/>
      <c r="AL290" s="94"/>
      <c r="AM290" s="128"/>
      <c r="AN290" s="180"/>
      <c r="AO290" s="128"/>
      <c r="AP290" s="184"/>
      <c r="AQ290" s="128"/>
      <c r="AR290" s="184"/>
      <c r="AS290" s="128"/>
      <c r="AT290" s="184"/>
      <c r="AU290" s="128"/>
      <c r="AV290" s="184"/>
      <c r="AW290" s="128"/>
      <c r="AX290" s="184"/>
      <c r="AY290" s="111"/>
      <c r="AZ290" s="178"/>
      <c r="BC290" s="216"/>
      <c r="BD290" s="47"/>
      <c r="BF290" s="113"/>
      <c r="BG290" s="113"/>
      <c r="BH290" s="113"/>
      <c r="BI290" s="113"/>
      <c r="BJ290" s="113"/>
      <c r="BK290" s="113"/>
      <c r="BL290" s="5">
        <f t="shared" si="108"/>
        <v>0</v>
      </c>
    </row>
    <row r="291" spans="1:64" s="2" customFormat="1" ht="15.75" customHeight="1" outlineLevel="1" x14ac:dyDescent="0.2">
      <c r="A291" s="595"/>
      <c r="B291" s="602"/>
      <c r="C291" s="7" t="s">
        <v>1554</v>
      </c>
      <c r="D291" s="8"/>
      <c r="E291" s="23"/>
      <c r="F291" s="8"/>
      <c r="G291" s="8"/>
      <c r="H291" s="5">
        <v>0.42437999999999998</v>
      </c>
      <c r="I291" s="5">
        <v>0.33048</v>
      </c>
      <c r="J291" s="5">
        <f>R291</f>
        <v>0</v>
      </c>
      <c r="K291" s="23"/>
      <c r="L291" s="8"/>
      <c r="M291" s="8"/>
      <c r="N291" s="8"/>
      <c r="O291" s="8"/>
      <c r="P291" s="8"/>
      <c r="Q291" s="23"/>
      <c r="R291" s="113"/>
      <c r="S291" s="113"/>
      <c r="T291" s="113"/>
      <c r="U291" s="113"/>
      <c r="V291" s="113"/>
      <c r="W291" s="113"/>
      <c r="X291" s="5">
        <f t="shared" si="98"/>
        <v>0</v>
      </c>
      <c r="Y291" s="302"/>
      <c r="Z291" s="5"/>
      <c r="AA291" s="94"/>
      <c r="AB291" s="311">
        <f t="shared" si="104"/>
        <v>0.33048</v>
      </c>
      <c r="AC291" s="296"/>
      <c r="AD291" s="113"/>
      <c r="AE291" s="5"/>
      <c r="AF291" s="5"/>
      <c r="AG291" s="5"/>
      <c r="AH291" s="5"/>
      <c r="AI291" s="5"/>
      <c r="AJ291" s="5"/>
      <c r="AK291" s="141"/>
      <c r="AL291" s="94"/>
      <c r="AM291" s="128"/>
      <c r="AN291" s="180"/>
      <c r="AO291" s="128"/>
      <c r="AP291" s="184"/>
      <c r="AQ291" s="128"/>
      <c r="AR291" s="184"/>
      <c r="AS291" s="128"/>
      <c r="AT291" s="184"/>
      <c r="AU291" s="128"/>
      <c r="AV291" s="184"/>
      <c r="AW291" s="128"/>
      <c r="AX291" s="184"/>
      <c r="AY291" s="111"/>
      <c r="AZ291" s="178"/>
      <c r="BC291" s="216"/>
      <c r="BD291" s="47"/>
      <c r="BF291" s="113"/>
      <c r="BG291" s="113"/>
      <c r="BH291" s="113"/>
      <c r="BI291" s="113"/>
      <c r="BJ291" s="113"/>
      <c r="BK291" s="113"/>
      <c r="BL291" s="5">
        <f t="shared" si="108"/>
        <v>0</v>
      </c>
    </row>
    <row r="292" spans="1:64" s="2" customFormat="1" ht="210" customHeight="1" outlineLevel="1" x14ac:dyDescent="0.2">
      <c r="A292" s="593" t="s">
        <v>1063</v>
      </c>
      <c r="B292" s="600" t="s">
        <v>1271</v>
      </c>
      <c r="C292" s="7" t="s">
        <v>2707</v>
      </c>
      <c r="D292" s="8" t="s">
        <v>397</v>
      </c>
      <c r="E292" s="23" t="s">
        <v>341</v>
      </c>
      <c r="F292" s="8">
        <v>2010</v>
      </c>
      <c r="G292" s="8">
        <v>2014</v>
      </c>
      <c r="H292" s="5">
        <v>1.29030168</v>
      </c>
      <c r="I292" s="5">
        <v>1.044672</v>
      </c>
      <c r="J292" s="5">
        <f>R292</f>
        <v>1.044672</v>
      </c>
      <c r="K292" s="23" t="s">
        <v>341</v>
      </c>
      <c r="L292" s="8"/>
      <c r="M292" s="8"/>
      <c r="N292" s="8"/>
      <c r="O292" s="8"/>
      <c r="P292" s="8"/>
      <c r="Q292" s="23" t="s">
        <v>341</v>
      </c>
      <c r="R292" s="113">
        <v>1.044672</v>
      </c>
      <c r="S292" s="113"/>
      <c r="T292" s="113"/>
      <c r="U292" s="113"/>
      <c r="V292" s="113"/>
      <c r="W292" s="113"/>
      <c r="X292" s="5">
        <f t="shared" si="98"/>
        <v>1.044672</v>
      </c>
      <c r="Y292" s="302">
        <f>H292-H293-H294</f>
        <v>0</v>
      </c>
      <c r="Z292" s="5">
        <f>I292-I293-I294</f>
        <v>0</v>
      </c>
      <c r="AA292" s="94">
        <f>J292-J293-J294</f>
        <v>0</v>
      </c>
      <c r="AB292" s="311">
        <f t="shared" si="104"/>
        <v>0</v>
      </c>
      <c r="AC292" s="296"/>
      <c r="AD292" s="113"/>
      <c r="AE292" s="5"/>
      <c r="AF292" s="5">
        <f>H292</f>
        <v>1.29030168</v>
      </c>
      <c r="AG292" s="5"/>
      <c r="AH292" s="5"/>
      <c r="AI292" s="5"/>
      <c r="AJ292" s="5"/>
      <c r="AK292" s="141"/>
      <c r="AL292" s="94">
        <f>SUM(AF292:AK292)</f>
        <v>1.29030168</v>
      </c>
      <c r="AM292" s="128">
        <v>0.1</v>
      </c>
      <c r="AN292" s="180">
        <v>0.4</v>
      </c>
      <c r="AO292" s="128"/>
      <c r="AP292" s="184"/>
      <c r="AQ292" s="128"/>
      <c r="AR292" s="184"/>
      <c r="AS292" s="128"/>
      <c r="AT292" s="184"/>
      <c r="AU292" s="128"/>
      <c r="AV292" s="184"/>
      <c r="AW292" s="128"/>
      <c r="AX292" s="184"/>
      <c r="AY292" s="111">
        <f>AM292+AO292+AQ292+AS292+AU292+AW292</f>
        <v>0.1</v>
      </c>
      <c r="AZ292" s="178">
        <f>AN292+AP292+AR292+AT292+AV292+AX292</f>
        <v>0.4</v>
      </c>
      <c r="BC292" s="216"/>
      <c r="BD292" s="47"/>
      <c r="BF292" s="113">
        <v>1.044672</v>
      </c>
      <c r="BG292" s="113"/>
      <c r="BH292" s="113"/>
      <c r="BI292" s="113"/>
      <c r="BJ292" s="113"/>
      <c r="BK292" s="113"/>
      <c r="BL292" s="5">
        <f t="shared" si="108"/>
        <v>1.044672</v>
      </c>
    </row>
    <row r="293" spans="1:64" s="2" customFormat="1" ht="15.75" customHeight="1" outlineLevel="1" x14ac:dyDescent="0.2">
      <c r="A293" s="594"/>
      <c r="B293" s="601"/>
      <c r="C293" s="7" t="s">
        <v>1553</v>
      </c>
      <c r="D293" s="8"/>
      <c r="E293" s="23"/>
      <c r="F293" s="8"/>
      <c r="G293" s="8"/>
      <c r="H293" s="5"/>
      <c r="I293" s="5"/>
      <c r="J293" s="5"/>
      <c r="K293" s="8"/>
      <c r="L293" s="23"/>
      <c r="M293" s="8"/>
      <c r="N293" s="8"/>
      <c r="O293" s="8"/>
      <c r="P293" s="8"/>
      <c r="Q293" s="23"/>
      <c r="R293" s="113"/>
      <c r="S293" s="113"/>
      <c r="T293" s="113"/>
      <c r="U293" s="113"/>
      <c r="V293" s="113"/>
      <c r="W293" s="113"/>
      <c r="X293" s="5">
        <f t="shared" si="98"/>
        <v>0</v>
      </c>
      <c r="Y293" s="302"/>
      <c r="Z293" s="5"/>
      <c r="AA293" s="94"/>
      <c r="AB293" s="311">
        <f t="shared" si="104"/>
        <v>0</v>
      </c>
      <c r="AC293" s="296"/>
      <c r="AD293" s="113"/>
      <c r="AE293" s="5"/>
      <c r="AF293" s="5"/>
      <c r="AG293" s="5"/>
      <c r="AH293" s="5"/>
      <c r="AI293" s="5"/>
      <c r="AJ293" s="5"/>
      <c r="AK293" s="141"/>
      <c r="AL293" s="94"/>
      <c r="AM293" s="128"/>
      <c r="AN293" s="180"/>
      <c r="AO293" s="128"/>
      <c r="AP293" s="184"/>
      <c r="AQ293" s="128"/>
      <c r="AR293" s="184"/>
      <c r="AS293" s="128"/>
      <c r="AT293" s="184"/>
      <c r="AU293" s="128"/>
      <c r="AV293" s="184"/>
      <c r="AW293" s="128"/>
      <c r="AX293" s="184"/>
      <c r="AY293" s="111"/>
      <c r="AZ293" s="178"/>
      <c r="BC293" s="216"/>
      <c r="BD293" s="47"/>
      <c r="BF293" s="113"/>
      <c r="BG293" s="113"/>
      <c r="BH293" s="113"/>
      <c r="BI293" s="113"/>
      <c r="BJ293" s="113"/>
      <c r="BK293" s="113"/>
      <c r="BL293" s="5">
        <f t="shared" si="108"/>
        <v>0</v>
      </c>
    </row>
    <row r="294" spans="1:64" s="2" customFormat="1" ht="15.75" customHeight="1" outlineLevel="1" x14ac:dyDescent="0.2">
      <c r="A294" s="595"/>
      <c r="B294" s="602"/>
      <c r="C294" s="7" t="s">
        <v>1554</v>
      </c>
      <c r="D294" s="8"/>
      <c r="E294" s="23"/>
      <c r="F294" s="8"/>
      <c r="G294" s="8"/>
      <c r="H294" s="5">
        <f>H292</f>
        <v>1.29030168</v>
      </c>
      <c r="I294" s="5">
        <f>I292</f>
        <v>1.044672</v>
      </c>
      <c r="J294" s="5">
        <f>J292</f>
        <v>1.044672</v>
      </c>
      <c r="K294" s="23"/>
      <c r="L294" s="8"/>
      <c r="M294" s="8"/>
      <c r="N294" s="8"/>
      <c r="O294" s="8"/>
      <c r="P294" s="8"/>
      <c r="Q294" s="23"/>
      <c r="R294" s="113"/>
      <c r="S294" s="113"/>
      <c r="T294" s="113"/>
      <c r="U294" s="113"/>
      <c r="V294" s="113"/>
      <c r="W294" s="113"/>
      <c r="X294" s="5">
        <f t="shared" si="98"/>
        <v>0</v>
      </c>
      <c r="Y294" s="302"/>
      <c r="Z294" s="5"/>
      <c r="AA294" s="94"/>
      <c r="AB294" s="311">
        <f t="shared" si="104"/>
        <v>1.044672</v>
      </c>
      <c r="AC294" s="296"/>
      <c r="AD294" s="113"/>
      <c r="AE294" s="5"/>
      <c r="AF294" s="5"/>
      <c r="AG294" s="5"/>
      <c r="AH294" s="5"/>
      <c r="AI294" s="5"/>
      <c r="AJ294" s="5"/>
      <c r="AK294" s="141"/>
      <c r="AL294" s="94"/>
      <c r="AM294" s="128"/>
      <c r="AN294" s="180"/>
      <c r="AO294" s="128"/>
      <c r="AP294" s="184"/>
      <c r="AQ294" s="128"/>
      <c r="AR294" s="184"/>
      <c r="AS294" s="128"/>
      <c r="AT294" s="184"/>
      <c r="AU294" s="128"/>
      <c r="AV294" s="184"/>
      <c r="AW294" s="128"/>
      <c r="AX294" s="184"/>
      <c r="AY294" s="111"/>
      <c r="AZ294" s="178"/>
      <c r="BC294" s="216"/>
      <c r="BD294" s="47"/>
      <c r="BF294" s="113"/>
      <c r="BG294" s="113"/>
      <c r="BH294" s="113"/>
      <c r="BI294" s="113"/>
      <c r="BJ294" s="113"/>
      <c r="BK294" s="113"/>
      <c r="BL294" s="5">
        <f t="shared" si="108"/>
        <v>0</v>
      </c>
    </row>
    <row r="295" spans="1:64" s="2" customFormat="1" ht="120" customHeight="1" outlineLevel="1" x14ac:dyDescent="0.2">
      <c r="A295" s="593" t="s">
        <v>1064</v>
      </c>
      <c r="B295" s="600" t="s">
        <v>1272</v>
      </c>
      <c r="C295" s="7" t="s">
        <v>2243</v>
      </c>
      <c r="D295" s="8" t="s">
        <v>397</v>
      </c>
      <c r="E295" s="23" t="s">
        <v>11</v>
      </c>
      <c r="F295" s="8">
        <v>2010</v>
      </c>
      <c r="G295" s="8">
        <v>2015</v>
      </c>
      <c r="H295" s="5">
        <v>1.22923</v>
      </c>
      <c r="I295" s="5">
        <v>0.37364700000000001</v>
      </c>
      <c r="J295" s="5">
        <f>R295</f>
        <v>0.37364700000000001</v>
      </c>
      <c r="K295" s="8"/>
      <c r="L295" s="23" t="s">
        <v>11</v>
      </c>
      <c r="M295" s="8"/>
      <c r="N295" s="8"/>
      <c r="O295" s="8"/>
      <c r="P295" s="8"/>
      <c r="Q295" s="23" t="s">
        <v>11</v>
      </c>
      <c r="R295" s="113">
        <v>0.37364700000000001</v>
      </c>
      <c r="S295" s="113"/>
      <c r="T295" s="113"/>
      <c r="U295" s="113"/>
      <c r="V295" s="113"/>
      <c r="W295" s="113"/>
      <c r="X295" s="5">
        <f t="shared" si="98"/>
        <v>0.37364700000000001</v>
      </c>
      <c r="Y295" s="302">
        <f>H295-H296-H297</f>
        <v>0</v>
      </c>
      <c r="Z295" s="5">
        <f>I295-I296-I297</f>
        <v>0</v>
      </c>
      <c r="AA295" s="94">
        <f>J295-J296-J297</f>
        <v>0</v>
      </c>
      <c r="AB295" s="311">
        <f t="shared" si="104"/>
        <v>0</v>
      </c>
      <c r="AC295" s="296"/>
      <c r="AD295" s="113"/>
      <c r="AE295" s="5"/>
      <c r="AF295" s="5"/>
      <c r="AG295" s="5">
        <f>H295</f>
        <v>1.22923</v>
      </c>
      <c r="AH295" s="5"/>
      <c r="AI295" s="5"/>
      <c r="AJ295" s="5"/>
      <c r="AK295" s="141"/>
      <c r="AL295" s="94">
        <f>SUM(AF295:AK295)</f>
        <v>1.22923</v>
      </c>
      <c r="AM295" s="128"/>
      <c r="AN295" s="180"/>
      <c r="AO295" s="128">
        <v>0.4</v>
      </c>
      <c r="AP295" s="184">
        <v>0.25</v>
      </c>
      <c r="AQ295" s="128"/>
      <c r="AR295" s="184"/>
      <c r="AS295" s="128"/>
      <c r="AT295" s="184"/>
      <c r="AU295" s="128"/>
      <c r="AV295" s="184"/>
      <c r="AW295" s="128"/>
      <c r="AX295" s="184"/>
      <c r="AY295" s="111">
        <f t="shared" ref="AY295:AZ298" si="109">AM295+AO295+AQ295+AS295+AU295+AW295</f>
        <v>0.4</v>
      </c>
      <c r="AZ295" s="178">
        <f t="shared" si="109"/>
        <v>0.25</v>
      </c>
      <c r="BC295" s="216"/>
      <c r="BD295" s="47"/>
      <c r="BF295" s="113">
        <v>0.37364700000000001</v>
      </c>
      <c r="BG295" s="113"/>
      <c r="BH295" s="113"/>
      <c r="BI295" s="113"/>
      <c r="BJ295" s="113"/>
      <c r="BK295" s="113"/>
      <c r="BL295" s="5">
        <f t="shared" si="108"/>
        <v>0.37364700000000001</v>
      </c>
    </row>
    <row r="296" spans="1:64" s="2" customFormat="1" ht="15.75" customHeight="1" outlineLevel="1" x14ac:dyDescent="0.2">
      <c r="A296" s="594"/>
      <c r="B296" s="601"/>
      <c r="C296" s="7" t="s">
        <v>1553</v>
      </c>
      <c r="D296" s="8"/>
      <c r="E296" s="23"/>
      <c r="F296" s="8"/>
      <c r="G296" s="8"/>
      <c r="H296" s="5"/>
      <c r="I296" s="5"/>
      <c r="J296" s="5"/>
      <c r="K296" s="8"/>
      <c r="L296" s="23"/>
      <c r="M296" s="8"/>
      <c r="N296" s="8"/>
      <c r="O296" s="8"/>
      <c r="P296" s="8"/>
      <c r="Q296" s="23"/>
      <c r="R296" s="113"/>
      <c r="S296" s="113"/>
      <c r="T296" s="113"/>
      <c r="U296" s="113"/>
      <c r="V296" s="113"/>
      <c r="W296" s="113"/>
      <c r="X296" s="5">
        <f>SUM(R296:W296)</f>
        <v>0</v>
      </c>
      <c r="Y296" s="302"/>
      <c r="Z296" s="5"/>
      <c r="AA296" s="94"/>
      <c r="AB296" s="311">
        <f t="shared" si="104"/>
        <v>0</v>
      </c>
      <c r="AC296" s="296"/>
      <c r="AD296" s="113"/>
      <c r="AE296" s="5"/>
      <c r="AF296" s="5"/>
      <c r="AG296" s="5"/>
      <c r="AH296" s="5"/>
      <c r="AI296" s="5"/>
      <c r="AJ296" s="5"/>
      <c r="AK296" s="141"/>
      <c r="AL296" s="94"/>
      <c r="AM296" s="128"/>
      <c r="AN296" s="180"/>
      <c r="AO296" s="128"/>
      <c r="AP296" s="184"/>
      <c r="AQ296" s="128"/>
      <c r="AR296" s="184"/>
      <c r="AS296" s="128"/>
      <c r="AT296" s="184"/>
      <c r="AU296" s="128"/>
      <c r="AV296" s="184"/>
      <c r="AW296" s="128"/>
      <c r="AX296" s="184"/>
      <c r="AY296" s="111"/>
      <c r="AZ296" s="178"/>
      <c r="BC296" s="216"/>
      <c r="BD296" s="47"/>
      <c r="BF296" s="113"/>
      <c r="BG296" s="113"/>
      <c r="BH296" s="113"/>
      <c r="BI296" s="113"/>
      <c r="BJ296" s="113"/>
      <c r="BK296" s="113"/>
      <c r="BL296" s="5">
        <f>SUM(BF296:BK296)</f>
        <v>0</v>
      </c>
    </row>
    <row r="297" spans="1:64" s="2" customFormat="1" ht="15.75" customHeight="1" outlineLevel="1" x14ac:dyDescent="0.2">
      <c r="A297" s="595"/>
      <c r="B297" s="602"/>
      <c r="C297" s="7" t="s">
        <v>1554</v>
      </c>
      <c r="D297" s="8"/>
      <c r="E297" s="23"/>
      <c r="F297" s="8"/>
      <c r="G297" s="8"/>
      <c r="H297" s="5">
        <f>H295</f>
        <v>1.22923</v>
      </c>
      <c r="I297" s="5">
        <f>I295</f>
        <v>0.37364700000000001</v>
      </c>
      <c r="J297" s="5">
        <f>J295</f>
        <v>0.37364700000000001</v>
      </c>
      <c r="K297" s="23"/>
      <c r="L297" s="8"/>
      <c r="M297" s="8"/>
      <c r="N297" s="8"/>
      <c r="O297" s="8"/>
      <c r="P297" s="8"/>
      <c r="Q297" s="23"/>
      <c r="R297" s="113"/>
      <c r="S297" s="113"/>
      <c r="T297" s="113"/>
      <c r="U297" s="113"/>
      <c r="V297" s="113"/>
      <c r="W297" s="113"/>
      <c r="X297" s="5">
        <f>SUM(R297:W297)</f>
        <v>0</v>
      </c>
      <c r="Y297" s="302"/>
      <c r="Z297" s="5"/>
      <c r="AA297" s="94"/>
      <c r="AB297" s="311">
        <f t="shared" si="104"/>
        <v>0.37364700000000001</v>
      </c>
      <c r="AC297" s="296"/>
      <c r="AD297" s="113"/>
      <c r="AE297" s="5"/>
      <c r="AF297" s="5"/>
      <c r="AG297" s="5"/>
      <c r="AH297" s="5"/>
      <c r="AI297" s="5"/>
      <c r="AJ297" s="5"/>
      <c r="AK297" s="141"/>
      <c r="AL297" s="94"/>
      <c r="AM297" s="128"/>
      <c r="AN297" s="180"/>
      <c r="AO297" s="128"/>
      <c r="AP297" s="184"/>
      <c r="AQ297" s="128"/>
      <c r="AR297" s="184"/>
      <c r="AS297" s="128"/>
      <c r="AT297" s="184"/>
      <c r="AU297" s="128"/>
      <c r="AV297" s="184"/>
      <c r="AW297" s="128"/>
      <c r="AX297" s="184"/>
      <c r="AY297" s="111"/>
      <c r="AZ297" s="178"/>
      <c r="BC297" s="216"/>
      <c r="BD297" s="47"/>
      <c r="BF297" s="113"/>
      <c r="BG297" s="113"/>
      <c r="BH297" s="113"/>
      <c r="BI297" s="113"/>
      <c r="BJ297" s="113"/>
      <c r="BK297" s="113"/>
      <c r="BL297" s="5">
        <f>SUM(BF297:BK297)</f>
        <v>0</v>
      </c>
    </row>
    <row r="298" spans="1:64" s="2" customFormat="1" ht="89.25" customHeight="1" outlineLevel="1" x14ac:dyDescent="0.2">
      <c r="A298" s="593" t="s">
        <v>1065</v>
      </c>
      <c r="B298" s="600" t="s">
        <v>1273</v>
      </c>
      <c r="C298" s="7" t="s">
        <v>573</v>
      </c>
      <c r="D298" s="8" t="s">
        <v>397</v>
      </c>
      <c r="E298" s="23" t="s">
        <v>1387</v>
      </c>
      <c r="F298" s="8">
        <v>2010</v>
      </c>
      <c r="G298" s="8">
        <v>2015</v>
      </c>
      <c r="H298" s="5">
        <v>0.91607000000000005</v>
      </c>
      <c r="I298" s="5">
        <v>0.65804300000000016</v>
      </c>
      <c r="J298" s="5">
        <f>R298</f>
        <v>0</v>
      </c>
      <c r="K298" s="8"/>
      <c r="L298" s="23" t="s">
        <v>1387</v>
      </c>
      <c r="M298" s="8"/>
      <c r="N298" s="8"/>
      <c r="O298" s="8"/>
      <c r="P298" s="8"/>
      <c r="Q298" s="23" t="s">
        <v>1387</v>
      </c>
      <c r="R298" s="113">
        <v>0</v>
      </c>
      <c r="S298" s="113"/>
      <c r="T298" s="113"/>
      <c r="U298" s="113"/>
      <c r="V298" s="113"/>
      <c r="W298" s="113"/>
      <c r="X298" s="5">
        <f t="shared" si="98"/>
        <v>0</v>
      </c>
      <c r="Y298" s="302">
        <f>H298-H299-H300</f>
        <v>0</v>
      </c>
      <c r="Z298" s="5">
        <f>I298-I299-I300</f>
        <v>0</v>
      </c>
      <c r="AA298" s="94">
        <f>J298-J299-J300</f>
        <v>0</v>
      </c>
      <c r="AB298" s="311">
        <f t="shared" si="104"/>
        <v>0.65804300000000016</v>
      </c>
      <c r="AC298" s="296"/>
      <c r="AD298" s="113"/>
      <c r="AE298" s="5"/>
      <c r="AF298" s="5"/>
      <c r="AG298" s="5">
        <f>H298</f>
        <v>0.91607000000000005</v>
      </c>
      <c r="AH298" s="5"/>
      <c r="AI298" s="5"/>
      <c r="AJ298" s="5"/>
      <c r="AK298" s="141"/>
      <c r="AL298" s="94">
        <f>SUM(AF298:AK298)</f>
        <v>0.91607000000000005</v>
      </c>
      <c r="AM298" s="128"/>
      <c r="AN298" s="180"/>
      <c r="AO298" s="128">
        <v>0.5</v>
      </c>
      <c r="AP298" s="184">
        <v>0</v>
      </c>
      <c r="AQ298" s="128"/>
      <c r="AR298" s="184"/>
      <c r="AS298" s="128"/>
      <c r="AT298" s="184"/>
      <c r="AU298" s="128"/>
      <c r="AV298" s="184"/>
      <c r="AW298" s="128"/>
      <c r="AX298" s="184"/>
      <c r="AY298" s="111">
        <f t="shared" si="109"/>
        <v>0.5</v>
      </c>
      <c r="AZ298" s="178">
        <f t="shared" si="109"/>
        <v>0</v>
      </c>
      <c r="BC298" s="216"/>
      <c r="BD298" s="47"/>
      <c r="BF298" s="113">
        <v>0</v>
      </c>
      <c r="BG298" s="113"/>
      <c r="BH298" s="113"/>
      <c r="BI298" s="113"/>
      <c r="BJ298" s="113"/>
      <c r="BK298" s="113"/>
      <c r="BL298" s="5">
        <f t="shared" ref="BL298:BL304" si="110">SUM(BF298:BK298)</f>
        <v>0</v>
      </c>
    </row>
    <row r="299" spans="1:64" s="2" customFormat="1" ht="15.75" customHeight="1" outlineLevel="1" x14ac:dyDescent="0.2">
      <c r="A299" s="594"/>
      <c r="B299" s="601"/>
      <c r="C299" s="7" t="s">
        <v>1553</v>
      </c>
      <c r="D299" s="8"/>
      <c r="E299" s="23"/>
      <c r="F299" s="8"/>
      <c r="G299" s="8"/>
      <c r="H299" s="5"/>
      <c r="I299" s="5"/>
      <c r="J299" s="5"/>
      <c r="K299" s="8"/>
      <c r="L299" s="23"/>
      <c r="M299" s="8"/>
      <c r="N299" s="8"/>
      <c r="O299" s="8"/>
      <c r="P299" s="8"/>
      <c r="Q299" s="23"/>
      <c r="R299" s="113"/>
      <c r="S299" s="113"/>
      <c r="T299" s="113"/>
      <c r="U299" s="113"/>
      <c r="V299" s="113"/>
      <c r="W299" s="113"/>
      <c r="X299" s="5">
        <f t="shared" si="98"/>
        <v>0</v>
      </c>
      <c r="Y299" s="302"/>
      <c r="Z299" s="5"/>
      <c r="AA299" s="94"/>
      <c r="AB299" s="311">
        <f t="shared" si="104"/>
        <v>0</v>
      </c>
      <c r="AC299" s="296"/>
      <c r="AD299" s="113"/>
      <c r="AE299" s="5"/>
      <c r="AF299" s="5"/>
      <c r="AG299" s="5"/>
      <c r="AH299" s="5"/>
      <c r="AI299" s="5"/>
      <c r="AJ299" s="5"/>
      <c r="AK299" s="141"/>
      <c r="AL299" s="94"/>
      <c r="AM299" s="128"/>
      <c r="AN299" s="180"/>
      <c r="AO299" s="128"/>
      <c r="AP299" s="184"/>
      <c r="AQ299" s="128"/>
      <c r="AR299" s="184"/>
      <c r="AS299" s="128"/>
      <c r="AT299" s="184"/>
      <c r="AU299" s="128"/>
      <c r="AV299" s="184"/>
      <c r="AW299" s="128"/>
      <c r="AX299" s="184"/>
      <c r="AY299" s="111"/>
      <c r="AZ299" s="178"/>
      <c r="BC299" s="216"/>
      <c r="BD299" s="47"/>
      <c r="BF299" s="113"/>
      <c r="BG299" s="113"/>
      <c r="BH299" s="113"/>
      <c r="BI299" s="113"/>
      <c r="BJ299" s="113"/>
      <c r="BK299" s="113"/>
      <c r="BL299" s="5">
        <f t="shared" si="110"/>
        <v>0</v>
      </c>
    </row>
    <row r="300" spans="1:64" s="2" customFormat="1" ht="15.75" customHeight="1" outlineLevel="1" x14ac:dyDescent="0.2">
      <c r="A300" s="595"/>
      <c r="B300" s="602"/>
      <c r="C300" s="7" t="s">
        <v>1554</v>
      </c>
      <c r="D300" s="8"/>
      <c r="E300" s="23"/>
      <c r="F300" s="8"/>
      <c r="G300" s="8"/>
      <c r="H300" s="5">
        <f>H298</f>
        <v>0.91607000000000005</v>
      </c>
      <c r="I300" s="5">
        <f>I298</f>
        <v>0.65804300000000016</v>
      </c>
      <c r="J300" s="5">
        <f>J298</f>
        <v>0</v>
      </c>
      <c r="K300" s="23"/>
      <c r="L300" s="8"/>
      <c r="M300" s="8"/>
      <c r="N300" s="8"/>
      <c r="O300" s="8"/>
      <c r="P300" s="8"/>
      <c r="Q300" s="23"/>
      <c r="R300" s="113"/>
      <c r="S300" s="113"/>
      <c r="T300" s="113"/>
      <c r="U300" s="113"/>
      <c r="V300" s="113"/>
      <c r="W300" s="113"/>
      <c r="X300" s="5">
        <f t="shared" si="98"/>
        <v>0</v>
      </c>
      <c r="Y300" s="302"/>
      <c r="Z300" s="5"/>
      <c r="AA300" s="94"/>
      <c r="AB300" s="311">
        <f t="shared" si="104"/>
        <v>0.65804300000000016</v>
      </c>
      <c r="AC300" s="296"/>
      <c r="AD300" s="113"/>
      <c r="AE300" s="5"/>
      <c r="AF300" s="5"/>
      <c r="AG300" s="5"/>
      <c r="AH300" s="5"/>
      <c r="AI300" s="5"/>
      <c r="AJ300" s="5"/>
      <c r="AK300" s="141"/>
      <c r="AL300" s="94"/>
      <c r="AM300" s="128"/>
      <c r="AN300" s="180"/>
      <c r="AO300" s="128"/>
      <c r="AP300" s="184"/>
      <c r="AQ300" s="128"/>
      <c r="AR300" s="184"/>
      <c r="AS300" s="128"/>
      <c r="AT300" s="184"/>
      <c r="AU300" s="128"/>
      <c r="AV300" s="184"/>
      <c r="AW300" s="128"/>
      <c r="AX300" s="184"/>
      <c r="AY300" s="111"/>
      <c r="AZ300" s="178"/>
      <c r="BC300" s="216"/>
      <c r="BD300" s="47"/>
      <c r="BF300" s="113"/>
      <c r="BG300" s="113"/>
      <c r="BH300" s="113"/>
      <c r="BI300" s="113"/>
      <c r="BJ300" s="113"/>
      <c r="BK300" s="113"/>
      <c r="BL300" s="5">
        <f t="shared" si="110"/>
        <v>0</v>
      </c>
    </row>
    <row r="301" spans="1:64" s="2" customFormat="1" ht="108" customHeight="1" outlineLevel="1" x14ac:dyDescent="0.2">
      <c r="A301" s="593" t="s">
        <v>724</v>
      </c>
      <c r="B301" s="600" t="s">
        <v>1274</v>
      </c>
      <c r="C301" s="7" t="s">
        <v>2244</v>
      </c>
      <c r="D301" s="8" t="s">
        <v>397</v>
      </c>
      <c r="E301" s="23" t="s">
        <v>337</v>
      </c>
      <c r="F301" s="8">
        <v>2010</v>
      </c>
      <c r="G301" s="8">
        <v>2014</v>
      </c>
      <c r="H301" s="5">
        <v>7.62662</v>
      </c>
      <c r="I301" s="5">
        <v>4</v>
      </c>
      <c r="J301" s="5">
        <f>R301</f>
        <v>4</v>
      </c>
      <c r="K301" s="23" t="s">
        <v>337</v>
      </c>
      <c r="L301" s="8"/>
      <c r="M301" s="8"/>
      <c r="N301" s="8"/>
      <c r="O301" s="8"/>
      <c r="P301" s="8"/>
      <c r="Q301" s="23" t="s">
        <v>337</v>
      </c>
      <c r="R301" s="113">
        <v>4</v>
      </c>
      <c r="S301" s="113"/>
      <c r="T301" s="113"/>
      <c r="U301" s="113"/>
      <c r="V301" s="113"/>
      <c r="W301" s="113"/>
      <c r="X301" s="5">
        <f t="shared" si="98"/>
        <v>4</v>
      </c>
      <c r="Y301" s="302">
        <f>H301-H302-H303</f>
        <v>0</v>
      </c>
      <c r="Z301" s="5">
        <f>I301-I302-I303</f>
        <v>0</v>
      </c>
      <c r="AA301" s="94">
        <f>J301-J302-J303</f>
        <v>0</v>
      </c>
      <c r="AB301" s="311">
        <f t="shared" si="104"/>
        <v>0</v>
      </c>
      <c r="AC301" s="296"/>
      <c r="AD301" s="113"/>
      <c r="AE301" s="5"/>
      <c r="AF301" s="5">
        <f>H301</f>
        <v>7.62662</v>
      </c>
      <c r="AG301" s="5"/>
      <c r="AH301" s="5"/>
      <c r="AI301" s="5"/>
      <c r="AJ301" s="5"/>
      <c r="AK301" s="141"/>
      <c r="AL301" s="94">
        <f>SUM(AF301:AK301)</f>
        <v>7.62662</v>
      </c>
      <c r="AM301" s="128">
        <v>4</v>
      </c>
      <c r="AN301" s="180">
        <v>0.4</v>
      </c>
      <c r="AO301" s="128"/>
      <c r="AP301" s="184"/>
      <c r="AQ301" s="128"/>
      <c r="AR301" s="184"/>
      <c r="AS301" s="128"/>
      <c r="AT301" s="184"/>
      <c r="AU301" s="128"/>
      <c r="AV301" s="184"/>
      <c r="AW301" s="128"/>
      <c r="AX301" s="184"/>
      <c r="AY301" s="111">
        <f>AM301+AO301+AQ301+AS301+AU301+AW301</f>
        <v>4</v>
      </c>
      <c r="AZ301" s="178">
        <f>AN301+AP301+AR301+AT301+AV301+AX301</f>
        <v>0.4</v>
      </c>
      <c r="BC301" s="216"/>
      <c r="BD301" s="47"/>
      <c r="BF301" s="113">
        <v>4</v>
      </c>
      <c r="BG301" s="113"/>
      <c r="BH301" s="113"/>
      <c r="BI301" s="113"/>
      <c r="BJ301" s="113"/>
      <c r="BK301" s="113"/>
      <c r="BL301" s="5">
        <f t="shared" si="110"/>
        <v>4</v>
      </c>
    </row>
    <row r="302" spans="1:64" s="2" customFormat="1" ht="15.75" customHeight="1" outlineLevel="1" x14ac:dyDescent="0.2">
      <c r="A302" s="594"/>
      <c r="B302" s="601"/>
      <c r="C302" s="7" t="s">
        <v>1553</v>
      </c>
      <c r="D302" s="8"/>
      <c r="E302" s="23"/>
      <c r="F302" s="8"/>
      <c r="G302" s="8"/>
      <c r="H302" s="5"/>
      <c r="I302" s="5"/>
      <c r="J302" s="5"/>
      <c r="K302" s="8"/>
      <c r="L302" s="23"/>
      <c r="M302" s="8"/>
      <c r="N302" s="8"/>
      <c r="O302" s="8"/>
      <c r="P302" s="8"/>
      <c r="Q302" s="23"/>
      <c r="R302" s="113"/>
      <c r="S302" s="113"/>
      <c r="T302" s="113"/>
      <c r="U302" s="113"/>
      <c r="V302" s="113"/>
      <c r="W302" s="113"/>
      <c r="X302" s="5">
        <f t="shared" si="98"/>
        <v>0</v>
      </c>
      <c r="Y302" s="302"/>
      <c r="Z302" s="5"/>
      <c r="AA302" s="94"/>
      <c r="AB302" s="311">
        <f t="shared" si="104"/>
        <v>0</v>
      </c>
      <c r="AC302" s="296"/>
      <c r="AD302" s="113"/>
      <c r="AE302" s="5"/>
      <c r="AF302" s="5"/>
      <c r="AG302" s="5"/>
      <c r="AH302" s="5"/>
      <c r="AI302" s="5"/>
      <c r="AJ302" s="5"/>
      <c r="AK302" s="141"/>
      <c r="AL302" s="94"/>
      <c r="AM302" s="128"/>
      <c r="AN302" s="180"/>
      <c r="AO302" s="128"/>
      <c r="AP302" s="184"/>
      <c r="AQ302" s="128"/>
      <c r="AR302" s="184"/>
      <c r="AS302" s="128"/>
      <c r="AT302" s="184"/>
      <c r="AU302" s="128"/>
      <c r="AV302" s="184"/>
      <c r="AW302" s="128"/>
      <c r="AX302" s="184"/>
      <c r="AY302" s="111"/>
      <c r="AZ302" s="178"/>
      <c r="BC302" s="216"/>
      <c r="BD302" s="47"/>
      <c r="BF302" s="113"/>
      <c r="BG302" s="113"/>
      <c r="BH302" s="113"/>
      <c r="BI302" s="113"/>
      <c r="BJ302" s="113"/>
      <c r="BK302" s="113"/>
      <c r="BL302" s="5">
        <f t="shared" si="110"/>
        <v>0</v>
      </c>
    </row>
    <row r="303" spans="1:64" s="2" customFormat="1" ht="15.75" customHeight="1" outlineLevel="1" x14ac:dyDescent="0.2">
      <c r="A303" s="595"/>
      <c r="B303" s="602"/>
      <c r="C303" s="7" t="s">
        <v>1554</v>
      </c>
      <c r="D303" s="8"/>
      <c r="E303" s="23"/>
      <c r="F303" s="8"/>
      <c r="G303" s="8"/>
      <c r="H303" s="5">
        <v>7.62662</v>
      </c>
      <c r="I303" s="5">
        <v>4</v>
      </c>
      <c r="J303" s="5">
        <v>4</v>
      </c>
      <c r="K303" s="23"/>
      <c r="L303" s="8"/>
      <c r="M303" s="8"/>
      <c r="N303" s="8"/>
      <c r="O303" s="8"/>
      <c r="P303" s="8"/>
      <c r="Q303" s="23"/>
      <c r="R303" s="113"/>
      <c r="S303" s="113"/>
      <c r="T303" s="113"/>
      <c r="U303" s="113"/>
      <c r="V303" s="113"/>
      <c r="W303" s="113"/>
      <c r="X303" s="5">
        <f t="shared" si="98"/>
        <v>0</v>
      </c>
      <c r="Y303" s="302"/>
      <c r="Z303" s="5"/>
      <c r="AA303" s="94"/>
      <c r="AB303" s="311">
        <f t="shared" si="104"/>
        <v>4</v>
      </c>
      <c r="AC303" s="296"/>
      <c r="AD303" s="113"/>
      <c r="AE303" s="5"/>
      <c r="AF303" s="5"/>
      <c r="AG303" s="5"/>
      <c r="AH303" s="5"/>
      <c r="AI303" s="5"/>
      <c r="AJ303" s="5"/>
      <c r="AK303" s="141"/>
      <c r="AL303" s="94"/>
      <c r="AM303" s="128"/>
      <c r="AN303" s="180"/>
      <c r="AO303" s="128"/>
      <c r="AP303" s="184"/>
      <c r="AQ303" s="128"/>
      <c r="AR303" s="184"/>
      <c r="AS303" s="128"/>
      <c r="AT303" s="184"/>
      <c r="AU303" s="128"/>
      <c r="AV303" s="184"/>
      <c r="AW303" s="128"/>
      <c r="AX303" s="184"/>
      <c r="AY303" s="111"/>
      <c r="AZ303" s="178"/>
      <c r="BC303" s="216"/>
      <c r="BD303" s="47"/>
      <c r="BF303" s="113"/>
      <c r="BG303" s="113"/>
      <c r="BH303" s="113"/>
      <c r="BI303" s="113"/>
      <c r="BJ303" s="113"/>
      <c r="BK303" s="113"/>
      <c r="BL303" s="5">
        <f t="shared" si="110"/>
        <v>0</v>
      </c>
    </row>
    <row r="304" spans="1:64" s="2" customFormat="1" ht="196.5" customHeight="1" outlineLevel="1" x14ac:dyDescent="0.2">
      <c r="A304" s="593" t="s">
        <v>725</v>
      </c>
      <c r="B304" s="600" t="s">
        <v>1275</v>
      </c>
      <c r="C304" s="7" t="s">
        <v>574</v>
      </c>
      <c r="D304" s="8" t="s">
        <v>397</v>
      </c>
      <c r="E304" s="23" t="s">
        <v>338</v>
      </c>
      <c r="F304" s="8">
        <v>2011</v>
      </c>
      <c r="G304" s="8">
        <v>2014</v>
      </c>
      <c r="H304" s="5">
        <v>2.8602799999999999</v>
      </c>
      <c r="I304" s="5">
        <v>1</v>
      </c>
      <c r="J304" s="5">
        <f>R304</f>
        <v>1</v>
      </c>
      <c r="K304" s="23" t="s">
        <v>338</v>
      </c>
      <c r="L304" s="8"/>
      <c r="M304" s="8"/>
      <c r="N304" s="8"/>
      <c r="O304" s="8"/>
      <c r="P304" s="8"/>
      <c r="Q304" s="23" t="s">
        <v>338</v>
      </c>
      <c r="R304" s="113">
        <v>1</v>
      </c>
      <c r="S304" s="113"/>
      <c r="T304" s="113"/>
      <c r="U304" s="113"/>
      <c r="V304" s="113"/>
      <c r="W304" s="113"/>
      <c r="X304" s="5">
        <f t="shared" si="98"/>
        <v>1</v>
      </c>
      <c r="Y304" s="302">
        <f>H304-H305-H306</f>
        <v>0</v>
      </c>
      <c r="Z304" s="5">
        <f>I304-I305-I306</f>
        <v>0</v>
      </c>
      <c r="AA304" s="94">
        <f>J304-J305-J306</f>
        <v>0</v>
      </c>
      <c r="AB304" s="311">
        <f t="shared" si="104"/>
        <v>0</v>
      </c>
      <c r="AC304" s="296"/>
      <c r="AD304" s="113"/>
      <c r="AE304" s="5"/>
      <c r="AF304" s="5">
        <f>H304</f>
        <v>2.8602799999999999</v>
      </c>
      <c r="AG304" s="5"/>
      <c r="AH304" s="5"/>
      <c r="AI304" s="5"/>
      <c r="AJ304" s="5"/>
      <c r="AK304" s="141"/>
      <c r="AL304" s="94">
        <f>SUM(AF304:AK304)</f>
        <v>2.8602799999999999</v>
      </c>
      <c r="AM304" s="128">
        <v>2</v>
      </c>
      <c r="AN304" s="180">
        <v>0.25</v>
      </c>
      <c r="AO304" s="128"/>
      <c r="AP304" s="184"/>
      <c r="AQ304" s="128"/>
      <c r="AR304" s="184"/>
      <c r="AS304" s="128"/>
      <c r="AT304" s="184"/>
      <c r="AU304" s="128"/>
      <c r="AV304" s="184"/>
      <c r="AW304" s="128"/>
      <c r="AX304" s="184"/>
      <c r="AY304" s="111">
        <f t="shared" ref="AY304:AZ307" si="111">AM304+AO304+AQ304+AS304+AU304+AW304</f>
        <v>2</v>
      </c>
      <c r="AZ304" s="178">
        <f t="shared" si="111"/>
        <v>0.25</v>
      </c>
      <c r="BC304" s="216"/>
      <c r="BD304" s="47"/>
      <c r="BF304" s="113">
        <v>1</v>
      </c>
      <c r="BG304" s="113"/>
      <c r="BH304" s="113"/>
      <c r="BI304" s="113"/>
      <c r="BJ304" s="113"/>
      <c r="BK304" s="113"/>
      <c r="BL304" s="5">
        <f t="shared" si="110"/>
        <v>1</v>
      </c>
    </row>
    <row r="305" spans="1:64" s="2" customFormat="1" ht="15.75" customHeight="1" outlineLevel="1" x14ac:dyDescent="0.2">
      <c r="A305" s="594"/>
      <c r="B305" s="601"/>
      <c r="C305" s="7" t="s">
        <v>1553</v>
      </c>
      <c r="D305" s="8"/>
      <c r="E305" s="23"/>
      <c r="F305" s="8"/>
      <c r="G305" s="8"/>
      <c r="H305" s="5"/>
      <c r="I305" s="5"/>
      <c r="J305" s="5"/>
      <c r="K305" s="8"/>
      <c r="L305" s="23"/>
      <c r="M305" s="8"/>
      <c r="N305" s="8"/>
      <c r="O305" s="8"/>
      <c r="P305" s="8"/>
      <c r="Q305" s="23"/>
      <c r="R305" s="113"/>
      <c r="S305" s="113"/>
      <c r="T305" s="113"/>
      <c r="U305" s="113"/>
      <c r="V305" s="113"/>
      <c r="W305" s="113"/>
      <c r="X305" s="5">
        <f>SUM(R305:W305)</f>
        <v>0</v>
      </c>
      <c r="Y305" s="302"/>
      <c r="Z305" s="5"/>
      <c r="AA305" s="94"/>
      <c r="AB305" s="311">
        <f t="shared" si="104"/>
        <v>0</v>
      </c>
      <c r="AC305" s="296"/>
      <c r="AD305" s="113"/>
      <c r="AE305" s="5"/>
      <c r="AF305" s="5"/>
      <c r="AG305" s="5"/>
      <c r="AH305" s="5"/>
      <c r="AI305" s="5"/>
      <c r="AJ305" s="5"/>
      <c r="AK305" s="141"/>
      <c r="AL305" s="94"/>
      <c r="AM305" s="128"/>
      <c r="AN305" s="180"/>
      <c r="AO305" s="128"/>
      <c r="AP305" s="184"/>
      <c r="AQ305" s="128"/>
      <c r="AR305" s="184"/>
      <c r="AS305" s="128"/>
      <c r="AT305" s="184"/>
      <c r="AU305" s="128"/>
      <c r="AV305" s="184"/>
      <c r="AW305" s="128"/>
      <c r="AX305" s="184"/>
      <c r="AY305" s="111"/>
      <c r="AZ305" s="178"/>
      <c r="BC305" s="216"/>
      <c r="BD305" s="47"/>
      <c r="BF305" s="113"/>
      <c r="BG305" s="113"/>
      <c r="BH305" s="113"/>
      <c r="BI305" s="113"/>
      <c r="BJ305" s="113"/>
      <c r="BK305" s="113"/>
      <c r="BL305" s="5">
        <f>SUM(BF305:BK305)</f>
        <v>0</v>
      </c>
    </row>
    <row r="306" spans="1:64" s="2" customFormat="1" ht="15.75" customHeight="1" outlineLevel="1" x14ac:dyDescent="0.2">
      <c r="A306" s="595"/>
      <c r="B306" s="602"/>
      <c r="C306" s="7" t="s">
        <v>1554</v>
      </c>
      <c r="D306" s="8"/>
      <c r="E306" s="23"/>
      <c r="F306" s="8"/>
      <c r="G306" s="8"/>
      <c r="H306" s="5">
        <v>2.8602799999999999</v>
      </c>
      <c r="I306" s="5">
        <v>1</v>
      </c>
      <c r="J306" s="5">
        <v>1</v>
      </c>
      <c r="K306" s="23"/>
      <c r="L306" s="8"/>
      <c r="M306" s="8"/>
      <c r="N306" s="8"/>
      <c r="O306" s="8"/>
      <c r="P306" s="8"/>
      <c r="Q306" s="23"/>
      <c r="R306" s="113"/>
      <c r="S306" s="113"/>
      <c r="T306" s="113"/>
      <c r="U306" s="113"/>
      <c r="V306" s="113"/>
      <c r="W306" s="113"/>
      <c r="X306" s="5">
        <f>SUM(R306:W306)</f>
        <v>0</v>
      </c>
      <c r="Y306" s="302"/>
      <c r="Z306" s="5"/>
      <c r="AA306" s="94"/>
      <c r="AB306" s="311">
        <f t="shared" si="104"/>
        <v>1</v>
      </c>
      <c r="AC306" s="296"/>
      <c r="AD306" s="113"/>
      <c r="AE306" s="5"/>
      <c r="AF306" s="5"/>
      <c r="AG306" s="5"/>
      <c r="AH306" s="5"/>
      <c r="AI306" s="5"/>
      <c r="AJ306" s="5"/>
      <c r="AK306" s="141"/>
      <c r="AL306" s="94"/>
      <c r="AM306" s="128"/>
      <c r="AN306" s="180"/>
      <c r="AO306" s="128"/>
      <c r="AP306" s="184"/>
      <c r="AQ306" s="128"/>
      <c r="AR306" s="184"/>
      <c r="AS306" s="128"/>
      <c r="AT306" s="184"/>
      <c r="AU306" s="128"/>
      <c r="AV306" s="184"/>
      <c r="AW306" s="128"/>
      <c r="AX306" s="184"/>
      <c r="AY306" s="111"/>
      <c r="AZ306" s="178"/>
      <c r="BC306" s="216"/>
      <c r="BD306" s="47"/>
      <c r="BF306" s="113"/>
      <c r="BG306" s="113"/>
      <c r="BH306" s="113"/>
      <c r="BI306" s="113"/>
      <c r="BJ306" s="113"/>
      <c r="BK306" s="113"/>
      <c r="BL306" s="5">
        <f>SUM(BF306:BK306)</f>
        <v>0</v>
      </c>
    </row>
    <row r="307" spans="1:64" s="2" customFormat="1" ht="102" outlineLevel="1" x14ac:dyDescent="0.2">
      <c r="A307" s="593" t="s">
        <v>726</v>
      </c>
      <c r="B307" s="600" t="s">
        <v>904</v>
      </c>
      <c r="C307" s="7" t="s">
        <v>2245</v>
      </c>
      <c r="D307" s="8" t="s">
        <v>397</v>
      </c>
      <c r="E307" s="23" t="s">
        <v>14</v>
      </c>
      <c r="F307" s="8">
        <v>2011</v>
      </c>
      <c r="G307" s="8">
        <v>2014</v>
      </c>
      <c r="H307" s="5">
        <v>10.256393619999999</v>
      </c>
      <c r="I307" s="5">
        <v>4</v>
      </c>
      <c r="J307" s="5">
        <f>R307</f>
        <v>4</v>
      </c>
      <c r="K307" s="23" t="s">
        <v>14</v>
      </c>
      <c r="L307" s="8"/>
      <c r="M307" s="8"/>
      <c r="N307" s="8"/>
      <c r="O307" s="8"/>
      <c r="P307" s="8"/>
      <c r="Q307" s="23" t="s">
        <v>14</v>
      </c>
      <c r="R307" s="113">
        <v>4</v>
      </c>
      <c r="S307" s="113"/>
      <c r="T307" s="113"/>
      <c r="U307" s="113"/>
      <c r="V307" s="113"/>
      <c r="W307" s="113"/>
      <c r="X307" s="5">
        <f t="shared" si="98"/>
        <v>4</v>
      </c>
      <c r="Y307" s="302">
        <f>H307-H308-H309</f>
        <v>0</v>
      </c>
      <c r="Z307" s="5">
        <f>I307-I308-I309</f>
        <v>0</v>
      </c>
      <c r="AA307" s="94">
        <f>J307-J308-J309</f>
        <v>0</v>
      </c>
      <c r="AB307" s="311">
        <f t="shared" si="104"/>
        <v>0</v>
      </c>
      <c r="AC307" s="296"/>
      <c r="AD307" s="113"/>
      <c r="AE307" s="5"/>
      <c r="AF307" s="5">
        <f>H307</f>
        <v>10.256393619999999</v>
      </c>
      <c r="AG307" s="5"/>
      <c r="AH307" s="5"/>
      <c r="AI307" s="5"/>
      <c r="AJ307" s="5"/>
      <c r="AK307" s="141"/>
      <c r="AL307" s="94">
        <f>SUM(AF307:AK307)</f>
        <v>10.256393619999999</v>
      </c>
      <c r="AM307" s="128">
        <v>3</v>
      </c>
      <c r="AN307" s="180">
        <v>0.4</v>
      </c>
      <c r="AO307" s="128"/>
      <c r="AP307" s="184"/>
      <c r="AQ307" s="128"/>
      <c r="AR307" s="184"/>
      <c r="AS307" s="128"/>
      <c r="AT307" s="184"/>
      <c r="AU307" s="128"/>
      <c r="AV307" s="184"/>
      <c r="AW307" s="128"/>
      <c r="AX307" s="184"/>
      <c r="AY307" s="111">
        <f t="shared" si="111"/>
        <v>3</v>
      </c>
      <c r="AZ307" s="178">
        <f t="shared" si="111"/>
        <v>0.4</v>
      </c>
      <c r="BC307" s="216"/>
      <c r="BD307" s="47"/>
      <c r="BF307" s="113">
        <v>4</v>
      </c>
      <c r="BG307" s="113"/>
      <c r="BH307" s="113"/>
      <c r="BI307" s="113"/>
      <c r="BJ307" s="113"/>
      <c r="BK307" s="113"/>
      <c r="BL307" s="5">
        <f t="shared" ref="BL307:BL313" si="112">SUM(BF307:BK307)</f>
        <v>4</v>
      </c>
    </row>
    <row r="308" spans="1:64" s="2" customFormat="1" ht="15.75" customHeight="1" outlineLevel="1" x14ac:dyDescent="0.2">
      <c r="A308" s="594"/>
      <c r="B308" s="601"/>
      <c r="C308" s="7" t="s">
        <v>1553</v>
      </c>
      <c r="D308" s="8"/>
      <c r="E308" s="23"/>
      <c r="F308" s="8"/>
      <c r="G308" s="8"/>
      <c r="H308" s="5"/>
      <c r="I308" s="5"/>
      <c r="J308" s="5"/>
      <c r="K308" s="8"/>
      <c r="L308" s="23"/>
      <c r="M308" s="8"/>
      <c r="N308" s="8"/>
      <c r="O308" s="8"/>
      <c r="P308" s="8"/>
      <c r="Q308" s="23"/>
      <c r="R308" s="113"/>
      <c r="S308" s="113"/>
      <c r="T308" s="113"/>
      <c r="U308" s="113"/>
      <c r="V308" s="113"/>
      <c r="W308" s="113"/>
      <c r="X308" s="5">
        <f t="shared" si="98"/>
        <v>0</v>
      </c>
      <c r="Y308" s="302"/>
      <c r="Z308" s="5"/>
      <c r="AA308" s="94"/>
      <c r="AB308" s="311">
        <f t="shared" si="104"/>
        <v>0</v>
      </c>
      <c r="AC308" s="296"/>
      <c r="AD308" s="113"/>
      <c r="AE308" s="5"/>
      <c r="AF308" s="5"/>
      <c r="AG308" s="5"/>
      <c r="AH308" s="5"/>
      <c r="AI308" s="5"/>
      <c r="AJ308" s="5"/>
      <c r="AK308" s="141"/>
      <c r="AL308" s="94"/>
      <c r="AM308" s="128"/>
      <c r="AN308" s="180"/>
      <c r="AO308" s="128"/>
      <c r="AP308" s="184"/>
      <c r="AQ308" s="128"/>
      <c r="AR308" s="184"/>
      <c r="AS308" s="128"/>
      <c r="AT308" s="184"/>
      <c r="AU308" s="128"/>
      <c r="AV308" s="184"/>
      <c r="AW308" s="128"/>
      <c r="AX308" s="184"/>
      <c r="AY308" s="111"/>
      <c r="AZ308" s="178"/>
      <c r="BC308" s="216"/>
      <c r="BD308" s="47"/>
      <c r="BF308" s="113"/>
      <c r="BG308" s="113"/>
      <c r="BH308" s="113"/>
      <c r="BI308" s="113"/>
      <c r="BJ308" s="113"/>
      <c r="BK308" s="113"/>
      <c r="BL308" s="5">
        <f t="shared" si="112"/>
        <v>0</v>
      </c>
    </row>
    <row r="309" spans="1:64" s="2" customFormat="1" ht="15.75" customHeight="1" outlineLevel="1" x14ac:dyDescent="0.2">
      <c r="A309" s="595"/>
      <c r="B309" s="602"/>
      <c r="C309" s="7" t="s">
        <v>1554</v>
      </c>
      <c r="D309" s="8"/>
      <c r="E309" s="23"/>
      <c r="F309" s="8"/>
      <c r="G309" s="8"/>
      <c r="H309" s="5">
        <f>H307</f>
        <v>10.256393619999999</v>
      </c>
      <c r="I309" s="5">
        <v>4</v>
      </c>
      <c r="J309" s="5">
        <v>4</v>
      </c>
      <c r="K309" s="23"/>
      <c r="L309" s="8"/>
      <c r="M309" s="8"/>
      <c r="N309" s="8"/>
      <c r="O309" s="8"/>
      <c r="P309" s="8"/>
      <c r="Q309" s="23"/>
      <c r="R309" s="113"/>
      <c r="S309" s="113"/>
      <c r="T309" s="113"/>
      <c r="U309" s="113"/>
      <c r="V309" s="113"/>
      <c r="W309" s="113"/>
      <c r="X309" s="5">
        <f t="shared" si="98"/>
        <v>0</v>
      </c>
      <c r="Y309" s="302"/>
      <c r="Z309" s="5"/>
      <c r="AA309" s="94"/>
      <c r="AB309" s="311">
        <f t="shared" si="104"/>
        <v>4</v>
      </c>
      <c r="AC309" s="296"/>
      <c r="AD309" s="113"/>
      <c r="AE309" s="5"/>
      <c r="AF309" s="5"/>
      <c r="AG309" s="5"/>
      <c r="AH309" s="5"/>
      <c r="AI309" s="5"/>
      <c r="AJ309" s="5"/>
      <c r="AK309" s="141"/>
      <c r="AL309" s="94"/>
      <c r="AM309" s="128"/>
      <c r="AN309" s="180"/>
      <c r="AO309" s="128"/>
      <c r="AP309" s="184"/>
      <c r="AQ309" s="128"/>
      <c r="AR309" s="184"/>
      <c r="AS309" s="128"/>
      <c r="AT309" s="184"/>
      <c r="AU309" s="128"/>
      <c r="AV309" s="184"/>
      <c r="AW309" s="128"/>
      <c r="AX309" s="184"/>
      <c r="AY309" s="111"/>
      <c r="AZ309" s="178"/>
      <c r="BC309" s="216"/>
      <c r="BD309" s="47"/>
      <c r="BF309" s="113"/>
      <c r="BG309" s="113"/>
      <c r="BH309" s="113"/>
      <c r="BI309" s="113"/>
      <c r="BJ309" s="113"/>
      <c r="BK309" s="113"/>
      <c r="BL309" s="5">
        <f t="shared" si="112"/>
        <v>0</v>
      </c>
    </row>
    <row r="310" spans="1:64" s="2" customFormat="1" ht="101.25" customHeight="1" outlineLevel="1" x14ac:dyDescent="0.2">
      <c r="A310" s="593" t="s">
        <v>727</v>
      </c>
      <c r="B310" s="600" t="s">
        <v>905</v>
      </c>
      <c r="C310" s="7" t="s">
        <v>2246</v>
      </c>
      <c r="D310" s="8" t="s">
        <v>397</v>
      </c>
      <c r="E310" s="23" t="s">
        <v>12</v>
      </c>
      <c r="F310" s="8">
        <v>2011</v>
      </c>
      <c r="G310" s="8">
        <v>2014</v>
      </c>
      <c r="H310" s="5">
        <v>0.95680856000000003</v>
      </c>
      <c r="I310" s="5">
        <v>0.45915100000000003</v>
      </c>
      <c r="J310" s="5">
        <f>R310</f>
        <v>0.45915100000000003</v>
      </c>
      <c r="K310" s="23" t="s">
        <v>12</v>
      </c>
      <c r="L310" s="8"/>
      <c r="M310" s="8"/>
      <c r="N310" s="8"/>
      <c r="O310" s="8"/>
      <c r="P310" s="8"/>
      <c r="Q310" s="23" t="s">
        <v>12</v>
      </c>
      <c r="R310" s="113">
        <v>0.45915100000000003</v>
      </c>
      <c r="S310" s="113"/>
      <c r="T310" s="113"/>
      <c r="U310" s="113"/>
      <c r="V310" s="113"/>
      <c r="W310" s="113"/>
      <c r="X310" s="5">
        <f t="shared" si="98"/>
        <v>0.45915100000000003</v>
      </c>
      <c r="Y310" s="302">
        <f>H310-H311-H312</f>
        <v>0</v>
      </c>
      <c r="Z310" s="5">
        <f>I310-I311-I312</f>
        <v>0</v>
      </c>
      <c r="AA310" s="94">
        <f>J310-J311-J312</f>
        <v>0</v>
      </c>
      <c r="AB310" s="311">
        <f t="shared" si="104"/>
        <v>0</v>
      </c>
      <c r="AC310" s="296"/>
      <c r="AD310" s="113"/>
      <c r="AE310" s="5"/>
      <c r="AF310" s="5">
        <f>H310</f>
        <v>0.95680856000000003</v>
      </c>
      <c r="AG310" s="5"/>
      <c r="AH310" s="5"/>
      <c r="AI310" s="5"/>
      <c r="AJ310" s="5"/>
      <c r="AK310" s="141"/>
      <c r="AL310" s="94">
        <f>SUM(AF310:AK310)</f>
        <v>0.95680856000000003</v>
      </c>
      <c r="AM310" s="128">
        <v>0.3</v>
      </c>
      <c r="AN310" s="180">
        <v>0.16</v>
      </c>
      <c r="AO310" s="128"/>
      <c r="AP310" s="184"/>
      <c r="AQ310" s="128"/>
      <c r="AR310" s="184"/>
      <c r="AS310" s="128"/>
      <c r="AT310" s="184"/>
      <c r="AU310" s="128"/>
      <c r="AV310" s="184"/>
      <c r="AW310" s="128"/>
      <c r="AX310" s="184"/>
      <c r="AY310" s="111">
        <f>AM310+AO310+AQ310+AS310+AU310+AW310</f>
        <v>0.3</v>
      </c>
      <c r="AZ310" s="178">
        <f>AN310+AP310+AR310+AT310+AV310+AX310</f>
        <v>0.16</v>
      </c>
      <c r="BC310" s="216"/>
      <c r="BD310" s="47"/>
      <c r="BF310" s="113">
        <v>0.45915100000000003</v>
      </c>
      <c r="BG310" s="113"/>
      <c r="BH310" s="113"/>
      <c r="BI310" s="113"/>
      <c r="BJ310" s="113"/>
      <c r="BK310" s="113"/>
      <c r="BL310" s="5">
        <f t="shared" si="112"/>
        <v>0.45915100000000003</v>
      </c>
    </row>
    <row r="311" spans="1:64" s="2" customFormat="1" ht="15.75" customHeight="1" outlineLevel="1" x14ac:dyDescent="0.2">
      <c r="A311" s="594"/>
      <c r="B311" s="601"/>
      <c r="C311" s="7" t="s">
        <v>1553</v>
      </c>
      <c r="D311" s="8"/>
      <c r="E311" s="23"/>
      <c r="F311" s="8"/>
      <c r="G311" s="8"/>
      <c r="H311" s="5"/>
      <c r="I311" s="5"/>
      <c r="J311" s="5"/>
      <c r="K311" s="8"/>
      <c r="L311" s="23"/>
      <c r="M311" s="8"/>
      <c r="N311" s="8"/>
      <c r="O311" s="8"/>
      <c r="P311" s="8"/>
      <c r="Q311" s="23"/>
      <c r="R311" s="113"/>
      <c r="S311" s="113"/>
      <c r="T311" s="113"/>
      <c r="U311" s="113"/>
      <c r="V311" s="113"/>
      <c r="W311" s="113"/>
      <c r="X311" s="5">
        <f t="shared" si="98"/>
        <v>0</v>
      </c>
      <c r="Y311" s="302"/>
      <c r="Z311" s="5"/>
      <c r="AA311" s="94"/>
      <c r="AB311" s="311">
        <f t="shared" si="104"/>
        <v>0</v>
      </c>
      <c r="AC311" s="296"/>
      <c r="AD311" s="113"/>
      <c r="AE311" s="5"/>
      <c r="AF311" s="5"/>
      <c r="AG311" s="5"/>
      <c r="AH311" s="5"/>
      <c r="AI311" s="5"/>
      <c r="AJ311" s="5"/>
      <c r="AK311" s="141"/>
      <c r="AL311" s="94"/>
      <c r="AM311" s="128"/>
      <c r="AN311" s="180"/>
      <c r="AO311" s="128"/>
      <c r="AP311" s="184"/>
      <c r="AQ311" s="128"/>
      <c r="AR311" s="184"/>
      <c r="AS311" s="128"/>
      <c r="AT311" s="184"/>
      <c r="AU311" s="128"/>
      <c r="AV311" s="184"/>
      <c r="AW311" s="128"/>
      <c r="AX311" s="184"/>
      <c r="AY311" s="111"/>
      <c r="AZ311" s="178"/>
      <c r="BC311" s="216"/>
      <c r="BD311" s="47"/>
      <c r="BF311" s="113"/>
      <c r="BG311" s="113"/>
      <c r="BH311" s="113"/>
      <c r="BI311" s="113"/>
      <c r="BJ311" s="113"/>
      <c r="BK311" s="113"/>
      <c r="BL311" s="5">
        <f t="shared" si="112"/>
        <v>0</v>
      </c>
    </row>
    <row r="312" spans="1:64" s="2" customFormat="1" ht="15.75" customHeight="1" outlineLevel="1" x14ac:dyDescent="0.2">
      <c r="A312" s="595"/>
      <c r="B312" s="602"/>
      <c r="C312" s="7" t="s">
        <v>1554</v>
      </c>
      <c r="D312" s="8"/>
      <c r="E312" s="23"/>
      <c r="F312" s="8"/>
      <c r="G312" s="8"/>
      <c r="H312" s="5">
        <f>H310</f>
        <v>0.95680856000000003</v>
      </c>
      <c r="I312" s="5">
        <f>I310</f>
        <v>0.45915100000000003</v>
      </c>
      <c r="J312" s="5">
        <f>J310</f>
        <v>0.45915100000000003</v>
      </c>
      <c r="K312" s="23"/>
      <c r="L312" s="8"/>
      <c r="M312" s="8"/>
      <c r="N312" s="8"/>
      <c r="O312" s="8"/>
      <c r="P312" s="8"/>
      <c r="Q312" s="23"/>
      <c r="R312" s="113"/>
      <c r="S312" s="113"/>
      <c r="T312" s="113"/>
      <c r="U312" s="113"/>
      <c r="V312" s="113"/>
      <c r="W312" s="113"/>
      <c r="X312" s="5">
        <f t="shared" si="98"/>
        <v>0</v>
      </c>
      <c r="Y312" s="302"/>
      <c r="Z312" s="5"/>
      <c r="AA312" s="94"/>
      <c r="AB312" s="311">
        <f t="shared" si="104"/>
        <v>0.45915100000000003</v>
      </c>
      <c r="AC312" s="296"/>
      <c r="AD312" s="113"/>
      <c r="AE312" s="5"/>
      <c r="AF312" s="5"/>
      <c r="AG312" s="5"/>
      <c r="AH312" s="5"/>
      <c r="AI312" s="5"/>
      <c r="AJ312" s="5"/>
      <c r="AK312" s="141"/>
      <c r="AL312" s="94"/>
      <c r="AM312" s="128"/>
      <c r="AN312" s="180"/>
      <c r="AO312" s="128"/>
      <c r="AP312" s="184"/>
      <c r="AQ312" s="128"/>
      <c r="AR312" s="184"/>
      <c r="AS312" s="128"/>
      <c r="AT312" s="184"/>
      <c r="AU312" s="128"/>
      <c r="AV312" s="184"/>
      <c r="AW312" s="128"/>
      <c r="AX312" s="184"/>
      <c r="AY312" s="111"/>
      <c r="AZ312" s="178"/>
      <c r="BC312" s="216"/>
      <c r="BD312" s="47"/>
      <c r="BF312" s="113"/>
      <c r="BG312" s="113"/>
      <c r="BH312" s="113"/>
      <c r="BI312" s="113"/>
      <c r="BJ312" s="113"/>
      <c r="BK312" s="113"/>
      <c r="BL312" s="5">
        <f t="shared" si="112"/>
        <v>0</v>
      </c>
    </row>
    <row r="313" spans="1:64" s="2" customFormat="1" ht="51" outlineLevel="1" x14ac:dyDescent="0.2">
      <c r="A313" s="593" t="s">
        <v>728</v>
      </c>
      <c r="B313" s="600" t="s">
        <v>367</v>
      </c>
      <c r="C313" s="7" t="s">
        <v>2247</v>
      </c>
      <c r="D313" s="8" t="s">
        <v>397</v>
      </c>
      <c r="E313" s="23" t="s">
        <v>333</v>
      </c>
      <c r="F313" s="8">
        <v>2011</v>
      </c>
      <c r="G313" s="8">
        <v>2014</v>
      </c>
      <c r="H313" s="5">
        <v>0.84600699999999995</v>
      </c>
      <c r="I313" s="5">
        <v>0.01</v>
      </c>
      <c r="J313" s="5">
        <f>R313</f>
        <v>0.01</v>
      </c>
      <c r="K313" s="23" t="s">
        <v>333</v>
      </c>
      <c r="L313" s="8"/>
      <c r="M313" s="8"/>
      <c r="N313" s="8"/>
      <c r="O313" s="8"/>
      <c r="P313" s="8"/>
      <c r="Q313" s="23" t="s">
        <v>333</v>
      </c>
      <c r="R313" s="113">
        <v>0.01</v>
      </c>
      <c r="S313" s="113"/>
      <c r="T313" s="113"/>
      <c r="U313" s="113"/>
      <c r="V313" s="113"/>
      <c r="W313" s="113"/>
      <c r="X313" s="5">
        <f t="shared" si="98"/>
        <v>0.01</v>
      </c>
      <c r="Y313" s="302">
        <f>H313-H314-H315</f>
        <v>0</v>
      </c>
      <c r="Z313" s="5">
        <f>I313-I314-I315</f>
        <v>0</v>
      </c>
      <c r="AA313" s="94">
        <f>J313-J314-J315</f>
        <v>0</v>
      </c>
      <c r="AB313" s="311">
        <f t="shared" si="104"/>
        <v>0</v>
      </c>
      <c r="AC313" s="296"/>
      <c r="AD313" s="113"/>
      <c r="AE313" s="5"/>
      <c r="AF313" s="5">
        <f>H313</f>
        <v>0.84600699999999995</v>
      </c>
      <c r="AG313" s="5"/>
      <c r="AH313" s="5"/>
      <c r="AI313" s="5"/>
      <c r="AJ313" s="5"/>
      <c r="AK313" s="141"/>
      <c r="AL313" s="94">
        <f>SUM(AF313:AK313)</f>
        <v>0.84600699999999995</v>
      </c>
      <c r="AM313" s="128">
        <v>0.3</v>
      </c>
      <c r="AN313" s="180">
        <v>0</v>
      </c>
      <c r="AO313" s="128"/>
      <c r="AP313" s="184"/>
      <c r="AQ313" s="128"/>
      <c r="AR313" s="184"/>
      <c r="AS313" s="128"/>
      <c r="AT313" s="184"/>
      <c r="AU313" s="128"/>
      <c r="AV313" s="184"/>
      <c r="AW313" s="128"/>
      <c r="AX313" s="184"/>
      <c r="AY313" s="111">
        <f t="shared" ref="AY313:AZ316" si="113">AM313+AO313+AQ313+AS313+AU313+AW313</f>
        <v>0.3</v>
      </c>
      <c r="AZ313" s="178">
        <f t="shared" si="113"/>
        <v>0</v>
      </c>
      <c r="BC313" s="216"/>
      <c r="BD313" s="47"/>
      <c r="BF313" s="113">
        <v>0.01</v>
      </c>
      <c r="BG313" s="113"/>
      <c r="BH313" s="113"/>
      <c r="BI313" s="113"/>
      <c r="BJ313" s="113"/>
      <c r="BK313" s="113"/>
      <c r="BL313" s="5">
        <f t="shared" si="112"/>
        <v>0.01</v>
      </c>
    </row>
    <row r="314" spans="1:64" s="2" customFormat="1" ht="15.75" customHeight="1" outlineLevel="1" x14ac:dyDescent="0.2">
      <c r="A314" s="594"/>
      <c r="B314" s="601"/>
      <c r="C314" s="7" t="s">
        <v>1553</v>
      </c>
      <c r="D314" s="8"/>
      <c r="E314" s="23"/>
      <c r="F314" s="8"/>
      <c r="G314" s="8"/>
      <c r="H314" s="5"/>
      <c r="I314" s="5"/>
      <c r="J314" s="5"/>
      <c r="K314" s="8"/>
      <c r="L314" s="23"/>
      <c r="M314" s="8"/>
      <c r="N314" s="8"/>
      <c r="O314" s="8"/>
      <c r="P314" s="8"/>
      <c r="Q314" s="23"/>
      <c r="R314" s="113"/>
      <c r="S314" s="113"/>
      <c r="T314" s="113"/>
      <c r="U314" s="113"/>
      <c r="V314" s="113"/>
      <c r="W314" s="113"/>
      <c r="X314" s="5">
        <f>SUM(R314:W314)</f>
        <v>0</v>
      </c>
      <c r="Y314" s="302"/>
      <c r="Z314" s="5"/>
      <c r="AA314" s="94"/>
      <c r="AB314" s="311">
        <f t="shared" si="104"/>
        <v>0</v>
      </c>
      <c r="AC314" s="296"/>
      <c r="AD314" s="113"/>
      <c r="AE314" s="5"/>
      <c r="AF314" s="5"/>
      <c r="AG314" s="5"/>
      <c r="AH314" s="5"/>
      <c r="AI314" s="5"/>
      <c r="AJ314" s="5"/>
      <c r="AK314" s="141"/>
      <c r="AL314" s="94"/>
      <c r="AM314" s="128"/>
      <c r="AN314" s="180"/>
      <c r="AO314" s="128"/>
      <c r="AP314" s="184"/>
      <c r="AQ314" s="128"/>
      <c r="AR314" s="184"/>
      <c r="AS314" s="128"/>
      <c r="AT314" s="184"/>
      <c r="AU314" s="128"/>
      <c r="AV314" s="184"/>
      <c r="AW314" s="128"/>
      <c r="AX314" s="184"/>
      <c r="AY314" s="111"/>
      <c r="AZ314" s="178"/>
      <c r="BC314" s="216"/>
      <c r="BD314" s="47"/>
      <c r="BF314" s="113"/>
      <c r="BG314" s="113"/>
      <c r="BH314" s="113"/>
      <c r="BI314" s="113"/>
      <c r="BJ314" s="113"/>
      <c r="BK314" s="113"/>
      <c r="BL314" s="5">
        <f>SUM(BF314:BK314)</f>
        <v>0</v>
      </c>
    </row>
    <row r="315" spans="1:64" s="2" customFormat="1" ht="15.75" customHeight="1" outlineLevel="1" x14ac:dyDescent="0.2">
      <c r="A315" s="595"/>
      <c r="B315" s="602"/>
      <c r="C315" s="7" t="s">
        <v>1554</v>
      </c>
      <c r="D315" s="8"/>
      <c r="E315" s="23"/>
      <c r="F315" s="8"/>
      <c r="G315" s="8"/>
      <c r="H315" s="5">
        <v>0.84600699999999995</v>
      </c>
      <c r="I315" s="5">
        <v>0.01</v>
      </c>
      <c r="J315" s="5">
        <v>0.01</v>
      </c>
      <c r="K315" s="23"/>
      <c r="L315" s="8"/>
      <c r="M315" s="8"/>
      <c r="N315" s="8"/>
      <c r="O315" s="8"/>
      <c r="P315" s="8"/>
      <c r="Q315" s="23"/>
      <c r="R315" s="113"/>
      <c r="S315" s="113"/>
      <c r="T315" s="113"/>
      <c r="U315" s="113"/>
      <c r="V315" s="113"/>
      <c r="W315" s="113"/>
      <c r="X315" s="5">
        <f>SUM(R315:W315)</f>
        <v>0</v>
      </c>
      <c r="Y315" s="302"/>
      <c r="Z315" s="5"/>
      <c r="AA315" s="94"/>
      <c r="AB315" s="311">
        <f t="shared" si="104"/>
        <v>0.01</v>
      </c>
      <c r="AC315" s="296"/>
      <c r="AD315" s="113"/>
      <c r="AE315" s="5"/>
      <c r="AF315" s="5"/>
      <c r="AG315" s="5"/>
      <c r="AH315" s="5"/>
      <c r="AI315" s="5"/>
      <c r="AJ315" s="5"/>
      <c r="AK315" s="141"/>
      <c r="AL315" s="94"/>
      <c r="AM315" s="128"/>
      <c r="AN315" s="180"/>
      <c r="AO315" s="128"/>
      <c r="AP315" s="184"/>
      <c r="AQ315" s="128"/>
      <c r="AR315" s="184"/>
      <c r="AS315" s="128"/>
      <c r="AT315" s="184"/>
      <c r="AU315" s="128"/>
      <c r="AV315" s="184"/>
      <c r="AW315" s="128"/>
      <c r="AX315" s="184"/>
      <c r="AY315" s="111"/>
      <c r="AZ315" s="178"/>
      <c r="BC315" s="216"/>
      <c r="BD315" s="47"/>
      <c r="BF315" s="113"/>
      <c r="BG315" s="113"/>
      <c r="BH315" s="113"/>
      <c r="BI315" s="113"/>
      <c r="BJ315" s="113"/>
      <c r="BK315" s="113"/>
      <c r="BL315" s="5">
        <f>SUM(BF315:BK315)</f>
        <v>0</v>
      </c>
    </row>
    <row r="316" spans="1:64" s="2" customFormat="1" ht="114.75" outlineLevel="1" x14ac:dyDescent="0.2">
      <c r="A316" s="593" t="s">
        <v>729</v>
      </c>
      <c r="B316" s="600" t="s">
        <v>368</v>
      </c>
      <c r="C316" s="7" t="s">
        <v>2248</v>
      </c>
      <c r="D316" s="8" t="s">
        <v>397</v>
      </c>
      <c r="E316" s="23" t="s">
        <v>15</v>
      </c>
      <c r="F316" s="8">
        <v>2011</v>
      </c>
      <c r="G316" s="8">
        <v>2014</v>
      </c>
      <c r="H316" s="5">
        <v>3.9870800000000002</v>
      </c>
      <c r="I316" s="5">
        <v>2</v>
      </c>
      <c r="J316" s="5">
        <f>R316</f>
        <v>2</v>
      </c>
      <c r="K316" s="23" t="s">
        <v>15</v>
      </c>
      <c r="L316" s="8"/>
      <c r="M316" s="8"/>
      <c r="N316" s="8"/>
      <c r="O316" s="8"/>
      <c r="P316" s="8"/>
      <c r="Q316" s="23" t="s">
        <v>15</v>
      </c>
      <c r="R316" s="113">
        <v>2</v>
      </c>
      <c r="S316" s="113"/>
      <c r="T316" s="113"/>
      <c r="U316" s="113"/>
      <c r="V316" s="113"/>
      <c r="W316" s="113"/>
      <c r="X316" s="5">
        <f t="shared" si="98"/>
        <v>2</v>
      </c>
      <c r="Y316" s="302">
        <f>H316-H317-H318</f>
        <v>0</v>
      </c>
      <c r="Z316" s="5">
        <f>I316-I317-I318</f>
        <v>0</v>
      </c>
      <c r="AA316" s="94">
        <f>J316-J317-J318</f>
        <v>0</v>
      </c>
      <c r="AB316" s="311">
        <f t="shared" si="104"/>
        <v>0</v>
      </c>
      <c r="AC316" s="296"/>
      <c r="AD316" s="113"/>
      <c r="AE316" s="5"/>
      <c r="AF316" s="5">
        <f>H316</f>
        <v>3.9870800000000002</v>
      </c>
      <c r="AG316" s="5"/>
      <c r="AH316" s="5"/>
      <c r="AI316" s="5"/>
      <c r="AJ316" s="5"/>
      <c r="AK316" s="141"/>
      <c r="AL316" s="94">
        <f>SUM(AF316:AK316)</f>
        <v>3.9870800000000002</v>
      </c>
      <c r="AM316" s="128">
        <v>2</v>
      </c>
      <c r="AN316" s="180">
        <v>0.25</v>
      </c>
      <c r="AO316" s="128"/>
      <c r="AP316" s="184"/>
      <c r="AQ316" s="128"/>
      <c r="AR316" s="184"/>
      <c r="AS316" s="128"/>
      <c r="AT316" s="184"/>
      <c r="AU316" s="128"/>
      <c r="AV316" s="184"/>
      <c r="AW316" s="128"/>
      <c r="AX316" s="184"/>
      <c r="AY316" s="111">
        <f t="shared" si="113"/>
        <v>2</v>
      </c>
      <c r="AZ316" s="178">
        <f t="shared" si="113"/>
        <v>0.25</v>
      </c>
      <c r="BC316" s="216"/>
      <c r="BD316" s="47"/>
      <c r="BF316" s="113">
        <v>2</v>
      </c>
      <c r="BG316" s="113"/>
      <c r="BH316" s="113"/>
      <c r="BI316" s="113"/>
      <c r="BJ316" s="113"/>
      <c r="BK316" s="113"/>
      <c r="BL316" s="5">
        <f t="shared" ref="BL316:BL322" si="114">SUM(BF316:BK316)</f>
        <v>2</v>
      </c>
    </row>
    <row r="317" spans="1:64" s="2" customFormat="1" ht="15.75" customHeight="1" outlineLevel="1" x14ac:dyDescent="0.2">
      <c r="A317" s="594"/>
      <c r="B317" s="601"/>
      <c r="C317" s="7" t="s">
        <v>1553</v>
      </c>
      <c r="D317" s="8"/>
      <c r="E317" s="23"/>
      <c r="F317" s="8"/>
      <c r="G317" s="8"/>
      <c r="H317" s="5"/>
      <c r="I317" s="5"/>
      <c r="J317" s="5"/>
      <c r="K317" s="8"/>
      <c r="L317" s="23"/>
      <c r="M317" s="8"/>
      <c r="N317" s="8"/>
      <c r="O317" s="8"/>
      <c r="P317" s="8"/>
      <c r="Q317" s="23"/>
      <c r="R317" s="113"/>
      <c r="S317" s="113"/>
      <c r="T317" s="113"/>
      <c r="U317" s="113"/>
      <c r="V317" s="113"/>
      <c r="W317" s="113"/>
      <c r="X317" s="5">
        <f t="shared" si="98"/>
        <v>0</v>
      </c>
      <c r="Y317" s="302"/>
      <c r="Z317" s="5"/>
      <c r="AA317" s="94"/>
      <c r="AB317" s="311">
        <f t="shared" si="104"/>
        <v>0</v>
      </c>
      <c r="AC317" s="296"/>
      <c r="AD317" s="113"/>
      <c r="AE317" s="5"/>
      <c r="AF317" s="5"/>
      <c r="AG317" s="5"/>
      <c r="AH317" s="5"/>
      <c r="AI317" s="5"/>
      <c r="AJ317" s="5"/>
      <c r="AK317" s="141"/>
      <c r="AL317" s="94"/>
      <c r="AM317" s="128"/>
      <c r="AN317" s="180"/>
      <c r="AO317" s="128"/>
      <c r="AP317" s="184"/>
      <c r="AQ317" s="128"/>
      <c r="AR317" s="184"/>
      <c r="AS317" s="128"/>
      <c r="AT317" s="184"/>
      <c r="AU317" s="128"/>
      <c r="AV317" s="184"/>
      <c r="AW317" s="128"/>
      <c r="AX317" s="184"/>
      <c r="AY317" s="111"/>
      <c r="AZ317" s="178"/>
      <c r="BC317" s="216"/>
      <c r="BD317" s="47"/>
      <c r="BF317" s="113"/>
      <c r="BG317" s="113"/>
      <c r="BH317" s="113"/>
      <c r="BI317" s="113"/>
      <c r="BJ317" s="113"/>
      <c r="BK317" s="113"/>
      <c r="BL317" s="5">
        <f t="shared" si="114"/>
        <v>0</v>
      </c>
    </row>
    <row r="318" spans="1:64" s="2" customFormat="1" ht="15.75" customHeight="1" outlineLevel="1" x14ac:dyDescent="0.2">
      <c r="A318" s="595"/>
      <c r="B318" s="602"/>
      <c r="C318" s="7" t="s">
        <v>1554</v>
      </c>
      <c r="D318" s="8"/>
      <c r="E318" s="23"/>
      <c r="F318" s="8"/>
      <c r="G318" s="8"/>
      <c r="H318" s="5">
        <v>3.9870800000000002</v>
      </c>
      <c r="I318" s="5">
        <v>2</v>
      </c>
      <c r="J318" s="5">
        <v>2</v>
      </c>
      <c r="K318" s="23"/>
      <c r="L318" s="8"/>
      <c r="M318" s="8"/>
      <c r="N318" s="8"/>
      <c r="O318" s="8"/>
      <c r="P318" s="8"/>
      <c r="Q318" s="23"/>
      <c r="R318" s="113"/>
      <c r="S318" s="113"/>
      <c r="T318" s="113"/>
      <c r="U318" s="113"/>
      <c r="V318" s="113"/>
      <c r="W318" s="113"/>
      <c r="X318" s="5">
        <f t="shared" si="98"/>
        <v>0</v>
      </c>
      <c r="Y318" s="302"/>
      <c r="Z318" s="5"/>
      <c r="AA318" s="94"/>
      <c r="AB318" s="311">
        <f t="shared" si="104"/>
        <v>2</v>
      </c>
      <c r="AC318" s="296"/>
      <c r="AD318" s="113"/>
      <c r="AE318" s="5"/>
      <c r="AF318" s="5"/>
      <c r="AG318" s="5"/>
      <c r="AH318" s="5"/>
      <c r="AI318" s="5"/>
      <c r="AJ318" s="5"/>
      <c r="AK318" s="141"/>
      <c r="AL318" s="94"/>
      <c r="AM318" s="128"/>
      <c r="AN318" s="180"/>
      <c r="AO318" s="128"/>
      <c r="AP318" s="184"/>
      <c r="AQ318" s="128"/>
      <c r="AR318" s="184"/>
      <c r="AS318" s="128"/>
      <c r="AT318" s="184"/>
      <c r="AU318" s="128"/>
      <c r="AV318" s="184"/>
      <c r="AW318" s="128"/>
      <c r="AX318" s="184"/>
      <c r="AY318" s="111"/>
      <c r="AZ318" s="178"/>
      <c r="BC318" s="216"/>
      <c r="BD318" s="47"/>
      <c r="BF318" s="113"/>
      <c r="BG318" s="113"/>
      <c r="BH318" s="113"/>
      <c r="BI318" s="113"/>
      <c r="BJ318" s="113"/>
      <c r="BK318" s="113"/>
      <c r="BL318" s="5">
        <f t="shared" si="114"/>
        <v>0</v>
      </c>
    </row>
    <row r="319" spans="1:64" s="2" customFormat="1" ht="82.5" customHeight="1" outlineLevel="1" x14ac:dyDescent="0.2">
      <c r="A319" s="593" t="s">
        <v>730</v>
      </c>
      <c r="B319" s="600" t="s">
        <v>369</v>
      </c>
      <c r="C319" s="7" t="s">
        <v>170</v>
      </c>
      <c r="D319" s="8" t="s">
        <v>397</v>
      </c>
      <c r="E319" s="23" t="s">
        <v>344</v>
      </c>
      <c r="F319" s="8">
        <v>2011</v>
      </c>
      <c r="G319" s="8">
        <v>2014</v>
      </c>
      <c r="H319" s="5">
        <v>1.2061929300000001</v>
      </c>
      <c r="I319" s="5">
        <v>0.01</v>
      </c>
      <c r="J319" s="5">
        <f>R319</f>
        <v>0.01</v>
      </c>
      <c r="K319" s="23" t="s">
        <v>344</v>
      </c>
      <c r="L319" s="8"/>
      <c r="M319" s="8"/>
      <c r="N319" s="8"/>
      <c r="O319" s="8"/>
      <c r="P319" s="8"/>
      <c r="Q319" s="23" t="s">
        <v>344</v>
      </c>
      <c r="R319" s="113">
        <v>0.01</v>
      </c>
      <c r="S319" s="113"/>
      <c r="T319" s="113"/>
      <c r="U319" s="113"/>
      <c r="V319" s="113"/>
      <c r="W319" s="113"/>
      <c r="X319" s="5">
        <f t="shared" si="98"/>
        <v>0.01</v>
      </c>
      <c r="Y319" s="302">
        <f>H319-H320-H321</f>
        <v>0</v>
      </c>
      <c r="Z319" s="5">
        <f>I319-I320-I321</f>
        <v>0</v>
      </c>
      <c r="AA319" s="94">
        <f>J319-J320-J321</f>
        <v>0</v>
      </c>
      <c r="AB319" s="311">
        <f t="shared" si="104"/>
        <v>0</v>
      </c>
      <c r="AC319" s="296"/>
      <c r="AD319" s="113"/>
      <c r="AE319" s="5"/>
      <c r="AF319" s="5">
        <f>H319</f>
        <v>1.2061929300000001</v>
      </c>
      <c r="AG319" s="5"/>
      <c r="AH319" s="5"/>
      <c r="AI319" s="5"/>
      <c r="AJ319" s="5"/>
      <c r="AK319" s="141"/>
      <c r="AL319" s="94">
        <f>SUM(AF319:AK319)</f>
        <v>1.2061929300000001</v>
      </c>
      <c r="AM319" s="128">
        <v>0</v>
      </c>
      <c r="AN319" s="180">
        <v>0.4</v>
      </c>
      <c r="AO319" s="128"/>
      <c r="AP319" s="184"/>
      <c r="AQ319" s="128"/>
      <c r="AR319" s="184"/>
      <c r="AS319" s="128"/>
      <c r="AT319" s="184"/>
      <c r="AU319" s="128"/>
      <c r="AV319" s="184"/>
      <c r="AW319" s="128"/>
      <c r="AX319" s="184"/>
      <c r="AY319" s="111">
        <f>AM319+AO319+AQ319+AS319+AU319+AW319</f>
        <v>0</v>
      </c>
      <c r="AZ319" s="178">
        <f>AN319+AP319+AR319+AT319+AV319+AX319</f>
        <v>0.4</v>
      </c>
      <c r="BC319" s="216"/>
      <c r="BD319" s="47"/>
      <c r="BF319" s="113">
        <v>0.01</v>
      </c>
      <c r="BG319" s="113"/>
      <c r="BH319" s="113"/>
      <c r="BI319" s="113"/>
      <c r="BJ319" s="113"/>
      <c r="BK319" s="113"/>
      <c r="BL319" s="5">
        <f t="shared" si="114"/>
        <v>0.01</v>
      </c>
    </row>
    <row r="320" spans="1:64" s="2" customFormat="1" ht="15.75" customHeight="1" outlineLevel="1" x14ac:dyDescent="0.2">
      <c r="A320" s="594"/>
      <c r="B320" s="601"/>
      <c r="C320" s="7" t="s">
        <v>1553</v>
      </c>
      <c r="D320" s="8"/>
      <c r="E320" s="23"/>
      <c r="F320" s="8"/>
      <c r="G320" s="8"/>
      <c r="H320" s="5"/>
      <c r="I320" s="5"/>
      <c r="J320" s="5"/>
      <c r="K320" s="8"/>
      <c r="L320" s="23"/>
      <c r="M320" s="8"/>
      <c r="N320" s="8"/>
      <c r="O320" s="8"/>
      <c r="P320" s="8"/>
      <c r="Q320" s="23"/>
      <c r="R320" s="113"/>
      <c r="S320" s="113"/>
      <c r="T320" s="113"/>
      <c r="U320" s="113"/>
      <c r="V320" s="113"/>
      <c r="W320" s="113"/>
      <c r="X320" s="5">
        <f t="shared" si="98"/>
        <v>0</v>
      </c>
      <c r="Y320" s="302"/>
      <c r="Z320" s="5"/>
      <c r="AA320" s="94"/>
      <c r="AB320" s="311">
        <f t="shared" si="104"/>
        <v>0</v>
      </c>
      <c r="AC320" s="296"/>
      <c r="AD320" s="113"/>
      <c r="AE320" s="5"/>
      <c r="AF320" s="5"/>
      <c r="AG320" s="5"/>
      <c r="AH320" s="5"/>
      <c r="AI320" s="5"/>
      <c r="AJ320" s="5"/>
      <c r="AK320" s="141"/>
      <c r="AL320" s="94"/>
      <c r="AM320" s="128"/>
      <c r="AN320" s="180"/>
      <c r="AO320" s="128"/>
      <c r="AP320" s="184"/>
      <c r="AQ320" s="128"/>
      <c r="AR320" s="184"/>
      <c r="AS320" s="128"/>
      <c r="AT320" s="184"/>
      <c r="AU320" s="128"/>
      <c r="AV320" s="184"/>
      <c r="AW320" s="128"/>
      <c r="AX320" s="184"/>
      <c r="AY320" s="111"/>
      <c r="AZ320" s="178"/>
      <c r="BC320" s="216"/>
      <c r="BD320" s="47"/>
      <c r="BF320" s="113"/>
      <c r="BG320" s="113"/>
      <c r="BH320" s="113"/>
      <c r="BI320" s="113"/>
      <c r="BJ320" s="113"/>
      <c r="BK320" s="113"/>
      <c r="BL320" s="5">
        <f t="shared" si="114"/>
        <v>0</v>
      </c>
    </row>
    <row r="321" spans="1:64" s="2" customFormat="1" ht="15.75" customHeight="1" outlineLevel="1" x14ac:dyDescent="0.2">
      <c r="A321" s="595"/>
      <c r="B321" s="602"/>
      <c r="C321" s="7" t="s">
        <v>1554</v>
      </c>
      <c r="D321" s="8"/>
      <c r="E321" s="23"/>
      <c r="F321" s="8"/>
      <c r="G321" s="8"/>
      <c r="H321" s="5">
        <f>H319</f>
        <v>1.2061929300000001</v>
      </c>
      <c r="I321" s="5">
        <f>I319</f>
        <v>0.01</v>
      </c>
      <c r="J321" s="5">
        <f>J319</f>
        <v>0.01</v>
      </c>
      <c r="K321" s="23"/>
      <c r="L321" s="8"/>
      <c r="M321" s="8"/>
      <c r="N321" s="8"/>
      <c r="O321" s="8"/>
      <c r="P321" s="8"/>
      <c r="Q321" s="23"/>
      <c r="R321" s="113"/>
      <c r="S321" s="113"/>
      <c r="T321" s="113"/>
      <c r="U321" s="113"/>
      <c r="V321" s="113"/>
      <c r="W321" s="113"/>
      <c r="X321" s="5">
        <f t="shared" si="98"/>
        <v>0</v>
      </c>
      <c r="Y321" s="302"/>
      <c r="Z321" s="5"/>
      <c r="AA321" s="94"/>
      <c r="AB321" s="311">
        <f t="shared" si="104"/>
        <v>0.01</v>
      </c>
      <c r="AC321" s="296"/>
      <c r="AD321" s="113"/>
      <c r="AE321" s="5"/>
      <c r="AF321" s="5"/>
      <c r="AG321" s="5"/>
      <c r="AH321" s="5"/>
      <c r="AI321" s="5"/>
      <c r="AJ321" s="5"/>
      <c r="AK321" s="141"/>
      <c r="AL321" s="94"/>
      <c r="AM321" s="128"/>
      <c r="AN321" s="180"/>
      <c r="AO321" s="128"/>
      <c r="AP321" s="184"/>
      <c r="AQ321" s="128"/>
      <c r="AR321" s="184"/>
      <c r="AS321" s="128"/>
      <c r="AT321" s="184"/>
      <c r="AU321" s="128"/>
      <c r="AV321" s="184"/>
      <c r="AW321" s="128"/>
      <c r="AX321" s="184"/>
      <c r="AY321" s="111"/>
      <c r="AZ321" s="178"/>
      <c r="BC321" s="216"/>
      <c r="BD321" s="47"/>
      <c r="BF321" s="113"/>
      <c r="BG321" s="113"/>
      <c r="BH321" s="113"/>
      <c r="BI321" s="113"/>
      <c r="BJ321" s="113"/>
      <c r="BK321" s="113"/>
      <c r="BL321" s="5">
        <f t="shared" si="114"/>
        <v>0</v>
      </c>
    </row>
    <row r="322" spans="1:64" s="2" customFormat="1" ht="25.5" outlineLevel="1" x14ac:dyDescent="0.2">
      <c r="A322" s="593" t="s">
        <v>731</v>
      </c>
      <c r="B322" s="600" t="s">
        <v>370</v>
      </c>
      <c r="C322" s="7" t="s">
        <v>1511</v>
      </c>
      <c r="D322" s="8" t="s">
        <v>397</v>
      </c>
      <c r="E322" s="23" t="s">
        <v>345</v>
      </c>
      <c r="F322" s="8">
        <v>2011</v>
      </c>
      <c r="G322" s="8">
        <v>2014</v>
      </c>
      <c r="H322" s="5">
        <v>4.34391821</v>
      </c>
      <c r="I322" s="5">
        <v>1.5</v>
      </c>
      <c r="J322" s="5">
        <f>R322</f>
        <v>1.5</v>
      </c>
      <c r="K322" s="23" t="s">
        <v>345</v>
      </c>
      <c r="L322" s="8"/>
      <c r="M322" s="8"/>
      <c r="N322" s="8"/>
      <c r="O322" s="8"/>
      <c r="P322" s="8"/>
      <c r="Q322" s="23" t="s">
        <v>345</v>
      </c>
      <c r="R322" s="113">
        <v>1.5</v>
      </c>
      <c r="S322" s="113"/>
      <c r="T322" s="113"/>
      <c r="U322" s="113"/>
      <c r="V322" s="113"/>
      <c r="W322" s="113"/>
      <c r="X322" s="5">
        <f t="shared" si="98"/>
        <v>1.5</v>
      </c>
      <c r="Y322" s="302">
        <f>H322-H323-H324</f>
        <v>0</v>
      </c>
      <c r="Z322" s="5">
        <f>I322-I323-I324</f>
        <v>0</v>
      </c>
      <c r="AA322" s="94">
        <f>J322-J323-J324</f>
        <v>0</v>
      </c>
      <c r="AB322" s="311">
        <f t="shared" si="104"/>
        <v>0</v>
      </c>
      <c r="AC322" s="296"/>
      <c r="AD322" s="113"/>
      <c r="AE322" s="5"/>
      <c r="AF322" s="5">
        <f>H322</f>
        <v>4.34391821</v>
      </c>
      <c r="AG322" s="5"/>
      <c r="AH322" s="5"/>
      <c r="AI322" s="5"/>
      <c r="AJ322" s="5"/>
      <c r="AK322" s="141"/>
      <c r="AL322" s="94">
        <f>SUM(AF322:AK322)</f>
        <v>4.34391821</v>
      </c>
      <c r="AM322" s="128">
        <v>1.5</v>
      </c>
      <c r="AN322" s="180">
        <v>0.25</v>
      </c>
      <c r="AO322" s="128"/>
      <c r="AP322" s="184"/>
      <c r="AQ322" s="128"/>
      <c r="AR322" s="184"/>
      <c r="AS322" s="128"/>
      <c r="AT322" s="184"/>
      <c r="AU322" s="128"/>
      <c r="AV322" s="184"/>
      <c r="AW322" s="128"/>
      <c r="AX322" s="184"/>
      <c r="AY322" s="111">
        <f t="shared" ref="AY322:AZ325" si="115">AM322+AO322+AQ322+AS322+AU322+AW322</f>
        <v>1.5</v>
      </c>
      <c r="AZ322" s="178">
        <f t="shared" si="115"/>
        <v>0.25</v>
      </c>
      <c r="BC322" s="216"/>
      <c r="BD322" s="47"/>
      <c r="BF322" s="113">
        <v>1.5</v>
      </c>
      <c r="BG322" s="113"/>
      <c r="BH322" s="113"/>
      <c r="BI322" s="113"/>
      <c r="BJ322" s="113"/>
      <c r="BK322" s="113"/>
      <c r="BL322" s="5">
        <f t="shared" si="114"/>
        <v>1.5</v>
      </c>
    </row>
    <row r="323" spans="1:64" s="2" customFormat="1" ht="15.75" customHeight="1" outlineLevel="1" x14ac:dyDescent="0.2">
      <c r="A323" s="594"/>
      <c r="B323" s="601"/>
      <c r="C323" s="7" t="s">
        <v>1553</v>
      </c>
      <c r="D323" s="8"/>
      <c r="E323" s="23"/>
      <c r="F323" s="8"/>
      <c r="G323" s="8"/>
      <c r="H323" s="5"/>
      <c r="I323" s="5"/>
      <c r="J323" s="5"/>
      <c r="K323" s="8"/>
      <c r="L323" s="23"/>
      <c r="M323" s="8"/>
      <c r="N323" s="8"/>
      <c r="O323" s="8"/>
      <c r="P323" s="8"/>
      <c r="Q323" s="23"/>
      <c r="R323" s="113"/>
      <c r="S323" s="113"/>
      <c r="T323" s="113"/>
      <c r="U323" s="113"/>
      <c r="V323" s="113"/>
      <c r="W323" s="113"/>
      <c r="X323" s="5">
        <f>SUM(R323:W323)</f>
        <v>0</v>
      </c>
      <c r="Y323" s="302"/>
      <c r="Z323" s="5"/>
      <c r="AA323" s="94"/>
      <c r="AB323" s="311">
        <f t="shared" si="104"/>
        <v>0</v>
      </c>
      <c r="AC323" s="296"/>
      <c r="AD323" s="113"/>
      <c r="AE323" s="5"/>
      <c r="AF323" s="5"/>
      <c r="AG323" s="5"/>
      <c r="AH323" s="5"/>
      <c r="AI323" s="5"/>
      <c r="AJ323" s="5"/>
      <c r="AK323" s="141"/>
      <c r="AL323" s="94"/>
      <c r="AM323" s="128"/>
      <c r="AN323" s="180"/>
      <c r="AO323" s="128"/>
      <c r="AP323" s="184"/>
      <c r="AQ323" s="128"/>
      <c r="AR323" s="184"/>
      <c r="AS323" s="128"/>
      <c r="AT323" s="184"/>
      <c r="AU323" s="128"/>
      <c r="AV323" s="184"/>
      <c r="AW323" s="128"/>
      <c r="AX323" s="184"/>
      <c r="AY323" s="111"/>
      <c r="AZ323" s="178"/>
      <c r="BC323" s="216"/>
      <c r="BD323" s="47"/>
      <c r="BF323" s="113"/>
      <c r="BG323" s="113"/>
      <c r="BH323" s="113"/>
      <c r="BI323" s="113"/>
      <c r="BJ323" s="113"/>
      <c r="BK323" s="113"/>
      <c r="BL323" s="5">
        <f>SUM(BF323:BK323)</f>
        <v>0</v>
      </c>
    </row>
    <row r="324" spans="1:64" s="2" customFormat="1" ht="15.75" customHeight="1" outlineLevel="1" x14ac:dyDescent="0.2">
      <c r="A324" s="595"/>
      <c r="B324" s="602"/>
      <c r="C324" s="7" t="s">
        <v>1554</v>
      </c>
      <c r="D324" s="8"/>
      <c r="E324" s="23"/>
      <c r="F324" s="8"/>
      <c r="G324" s="8"/>
      <c r="H324" s="5">
        <f>H322</f>
        <v>4.34391821</v>
      </c>
      <c r="I324" s="5">
        <f>I322</f>
        <v>1.5</v>
      </c>
      <c r="J324" s="5">
        <f>J322</f>
        <v>1.5</v>
      </c>
      <c r="K324" s="23"/>
      <c r="L324" s="8"/>
      <c r="M324" s="8"/>
      <c r="N324" s="8"/>
      <c r="O324" s="8"/>
      <c r="P324" s="8"/>
      <c r="Q324" s="23"/>
      <c r="R324" s="113"/>
      <c r="S324" s="113"/>
      <c r="T324" s="113"/>
      <c r="U324" s="113"/>
      <c r="V324" s="113"/>
      <c r="W324" s="113"/>
      <c r="X324" s="5">
        <f>SUM(R324:W324)</f>
        <v>0</v>
      </c>
      <c r="Y324" s="302"/>
      <c r="Z324" s="5"/>
      <c r="AA324" s="94"/>
      <c r="AB324" s="311">
        <f t="shared" si="104"/>
        <v>1.5</v>
      </c>
      <c r="AC324" s="296"/>
      <c r="AD324" s="113"/>
      <c r="AE324" s="5"/>
      <c r="AF324" s="5"/>
      <c r="AG324" s="5"/>
      <c r="AH324" s="5"/>
      <c r="AI324" s="5"/>
      <c r="AJ324" s="5"/>
      <c r="AK324" s="141"/>
      <c r="AL324" s="94"/>
      <c r="AM324" s="128"/>
      <c r="AN324" s="180"/>
      <c r="AO324" s="128"/>
      <c r="AP324" s="184"/>
      <c r="AQ324" s="128"/>
      <c r="AR324" s="184"/>
      <c r="AS324" s="128"/>
      <c r="AT324" s="184"/>
      <c r="AU324" s="128"/>
      <c r="AV324" s="184"/>
      <c r="AW324" s="128"/>
      <c r="AX324" s="184"/>
      <c r="AY324" s="111"/>
      <c r="AZ324" s="178"/>
      <c r="BC324" s="216"/>
      <c r="BD324" s="47"/>
      <c r="BF324" s="113"/>
      <c r="BG324" s="113"/>
      <c r="BH324" s="113"/>
      <c r="BI324" s="113"/>
      <c r="BJ324" s="113"/>
      <c r="BK324" s="113"/>
      <c r="BL324" s="5">
        <f>SUM(BF324:BK324)</f>
        <v>0</v>
      </c>
    </row>
    <row r="325" spans="1:64" s="2" customFormat="1" ht="76.5" outlineLevel="1" x14ac:dyDescent="0.2">
      <c r="A325" s="593" t="s">
        <v>732</v>
      </c>
      <c r="B325" s="600" t="s">
        <v>371</v>
      </c>
      <c r="C325" s="7" t="s">
        <v>1400</v>
      </c>
      <c r="D325" s="8" t="s">
        <v>397</v>
      </c>
      <c r="E325" s="23" t="s">
        <v>333</v>
      </c>
      <c r="F325" s="8">
        <v>2011</v>
      </c>
      <c r="G325" s="8">
        <v>2014</v>
      </c>
      <c r="H325" s="5">
        <v>0.44025500000000001</v>
      </c>
      <c r="I325" s="5">
        <v>0.16159999999999999</v>
      </c>
      <c r="J325" s="5">
        <f>R325</f>
        <v>0.16159999999999999</v>
      </c>
      <c r="K325" s="23" t="s">
        <v>333</v>
      </c>
      <c r="L325" s="8"/>
      <c r="M325" s="8"/>
      <c r="N325" s="8"/>
      <c r="O325" s="8"/>
      <c r="P325" s="8"/>
      <c r="Q325" s="23" t="s">
        <v>333</v>
      </c>
      <c r="R325" s="113">
        <v>0.16159999999999999</v>
      </c>
      <c r="S325" s="113"/>
      <c r="T325" s="113"/>
      <c r="U325" s="113"/>
      <c r="V325" s="113"/>
      <c r="W325" s="113"/>
      <c r="X325" s="5">
        <f t="shared" si="98"/>
        <v>0.16159999999999999</v>
      </c>
      <c r="Y325" s="302">
        <f>H325-H326-H327</f>
        <v>0</v>
      </c>
      <c r="Z325" s="5">
        <f>I325-I326-I327</f>
        <v>0</v>
      </c>
      <c r="AA325" s="94">
        <f>J325-J326-J327</f>
        <v>0</v>
      </c>
      <c r="AB325" s="311">
        <f t="shared" si="104"/>
        <v>0</v>
      </c>
      <c r="AC325" s="296"/>
      <c r="AD325" s="113"/>
      <c r="AE325" s="5"/>
      <c r="AF325" s="5">
        <f>H325</f>
        <v>0.44025500000000001</v>
      </c>
      <c r="AG325" s="5"/>
      <c r="AH325" s="5"/>
      <c r="AI325" s="5"/>
      <c r="AJ325" s="5"/>
      <c r="AK325" s="141"/>
      <c r="AL325" s="94">
        <f>SUM(AF325:AK325)</f>
        <v>0.44025500000000001</v>
      </c>
      <c r="AM325" s="128">
        <v>0.3</v>
      </c>
      <c r="AN325" s="180">
        <v>0</v>
      </c>
      <c r="AO325" s="128"/>
      <c r="AP325" s="184"/>
      <c r="AQ325" s="128"/>
      <c r="AR325" s="184"/>
      <c r="AS325" s="128"/>
      <c r="AT325" s="184"/>
      <c r="AU325" s="128"/>
      <c r="AV325" s="184"/>
      <c r="AW325" s="128"/>
      <c r="AX325" s="184"/>
      <c r="AY325" s="111">
        <f t="shared" si="115"/>
        <v>0.3</v>
      </c>
      <c r="AZ325" s="178">
        <f t="shared" si="115"/>
        <v>0</v>
      </c>
      <c r="BC325" s="216"/>
      <c r="BD325" s="47"/>
      <c r="BF325" s="113">
        <v>0.16159999999999999</v>
      </c>
      <c r="BG325" s="113"/>
      <c r="BH325" s="113"/>
      <c r="BI325" s="113"/>
      <c r="BJ325" s="113"/>
      <c r="BK325" s="113"/>
      <c r="BL325" s="5">
        <f t="shared" ref="BL325:BL331" si="116">SUM(BF325:BK325)</f>
        <v>0.16159999999999999</v>
      </c>
    </row>
    <row r="326" spans="1:64" s="2" customFormat="1" ht="15.75" customHeight="1" outlineLevel="1" x14ac:dyDescent="0.2">
      <c r="A326" s="594"/>
      <c r="B326" s="601"/>
      <c r="C326" s="7" t="s">
        <v>1553</v>
      </c>
      <c r="D326" s="8"/>
      <c r="E326" s="23"/>
      <c r="F326" s="8"/>
      <c r="G326" s="8"/>
      <c r="H326" s="5"/>
      <c r="I326" s="5"/>
      <c r="J326" s="5"/>
      <c r="K326" s="8"/>
      <c r="L326" s="23"/>
      <c r="M326" s="8"/>
      <c r="N326" s="8"/>
      <c r="O326" s="8"/>
      <c r="P326" s="8"/>
      <c r="Q326" s="23"/>
      <c r="R326" s="113"/>
      <c r="S326" s="113"/>
      <c r="T326" s="113"/>
      <c r="U326" s="113"/>
      <c r="V326" s="113"/>
      <c r="W326" s="113"/>
      <c r="X326" s="5">
        <f t="shared" si="98"/>
        <v>0</v>
      </c>
      <c r="Y326" s="302"/>
      <c r="Z326" s="5"/>
      <c r="AA326" s="94"/>
      <c r="AB326" s="311">
        <f t="shared" si="104"/>
        <v>0</v>
      </c>
      <c r="AC326" s="296"/>
      <c r="AD326" s="113"/>
      <c r="AE326" s="5"/>
      <c r="AF326" s="5"/>
      <c r="AG326" s="5"/>
      <c r="AH326" s="5"/>
      <c r="AI326" s="5"/>
      <c r="AJ326" s="5"/>
      <c r="AK326" s="141"/>
      <c r="AL326" s="94"/>
      <c r="AM326" s="128"/>
      <c r="AN326" s="180"/>
      <c r="AO326" s="128"/>
      <c r="AP326" s="184"/>
      <c r="AQ326" s="128"/>
      <c r="AR326" s="184"/>
      <c r="AS326" s="128"/>
      <c r="AT326" s="184"/>
      <c r="AU326" s="128"/>
      <c r="AV326" s="184"/>
      <c r="AW326" s="128"/>
      <c r="AX326" s="184"/>
      <c r="AY326" s="111"/>
      <c r="AZ326" s="178"/>
      <c r="BC326" s="216"/>
      <c r="BD326" s="47"/>
      <c r="BF326" s="113"/>
      <c r="BG326" s="113"/>
      <c r="BH326" s="113"/>
      <c r="BI326" s="113"/>
      <c r="BJ326" s="113"/>
      <c r="BK326" s="113"/>
      <c r="BL326" s="5">
        <f t="shared" si="116"/>
        <v>0</v>
      </c>
    </row>
    <row r="327" spans="1:64" s="2" customFormat="1" ht="15.75" customHeight="1" outlineLevel="1" x14ac:dyDescent="0.2">
      <c r="A327" s="595"/>
      <c r="B327" s="602"/>
      <c r="C327" s="7" t="s">
        <v>1554</v>
      </c>
      <c r="D327" s="8"/>
      <c r="E327" s="23"/>
      <c r="F327" s="8"/>
      <c r="G327" s="8"/>
      <c r="H327" s="5">
        <v>0.44025500000000001</v>
      </c>
      <c r="I327" s="5">
        <f>I325</f>
        <v>0.16159999999999999</v>
      </c>
      <c r="J327" s="5">
        <v>0.16159999999999999</v>
      </c>
      <c r="K327" s="23"/>
      <c r="L327" s="8"/>
      <c r="M327" s="8"/>
      <c r="N327" s="8"/>
      <c r="O327" s="8"/>
      <c r="P327" s="8"/>
      <c r="Q327" s="23"/>
      <c r="R327" s="113"/>
      <c r="S327" s="113"/>
      <c r="T327" s="113"/>
      <c r="U327" s="113"/>
      <c r="V327" s="113"/>
      <c r="W327" s="113"/>
      <c r="X327" s="5">
        <f t="shared" si="98"/>
        <v>0</v>
      </c>
      <c r="Y327" s="302"/>
      <c r="Z327" s="5"/>
      <c r="AA327" s="94"/>
      <c r="AB327" s="311">
        <f t="shared" si="104"/>
        <v>0.16159999999999999</v>
      </c>
      <c r="AC327" s="296"/>
      <c r="AD327" s="113"/>
      <c r="AE327" s="5"/>
      <c r="AF327" s="5"/>
      <c r="AG327" s="5"/>
      <c r="AH327" s="5"/>
      <c r="AI327" s="5"/>
      <c r="AJ327" s="5"/>
      <c r="AK327" s="141"/>
      <c r="AL327" s="94"/>
      <c r="AM327" s="128"/>
      <c r="AN327" s="180"/>
      <c r="AO327" s="128"/>
      <c r="AP327" s="184"/>
      <c r="AQ327" s="128"/>
      <c r="AR327" s="184"/>
      <c r="AS327" s="128"/>
      <c r="AT327" s="184"/>
      <c r="AU327" s="128"/>
      <c r="AV327" s="184"/>
      <c r="AW327" s="128"/>
      <c r="AX327" s="184"/>
      <c r="AY327" s="111"/>
      <c r="AZ327" s="178"/>
      <c r="BC327" s="216"/>
      <c r="BD327" s="47"/>
      <c r="BF327" s="113"/>
      <c r="BG327" s="113"/>
      <c r="BH327" s="113"/>
      <c r="BI327" s="113"/>
      <c r="BJ327" s="113"/>
      <c r="BK327" s="113"/>
      <c r="BL327" s="5">
        <f t="shared" si="116"/>
        <v>0</v>
      </c>
    </row>
    <row r="328" spans="1:64" s="2" customFormat="1" ht="89.25" outlineLevel="1" x14ac:dyDescent="0.2">
      <c r="A328" s="593" t="s">
        <v>733</v>
      </c>
      <c r="B328" s="600" t="s">
        <v>372</v>
      </c>
      <c r="C328" s="7" t="s">
        <v>171</v>
      </c>
      <c r="D328" s="8" t="s">
        <v>397</v>
      </c>
      <c r="E328" s="23" t="s">
        <v>1387</v>
      </c>
      <c r="F328" s="8">
        <v>2011</v>
      </c>
      <c r="G328" s="8">
        <v>2014</v>
      </c>
      <c r="H328" s="5">
        <v>0.94638</v>
      </c>
      <c r="I328" s="5">
        <v>0.5</v>
      </c>
      <c r="J328" s="5">
        <f>R328</f>
        <v>0.5</v>
      </c>
      <c r="K328" s="23" t="s">
        <v>1387</v>
      </c>
      <c r="L328" s="8"/>
      <c r="M328" s="8"/>
      <c r="N328" s="8"/>
      <c r="O328" s="8"/>
      <c r="P328" s="8"/>
      <c r="Q328" s="23" t="s">
        <v>1387</v>
      </c>
      <c r="R328" s="113">
        <v>0.5</v>
      </c>
      <c r="S328" s="113"/>
      <c r="T328" s="113"/>
      <c r="U328" s="113"/>
      <c r="V328" s="113"/>
      <c r="W328" s="113"/>
      <c r="X328" s="5">
        <f t="shared" si="98"/>
        <v>0.5</v>
      </c>
      <c r="Y328" s="302">
        <f>H328-H329-H330</f>
        <v>0</v>
      </c>
      <c r="Z328" s="5">
        <f>I328-I329-I330</f>
        <v>0</v>
      </c>
      <c r="AA328" s="94">
        <f>J328-J329-J330</f>
        <v>0</v>
      </c>
      <c r="AB328" s="311">
        <f t="shared" si="104"/>
        <v>0</v>
      </c>
      <c r="AC328" s="296"/>
      <c r="AD328" s="113"/>
      <c r="AE328" s="5"/>
      <c r="AF328" s="5">
        <f>H328</f>
        <v>0.94638</v>
      </c>
      <c r="AG328" s="5"/>
      <c r="AH328" s="5"/>
      <c r="AI328" s="5"/>
      <c r="AJ328" s="5"/>
      <c r="AK328" s="141"/>
      <c r="AL328" s="94">
        <f>SUM(AF328:AK328)</f>
        <v>0.94638</v>
      </c>
      <c r="AM328" s="128">
        <v>0.5</v>
      </c>
      <c r="AN328" s="180">
        <v>0</v>
      </c>
      <c r="AO328" s="128"/>
      <c r="AP328" s="184"/>
      <c r="AQ328" s="128"/>
      <c r="AR328" s="184"/>
      <c r="AS328" s="128"/>
      <c r="AT328" s="184"/>
      <c r="AU328" s="128"/>
      <c r="AV328" s="184"/>
      <c r="AW328" s="128"/>
      <c r="AX328" s="184"/>
      <c r="AY328" s="111">
        <f>AM328+AO328+AQ328+AS328+AU328+AW328</f>
        <v>0.5</v>
      </c>
      <c r="AZ328" s="178">
        <f>AN328+AP328+AR328+AT328+AV328+AX328</f>
        <v>0</v>
      </c>
      <c r="BC328" s="216"/>
      <c r="BD328" s="47"/>
      <c r="BF328" s="113">
        <v>0.5</v>
      </c>
      <c r="BG328" s="113"/>
      <c r="BH328" s="113"/>
      <c r="BI328" s="113"/>
      <c r="BJ328" s="113"/>
      <c r="BK328" s="113"/>
      <c r="BL328" s="5">
        <f t="shared" si="116"/>
        <v>0.5</v>
      </c>
    </row>
    <row r="329" spans="1:64" s="2" customFormat="1" ht="15.75" customHeight="1" outlineLevel="1" x14ac:dyDescent="0.2">
      <c r="A329" s="594"/>
      <c r="B329" s="601"/>
      <c r="C329" s="7" t="s">
        <v>1553</v>
      </c>
      <c r="D329" s="8"/>
      <c r="E329" s="23"/>
      <c r="F329" s="8"/>
      <c r="G329" s="8"/>
      <c r="H329" s="5">
        <v>0.94638</v>
      </c>
      <c r="I329" s="5">
        <v>0.5</v>
      </c>
      <c r="J329" s="5">
        <v>0.5</v>
      </c>
      <c r="K329" s="8"/>
      <c r="L329" s="23"/>
      <c r="M329" s="8"/>
      <c r="N329" s="8"/>
      <c r="O329" s="8"/>
      <c r="P329" s="8"/>
      <c r="Q329" s="23"/>
      <c r="R329" s="113"/>
      <c r="S329" s="113"/>
      <c r="T329" s="113"/>
      <c r="U329" s="113"/>
      <c r="V329" s="113"/>
      <c r="W329" s="113"/>
      <c r="X329" s="5">
        <f t="shared" si="98"/>
        <v>0</v>
      </c>
      <c r="Y329" s="302"/>
      <c r="Z329" s="5"/>
      <c r="AA329" s="94"/>
      <c r="AB329" s="311">
        <f t="shared" si="104"/>
        <v>0.5</v>
      </c>
      <c r="AC329" s="296"/>
      <c r="AD329" s="113"/>
      <c r="AE329" s="5"/>
      <c r="AF329" s="5"/>
      <c r="AG329" s="5"/>
      <c r="AH329" s="5"/>
      <c r="AI329" s="5"/>
      <c r="AJ329" s="5"/>
      <c r="AK329" s="141"/>
      <c r="AL329" s="94"/>
      <c r="AM329" s="128"/>
      <c r="AN329" s="180"/>
      <c r="AO329" s="128"/>
      <c r="AP329" s="184"/>
      <c r="AQ329" s="128"/>
      <c r="AR329" s="184"/>
      <c r="AS329" s="128"/>
      <c r="AT329" s="184"/>
      <c r="AU329" s="128"/>
      <c r="AV329" s="184"/>
      <c r="AW329" s="128"/>
      <c r="AX329" s="184"/>
      <c r="AY329" s="111"/>
      <c r="AZ329" s="178"/>
      <c r="BC329" s="216"/>
      <c r="BD329" s="47"/>
      <c r="BF329" s="113"/>
      <c r="BG329" s="113"/>
      <c r="BH329" s="113"/>
      <c r="BI329" s="113"/>
      <c r="BJ329" s="113"/>
      <c r="BK329" s="113"/>
      <c r="BL329" s="5">
        <f t="shared" si="116"/>
        <v>0</v>
      </c>
    </row>
    <row r="330" spans="1:64" s="2" customFormat="1" ht="15.75" customHeight="1" outlineLevel="1" x14ac:dyDescent="0.2">
      <c r="A330" s="595"/>
      <c r="B330" s="602"/>
      <c r="C330" s="7" t="s">
        <v>1554</v>
      </c>
      <c r="D330" s="8"/>
      <c r="E330" s="23"/>
      <c r="F330" s="8"/>
      <c r="G330" s="8"/>
      <c r="H330" s="5"/>
      <c r="I330" s="5"/>
      <c r="J330" s="5"/>
      <c r="K330" s="23"/>
      <c r="L330" s="8"/>
      <c r="M330" s="8"/>
      <c r="N330" s="8"/>
      <c r="O330" s="8"/>
      <c r="P330" s="8"/>
      <c r="Q330" s="23"/>
      <c r="R330" s="113"/>
      <c r="S330" s="113"/>
      <c r="T330" s="113"/>
      <c r="U330" s="113"/>
      <c r="V330" s="113"/>
      <c r="W330" s="113"/>
      <c r="X330" s="5">
        <f t="shared" si="98"/>
        <v>0</v>
      </c>
      <c r="Y330" s="302"/>
      <c r="Z330" s="5"/>
      <c r="AA330" s="94"/>
      <c r="AB330" s="311">
        <f t="shared" si="104"/>
        <v>0</v>
      </c>
      <c r="AC330" s="296"/>
      <c r="AD330" s="113"/>
      <c r="AE330" s="5"/>
      <c r="AF330" s="5"/>
      <c r="AG330" s="5"/>
      <c r="AH330" s="5"/>
      <c r="AI330" s="5"/>
      <c r="AJ330" s="5"/>
      <c r="AK330" s="141"/>
      <c r="AL330" s="94"/>
      <c r="AM330" s="128"/>
      <c r="AN330" s="180"/>
      <c r="AO330" s="128"/>
      <c r="AP330" s="184"/>
      <c r="AQ330" s="128"/>
      <c r="AR330" s="184"/>
      <c r="AS330" s="128"/>
      <c r="AT330" s="184"/>
      <c r="AU330" s="128"/>
      <c r="AV330" s="184"/>
      <c r="AW330" s="128"/>
      <c r="AX330" s="184"/>
      <c r="AY330" s="111"/>
      <c r="AZ330" s="178"/>
      <c r="BC330" s="216"/>
      <c r="BD330" s="47"/>
      <c r="BF330" s="113"/>
      <c r="BG330" s="113"/>
      <c r="BH330" s="113"/>
      <c r="BI330" s="113"/>
      <c r="BJ330" s="113"/>
      <c r="BK330" s="113"/>
      <c r="BL330" s="5">
        <f t="shared" si="116"/>
        <v>0</v>
      </c>
    </row>
    <row r="331" spans="1:64" s="2" customFormat="1" ht="63.75" outlineLevel="1" x14ac:dyDescent="0.2">
      <c r="A331" s="593" t="s">
        <v>734</v>
      </c>
      <c r="B331" s="600" t="s">
        <v>373</v>
      </c>
      <c r="C331" s="7" t="s">
        <v>172</v>
      </c>
      <c r="D331" s="8" t="s">
        <v>397</v>
      </c>
      <c r="E331" s="23" t="s">
        <v>333</v>
      </c>
      <c r="F331" s="8">
        <v>2011</v>
      </c>
      <c r="G331" s="8">
        <v>2014</v>
      </c>
      <c r="H331" s="5">
        <v>0.47373999999999999</v>
      </c>
      <c r="I331" s="5">
        <v>0.2</v>
      </c>
      <c r="J331" s="5">
        <f>R331</f>
        <v>0.2</v>
      </c>
      <c r="K331" s="23" t="s">
        <v>333</v>
      </c>
      <c r="L331" s="8"/>
      <c r="M331" s="8"/>
      <c r="N331" s="8"/>
      <c r="O331" s="8"/>
      <c r="P331" s="8"/>
      <c r="Q331" s="23" t="s">
        <v>333</v>
      </c>
      <c r="R331" s="286">
        <v>0.2</v>
      </c>
      <c r="S331" s="113"/>
      <c r="T331" s="113"/>
      <c r="U331" s="113"/>
      <c r="V331" s="113"/>
      <c r="W331" s="113"/>
      <c r="X331" s="5">
        <f t="shared" si="98"/>
        <v>0.2</v>
      </c>
      <c r="Y331" s="302">
        <f>H331-H332-H333</f>
        <v>0</v>
      </c>
      <c r="Z331" s="5">
        <f>I331-I332-I333</f>
        <v>0</v>
      </c>
      <c r="AA331" s="94">
        <f>J331-J332-J333</f>
        <v>0</v>
      </c>
      <c r="AB331" s="311">
        <f t="shared" si="104"/>
        <v>0</v>
      </c>
      <c r="AC331" s="296"/>
      <c r="AD331" s="113"/>
      <c r="AE331" s="5"/>
      <c r="AF331" s="5">
        <f>H331</f>
        <v>0.47373999999999999</v>
      </c>
      <c r="AG331" s="5"/>
      <c r="AH331" s="5"/>
      <c r="AI331" s="5"/>
      <c r="AJ331" s="5"/>
      <c r="AK331" s="141"/>
      <c r="AL331" s="94">
        <f>SUM(AF331:AK331)</f>
        <v>0.47373999999999999</v>
      </c>
      <c r="AM331" s="128">
        <v>0.3</v>
      </c>
      <c r="AN331" s="180">
        <v>0</v>
      </c>
      <c r="AO331" s="128"/>
      <c r="AP331" s="184"/>
      <c r="AQ331" s="128"/>
      <c r="AR331" s="184"/>
      <c r="AS331" s="128"/>
      <c r="AT331" s="184"/>
      <c r="AU331" s="128"/>
      <c r="AV331" s="184"/>
      <c r="AW331" s="128"/>
      <c r="AX331" s="184"/>
      <c r="AY331" s="111">
        <f t="shared" ref="AY331:AZ334" si="117">AM331+AO331+AQ331+AS331+AU331+AW331</f>
        <v>0.3</v>
      </c>
      <c r="AZ331" s="178">
        <f t="shared" si="117"/>
        <v>0</v>
      </c>
      <c r="BC331" s="216"/>
      <c r="BD331" s="47"/>
      <c r="BF331" s="113">
        <v>0</v>
      </c>
      <c r="BG331" s="113"/>
      <c r="BH331" s="113"/>
      <c r="BI331" s="113"/>
      <c r="BJ331" s="113"/>
      <c r="BK331" s="113"/>
      <c r="BL331" s="5">
        <f t="shared" si="116"/>
        <v>0</v>
      </c>
    </row>
    <row r="332" spans="1:64" s="2" customFormat="1" ht="15.75" customHeight="1" outlineLevel="1" x14ac:dyDescent="0.2">
      <c r="A332" s="594"/>
      <c r="B332" s="601"/>
      <c r="C332" s="7" t="s">
        <v>1553</v>
      </c>
      <c r="D332" s="8"/>
      <c r="E332" s="23"/>
      <c r="F332" s="8"/>
      <c r="G332" s="8"/>
      <c r="H332" s="5"/>
      <c r="I332" s="5"/>
      <c r="J332" s="5"/>
      <c r="K332" s="8"/>
      <c r="L332" s="23"/>
      <c r="M332" s="8"/>
      <c r="N332" s="8"/>
      <c r="O332" s="8"/>
      <c r="P332" s="8"/>
      <c r="Q332" s="23"/>
      <c r="R332" s="113"/>
      <c r="S332" s="113"/>
      <c r="T332" s="113"/>
      <c r="U332" s="113"/>
      <c r="V332" s="113"/>
      <c r="W332" s="113"/>
      <c r="X332" s="5">
        <f>SUM(R332:W332)</f>
        <v>0</v>
      </c>
      <c r="Y332" s="302"/>
      <c r="Z332" s="5"/>
      <c r="AA332" s="94"/>
      <c r="AB332" s="311">
        <f t="shared" si="104"/>
        <v>0</v>
      </c>
      <c r="AC332" s="296"/>
      <c r="AD332" s="113"/>
      <c r="AE332" s="5"/>
      <c r="AF332" s="5"/>
      <c r="AG332" s="5"/>
      <c r="AH332" s="5"/>
      <c r="AI332" s="5"/>
      <c r="AJ332" s="5"/>
      <c r="AK332" s="141"/>
      <c r="AL332" s="94"/>
      <c r="AM332" s="128"/>
      <c r="AN332" s="180"/>
      <c r="AO332" s="128"/>
      <c r="AP332" s="184"/>
      <c r="AQ332" s="128"/>
      <c r="AR332" s="184"/>
      <c r="AS332" s="128"/>
      <c r="AT332" s="184"/>
      <c r="AU332" s="128"/>
      <c r="AV332" s="184"/>
      <c r="AW332" s="128"/>
      <c r="AX332" s="184"/>
      <c r="AY332" s="111"/>
      <c r="AZ332" s="178"/>
      <c r="BC332" s="216"/>
      <c r="BD332" s="47"/>
      <c r="BF332" s="113"/>
      <c r="BG332" s="113"/>
      <c r="BH332" s="113"/>
      <c r="BI332" s="113"/>
      <c r="BJ332" s="113"/>
      <c r="BK332" s="113"/>
      <c r="BL332" s="5">
        <f>SUM(BF332:BK332)</f>
        <v>0</v>
      </c>
    </row>
    <row r="333" spans="1:64" s="2" customFormat="1" ht="15.75" customHeight="1" outlineLevel="1" x14ac:dyDescent="0.2">
      <c r="A333" s="595"/>
      <c r="B333" s="602"/>
      <c r="C333" s="7" t="s">
        <v>1554</v>
      </c>
      <c r="D333" s="8"/>
      <c r="E333" s="23"/>
      <c r="F333" s="8"/>
      <c r="G333" s="8"/>
      <c r="H333" s="5">
        <f>H331</f>
        <v>0.47373999999999999</v>
      </c>
      <c r="I333" s="5">
        <f>I331</f>
        <v>0.2</v>
      </c>
      <c r="J333" s="5">
        <f>J331</f>
        <v>0.2</v>
      </c>
      <c r="K333" s="23"/>
      <c r="L333" s="8"/>
      <c r="M333" s="8"/>
      <c r="N333" s="8"/>
      <c r="O333" s="8"/>
      <c r="P333" s="8"/>
      <c r="Q333" s="23"/>
      <c r="R333" s="113"/>
      <c r="S333" s="113"/>
      <c r="T333" s="113"/>
      <c r="U333" s="113"/>
      <c r="V333" s="113"/>
      <c r="W333" s="113"/>
      <c r="X333" s="5">
        <f>SUM(R333:W333)</f>
        <v>0</v>
      </c>
      <c r="Y333" s="302"/>
      <c r="Z333" s="5"/>
      <c r="AA333" s="94"/>
      <c r="AB333" s="311">
        <f t="shared" si="104"/>
        <v>0.2</v>
      </c>
      <c r="AC333" s="296"/>
      <c r="AD333" s="113"/>
      <c r="AE333" s="5"/>
      <c r="AF333" s="5"/>
      <c r="AG333" s="5"/>
      <c r="AH333" s="5"/>
      <c r="AI333" s="5"/>
      <c r="AJ333" s="5"/>
      <c r="AK333" s="141"/>
      <c r="AL333" s="94"/>
      <c r="AM333" s="128"/>
      <c r="AN333" s="180"/>
      <c r="AO333" s="128"/>
      <c r="AP333" s="184"/>
      <c r="AQ333" s="128"/>
      <c r="AR333" s="184"/>
      <c r="AS333" s="128"/>
      <c r="AT333" s="184"/>
      <c r="AU333" s="128"/>
      <c r="AV333" s="184"/>
      <c r="AW333" s="128"/>
      <c r="AX333" s="184"/>
      <c r="AY333" s="111"/>
      <c r="AZ333" s="178"/>
      <c r="BC333" s="216"/>
      <c r="BD333" s="47"/>
      <c r="BF333" s="113"/>
      <c r="BG333" s="113"/>
      <c r="BH333" s="113"/>
      <c r="BI333" s="113"/>
      <c r="BJ333" s="113"/>
      <c r="BK333" s="113"/>
      <c r="BL333" s="5">
        <f>SUM(BF333:BK333)</f>
        <v>0</v>
      </c>
    </row>
    <row r="334" spans="1:64" s="2" customFormat="1" ht="102" customHeight="1" outlineLevel="1" x14ac:dyDescent="0.2">
      <c r="A334" s="593" t="s">
        <v>735</v>
      </c>
      <c r="B334" s="600" t="s">
        <v>374</v>
      </c>
      <c r="C334" s="7" t="s">
        <v>575</v>
      </c>
      <c r="D334" s="8" t="s">
        <v>397</v>
      </c>
      <c r="E334" s="23" t="s">
        <v>340</v>
      </c>
      <c r="F334" s="8">
        <v>2011</v>
      </c>
      <c r="G334" s="8">
        <v>2015</v>
      </c>
      <c r="H334" s="5">
        <v>0.22817999999999999</v>
      </c>
      <c r="I334" s="5">
        <v>9.1009999999999994E-2</v>
      </c>
      <c r="J334" s="5">
        <f>R334</f>
        <v>0.01</v>
      </c>
      <c r="K334" s="8"/>
      <c r="L334" s="23" t="s">
        <v>340</v>
      </c>
      <c r="M334" s="8"/>
      <c r="N334" s="8"/>
      <c r="O334" s="8"/>
      <c r="P334" s="8"/>
      <c r="Q334" s="23" t="s">
        <v>340</v>
      </c>
      <c r="R334" s="113">
        <v>0.01</v>
      </c>
      <c r="S334" s="113"/>
      <c r="T334" s="113"/>
      <c r="U334" s="113"/>
      <c r="V334" s="113"/>
      <c r="W334" s="113"/>
      <c r="X334" s="5">
        <f t="shared" si="98"/>
        <v>0.01</v>
      </c>
      <c r="Y334" s="302">
        <f>H334-H335-H336</f>
        <v>0</v>
      </c>
      <c r="Z334" s="5">
        <f>I334-I335-I336</f>
        <v>0</v>
      </c>
      <c r="AA334" s="94">
        <f>J334-J335-J336</f>
        <v>0</v>
      </c>
      <c r="AB334" s="311">
        <f t="shared" si="104"/>
        <v>8.1009999999999999E-2</v>
      </c>
      <c r="AC334" s="296"/>
      <c r="AD334" s="113"/>
      <c r="AE334" s="5"/>
      <c r="AF334" s="5"/>
      <c r="AG334" s="5">
        <f>H334</f>
        <v>0.22817999999999999</v>
      </c>
      <c r="AH334" s="5"/>
      <c r="AI334" s="5"/>
      <c r="AJ334" s="5"/>
      <c r="AK334" s="141"/>
      <c r="AL334" s="94">
        <f>SUM(AF334:AK334)</f>
        <v>0.22817999999999999</v>
      </c>
      <c r="AM334" s="128"/>
      <c r="AN334" s="180"/>
      <c r="AO334" s="128">
        <v>0.2</v>
      </c>
      <c r="AP334" s="184">
        <v>0</v>
      </c>
      <c r="AQ334" s="128"/>
      <c r="AR334" s="184"/>
      <c r="AS334" s="128"/>
      <c r="AT334" s="184"/>
      <c r="AU334" s="128"/>
      <c r="AV334" s="184"/>
      <c r="AW334" s="128"/>
      <c r="AX334" s="184"/>
      <c r="AY334" s="111">
        <f t="shared" si="117"/>
        <v>0.2</v>
      </c>
      <c r="AZ334" s="178">
        <f t="shared" si="117"/>
        <v>0</v>
      </c>
      <c r="BC334" s="216"/>
      <c r="BD334" s="47"/>
      <c r="BF334" s="113">
        <v>0.01</v>
      </c>
      <c r="BG334" s="113"/>
      <c r="BH334" s="113"/>
      <c r="BI334" s="113"/>
      <c r="BJ334" s="113"/>
      <c r="BK334" s="113"/>
      <c r="BL334" s="5">
        <f t="shared" ref="BL334:BL340" si="118">SUM(BF334:BK334)</f>
        <v>0.01</v>
      </c>
    </row>
    <row r="335" spans="1:64" s="2" customFormat="1" ht="15.75" customHeight="1" outlineLevel="1" x14ac:dyDescent="0.2">
      <c r="A335" s="594"/>
      <c r="B335" s="601"/>
      <c r="C335" s="7" t="s">
        <v>1553</v>
      </c>
      <c r="D335" s="8"/>
      <c r="E335" s="23"/>
      <c r="F335" s="8"/>
      <c r="G335" s="8"/>
      <c r="H335" s="5"/>
      <c r="I335" s="5"/>
      <c r="J335" s="5"/>
      <c r="K335" s="8"/>
      <c r="L335" s="23"/>
      <c r="M335" s="8"/>
      <c r="N335" s="8"/>
      <c r="O335" s="8"/>
      <c r="P335" s="8"/>
      <c r="Q335" s="23"/>
      <c r="R335" s="113"/>
      <c r="S335" s="113"/>
      <c r="T335" s="113"/>
      <c r="U335" s="113"/>
      <c r="V335" s="113"/>
      <c r="W335" s="113"/>
      <c r="X335" s="5">
        <f t="shared" si="98"/>
        <v>0</v>
      </c>
      <c r="Y335" s="302"/>
      <c r="Z335" s="5"/>
      <c r="AA335" s="94"/>
      <c r="AB335" s="311">
        <f t="shared" si="104"/>
        <v>0</v>
      </c>
      <c r="AC335" s="296"/>
      <c r="AD335" s="113"/>
      <c r="AE335" s="5"/>
      <c r="AF335" s="5"/>
      <c r="AG335" s="5"/>
      <c r="AH335" s="5"/>
      <c r="AI335" s="5"/>
      <c r="AJ335" s="5"/>
      <c r="AK335" s="141"/>
      <c r="AL335" s="94"/>
      <c r="AM335" s="128"/>
      <c r="AN335" s="180"/>
      <c r="AO335" s="128"/>
      <c r="AP335" s="184"/>
      <c r="AQ335" s="128"/>
      <c r="AR335" s="184"/>
      <c r="AS335" s="128"/>
      <c r="AT335" s="184"/>
      <c r="AU335" s="128"/>
      <c r="AV335" s="184"/>
      <c r="AW335" s="128"/>
      <c r="AX335" s="184"/>
      <c r="AY335" s="111"/>
      <c r="AZ335" s="178"/>
      <c r="BC335" s="216"/>
      <c r="BD335" s="47"/>
      <c r="BF335" s="113"/>
      <c r="BG335" s="113"/>
      <c r="BH335" s="113"/>
      <c r="BI335" s="113"/>
      <c r="BJ335" s="113"/>
      <c r="BK335" s="113"/>
      <c r="BL335" s="5">
        <f t="shared" si="118"/>
        <v>0</v>
      </c>
    </row>
    <row r="336" spans="1:64" s="2" customFormat="1" ht="15.75" customHeight="1" outlineLevel="1" x14ac:dyDescent="0.2">
      <c r="A336" s="595"/>
      <c r="B336" s="602"/>
      <c r="C336" s="7" t="s">
        <v>1554</v>
      </c>
      <c r="D336" s="8"/>
      <c r="E336" s="23"/>
      <c r="F336" s="8"/>
      <c r="G336" s="8"/>
      <c r="H336" s="5">
        <v>0.22817999999999999</v>
      </c>
      <c r="I336" s="5">
        <v>9.1010000000000008E-2</v>
      </c>
      <c r="J336" s="5">
        <v>0.01</v>
      </c>
      <c r="K336" s="23"/>
      <c r="L336" s="8"/>
      <c r="M336" s="8"/>
      <c r="N336" s="8"/>
      <c r="O336" s="8"/>
      <c r="P336" s="8"/>
      <c r="Q336" s="23"/>
      <c r="R336" s="113"/>
      <c r="S336" s="113"/>
      <c r="T336" s="113"/>
      <c r="U336" s="113"/>
      <c r="V336" s="113"/>
      <c r="W336" s="113"/>
      <c r="X336" s="5">
        <f t="shared" si="98"/>
        <v>0</v>
      </c>
      <c r="Y336" s="302"/>
      <c r="Z336" s="5"/>
      <c r="AA336" s="94"/>
      <c r="AB336" s="311">
        <f t="shared" si="104"/>
        <v>9.1010000000000008E-2</v>
      </c>
      <c r="AC336" s="296"/>
      <c r="AD336" s="113"/>
      <c r="AE336" s="5"/>
      <c r="AF336" s="5"/>
      <c r="AG336" s="5"/>
      <c r="AH336" s="5"/>
      <c r="AI336" s="5"/>
      <c r="AJ336" s="5"/>
      <c r="AK336" s="141"/>
      <c r="AL336" s="94"/>
      <c r="AM336" s="128"/>
      <c r="AN336" s="180"/>
      <c r="AO336" s="128"/>
      <c r="AP336" s="184"/>
      <c r="AQ336" s="128"/>
      <c r="AR336" s="184"/>
      <c r="AS336" s="128"/>
      <c r="AT336" s="184"/>
      <c r="AU336" s="128"/>
      <c r="AV336" s="184"/>
      <c r="AW336" s="128"/>
      <c r="AX336" s="184"/>
      <c r="AY336" s="111"/>
      <c r="AZ336" s="178"/>
      <c r="BC336" s="216"/>
      <c r="BD336" s="47"/>
      <c r="BF336" s="113"/>
      <c r="BG336" s="113"/>
      <c r="BH336" s="113"/>
      <c r="BI336" s="113"/>
      <c r="BJ336" s="113"/>
      <c r="BK336" s="113"/>
      <c r="BL336" s="5">
        <f t="shared" si="118"/>
        <v>0</v>
      </c>
    </row>
    <row r="337" spans="1:64" s="2" customFormat="1" ht="102" outlineLevel="1" x14ac:dyDescent="0.2">
      <c r="A337" s="593" t="s">
        <v>736</v>
      </c>
      <c r="B337" s="600" t="s">
        <v>375</v>
      </c>
      <c r="C337" s="7" t="s">
        <v>2249</v>
      </c>
      <c r="D337" s="8" t="s">
        <v>397</v>
      </c>
      <c r="E337" s="23" t="s">
        <v>343</v>
      </c>
      <c r="F337" s="8">
        <v>2011</v>
      </c>
      <c r="G337" s="8">
        <v>2014</v>
      </c>
      <c r="H337" s="5">
        <v>0.423626</v>
      </c>
      <c r="I337" s="5">
        <v>0.01</v>
      </c>
      <c r="J337" s="5">
        <f>R337</f>
        <v>0.01</v>
      </c>
      <c r="K337" s="23" t="s">
        <v>343</v>
      </c>
      <c r="L337" s="8"/>
      <c r="M337" s="8"/>
      <c r="N337" s="8"/>
      <c r="O337" s="8"/>
      <c r="P337" s="8"/>
      <c r="Q337" s="23" t="s">
        <v>343</v>
      </c>
      <c r="R337" s="113">
        <v>0.01</v>
      </c>
      <c r="S337" s="113"/>
      <c r="T337" s="113"/>
      <c r="U337" s="113"/>
      <c r="V337" s="113"/>
      <c r="W337" s="113"/>
      <c r="X337" s="5">
        <f t="shared" si="98"/>
        <v>0.01</v>
      </c>
      <c r="Y337" s="302">
        <f>H337-H338-H339</f>
        <v>0</v>
      </c>
      <c r="Z337" s="5">
        <f>I337-I338-I339</f>
        <v>0</v>
      </c>
      <c r="AA337" s="94">
        <f>J337-J338-J339</f>
        <v>0</v>
      </c>
      <c r="AB337" s="311">
        <f t="shared" si="104"/>
        <v>0</v>
      </c>
      <c r="AC337" s="296"/>
      <c r="AD337" s="113"/>
      <c r="AE337" s="5"/>
      <c r="AF337" s="5">
        <f>H337</f>
        <v>0.423626</v>
      </c>
      <c r="AG337" s="5"/>
      <c r="AH337" s="5"/>
      <c r="AI337" s="5"/>
      <c r="AJ337" s="5"/>
      <c r="AK337" s="141"/>
      <c r="AL337" s="94">
        <f>SUM(AF337:AK337)</f>
        <v>0.423626</v>
      </c>
      <c r="AM337" s="128">
        <v>0.4</v>
      </c>
      <c r="AN337" s="180">
        <v>0</v>
      </c>
      <c r="AO337" s="128"/>
      <c r="AP337" s="184"/>
      <c r="AQ337" s="128"/>
      <c r="AR337" s="184"/>
      <c r="AS337" s="128"/>
      <c r="AT337" s="184"/>
      <c r="AU337" s="128"/>
      <c r="AV337" s="184"/>
      <c r="AW337" s="128"/>
      <c r="AX337" s="184"/>
      <c r="AY337" s="111">
        <f>AM337+AO337+AQ337+AS337+AU337+AW337</f>
        <v>0.4</v>
      </c>
      <c r="AZ337" s="178">
        <f>AN337+AP337+AR337+AT337+AV337+AX337</f>
        <v>0</v>
      </c>
      <c r="BC337" s="216"/>
      <c r="BD337" s="47"/>
      <c r="BF337" s="113">
        <v>0.01</v>
      </c>
      <c r="BG337" s="113"/>
      <c r="BH337" s="113"/>
      <c r="BI337" s="113"/>
      <c r="BJ337" s="113"/>
      <c r="BK337" s="113"/>
      <c r="BL337" s="5">
        <f t="shared" si="118"/>
        <v>0.01</v>
      </c>
    </row>
    <row r="338" spans="1:64" s="2" customFormat="1" ht="15.75" customHeight="1" outlineLevel="1" x14ac:dyDescent="0.2">
      <c r="A338" s="594"/>
      <c r="B338" s="601"/>
      <c r="C338" s="7" t="s">
        <v>1553</v>
      </c>
      <c r="D338" s="8"/>
      <c r="E338" s="23"/>
      <c r="F338" s="8"/>
      <c r="G338" s="8"/>
      <c r="H338" s="5"/>
      <c r="I338" s="5"/>
      <c r="J338" s="5"/>
      <c r="K338" s="8"/>
      <c r="L338" s="23"/>
      <c r="M338" s="8"/>
      <c r="N338" s="8"/>
      <c r="O338" s="8"/>
      <c r="P338" s="8"/>
      <c r="Q338" s="23"/>
      <c r="R338" s="113"/>
      <c r="S338" s="113"/>
      <c r="T338" s="113"/>
      <c r="U338" s="113"/>
      <c r="V338" s="113"/>
      <c r="W338" s="113"/>
      <c r="X338" s="5">
        <f t="shared" si="98"/>
        <v>0</v>
      </c>
      <c r="Y338" s="302"/>
      <c r="Z338" s="5"/>
      <c r="AA338" s="94"/>
      <c r="AB338" s="311">
        <f t="shared" si="104"/>
        <v>0</v>
      </c>
      <c r="AC338" s="296"/>
      <c r="AD338" s="113"/>
      <c r="AE338" s="5"/>
      <c r="AF338" s="5"/>
      <c r="AG338" s="5"/>
      <c r="AH338" s="5"/>
      <c r="AI338" s="5"/>
      <c r="AJ338" s="5"/>
      <c r="AK338" s="141"/>
      <c r="AL338" s="94"/>
      <c r="AM338" s="128"/>
      <c r="AN338" s="180"/>
      <c r="AO338" s="128"/>
      <c r="AP338" s="184"/>
      <c r="AQ338" s="128"/>
      <c r="AR338" s="184"/>
      <c r="AS338" s="128"/>
      <c r="AT338" s="184"/>
      <c r="AU338" s="128"/>
      <c r="AV338" s="184"/>
      <c r="AW338" s="128"/>
      <c r="AX338" s="184"/>
      <c r="AY338" s="111"/>
      <c r="AZ338" s="178"/>
      <c r="BC338" s="216"/>
      <c r="BD338" s="47"/>
      <c r="BF338" s="113"/>
      <c r="BG338" s="113"/>
      <c r="BH338" s="113"/>
      <c r="BI338" s="113"/>
      <c r="BJ338" s="113"/>
      <c r="BK338" s="113"/>
      <c r="BL338" s="5">
        <f t="shared" si="118"/>
        <v>0</v>
      </c>
    </row>
    <row r="339" spans="1:64" s="2" customFormat="1" ht="15.75" customHeight="1" outlineLevel="1" x14ac:dyDescent="0.2">
      <c r="A339" s="595"/>
      <c r="B339" s="602"/>
      <c r="C339" s="7" t="s">
        <v>1554</v>
      </c>
      <c r="D339" s="8"/>
      <c r="E339" s="23"/>
      <c r="F339" s="8"/>
      <c r="G339" s="8"/>
      <c r="H339" s="5">
        <f>H337</f>
        <v>0.423626</v>
      </c>
      <c r="I339" s="5">
        <f>I337</f>
        <v>0.01</v>
      </c>
      <c r="J339" s="5">
        <f>J337</f>
        <v>0.01</v>
      </c>
      <c r="K339" s="23"/>
      <c r="L339" s="8"/>
      <c r="M339" s="8"/>
      <c r="N339" s="8"/>
      <c r="O339" s="8"/>
      <c r="P339" s="8"/>
      <c r="Q339" s="23"/>
      <c r="R339" s="113"/>
      <c r="S339" s="113"/>
      <c r="T339" s="113"/>
      <c r="U339" s="113"/>
      <c r="V339" s="113"/>
      <c r="W339" s="113"/>
      <c r="X339" s="5">
        <f t="shared" si="98"/>
        <v>0</v>
      </c>
      <c r="Y339" s="302"/>
      <c r="Z339" s="5"/>
      <c r="AA339" s="94"/>
      <c r="AB339" s="311">
        <f t="shared" si="104"/>
        <v>0.01</v>
      </c>
      <c r="AC339" s="296"/>
      <c r="AD339" s="113"/>
      <c r="AE339" s="5"/>
      <c r="AF339" s="5"/>
      <c r="AG339" s="5"/>
      <c r="AH339" s="5"/>
      <c r="AI339" s="5"/>
      <c r="AJ339" s="5"/>
      <c r="AK339" s="141"/>
      <c r="AL339" s="94"/>
      <c r="AM339" s="128"/>
      <c r="AN339" s="180"/>
      <c r="AO339" s="128"/>
      <c r="AP339" s="184"/>
      <c r="AQ339" s="128"/>
      <c r="AR339" s="184"/>
      <c r="AS339" s="128"/>
      <c r="AT339" s="184"/>
      <c r="AU339" s="128"/>
      <c r="AV339" s="184"/>
      <c r="AW339" s="128"/>
      <c r="AX339" s="184"/>
      <c r="AY339" s="111"/>
      <c r="AZ339" s="178"/>
      <c r="BC339" s="216"/>
      <c r="BD339" s="47"/>
      <c r="BF339" s="113"/>
      <c r="BG339" s="113"/>
      <c r="BH339" s="113"/>
      <c r="BI339" s="113"/>
      <c r="BJ339" s="113"/>
      <c r="BK339" s="113"/>
      <c r="BL339" s="5">
        <f t="shared" si="118"/>
        <v>0</v>
      </c>
    </row>
    <row r="340" spans="1:64" s="2" customFormat="1" ht="76.5" customHeight="1" outlineLevel="1" x14ac:dyDescent="0.2">
      <c r="A340" s="593" t="s">
        <v>737</v>
      </c>
      <c r="B340" s="600" t="s">
        <v>376</v>
      </c>
      <c r="C340" s="7" t="s">
        <v>173</v>
      </c>
      <c r="D340" s="8" t="s">
        <v>397</v>
      </c>
      <c r="E340" s="23" t="s">
        <v>335</v>
      </c>
      <c r="F340" s="8">
        <v>2011</v>
      </c>
      <c r="G340" s="8">
        <v>2015</v>
      </c>
      <c r="H340" s="5">
        <v>0.11656</v>
      </c>
      <c r="I340" s="5">
        <v>8.6236999999999994E-2</v>
      </c>
      <c r="J340" s="5">
        <f>R340</f>
        <v>8.6236999999999994E-2</v>
      </c>
      <c r="K340" s="8"/>
      <c r="L340" s="23" t="s">
        <v>335</v>
      </c>
      <c r="M340" s="8"/>
      <c r="N340" s="8"/>
      <c r="O340" s="8"/>
      <c r="P340" s="8"/>
      <c r="Q340" s="23" t="s">
        <v>335</v>
      </c>
      <c r="R340" s="113">
        <v>8.6236999999999994E-2</v>
      </c>
      <c r="S340" s="113"/>
      <c r="T340" s="113"/>
      <c r="U340" s="113"/>
      <c r="V340" s="113"/>
      <c r="W340" s="113"/>
      <c r="X340" s="5">
        <f t="shared" si="98"/>
        <v>8.6236999999999994E-2</v>
      </c>
      <c r="Y340" s="302">
        <f>H340-H341-H342</f>
        <v>0</v>
      </c>
      <c r="Z340" s="5">
        <f>I340-I341-I342</f>
        <v>0</v>
      </c>
      <c r="AA340" s="94">
        <f>J340-J341-J342</f>
        <v>0</v>
      </c>
      <c r="AB340" s="311">
        <f t="shared" si="104"/>
        <v>0</v>
      </c>
      <c r="AC340" s="296"/>
      <c r="AD340" s="113"/>
      <c r="AE340" s="5"/>
      <c r="AF340" s="5"/>
      <c r="AG340" s="5">
        <f>H340</f>
        <v>0.11656</v>
      </c>
      <c r="AH340" s="5"/>
      <c r="AI340" s="5"/>
      <c r="AJ340" s="5"/>
      <c r="AK340" s="141"/>
      <c r="AL340" s="94">
        <f>SUM(AF340:AK340)</f>
        <v>0.11656</v>
      </c>
      <c r="AM340" s="128"/>
      <c r="AN340" s="180"/>
      <c r="AO340" s="128">
        <v>0.1</v>
      </c>
      <c r="AP340" s="184">
        <v>0</v>
      </c>
      <c r="AQ340" s="128"/>
      <c r="AR340" s="184"/>
      <c r="AS340" s="128"/>
      <c r="AT340" s="184"/>
      <c r="AU340" s="128"/>
      <c r="AV340" s="184"/>
      <c r="AW340" s="128"/>
      <c r="AX340" s="184"/>
      <c r="AY340" s="111">
        <f t="shared" ref="AY340:AZ343" si="119">AM340+AO340+AQ340+AS340+AU340+AW340</f>
        <v>0.1</v>
      </c>
      <c r="AZ340" s="178">
        <f t="shared" si="119"/>
        <v>0</v>
      </c>
      <c r="BC340" s="216"/>
      <c r="BD340" s="47"/>
      <c r="BF340" s="113">
        <v>8.6236999999999994E-2</v>
      </c>
      <c r="BG340" s="113"/>
      <c r="BH340" s="113"/>
      <c r="BI340" s="113"/>
      <c r="BJ340" s="113"/>
      <c r="BK340" s="113"/>
      <c r="BL340" s="5">
        <f t="shared" si="118"/>
        <v>8.6236999999999994E-2</v>
      </c>
    </row>
    <row r="341" spans="1:64" s="2" customFormat="1" ht="15.75" customHeight="1" outlineLevel="1" x14ac:dyDescent="0.2">
      <c r="A341" s="594"/>
      <c r="B341" s="601"/>
      <c r="C341" s="7" t="s">
        <v>1553</v>
      </c>
      <c r="D341" s="8"/>
      <c r="E341" s="23"/>
      <c r="F341" s="8"/>
      <c r="G341" s="8"/>
      <c r="H341" s="5"/>
      <c r="I341" s="5"/>
      <c r="J341" s="5"/>
      <c r="K341" s="8"/>
      <c r="L341" s="23"/>
      <c r="M341" s="8"/>
      <c r="N341" s="8"/>
      <c r="O341" s="8"/>
      <c r="P341" s="8"/>
      <c r="Q341" s="23"/>
      <c r="R341" s="113"/>
      <c r="S341" s="113"/>
      <c r="T341" s="113"/>
      <c r="U341" s="113"/>
      <c r="V341" s="113"/>
      <c r="W341" s="113"/>
      <c r="X341" s="5">
        <f>SUM(R341:W341)</f>
        <v>0</v>
      </c>
      <c r="Y341" s="302"/>
      <c r="Z341" s="5"/>
      <c r="AA341" s="94"/>
      <c r="AB341" s="311">
        <f t="shared" ref="AB341:AB404" si="120">I341-X341</f>
        <v>0</v>
      </c>
      <c r="AC341" s="296"/>
      <c r="AD341" s="113"/>
      <c r="AE341" s="5"/>
      <c r="AF341" s="5"/>
      <c r="AG341" s="5"/>
      <c r="AH341" s="5"/>
      <c r="AI341" s="5"/>
      <c r="AJ341" s="5"/>
      <c r="AK341" s="141"/>
      <c r="AL341" s="94"/>
      <c r="AM341" s="128"/>
      <c r="AN341" s="180"/>
      <c r="AO341" s="128"/>
      <c r="AP341" s="184"/>
      <c r="AQ341" s="128"/>
      <c r="AR341" s="184"/>
      <c r="AS341" s="128"/>
      <c r="AT341" s="184"/>
      <c r="AU341" s="128"/>
      <c r="AV341" s="184"/>
      <c r="AW341" s="128"/>
      <c r="AX341" s="184"/>
      <c r="AY341" s="111"/>
      <c r="AZ341" s="178"/>
      <c r="BC341" s="216"/>
      <c r="BD341" s="47"/>
      <c r="BF341" s="113"/>
      <c r="BG341" s="113"/>
      <c r="BH341" s="113"/>
      <c r="BI341" s="113"/>
      <c r="BJ341" s="113"/>
      <c r="BK341" s="113"/>
      <c r="BL341" s="5">
        <f>SUM(BF341:BK341)</f>
        <v>0</v>
      </c>
    </row>
    <row r="342" spans="1:64" s="2" customFormat="1" ht="15.75" customHeight="1" outlineLevel="1" x14ac:dyDescent="0.2">
      <c r="A342" s="595"/>
      <c r="B342" s="602"/>
      <c r="C342" s="7" t="s">
        <v>1554</v>
      </c>
      <c r="D342" s="8"/>
      <c r="E342" s="23"/>
      <c r="F342" s="8"/>
      <c r="G342" s="8"/>
      <c r="H342" s="5">
        <f>H340</f>
        <v>0.11656</v>
      </c>
      <c r="I342" s="5">
        <f>I340</f>
        <v>8.6236999999999994E-2</v>
      </c>
      <c r="J342" s="5">
        <f>J340</f>
        <v>8.6236999999999994E-2</v>
      </c>
      <c r="K342" s="23"/>
      <c r="L342" s="8"/>
      <c r="M342" s="8"/>
      <c r="N342" s="8"/>
      <c r="O342" s="8"/>
      <c r="P342" s="8"/>
      <c r="Q342" s="23"/>
      <c r="R342" s="113"/>
      <c r="S342" s="113"/>
      <c r="T342" s="113"/>
      <c r="U342" s="113"/>
      <c r="V342" s="113"/>
      <c r="W342" s="113"/>
      <c r="X342" s="5">
        <f>SUM(R342:W342)</f>
        <v>0</v>
      </c>
      <c r="Y342" s="302"/>
      <c r="Z342" s="5"/>
      <c r="AA342" s="94"/>
      <c r="AB342" s="311">
        <f t="shared" si="120"/>
        <v>8.6236999999999994E-2</v>
      </c>
      <c r="AC342" s="296"/>
      <c r="AD342" s="113"/>
      <c r="AE342" s="5"/>
      <c r="AF342" s="5"/>
      <c r="AG342" s="5"/>
      <c r="AH342" s="5"/>
      <c r="AI342" s="5"/>
      <c r="AJ342" s="5"/>
      <c r="AK342" s="141"/>
      <c r="AL342" s="94"/>
      <c r="AM342" s="128"/>
      <c r="AN342" s="180"/>
      <c r="AO342" s="128"/>
      <c r="AP342" s="184"/>
      <c r="AQ342" s="128"/>
      <c r="AR342" s="184"/>
      <c r="AS342" s="128"/>
      <c r="AT342" s="184"/>
      <c r="AU342" s="128"/>
      <c r="AV342" s="184"/>
      <c r="AW342" s="128"/>
      <c r="AX342" s="184"/>
      <c r="AY342" s="111"/>
      <c r="AZ342" s="178"/>
      <c r="BC342" s="216"/>
      <c r="BD342" s="47"/>
      <c r="BF342" s="113"/>
      <c r="BG342" s="113"/>
      <c r="BH342" s="113"/>
      <c r="BI342" s="113"/>
      <c r="BJ342" s="113"/>
      <c r="BK342" s="113"/>
      <c r="BL342" s="5">
        <f>SUM(BF342:BK342)</f>
        <v>0</v>
      </c>
    </row>
    <row r="343" spans="1:64" s="2" customFormat="1" ht="102" customHeight="1" outlineLevel="1" x14ac:dyDescent="0.2">
      <c r="A343" s="593" t="s">
        <v>738</v>
      </c>
      <c r="B343" s="600" t="s">
        <v>377</v>
      </c>
      <c r="C343" s="7" t="s">
        <v>2250</v>
      </c>
      <c r="D343" s="8" t="s">
        <v>397</v>
      </c>
      <c r="E343" s="23" t="s">
        <v>346</v>
      </c>
      <c r="F343" s="8">
        <v>2011</v>
      </c>
      <c r="G343" s="8">
        <v>2015</v>
      </c>
      <c r="H343" s="5">
        <v>0.25212999999999997</v>
      </c>
      <c r="I343" s="5">
        <v>0.184861</v>
      </c>
      <c r="J343" s="5">
        <f>R343</f>
        <v>0.184861</v>
      </c>
      <c r="K343" s="8"/>
      <c r="L343" s="23" t="s">
        <v>346</v>
      </c>
      <c r="M343" s="8"/>
      <c r="N343" s="8"/>
      <c r="O343" s="8"/>
      <c r="P343" s="8"/>
      <c r="Q343" s="23" t="s">
        <v>346</v>
      </c>
      <c r="R343" s="113">
        <v>0.184861</v>
      </c>
      <c r="S343" s="113"/>
      <c r="T343" s="113"/>
      <c r="U343" s="113"/>
      <c r="V343" s="113"/>
      <c r="W343" s="113"/>
      <c r="X343" s="5">
        <f t="shared" si="98"/>
        <v>0.184861</v>
      </c>
      <c r="Y343" s="302">
        <f>H343-H344-H345</f>
        <v>0</v>
      </c>
      <c r="Z343" s="5">
        <f>I343-I344-I345</f>
        <v>0</v>
      </c>
      <c r="AA343" s="94">
        <f>J343-J344-J345</f>
        <v>0</v>
      </c>
      <c r="AB343" s="311">
        <f t="shared" si="120"/>
        <v>0</v>
      </c>
      <c r="AC343" s="296"/>
      <c r="AD343" s="113"/>
      <c r="AE343" s="5"/>
      <c r="AF343" s="5"/>
      <c r="AG343" s="5">
        <f>H343</f>
        <v>0.25212999999999997</v>
      </c>
      <c r="AH343" s="5"/>
      <c r="AI343" s="5"/>
      <c r="AJ343" s="5"/>
      <c r="AK343" s="141"/>
      <c r="AL343" s="94">
        <f>SUM(AF343:AK343)</f>
        <v>0.25212999999999997</v>
      </c>
      <c r="AM343" s="128"/>
      <c r="AN343" s="180"/>
      <c r="AO343" s="128">
        <v>0.15</v>
      </c>
      <c r="AP343" s="184">
        <v>0</v>
      </c>
      <c r="AQ343" s="128"/>
      <c r="AR343" s="184"/>
      <c r="AS343" s="128"/>
      <c r="AT343" s="184"/>
      <c r="AU343" s="128"/>
      <c r="AV343" s="184"/>
      <c r="AW343" s="128"/>
      <c r="AX343" s="184"/>
      <c r="AY343" s="111">
        <f t="shared" si="119"/>
        <v>0.15</v>
      </c>
      <c r="AZ343" s="178">
        <f t="shared" si="119"/>
        <v>0</v>
      </c>
      <c r="BC343" s="216"/>
      <c r="BD343" s="47"/>
      <c r="BF343" s="113">
        <v>0.184861</v>
      </c>
      <c r="BG343" s="113"/>
      <c r="BH343" s="113"/>
      <c r="BI343" s="113"/>
      <c r="BJ343" s="113"/>
      <c r="BK343" s="113"/>
      <c r="BL343" s="5">
        <f t="shared" ref="BL343:BL349" si="121">SUM(BF343:BK343)</f>
        <v>0.184861</v>
      </c>
    </row>
    <row r="344" spans="1:64" s="2" customFormat="1" ht="15.75" customHeight="1" outlineLevel="1" x14ac:dyDescent="0.2">
      <c r="A344" s="594"/>
      <c r="B344" s="601"/>
      <c r="C344" s="7" t="s">
        <v>1553</v>
      </c>
      <c r="D344" s="8"/>
      <c r="E344" s="23"/>
      <c r="F344" s="8"/>
      <c r="G344" s="8"/>
      <c r="H344" s="5"/>
      <c r="I344" s="5"/>
      <c r="J344" s="5"/>
      <c r="K344" s="8"/>
      <c r="L344" s="23"/>
      <c r="M344" s="8"/>
      <c r="N344" s="8"/>
      <c r="O344" s="8"/>
      <c r="P344" s="8"/>
      <c r="Q344" s="23"/>
      <c r="R344" s="113"/>
      <c r="S344" s="113"/>
      <c r="T344" s="113"/>
      <c r="U344" s="113"/>
      <c r="V344" s="113"/>
      <c r="W344" s="113"/>
      <c r="X344" s="5">
        <f t="shared" si="98"/>
        <v>0</v>
      </c>
      <c r="Y344" s="302"/>
      <c r="Z344" s="5"/>
      <c r="AA344" s="94"/>
      <c r="AB344" s="311">
        <f t="shared" si="120"/>
        <v>0</v>
      </c>
      <c r="AC344" s="296"/>
      <c r="AD344" s="113"/>
      <c r="AE344" s="5"/>
      <c r="AF344" s="5"/>
      <c r="AG344" s="5"/>
      <c r="AH344" s="5"/>
      <c r="AI344" s="5"/>
      <c r="AJ344" s="5"/>
      <c r="AK344" s="141"/>
      <c r="AL344" s="94"/>
      <c r="AM344" s="128"/>
      <c r="AN344" s="180"/>
      <c r="AO344" s="128"/>
      <c r="AP344" s="184"/>
      <c r="AQ344" s="128"/>
      <c r="AR344" s="184"/>
      <c r="AS344" s="128"/>
      <c r="AT344" s="184"/>
      <c r="AU344" s="128"/>
      <c r="AV344" s="184"/>
      <c r="AW344" s="128"/>
      <c r="AX344" s="184"/>
      <c r="AY344" s="111"/>
      <c r="AZ344" s="178"/>
      <c r="BC344" s="216"/>
      <c r="BD344" s="47"/>
      <c r="BF344" s="113"/>
      <c r="BG344" s="113"/>
      <c r="BH344" s="113"/>
      <c r="BI344" s="113"/>
      <c r="BJ344" s="113"/>
      <c r="BK344" s="113"/>
      <c r="BL344" s="5">
        <f t="shared" si="121"/>
        <v>0</v>
      </c>
    </row>
    <row r="345" spans="1:64" s="2" customFormat="1" ht="15.75" customHeight="1" outlineLevel="1" x14ac:dyDescent="0.2">
      <c r="A345" s="595"/>
      <c r="B345" s="602"/>
      <c r="C345" s="7" t="s">
        <v>1554</v>
      </c>
      <c r="D345" s="8"/>
      <c r="E345" s="23"/>
      <c r="F345" s="8"/>
      <c r="G345" s="8"/>
      <c r="H345" s="5">
        <f>H343</f>
        <v>0.25212999999999997</v>
      </c>
      <c r="I345" s="5">
        <f>I343</f>
        <v>0.184861</v>
      </c>
      <c r="J345" s="5">
        <f>J343</f>
        <v>0.184861</v>
      </c>
      <c r="K345" s="23"/>
      <c r="L345" s="8"/>
      <c r="M345" s="8"/>
      <c r="N345" s="8"/>
      <c r="O345" s="8"/>
      <c r="P345" s="8"/>
      <c r="Q345" s="23"/>
      <c r="R345" s="113"/>
      <c r="S345" s="113"/>
      <c r="T345" s="113"/>
      <c r="U345" s="113"/>
      <c r="V345" s="113"/>
      <c r="W345" s="113"/>
      <c r="X345" s="5">
        <f t="shared" si="98"/>
        <v>0</v>
      </c>
      <c r="Y345" s="302"/>
      <c r="Z345" s="5"/>
      <c r="AA345" s="94"/>
      <c r="AB345" s="311">
        <f t="shared" si="120"/>
        <v>0.184861</v>
      </c>
      <c r="AC345" s="296"/>
      <c r="AD345" s="113"/>
      <c r="AE345" s="5"/>
      <c r="AF345" s="5"/>
      <c r="AG345" s="5"/>
      <c r="AH345" s="5"/>
      <c r="AI345" s="5"/>
      <c r="AJ345" s="5"/>
      <c r="AK345" s="141"/>
      <c r="AL345" s="94"/>
      <c r="AM345" s="128"/>
      <c r="AN345" s="180"/>
      <c r="AO345" s="128"/>
      <c r="AP345" s="184"/>
      <c r="AQ345" s="128"/>
      <c r="AR345" s="184"/>
      <c r="AS345" s="128"/>
      <c r="AT345" s="184"/>
      <c r="AU345" s="128"/>
      <c r="AV345" s="184"/>
      <c r="AW345" s="128"/>
      <c r="AX345" s="184"/>
      <c r="AY345" s="111"/>
      <c r="AZ345" s="178"/>
      <c r="BC345" s="216"/>
      <c r="BD345" s="47"/>
      <c r="BF345" s="113"/>
      <c r="BG345" s="113"/>
      <c r="BH345" s="113"/>
      <c r="BI345" s="113"/>
      <c r="BJ345" s="113"/>
      <c r="BK345" s="113"/>
      <c r="BL345" s="5">
        <f t="shared" si="121"/>
        <v>0</v>
      </c>
    </row>
    <row r="346" spans="1:64" s="2" customFormat="1" ht="38.25" customHeight="1" outlineLevel="1" x14ac:dyDescent="0.2">
      <c r="A346" s="593" t="s">
        <v>739</v>
      </c>
      <c r="B346" s="600" t="s">
        <v>378</v>
      </c>
      <c r="C346" s="7" t="s">
        <v>174</v>
      </c>
      <c r="D346" s="8" t="s">
        <v>397</v>
      </c>
      <c r="E346" s="23" t="s">
        <v>343</v>
      </c>
      <c r="F346" s="8">
        <v>2011</v>
      </c>
      <c r="G346" s="8">
        <v>2015</v>
      </c>
      <c r="H346" s="5">
        <v>0.45161000000000001</v>
      </c>
      <c r="I346" s="5">
        <v>0.38926900000000003</v>
      </c>
      <c r="J346" s="5">
        <f>R346</f>
        <v>0.01</v>
      </c>
      <c r="K346" s="8"/>
      <c r="L346" s="23" t="s">
        <v>343</v>
      </c>
      <c r="M346" s="8"/>
      <c r="N346" s="8"/>
      <c r="O346" s="8"/>
      <c r="P346" s="8"/>
      <c r="Q346" s="23" t="s">
        <v>343</v>
      </c>
      <c r="R346" s="113">
        <v>0.01</v>
      </c>
      <c r="S346" s="113"/>
      <c r="T346" s="113"/>
      <c r="U346" s="113"/>
      <c r="V346" s="113"/>
      <c r="W346" s="113"/>
      <c r="X346" s="5">
        <f t="shared" si="98"/>
        <v>0.01</v>
      </c>
      <c r="Y346" s="302">
        <f>H346-H347-H348</f>
        <v>0</v>
      </c>
      <c r="Z346" s="5">
        <f>I346-I347-I348</f>
        <v>0</v>
      </c>
      <c r="AA346" s="94">
        <f>J346-J347-J348</f>
        <v>0</v>
      </c>
      <c r="AB346" s="311">
        <f t="shared" si="120"/>
        <v>0.37926900000000002</v>
      </c>
      <c r="AC346" s="296"/>
      <c r="AD346" s="113"/>
      <c r="AE346" s="5"/>
      <c r="AF346" s="5"/>
      <c r="AG346" s="5">
        <f>H346</f>
        <v>0.45161000000000001</v>
      </c>
      <c r="AH346" s="5"/>
      <c r="AI346" s="5"/>
      <c r="AJ346" s="5"/>
      <c r="AK346" s="141"/>
      <c r="AL346" s="94">
        <f>SUM(AF346:AK346)</f>
        <v>0.45161000000000001</v>
      </c>
      <c r="AM346" s="128"/>
      <c r="AN346" s="180"/>
      <c r="AO346" s="128">
        <v>0.4</v>
      </c>
      <c r="AP346" s="184">
        <v>0</v>
      </c>
      <c r="AQ346" s="128"/>
      <c r="AR346" s="184"/>
      <c r="AS346" s="128"/>
      <c r="AT346" s="184"/>
      <c r="AU346" s="128"/>
      <c r="AV346" s="184"/>
      <c r="AW346" s="128"/>
      <c r="AX346" s="184"/>
      <c r="AY346" s="111">
        <f>AM346+AO346+AQ346+AS346+AU346+AW346</f>
        <v>0.4</v>
      </c>
      <c r="AZ346" s="178">
        <f>AN346+AP346+AR346+AT346+AV346+AX346</f>
        <v>0</v>
      </c>
      <c r="BC346" s="216"/>
      <c r="BD346" s="47"/>
      <c r="BF346" s="113">
        <v>0.01</v>
      </c>
      <c r="BG346" s="113"/>
      <c r="BH346" s="113"/>
      <c r="BI346" s="113"/>
      <c r="BJ346" s="113"/>
      <c r="BK346" s="113"/>
      <c r="BL346" s="5">
        <f t="shared" si="121"/>
        <v>0.01</v>
      </c>
    </row>
    <row r="347" spans="1:64" s="2" customFormat="1" ht="15.75" customHeight="1" outlineLevel="1" x14ac:dyDescent="0.2">
      <c r="A347" s="594"/>
      <c r="B347" s="601"/>
      <c r="C347" s="7" t="s">
        <v>1553</v>
      </c>
      <c r="D347" s="8"/>
      <c r="E347" s="23"/>
      <c r="F347" s="8"/>
      <c r="G347" s="8"/>
      <c r="H347" s="5"/>
      <c r="I347" s="5"/>
      <c r="J347" s="5"/>
      <c r="K347" s="8"/>
      <c r="L347" s="23"/>
      <c r="M347" s="8"/>
      <c r="N347" s="8"/>
      <c r="O347" s="8"/>
      <c r="P347" s="8"/>
      <c r="Q347" s="23"/>
      <c r="R347" s="113"/>
      <c r="S347" s="113"/>
      <c r="T347" s="113"/>
      <c r="U347" s="113"/>
      <c r="V347" s="113"/>
      <c r="W347" s="113"/>
      <c r="X347" s="5">
        <f t="shared" si="98"/>
        <v>0</v>
      </c>
      <c r="Y347" s="302"/>
      <c r="Z347" s="5"/>
      <c r="AA347" s="94"/>
      <c r="AB347" s="311">
        <f t="shared" si="120"/>
        <v>0</v>
      </c>
      <c r="AC347" s="296"/>
      <c r="AD347" s="113"/>
      <c r="AE347" s="5"/>
      <c r="AF347" s="5"/>
      <c r="AG347" s="5"/>
      <c r="AH347" s="5"/>
      <c r="AI347" s="5"/>
      <c r="AJ347" s="5"/>
      <c r="AK347" s="141"/>
      <c r="AL347" s="94"/>
      <c r="AM347" s="128"/>
      <c r="AN347" s="180"/>
      <c r="AO347" s="128"/>
      <c r="AP347" s="184"/>
      <c r="AQ347" s="128"/>
      <c r="AR347" s="184"/>
      <c r="AS347" s="128"/>
      <c r="AT347" s="184"/>
      <c r="AU347" s="128"/>
      <c r="AV347" s="184"/>
      <c r="AW347" s="128"/>
      <c r="AX347" s="184"/>
      <c r="AY347" s="111"/>
      <c r="AZ347" s="178"/>
      <c r="BC347" s="216"/>
      <c r="BD347" s="47"/>
      <c r="BF347" s="113"/>
      <c r="BG347" s="113"/>
      <c r="BH347" s="113"/>
      <c r="BI347" s="113"/>
      <c r="BJ347" s="113"/>
      <c r="BK347" s="113"/>
      <c r="BL347" s="5">
        <f t="shared" si="121"/>
        <v>0</v>
      </c>
    </row>
    <row r="348" spans="1:64" s="2" customFormat="1" ht="15.75" customHeight="1" outlineLevel="1" x14ac:dyDescent="0.2">
      <c r="A348" s="595"/>
      <c r="B348" s="602"/>
      <c r="C348" s="7" t="s">
        <v>1554</v>
      </c>
      <c r="D348" s="8"/>
      <c r="E348" s="23"/>
      <c r="F348" s="8"/>
      <c r="G348" s="8"/>
      <c r="H348" s="5">
        <v>0.45161000000000001</v>
      </c>
      <c r="I348" s="5">
        <v>0.38926900000000003</v>
      </c>
      <c r="J348" s="5">
        <v>0.01</v>
      </c>
      <c r="K348" s="23"/>
      <c r="L348" s="8"/>
      <c r="M348" s="8"/>
      <c r="N348" s="8"/>
      <c r="O348" s="8"/>
      <c r="P348" s="8"/>
      <c r="Q348" s="23"/>
      <c r="R348" s="113"/>
      <c r="S348" s="113"/>
      <c r="T348" s="113"/>
      <c r="U348" s="113"/>
      <c r="V348" s="113"/>
      <c r="W348" s="113"/>
      <c r="X348" s="5">
        <f t="shared" si="98"/>
        <v>0</v>
      </c>
      <c r="Y348" s="302"/>
      <c r="Z348" s="5"/>
      <c r="AA348" s="94"/>
      <c r="AB348" s="311">
        <f t="shared" si="120"/>
        <v>0.38926900000000003</v>
      </c>
      <c r="AC348" s="296"/>
      <c r="AD348" s="113"/>
      <c r="AE348" s="5"/>
      <c r="AF348" s="5"/>
      <c r="AG348" s="5"/>
      <c r="AH348" s="5"/>
      <c r="AI348" s="5"/>
      <c r="AJ348" s="5"/>
      <c r="AK348" s="141"/>
      <c r="AL348" s="94"/>
      <c r="AM348" s="128"/>
      <c r="AN348" s="180"/>
      <c r="AO348" s="128"/>
      <c r="AP348" s="184"/>
      <c r="AQ348" s="128"/>
      <c r="AR348" s="184"/>
      <c r="AS348" s="128"/>
      <c r="AT348" s="184"/>
      <c r="AU348" s="128"/>
      <c r="AV348" s="184"/>
      <c r="AW348" s="128"/>
      <c r="AX348" s="184"/>
      <c r="AY348" s="111"/>
      <c r="AZ348" s="178"/>
      <c r="BC348" s="216"/>
      <c r="BD348" s="47"/>
      <c r="BF348" s="113"/>
      <c r="BG348" s="113"/>
      <c r="BH348" s="113"/>
      <c r="BI348" s="113"/>
      <c r="BJ348" s="113"/>
      <c r="BK348" s="113"/>
      <c r="BL348" s="5">
        <f t="shared" si="121"/>
        <v>0</v>
      </c>
    </row>
    <row r="349" spans="1:64" s="2" customFormat="1" ht="51" customHeight="1" outlineLevel="1" x14ac:dyDescent="0.2">
      <c r="A349" s="593" t="s">
        <v>740</v>
      </c>
      <c r="B349" s="600" t="s">
        <v>379</v>
      </c>
      <c r="C349" s="7" t="s">
        <v>175</v>
      </c>
      <c r="D349" s="8" t="s">
        <v>397</v>
      </c>
      <c r="E349" s="23" t="s">
        <v>333</v>
      </c>
      <c r="F349" s="8">
        <v>2011</v>
      </c>
      <c r="G349" s="8">
        <v>2015</v>
      </c>
      <c r="H349" s="5">
        <v>0.46110000000000001</v>
      </c>
      <c r="I349" s="5">
        <v>0.14369899999999999</v>
      </c>
      <c r="J349" s="5">
        <f>R349</f>
        <v>0.01</v>
      </c>
      <c r="K349" s="8"/>
      <c r="L349" s="23" t="s">
        <v>333</v>
      </c>
      <c r="M349" s="8"/>
      <c r="N349" s="8"/>
      <c r="O349" s="8"/>
      <c r="P349" s="8"/>
      <c r="Q349" s="23" t="s">
        <v>333</v>
      </c>
      <c r="R349" s="113">
        <v>0.01</v>
      </c>
      <c r="S349" s="113"/>
      <c r="T349" s="113"/>
      <c r="U349" s="113"/>
      <c r="V349" s="113"/>
      <c r="W349" s="113"/>
      <c r="X349" s="5">
        <f t="shared" si="98"/>
        <v>0.01</v>
      </c>
      <c r="Y349" s="302">
        <f>H349-H350-H351</f>
        <v>0</v>
      </c>
      <c r="Z349" s="5">
        <f>I349-I350-I351</f>
        <v>0</v>
      </c>
      <c r="AA349" s="94">
        <f>J349-J350-J351</f>
        <v>0</v>
      </c>
      <c r="AB349" s="311">
        <f t="shared" si="120"/>
        <v>0.13369899999999998</v>
      </c>
      <c r="AC349" s="296"/>
      <c r="AD349" s="113"/>
      <c r="AE349" s="5"/>
      <c r="AF349" s="5"/>
      <c r="AG349" s="5">
        <f>H349</f>
        <v>0.46110000000000001</v>
      </c>
      <c r="AH349" s="5"/>
      <c r="AI349" s="5"/>
      <c r="AJ349" s="5"/>
      <c r="AK349" s="141"/>
      <c r="AL349" s="94">
        <f>SUM(AF349:AK349)</f>
        <v>0.46110000000000001</v>
      </c>
      <c r="AM349" s="128"/>
      <c r="AN349" s="180"/>
      <c r="AO349" s="128">
        <v>0.3</v>
      </c>
      <c r="AP349" s="184">
        <v>0</v>
      </c>
      <c r="AQ349" s="128"/>
      <c r="AR349" s="184"/>
      <c r="AS349" s="128"/>
      <c r="AT349" s="184"/>
      <c r="AU349" s="128"/>
      <c r="AV349" s="184"/>
      <c r="AW349" s="128"/>
      <c r="AX349" s="184"/>
      <c r="AY349" s="111">
        <f t="shared" ref="AY349:AZ352" si="122">AM349+AO349+AQ349+AS349+AU349+AW349</f>
        <v>0.3</v>
      </c>
      <c r="AZ349" s="178">
        <f t="shared" si="122"/>
        <v>0</v>
      </c>
      <c r="BC349" s="216"/>
      <c r="BD349" s="47"/>
      <c r="BF349" s="113">
        <v>0.01</v>
      </c>
      <c r="BG349" s="113"/>
      <c r="BH349" s="113"/>
      <c r="BI349" s="113"/>
      <c r="BJ349" s="113"/>
      <c r="BK349" s="113"/>
      <c r="BL349" s="5">
        <f t="shared" si="121"/>
        <v>0.01</v>
      </c>
    </row>
    <row r="350" spans="1:64" s="2" customFormat="1" ht="15.75" customHeight="1" outlineLevel="1" x14ac:dyDescent="0.2">
      <c r="A350" s="594"/>
      <c r="B350" s="601"/>
      <c r="C350" s="7" t="s">
        <v>1553</v>
      </c>
      <c r="D350" s="8"/>
      <c r="E350" s="23"/>
      <c r="F350" s="8"/>
      <c r="G350" s="8"/>
      <c r="H350" s="5"/>
      <c r="I350" s="5"/>
      <c r="J350" s="5"/>
      <c r="K350" s="8"/>
      <c r="L350" s="23"/>
      <c r="M350" s="8"/>
      <c r="N350" s="8"/>
      <c r="O350" s="8"/>
      <c r="P350" s="8"/>
      <c r="Q350" s="23"/>
      <c r="R350" s="113"/>
      <c r="S350" s="113"/>
      <c r="T350" s="113"/>
      <c r="U350" s="113"/>
      <c r="V350" s="113"/>
      <c r="W350" s="113"/>
      <c r="X350" s="5">
        <f>SUM(R350:W350)</f>
        <v>0</v>
      </c>
      <c r="Y350" s="302"/>
      <c r="Z350" s="5"/>
      <c r="AA350" s="94"/>
      <c r="AB350" s="311">
        <f t="shared" si="120"/>
        <v>0</v>
      </c>
      <c r="AC350" s="296"/>
      <c r="AD350" s="113"/>
      <c r="AE350" s="5"/>
      <c r="AF350" s="5"/>
      <c r="AG350" s="5"/>
      <c r="AH350" s="5"/>
      <c r="AI350" s="5"/>
      <c r="AJ350" s="5"/>
      <c r="AK350" s="141"/>
      <c r="AL350" s="94"/>
      <c r="AM350" s="128"/>
      <c r="AN350" s="180"/>
      <c r="AO350" s="128"/>
      <c r="AP350" s="184"/>
      <c r="AQ350" s="128"/>
      <c r="AR350" s="184"/>
      <c r="AS350" s="128"/>
      <c r="AT350" s="184"/>
      <c r="AU350" s="128"/>
      <c r="AV350" s="184"/>
      <c r="AW350" s="128"/>
      <c r="AX350" s="184"/>
      <c r="AY350" s="111"/>
      <c r="AZ350" s="178"/>
      <c r="BC350" s="216"/>
      <c r="BD350" s="47"/>
      <c r="BF350" s="113"/>
      <c r="BG350" s="113"/>
      <c r="BH350" s="113"/>
      <c r="BI350" s="113"/>
      <c r="BJ350" s="113"/>
      <c r="BK350" s="113"/>
      <c r="BL350" s="5">
        <f>SUM(BF350:BK350)</f>
        <v>0</v>
      </c>
    </row>
    <row r="351" spans="1:64" s="2" customFormat="1" ht="15.75" customHeight="1" outlineLevel="1" x14ac:dyDescent="0.2">
      <c r="A351" s="595"/>
      <c r="B351" s="602"/>
      <c r="C351" s="7" t="s">
        <v>1554</v>
      </c>
      <c r="D351" s="8"/>
      <c r="E351" s="23"/>
      <c r="F351" s="8"/>
      <c r="G351" s="8"/>
      <c r="H351" s="5">
        <v>0.46110000000000001</v>
      </c>
      <c r="I351" s="5">
        <v>0.14369899999999999</v>
      </c>
      <c r="J351" s="5">
        <v>0.01</v>
      </c>
      <c r="K351" s="23"/>
      <c r="L351" s="8"/>
      <c r="M351" s="8"/>
      <c r="N351" s="8"/>
      <c r="O351" s="8"/>
      <c r="P351" s="8"/>
      <c r="Q351" s="23"/>
      <c r="R351" s="113"/>
      <c r="S351" s="113"/>
      <c r="T351" s="113"/>
      <c r="U351" s="113"/>
      <c r="V351" s="113"/>
      <c r="W351" s="113"/>
      <c r="X351" s="5">
        <f>SUM(R351:W351)</f>
        <v>0</v>
      </c>
      <c r="Y351" s="302"/>
      <c r="Z351" s="5"/>
      <c r="AA351" s="94"/>
      <c r="AB351" s="311">
        <f t="shared" si="120"/>
        <v>0.14369899999999999</v>
      </c>
      <c r="AC351" s="296"/>
      <c r="AD351" s="113"/>
      <c r="AE351" s="5"/>
      <c r="AF351" s="5"/>
      <c r="AG351" s="5"/>
      <c r="AH351" s="5"/>
      <c r="AI351" s="5"/>
      <c r="AJ351" s="5"/>
      <c r="AK351" s="141"/>
      <c r="AL351" s="94"/>
      <c r="AM351" s="128"/>
      <c r="AN351" s="180"/>
      <c r="AO351" s="128"/>
      <c r="AP351" s="184"/>
      <c r="AQ351" s="128"/>
      <c r="AR351" s="184"/>
      <c r="AS351" s="128"/>
      <c r="AT351" s="184"/>
      <c r="AU351" s="128"/>
      <c r="AV351" s="184"/>
      <c r="AW351" s="128"/>
      <c r="AX351" s="184"/>
      <c r="AY351" s="111"/>
      <c r="AZ351" s="178"/>
      <c r="BC351" s="216"/>
      <c r="BD351" s="47"/>
      <c r="BF351" s="113"/>
      <c r="BG351" s="113"/>
      <c r="BH351" s="113"/>
      <c r="BI351" s="113"/>
      <c r="BJ351" s="113"/>
      <c r="BK351" s="113"/>
      <c r="BL351" s="5">
        <f>SUM(BF351:BK351)</f>
        <v>0</v>
      </c>
    </row>
    <row r="352" spans="1:64" s="2" customFormat="1" ht="38.25" customHeight="1" outlineLevel="1" x14ac:dyDescent="0.2">
      <c r="A352" s="593" t="s">
        <v>741</v>
      </c>
      <c r="B352" s="600" t="s">
        <v>380</v>
      </c>
      <c r="C352" s="7" t="s">
        <v>176</v>
      </c>
      <c r="D352" s="8" t="s">
        <v>397</v>
      </c>
      <c r="E352" s="23" t="s">
        <v>340</v>
      </c>
      <c r="F352" s="8">
        <v>2011</v>
      </c>
      <c r="G352" s="8">
        <v>2015</v>
      </c>
      <c r="H352" s="5">
        <v>0.46140000000000003</v>
      </c>
      <c r="I352" s="5">
        <v>0.386799</v>
      </c>
      <c r="J352" s="5">
        <f>R352</f>
        <v>0.15087200000000001</v>
      </c>
      <c r="K352" s="8"/>
      <c r="L352" s="23" t="s">
        <v>340</v>
      </c>
      <c r="M352" s="8"/>
      <c r="N352" s="8"/>
      <c r="O352" s="8"/>
      <c r="P352" s="8"/>
      <c r="Q352" s="23" t="s">
        <v>340</v>
      </c>
      <c r="R352" s="113">
        <v>0.15087200000000001</v>
      </c>
      <c r="S352" s="113"/>
      <c r="T352" s="113"/>
      <c r="U352" s="113"/>
      <c r="V352" s="113"/>
      <c r="W352" s="113"/>
      <c r="X352" s="5">
        <f t="shared" si="98"/>
        <v>0.15087200000000001</v>
      </c>
      <c r="Y352" s="302">
        <f>H352-H353-H354</f>
        <v>0</v>
      </c>
      <c r="Z352" s="5">
        <f>I352-I353-I354</f>
        <v>0</v>
      </c>
      <c r="AA352" s="94">
        <f>J352-J353-J354</f>
        <v>0</v>
      </c>
      <c r="AB352" s="311">
        <f t="shared" si="120"/>
        <v>0.235927</v>
      </c>
      <c r="AC352" s="296"/>
      <c r="AD352" s="113"/>
      <c r="AE352" s="5"/>
      <c r="AF352" s="5"/>
      <c r="AG352" s="5">
        <f>H352</f>
        <v>0.46140000000000003</v>
      </c>
      <c r="AH352" s="5"/>
      <c r="AI352" s="5"/>
      <c r="AJ352" s="5"/>
      <c r="AK352" s="141"/>
      <c r="AL352" s="94">
        <f>SUM(AF352:AK352)</f>
        <v>0.46140000000000003</v>
      </c>
      <c r="AM352" s="128"/>
      <c r="AN352" s="180"/>
      <c r="AO352" s="128">
        <v>0.2</v>
      </c>
      <c r="AP352" s="184">
        <v>0</v>
      </c>
      <c r="AQ352" s="128"/>
      <c r="AR352" s="184"/>
      <c r="AS352" s="128"/>
      <c r="AT352" s="184"/>
      <c r="AU352" s="128"/>
      <c r="AV352" s="184"/>
      <c r="AW352" s="128"/>
      <c r="AX352" s="184"/>
      <c r="AY352" s="111">
        <f t="shared" si="122"/>
        <v>0.2</v>
      </c>
      <c r="AZ352" s="178">
        <f t="shared" si="122"/>
        <v>0</v>
      </c>
      <c r="BC352" s="216"/>
      <c r="BD352" s="47"/>
      <c r="BF352" s="113">
        <v>0.15087200000000001</v>
      </c>
      <c r="BG352" s="113"/>
      <c r="BH352" s="113"/>
      <c r="BI352" s="113"/>
      <c r="BJ352" s="113"/>
      <c r="BK352" s="113"/>
      <c r="BL352" s="5">
        <f t="shared" ref="BL352:BL358" si="123">SUM(BF352:BK352)</f>
        <v>0.15087200000000001</v>
      </c>
    </row>
    <row r="353" spans="1:64" s="2" customFormat="1" ht="15.75" customHeight="1" outlineLevel="1" x14ac:dyDescent="0.2">
      <c r="A353" s="594"/>
      <c r="B353" s="601"/>
      <c r="C353" s="7" t="s">
        <v>1553</v>
      </c>
      <c r="D353" s="8"/>
      <c r="E353" s="23"/>
      <c r="F353" s="8"/>
      <c r="G353" s="8"/>
      <c r="H353" s="5"/>
      <c r="I353" s="5"/>
      <c r="J353" s="5"/>
      <c r="K353" s="8"/>
      <c r="L353" s="23"/>
      <c r="M353" s="8"/>
      <c r="N353" s="8"/>
      <c r="O353" s="8"/>
      <c r="P353" s="8"/>
      <c r="Q353" s="23"/>
      <c r="R353" s="113"/>
      <c r="S353" s="113"/>
      <c r="T353" s="113"/>
      <c r="U353" s="113"/>
      <c r="V353" s="113"/>
      <c r="W353" s="113"/>
      <c r="X353" s="5">
        <f t="shared" si="98"/>
        <v>0</v>
      </c>
      <c r="Y353" s="302"/>
      <c r="Z353" s="5"/>
      <c r="AA353" s="94"/>
      <c r="AB353" s="311">
        <f t="shared" si="120"/>
        <v>0</v>
      </c>
      <c r="AC353" s="296"/>
      <c r="AD353" s="113"/>
      <c r="AE353" s="5"/>
      <c r="AF353" s="5"/>
      <c r="AG353" s="5"/>
      <c r="AH353" s="5"/>
      <c r="AI353" s="5"/>
      <c r="AJ353" s="5"/>
      <c r="AK353" s="141"/>
      <c r="AL353" s="94"/>
      <c r="AM353" s="128"/>
      <c r="AN353" s="180"/>
      <c r="AO353" s="128"/>
      <c r="AP353" s="184"/>
      <c r="AQ353" s="128"/>
      <c r="AR353" s="184"/>
      <c r="AS353" s="128"/>
      <c r="AT353" s="184"/>
      <c r="AU353" s="128"/>
      <c r="AV353" s="184"/>
      <c r="AW353" s="128"/>
      <c r="AX353" s="184"/>
      <c r="AY353" s="111"/>
      <c r="AZ353" s="178"/>
      <c r="BC353" s="216"/>
      <c r="BD353" s="47"/>
      <c r="BF353" s="113"/>
      <c r="BG353" s="113"/>
      <c r="BH353" s="113"/>
      <c r="BI353" s="113"/>
      <c r="BJ353" s="113"/>
      <c r="BK353" s="113"/>
      <c r="BL353" s="5">
        <f t="shared" si="123"/>
        <v>0</v>
      </c>
    </row>
    <row r="354" spans="1:64" s="2" customFormat="1" ht="15.75" customHeight="1" outlineLevel="1" x14ac:dyDescent="0.2">
      <c r="A354" s="595"/>
      <c r="B354" s="602"/>
      <c r="C354" s="7" t="s">
        <v>1554</v>
      </c>
      <c r="D354" s="8"/>
      <c r="E354" s="23"/>
      <c r="F354" s="8"/>
      <c r="G354" s="8"/>
      <c r="H354" s="5">
        <f>H352</f>
        <v>0.46140000000000003</v>
      </c>
      <c r="I354" s="5">
        <f>I352</f>
        <v>0.386799</v>
      </c>
      <c r="J354" s="5">
        <f>J352</f>
        <v>0.15087200000000001</v>
      </c>
      <c r="K354" s="23"/>
      <c r="L354" s="8"/>
      <c r="M354" s="8"/>
      <c r="N354" s="8"/>
      <c r="O354" s="8"/>
      <c r="P354" s="8"/>
      <c r="Q354" s="23"/>
      <c r="R354" s="113"/>
      <c r="S354" s="113"/>
      <c r="T354" s="113"/>
      <c r="U354" s="113"/>
      <c r="V354" s="113"/>
      <c r="W354" s="113"/>
      <c r="X354" s="5">
        <f t="shared" si="98"/>
        <v>0</v>
      </c>
      <c r="Y354" s="302"/>
      <c r="Z354" s="5"/>
      <c r="AA354" s="94"/>
      <c r="AB354" s="311">
        <f t="shared" si="120"/>
        <v>0.386799</v>
      </c>
      <c r="AC354" s="296"/>
      <c r="AD354" s="113"/>
      <c r="AE354" s="5"/>
      <c r="AF354" s="5"/>
      <c r="AG354" s="5"/>
      <c r="AH354" s="5"/>
      <c r="AI354" s="5"/>
      <c r="AJ354" s="5"/>
      <c r="AK354" s="141"/>
      <c r="AL354" s="94"/>
      <c r="AM354" s="128"/>
      <c r="AN354" s="180"/>
      <c r="AO354" s="128"/>
      <c r="AP354" s="184"/>
      <c r="AQ354" s="128"/>
      <c r="AR354" s="184"/>
      <c r="AS354" s="128"/>
      <c r="AT354" s="184"/>
      <c r="AU354" s="128"/>
      <c r="AV354" s="184"/>
      <c r="AW354" s="128"/>
      <c r="AX354" s="184"/>
      <c r="AY354" s="111"/>
      <c r="AZ354" s="178"/>
      <c r="BC354" s="216"/>
      <c r="BD354" s="47"/>
      <c r="BF354" s="113"/>
      <c r="BG354" s="113"/>
      <c r="BH354" s="113"/>
      <c r="BI354" s="113"/>
      <c r="BJ354" s="113"/>
      <c r="BK354" s="113"/>
      <c r="BL354" s="5">
        <f t="shared" si="123"/>
        <v>0</v>
      </c>
    </row>
    <row r="355" spans="1:64" s="2" customFormat="1" ht="38.25" customHeight="1" outlineLevel="1" x14ac:dyDescent="0.2">
      <c r="A355" s="593" t="s">
        <v>742</v>
      </c>
      <c r="B355" s="600" t="s">
        <v>381</v>
      </c>
      <c r="C355" s="7" t="s">
        <v>177</v>
      </c>
      <c r="D355" s="8" t="s">
        <v>397</v>
      </c>
      <c r="E355" s="23" t="s">
        <v>335</v>
      </c>
      <c r="F355" s="8">
        <v>2011</v>
      </c>
      <c r="G355" s="8">
        <v>2015</v>
      </c>
      <c r="H355" s="5">
        <v>0.21645999999999999</v>
      </c>
      <c r="I355" s="5">
        <v>0.19410999999999998</v>
      </c>
      <c r="J355" s="5">
        <f>R355</f>
        <v>0.158388</v>
      </c>
      <c r="K355" s="8"/>
      <c r="L355" s="23" t="s">
        <v>335</v>
      </c>
      <c r="M355" s="8"/>
      <c r="N355" s="8"/>
      <c r="O355" s="8"/>
      <c r="P355" s="8"/>
      <c r="Q355" s="23" t="s">
        <v>335</v>
      </c>
      <c r="R355" s="113">
        <v>0.158388</v>
      </c>
      <c r="S355" s="113"/>
      <c r="T355" s="113"/>
      <c r="U355" s="113"/>
      <c r="V355" s="113"/>
      <c r="W355" s="113"/>
      <c r="X355" s="5">
        <f t="shared" si="98"/>
        <v>0.158388</v>
      </c>
      <c r="Y355" s="302">
        <f>H355-H356-H357</f>
        <v>0</v>
      </c>
      <c r="Z355" s="5">
        <f>I355-I356-I357</f>
        <v>0</v>
      </c>
      <c r="AA355" s="94">
        <f>J355-J356-J357</f>
        <v>0</v>
      </c>
      <c r="AB355" s="311">
        <f t="shared" si="120"/>
        <v>3.5721999999999976E-2</v>
      </c>
      <c r="AC355" s="296"/>
      <c r="AD355" s="113"/>
      <c r="AE355" s="5"/>
      <c r="AF355" s="5"/>
      <c r="AG355" s="5">
        <f>H355</f>
        <v>0.21645999999999999</v>
      </c>
      <c r="AH355" s="5"/>
      <c r="AI355" s="5"/>
      <c r="AJ355" s="5"/>
      <c r="AK355" s="141"/>
      <c r="AL355" s="94">
        <f>SUM(AF355:AK355)</f>
        <v>0.21645999999999999</v>
      </c>
      <c r="AM355" s="128"/>
      <c r="AN355" s="180"/>
      <c r="AO355" s="128">
        <v>0.1</v>
      </c>
      <c r="AP355" s="184">
        <v>0</v>
      </c>
      <c r="AQ355" s="128"/>
      <c r="AR355" s="184"/>
      <c r="AS355" s="128"/>
      <c r="AT355" s="184"/>
      <c r="AU355" s="128"/>
      <c r="AV355" s="184"/>
      <c r="AW355" s="128"/>
      <c r="AX355" s="184"/>
      <c r="AY355" s="111">
        <f>AM355+AO355+AQ355+AS355+AU355+AW355</f>
        <v>0.1</v>
      </c>
      <c r="AZ355" s="178">
        <f>AN355+AP355+AR355+AT355+AV355+AX355</f>
        <v>0</v>
      </c>
      <c r="BC355" s="216"/>
      <c r="BD355" s="47"/>
      <c r="BF355" s="113">
        <v>0.158388</v>
      </c>
      <c r="BG355" s="113"/>
      <c r="BH355" s="113"/>
      <c r="BI355" s="113"/>
      <c r="BJ355" s="113"/>
      <c r="BK355" s="113"/>
      <c r="BL355" s="5">
        <f t="shared" si="123"/>
        <v>0.158388</v>
      </c>
    </row>
    <row r="356" spans="1:64" s="2" customFormat="1" ht="15.75" customHeight="1" outlineLevel="1" x14ac:dyDescent="0.2">
      <c r="A356" s="594"/>
      <c r="B356" s="601"/>
      <c r="C356" s="7" t="s">
        <v>1553</v>
      </c>
      <c r="D356" s="8"/>
      <c r="E356" s="23"/>
      <c r="F356" s="8"/>
      <c r="G356" s="8"/>
      <c r="H356" s="5"/>
      <c r="I356" s="5"/>
      <c r="J356" s="5"/>
      <c r="K356" s="8"/>
      <c r="L356" s="23"/>
      <c r="M356" s="8"/>
      <c r="N356" s="8"/>
      <c r="O356" s="8"/>
      <c r="P356" s="8"/>
      <c r="Q356" s="23"/>
      <c r="R356" s="113"/>
      <c r="S356" s="113"/>
      <c r="T356" s="113"/>
      <c r="U356" s="113"/>
      <c r="V356" s="113"/>
      <c r="W356" s="113"/>
      <c r="X356" s="5">
        <f t="shared" si="98"/>
        <v>0</v>
      </c>
      <c r="Y356" s="302"/>
      <c r="Z356" s="5"/>
      <c r="AA356" s="94"/>
      <c r="AB356" s="311">
        <f t="shared" si="120"/>
        <v>0</v>
      </c>
      <c r="AC356" s="296"/>
      <c r="AD356" s="113"/>
      <c r="AE356" s="5"/>
      <c r="AF356" s="5"/>
      <c r="AG356" s="5"/>
      <c r="AH356" s="5"/>
      <c r="AI356" s="5"/>
      <c r="AJ356" s="5"/>
      <c r="AK356" s="141"/>
      <c r="AL356" s="94"/>
      <c r="AM356" s="128"/>
      <c r="AN356" s="180"/>
      <c r="AO356" s="128"/>
      <c r="AP356" s="184"/>
      <c r="AQ356" s="128"/>
      <c r="AR356" s="184"/>
      <c r="AS356" s="128"/>
      <c r="AT356" s="184"/>
      <c r="AU356" s="128"/>
      <c r="AV356" s="184"/>
      <c r="AW356" s="128"/>
      <c r="AX356" s="184"/>
      <c r="AY356" s="111"/>
      <c r="AZ356" s="178"/>
      <c r="BC356" s="216"/>
      <c r="BD356" s="47"/>
      <c r="BF356" s="113"/>
      <c r="BG356" s="113"/>
      <c r="BH356" s="113"/>
      <c r="BI356" s="113"/>
      <c r="BJ356" s="113"/>
      <c r="BK356" s="113"/>
      <c r="BL356" s="5">
        <f t="shared" si="123"/>
        <v>0</v>
      </c>
    </row>
    <row r="357" spans="1:64" s="2" customFormat="1" ht="15.75" customHeight="1" outlineLevel="1" x14ac:dyDescent="0.2">
      <c r="A357" s="595"/>
      <c r="B357" s="602"/>
      <c r="C357" s="7" t="s">
        <v>1554</v>
      </c>
      <c r="D357" s="8"/>
      <c r="E357" s="23"/>
      <c r="F357" s="8"/>
      <c r="G357" s="8"/>
      <c r="H357" s="5">
        <v>0.21645999999999999</v>
      </c>
      <c r="I357" s="5">
        <v>0.19410999999999998</v>
      </c>
      <c r="J357" s="5">
        <v>0.158388</v>
      </c>
      <c r="K357" s="23"/>
      <c r="L357" s="8"/>
      <c r="M357" s="8"/>
      <c r="N357" s="8"/>
      <c r="O357" s="8"/>
      <c r="P357" s="8"/>
      <c r="Q357" s="23"/>
      <c r="R357" s="113"/>
      <c r="S357" s="113"/>
      <c r="T357" s="113"/>
      <c r="U357" s="113"/>
      <c r="V357" s="113"/>
      <c r="W357" s="113"/>
      <c r="X357" s="5">
        <f t="shared" si="98"/>
        <v>0</v>
      </c>
      <c r="Y357" s="302"/>
      <c r="Z357" s="5"/>
      <c r="AA357" s="94"/>
      <c r="AB357" s="311">
        <f t="shared" si="120"/>
        <v>0.19410999999999998</v>
      </c>
      <c r="AC357" s="296"/>
      <c r="AD357" s="113"/>
      <c r="AE357" s="5"/>
      <c r="AF357" s="5"/>
      <c r="AG357" s="5"/>
      <c r="AH357" s="5"/>
      <c r="AI357" s="5"/>
      <c r="AJ357" s="5"/>
      <c r="AK357" s="141"/>
      <c r="AL357" s="94"/>
      <c r="AM357" s="128"/>
      <c r="AN357" s="180"/>
      <c r="AO357" s="128"/>
      <c r="AP357" s="184"/>
      <c r="AQ357" s="128"/>
      <c r="AR357" s="184"/>
      <c r="AS357" s="128"/>
      <c r="AT357" s="184"/>
      <c r="AU357" s="128"/>
      <c r="AV357" s="184"/>
      <c r="AW357" s="128"/>
      <c r="AX357" s="184"/>
      <c r="AY357" s="111"/>
      <c r="AZ357" s="178"/>
      <c r="BC357" s="216"/>
      <c r="BD357" s="47"/>
      <c r="BF357" s="113"/>
      <c r="BG357" s="113"/>
      <c r="BH357" s="113"/>
      <c r="BI357" s="113"/>
      <c r="BJ357" s="113"/>
      <c r="BK357" s="113"/>
      <c r="BL357" s="5">
        <f t="shared" si="123"/>
        <v>0</v>
      </c>
    </row>
    <row r="358" spans="1:64" s="2" customFormat="1" ht="51" outlineLevel="1" x14ac:dyDescent="0.2">
      <c r="A358" s="593" t="s">
        <v>743</v>
      </c>
      <c r="B358" s="600" t="s">
        <v>382</v>
      </c>
      <c r="C358" s="7" t="s">
        <v>178</v>
      </c>
      <c r="D358" s="8" t="s">
        <v>397</v>
      </c>
      <c r="E358" s="23" t="s">
        <v>343</v>
      </c>
      <c r="F358" s="8">
        <v>2011</v>
      </c>
      <c r="G358" s="8">
        <v>2014</v>
      </c>
      <c r="H358" s="5">
        <v>1.022038</v>
      </c>
      <c r="I358" s="5">
        <v>0.01</v>
      </c>
      <c r="J358" s="5">
        <f>R358</f>
        <v>0.01</v>
      </c>
      <c r="K358" s="23" t="s">
        <v>343</v>
      </c>
      <c r="L358" s="8"/>
      <c r="M358" s="8"/>
      <c r="N358" s="8"/>
      <c r="O358" s="8"/>
      <c r="P358" s="8"/>
      <c r="Q358" s="23" t="s">
        <v>343</v>
      </c>
      <c r="R358" s="113">
        <v>0.01</v>
      </c>
      <c r="S358" s="113"/>
      <c r="T358" s="113"/>
      <c r="U358" s="113"/>
      <c r="V358" s="113"/>
      <c r="W358" s="113"/>
      <c r="X358" s="5">
        <f t="shared" si="98"/>
        <v>0.01</v>
      </c>
      <c r="Y358" s="302">
        <f>H358-H359-H360</f>
        <v>0</v>
      </c>
      <c r="Z358" s="5">
        <f>I358-I359-I360</f>
        <v>0</v>
      </c>
      <c r="AA358" s="94">
        <f>J358-J359-J360</f>
        <v>0</v>
      </c>
      <c r="AB358" s="311">
        <f t="shared" si="120"/>
        <v>0</v>
      </c>
      <c r="AC358" s="296"/>
      <c r="AD358" s="113"/>
      <c r="AE358" s="5"/>
      <c r="AF358" s="5">
        <f>H358</f>
        <v>1.022038</v>
      </c>
      <c r="AG358" s="5"/>
      <c r="AH358" s="5"/>
      <c r="AI358" s="5"/>
      <c r="AJ358" s="5"/>
      <c r="AK358" s="141"/>
      <c r="AL358" s="94">
        <f>SUM(AF358:AK358)</f>
        <v>1.022038</v>
      </c>
      <c r="AM358" s="128">
        <v>0.4</v>
      </c>
      <c r="AN358" s="180">
        <v>0</v>
      </c>
      <c r="AO358" s="128"/>
      <c r="AP358" s="184"/>
      <c r="AQ358" s="128"/>
      <c r="AR358" s="184"/>
      <c r="AS358" s="128"/>
      <c r="AT358" s="184"/>
      <c r="AU358" s="128"/>
      <c r="AV358" s="184"/>
      <c r="AW358" s="128"/>
      <c r="AX358" s="184"/>
      <c r="AY358" s="111">
        <f t="shared" ref="AY358:AZ361" si="124">AM358+AO358+AQ358+AS358+AU358+AW358</f>
        <v>0.4</v>
      </c>
      <c r="AZ358" s="178">
        <f t="shared" si="124"/>
        <v>0</v>
      </c>
      <c r="BC358" s="216"/>
      <c r="BD358" s="47"/>
      <c r="BF358" s="113">
        <v>0.01</v>
      </c>
      <c r="BG358" s="113"/>
      <c r="BH358" s="113"/>
      <c r="BI358" s="113"/>
      <c r="BJ358" s="113"/>
      <c r="BK358" s="113"/>
      <c r="BL358" s="5">
        <f t="shared" si="123"/>
        <v>0.01</v>
      </c>
    </row>
    <row r="359" spans="1:64" s="2" customFormat="1" ht="15.75" customHeight="1" outlineLevel="1" x14ac:dyDescent="0.2">
      <c r="A359" s="594"/>
      <c r="B359" s="601"/>
      <c r="C359" s="7" t="s">
        <v>1553</v>
      </c>
      <c r="D359" s="8"/>
      <c r="E359" s="23"/>
      <c r="F359" s="8"/>
      <c r="G359" s="8"/>
      <c r="H359" s="5"/>
      <c r="I359" s="5"/>
      <c r="J359" s="5"/>
      <c r="K359" s="8"/>
      <c r="L359" s="23"/>
      <c r="M359" s="8"/>
      <c r="N359" s="8"/>
      <c r="O359" s="8"/>
      <c r="P359" s="8"/>
      <c r="Q359" s="23"/>
      <c r="R359" s="113"/>
      <c r="S359" s="113"/>
      <c r="T359" s="113"/>
      <c r="U359" s="113"/>
      <c r="V359" s="113"/>
      <c r="W359" s="113"/>
      <c r="X359" s="5">
        <f>SUM(R359:W359)</f>
        <v>0</v>
      </c>
      <c r="Y359" s="302"/>
      <c r="Z359" s="5"/>
      <c r="AA359" s="94"/>
      <c r="AB359" s="311">
        <f t="shared" si="120"/>
        <v>0</v>
      </c>
      <c r="AC359" s="296"/>
      <c r="AD359" s="113"/>
      <c r="AE359" s="5"/>
      <c r="AF359" s="5"/>
      <c r="AG359" s="5"/>
      <c r="AH359" s="5"/>
      <c r="AI359" s="5"/>
      <c r="AJ359" s="5"/>
      <c r="AK359" s="141"/>
      <c r="AL359" s="94"/>
      <c r="AM359" s="128"/>
      <c r="AN359" s="180"/>
      <c r="AO359" s="128"/>
      <c r="AP359" s="184"/>
      <c r="AQ359" s="128"/>
      <c r="AR359" s="184"/>
      <c r="AS359" s="128"/>
      <c r="AT359" s="184"/>
      <c r="AU359" s="128"/>
      <c r="AV359" s="184"/>
      <c r="AW359" s="128"/>
      <c r="AX359" s="184"/>
      <c r="AY359" s="111"/>
      <c r="AZ359" s="178"/>
      <c r="BC359" s="216"/>
      <c r="BD359" s="47"/>
      <c r="BF359" s="113"/>
      <c r="BG359" s="113"/>
      <c r="BH359" s="113"/>
      <c r="BI359" s="113"/>
      <c r="BJ359" s="113"/>
      <c r="BK359" s="113"/>
      <c r="BL359" s="5">
        <f t="shared" ref="BL359:BL369" si="125">SUM(BF359:BK359)</f>
        <v>0</v>
      </c>
    </row>
    <row r="360" spans="1:64" s="2" customFormat="1" ht="15.75" customHeight="1" outlineLevel="1" x14ac:dyDescent="0.2">
      <c r="A360" s="595"/>
      <c r="B360" s="602"/>
      <c r="C360" s="7" t="s">
        <v>1554</v>
      </c>
      <c r="D360" s="8"/>
      <c r="E360" s="23"/>
      <c r="F360" s="8"/>
      <c r="G360" s="8"/>
      <c r="H360" s="5">
        <v>1.022038</v>
      </c>
      <c r="I360" s="5">
        <v>0.01</v>
      </c>
      <c r="J360" s="5">
        <v>0.01</v>
      </c>
      <c r="K360" s="23"/>
      <c r="L360" s="8"/>
      <c r="M360" s="8"/>
      <c r="N360" s="8"/>
      <c r="O360" s="8"/>
      <c r="P360" s="8"/>
      <c r="Q360" s="23"/>
      <c r="R360" s="113"/>
      <c r="S360" s="113"/>
      <c r="T360" s="113"/>
      <c r="U360" s="113"/>
      <c r="V360" s="113"/>
      <c r="W360" s="113"/>
      <c r="X360" s="5">
        <f>SUM(R360:W360)</f>
        <v>0</v>
      </c>
      <c r="Y360" s="302"/>
      <c r="Z360" s="5"/>
      <c r="AA360" s="94"/>
      <c r="AB360" s="311">
        <f t="shared" si="120"/>
        <v>0.01</v>
      </c>
      <c r="AC360" s="296"/>
      <c r="AD360" s="113"/>
      <c r="AE360" s="5"/>
      <c r="AF360" s="5"/>
      <c r="AG360" s="5"/>
      <c r="AH360" s="5"/>
      <c r="AI360" s="5"/>
      <c r="AJ360" s="5"/>
      <c r="AK360" s="141"/>
      <c r="AL360" s="94"/>
      <c r="AM360" s="128"/>
      <c r="AN360" s="180"/>
      <c r="AO360" s="128"/>
      <c r="AP360" s="184"/>
      <c r="AQ360" s="128"/>
      <c r="AR360" s="184"/>
      <c r="AS360" s="128"/>
      <c r="AT360" s="184"/>
      <c r="AU360" s="128"/>
      <c r="AV360" s="184"/>
      <c r="AW360" s="128"/>
      <c r="AX360" s="184"/>
      <c r="AY360" s="111"/>
      <c r="AZ360" s="178"/>
      <c r="BC360" s="216"/>
      <c r="BD360" s="47"/>
      <c r="BF360" s="113"/>
      <c r="BG360" s="113"/>
      <c r="BH360" s="113"/>
      <c r="BI360" s="113"/>
      <c r="BJ360" s="113"/>
      <c r="BK360" s="113"/>
      <c r="BL360" s="5">
        <f t="shared" si="125"/>
        <v>0</v>
      </c>
    </row>
    <row r="361" spans="1:64" s="2" customFormat="1" ht="38.25" customHeight="1" outlineLevel="1" x14ac:dyDescent="0.2">
      <c r="A361" s="593" t="s">
        <v>744</v>
      </c>
      <c r="B361" s="600" t="s">
        <v>383</v>
      </c>
      <c r="C361" s="7" t="s">
        <v>179</v>
      </c>
      <c r="D361" s="8" t="s">
        <v>397</v>
      </c>
      <c r="E361" s="23" t="s">
        <v>347</v>
      </c>
      <c r="F361" s="8">
        <v>2011</v>
      </c>
      <c r="G361" s="8">
        <v>2015</v>
      </c>
      <c r="H361" s="5">
        <v>0.18738779</v>
      </c>
      <c r="I361" s="5">
        <v>6.7608000000000001E-2</v>
      </c>
      <c r="J361" s="5">
        <f>R361</f>
        <v>6.7608000000000001E-2</v>
      </c>
      <c r="K361" s="8"/>
      <c r="L361" s="23" t="s">
        <v>347</v>
      </c>
      <c r="M361" s="8"/>
      <c r="N361" s="8"/>
      <c r="O361" s="8"/>
      <c r="P361" s="8"/>
      <c r="Q361" s="23" t="s">
        <v>347</v>
      </c>
      <c r="R361" s="113">
        <v>6.7608000000000001E-2</v>
      </c>
      <c r="S361" s="113"/>
      <c r="T361" s="113"/>
      <c r="U361" s="113"/>
      <c r="V361" s="113"/>
      <c r="W361" s="113"/>
      <c r="X361" s="5">
        <f t="shared" si="98"/>
        <v>6.7608000000000001E-2</v>
      </c>
      <c r="Y361" s="302">
        <f>H361-H362-H363</f>
        <v>0</v>
      </c>
      <c r="Z361" s="5">
        <f>I361-I362-I363</f>
        <v>0</v>
      </c>
      <c r="AA361" s="94">
        <f>J361-J362-J363</f>
        <v>0</v>
      </c>
      <c r="AB361" s="311">
        <f t="shared" si="120"/>
        <v>0</v>
      </c>
      <c r="AC361" s="296"/>
      <c r="AD361" s="113"/>
      <c r="AE361" s="5"/>
      <c r="AF361" s="5"/>
      <c r="AG361" s="5">
        <f>H361</f>
        <v>0.18738779</v>
      </c>
      <c r="AH361" s="5"/>
      <c r="AI361" s="5"/>
      <c r="AJ361" s="5"/>
      <c r="AK361" s="141"/>
      <c r="AL361" s="94">
        <f>SUM(AF361:AK361)</f>
        <v>0.18738779</v>
      </c>
      <c r="AM361" s="128"/>
      <c r="AN361" s="180"/>
      <c r="AO361" s="128">
        <v>0.05</v>
      </c>
      <c r="AP361" s="184">
        <v>0</v>
      </c>
      <c r="AQ361" s="128"/>
      <c r="AR361" s="184"/>
      <c r="AS361" s="128"/>
      <c r="AT361" s="184"/>
      <c r="AU361" s="128"/>
      <c r="AV361" s="184"/>
      <c r="AW361" s="128"/>
      <c r="AX361" s="184"/>
      <c r="AY361" s="111">
        <f t="shared" si="124"/>
        <v>0.05</v>
      </c>
      <c r="AZ361" s="178">
        <f t="shared" si="124"/>
        <v>0</v>
      </c>
      <c r="BC361" s="216"/>
      <c r="BD361" s="47"/>
      <c r="BF361" s="113">
        <v>6.7608000000000001E-2</v>
      </c>
      <c r="BG361" s="113"/>
      <c r="BH361" s="113"/>
      <c r="BI361" s="113"/>
      <c r="BJ361" s="113"/>
      <c r="BK361" s="113"/>
      <c r="BL361" s="5">
        <f t="shared" si="125"/>
        <v>6.7608000000000001E-2</v>
      </c>
    </row>
    <row r="362" spans="1:64" s="2" customFormat="1" ht="15.75" customHeight="1" outlineLevel="1" x14ac:dyDescent="0.2">
      <c r="A362" s="594"/>
      <c r="B362" s="601"/>
      <c r="C362" s="7" t="s">
        <v>1553</v>
      </c>
      <c r="D362" s="8"/>
      <c r="E362" s="23"/>
      <c r="F362" s="8"/>
      <c r="G362" s="8"/>
      <c r="H362" s="5">
        <f>0.14</f>
        <v>0.14000000000000001</v>
      </c>
      <c r="I362" s="5">
        <f>I361</f>
        <v>6.7608000000000001E-2</v>
      </c>
      <c r="J362" s="5">
        <f>J361</f>
        <v>6.7608000000000001E-2</v>
      </c>
      <c r="K362" s="8"/>
      <c r="L362" s="23"/>
      <c r="M362" s="8"/>
      <c r="N362" s="8"/>
      <c r="O362" s="8"/>
      <c r="P362" s="8"/>
      <c r="Q362" s="23"/>
      <c r="R362" s="113"/>
      <c r="S362" s="113"/>
      <c r="T362" s="113"/>
      <c r="U362" s="113"/>
      <c r="V362" s="113"/>
      <c r="W362" s="113"/>
      <c r="X362" s="5">
        <f>SUM(R362:W362)</f>
        <v>0</v>
      </c>
      <c r="Y362" s="302"/>
      <c r="Z362" s="5"/>
      <c r="AA362" s="94"/>
      <c r="AB362" s="311">
        <f t="shared" si="120"/>
        <v>6.7608000000000001E-2</v>
      </c>
      <c r="AC362" s="296"/>
      <c r="AD362" s="113"/>
      <c r="AE362" s="5"/>
      <c r="AF362" s="5"/>
      <c r="AG362" s="5"/>
      <c r="AH362" s="5"/>
      <c r="AI362" s="5"/>
      <c r="AJ362" s="5"/>
      <c r="AK362" s="141"/>
      <c r="AL362" s="94"/>
      <c r="AM362" s="128"/>
      <c r="AN362" s="180"/>
      <c r="AO362" s="128"/>
      <c r="AP362" s="184"/>
      <c r="AQ362" s="128"/>
      <c r="AR362" s="184"/>
      <c r="AS362" s="128"/>
      <c r="AT362" s="184"/>
      <c r="AU362" s="128"/>
      <c r="AV362" s="184"/>
      <c r="AW362" s="128"/>
      <c r="AX362" s="184"/>
      <c r="AY362" s="111"/>
      <c r="AZ362" s="178"/>
      <c r="BC362" s="216"/>
      <c r="BD362" s="47"/>
      <c r="BF362" s="113"/>
      <c r="BG362" s="113"/>
      <c r="BH362" s="113"/>
      <c r="BI362" s="113"/>
      <c r="BJ362" s="113"/>
      <c r="BK362" s="113"/>
      <c r="BL362" s="5">
        <f t="shared" si="125"/>
        <v>0</v>
      </c>
    </row>
    <row r="363" spans="1:64" s="2" customFormat="1" ht="15.75" customHeight="1" outlineLevel="1" x14ac:dyDescent="0.2">
      <c r="A363" s="595"/>
      <c r="B363" s="602"/>
      <c r="C363" s="7" t="s">
        <v>1554</v>
      </c>
      <c r="D363" s="8"/>
      <c r="E363" s="23"/>
      <c r="F363" s="8"/>
      <c r="G363" s="8"/>
      <c r="H363" s="5">
        <f>H361-H362</f>
        <v>4.7387789999999985E-2</v>
      </c>
      <c r="I363" s="5">
        <f>I361-I362</f>
        <v>0</v>
      </c>
      <c r="J363" s="5">
        <f>J361-J362</f>
        <v>0</v>
      </c>
      <c r="K363" s="23"/>
      <c r="L363" s="8"/>
      <c r="M363" s="8"/>
      <c r="N363" s="8"/>
      <c r="O363" s="8"/>
      <c r="P363" s="8"/>
      <c r="Q363" s="23"/>
      <c r="R363" s="113"/>
      <c r="S363" s="113"/>
      <c r="T363" s="113"/>
      <c r="U363" s="113"/>
      <c r="V363" s="113"/>
      <c r="W363" s="113"/>
      <c r="X363" s="5">
        <f>SUM(R363:W363)</f>
        <v>0</v>
      </c>
      <c r="Y363" s="302"/>
      <c r="Z363" s="5"/>
      <c r="AA363" s="94"/>
      <c r="AB363" s="311">
        <f t="shared" si="120"/>
        <v>0</v>
      </c>
      <c r="AC363" s="296"/>
      <c r="AD363" s="113"/>
      <c r="AE363" s="5"/>
      <c r="AF363" s="5"/>
      <c r="AG363" s="5"/>
      <c r="AH363" s="5"/>
      <c r="AI363" s="5"/>
      <c r="AJ363" s="5"/>
      <c r="AK363" s="141"/>
      <c r="AL363" s="94"/>
      <c r="AM363" s="128"/>
      <c r="AN363" s="180"/>
      <c r="AO363" s="128"/>
      <c r="AP363" s="184"/>
      <c r="AQ363" s="128"/>
      <c r="AR363" s="184"/>
      <c r="AS363" s="128"/>
      <c r="AT363" s="184"/>
      <c r="AU363" s="128"/>
      <c r="AV363" s="184"/>
      <c r="AW363" s="128"/>
      <c r="AX363" s="184"/>
      <c r="AY363" s="111"/>
      <c r="AZ363" s="178"/>
      <c r="BC363" s="216"/>
      <c r="BD363" s="47"/>
      <c r="BF363" s="113"/>
      <c r="BG363" s="113"/>
      <c r="BH363" s="113"/>
      <c r="BI363" s="113"/>
      <c r="BJ363" s="113"/>
      <c r="BK363" s="113"/>
      <c r="BL363" s="5">
        <f t="shared" si="125"/>
        <v>0</v>
      </c>
    </row>
    <row r="364" spans="1:64" s="2" customFormat="1" ht="38.25" customHeight="1" outlineLevel="1" x14ac:dyDescent="0.2">
      <c r="A364" s="593" t="s">
        <v>745</v>
      </c>
      <c r="B364" s="600" t="s">
        <v>384</v>
      </c>
      <c r="C364" s="7" t="s">
        <v>180</v>
      </c>
      <c r="D364" s="8" t="s">
        <v>397</v>
      </c>
      <c r="E364" s="23" t="s">
        <v>335</v>
      </c>
      <c r="F364" s="8">
        <v>2011</v>
      </c>
      <c r="G364" s="8">
        <v>2015</v>
      </c>
      <c r="H364" s="5">
        <v>5.9420000000000001E-2</v>
      </c>
      <c r="I364" s="5">
        <v>5.9420000000000001E-2</v>
      </c>
      <c r="J364" s="5">
        <f>R364</f>
        <v>0.01</v>
      </c>
      <c r="K364" s="8"/>
      <c r="L364" s="23" t="s">
        <v>335</v>
      </c>
      <c r="M364" s="8"/>
      <c r="N364" s="8"/>
      <c r="O364" s="8"/>
      <c r="P364" s="8"/>
      <c r="Q364" s="23" t="s">
        <v>335</v>
      </c>
      <c r="R364" s="113">
        <v>0.01</v>
      </c>
      <c r="S364" s="113"/>
      <c r="T364" s="113"/>
      <c r="U364" s="113"/>
      <c r="V364" s="113"/>
      <c r="W364" s="113"/>
      <c r="X364" s="5">
        <f t="shared" si="98"/>
        <v>0.01</v>
      </c>
      <c r="Y364" s="302">
        <f>H364-H365-H366</f>
        <v>0</v>
      </c>
      <c r="Z364" s="5">
        <f>I364-I365-I366</f>
        <v>0</v>
      </c>
      <c r="AA364" s="94">
        <f>J364-J365-J366</f>
        <v>0</v>
      </c>
      <c r="AB364" s="311">
        <f t="shared" si="120"/>
        <v>4.9419999999999999E-2</v>
      </c>
      <c r="AC364" s="296"/>
      <c r="AD364" s="113"/>
      <c r="AE364" s="5"/>
      <c r="AF364" s="5"/>
      <c r="AG364" s="5">
        <f>H364</f>
        <v>5.9420000000000001E-2</v>
      </c>
      <c r="AH364" s="5"/>
      <c r="AI364" s="5"/>
      <c r="AJ364" s="5"/>
      <c r="AK364" s="141"/>
      <c r="AL364" s="94">
        <f>SUM(AF364:AK364)</f>
        <v>5.9420000000000001E-2</v>
      </c>
      <c r="AM364" s="128"/>
      <c r="AN364" s="180"/>
      <c r="AO364" s="128">
        <v>0.1</v>
      </c>
      <c r="AP364" s="184">
        <v>0</v>
      </c>
      <c r="AQ364" s="128"/>
      <c r="AR364" s="184"/>
      <c r="AS364" s="128"/>
      <c r="AT364" s="184"/>
      <c r="AU364" s="128"/>
      <c r="AV364" s="184"/>
      <c r="AW364" s="128"/>
      <c r="AX364" s="184"/>
      <c r="AY364" s="111">
        <f>AM364+AO364+AQ364+AS364+AU364+AW364</f>
        <v>0.1</v>
      </c>
      <c r="AZ364" s="178">
        <f>AN364+AP364+AR364+AT364+AV364+AX364</f>
        <v>0</v>
      </c>
      <c r="BC364" s="216"/>
      <c r="BD364" s="47"/>
      <c r="BF364" s="113">
        <v>0.01</v>
      </c>
      <c r="BG364" s="113"/>
      <c r="BH364" s="113"/>
      <c r="BI364" s="113"/>
      <c r="BJ364" s="113"/>
      <c r="BK364" s="113"/>
      <c r="BL364" s="5">
        <f t="shared" si="125"/>
        <v>0.01</v>
      </c>
    </row>
    <row r="365" spans="1:64" s="2" customFormat="1" ht="15.75" customHeight="1" outlineLevel="1" x14ac:dyDescent="0.2">
      <c r="A365" s="594"/>
      <c r="B365" s="601"/>
      <c r="C365" s="7" t="s">
        <v>1553</v>
      </c>
      <c r="D365" s="8"/>
      <c r="E365" s="23"/>
      <c r="F365" s="8"/>
      <c r="G365" s="8"/>
      <c r="H365" s="5"/>
      <c r="I365" s="5"/>
      <c r="J365" s="5"/>
      <c r="K365" s="8"/>
      <c r="L365" s="23"/>
      <c r="M365" s="8"/>
      <c r="N365" s="8"/>
      <c r="O365" s="8"/>
      <c r="P365" s="8"/>
      <c r="Q365" s="23"/>
      <c r="R365" s="113"/>
      <c r="S365" s="113"/>
      <c r="T365" s="113"/>
      <c r="U365" s="113"/>
      <c r="V365" s="113"/>
      <c r="W365" s="113"/>
      <c r="X365" s="5">
        <f t="shared" si="98"/>
        <v>0</v>
      </c>
      <c r="Y365" s="302"/>
      <c r="Z365" s="5"/>
      <c r="AA365" s="94"/>
      <c r="AB365" s="311">
        <f t="shared" si="120"/>
        <v>0</v>
      </c>
      <c r="AC365" s="296"/>
      <c r="AD365" s="113"/>
      <c r="AE365" s="5"/>
      <c r="AF365" s="5"/>
      <c r="AG365" s="5"/>
      <c r="AH365" s="5"/>
      <c r="AI365" s="5"/>
      <c r="AJ365" s="5"/>
      <c r="AK365" s="141"/>
      <c r="AL365" s="94"/>
      <c r="AM365" s="128"/>
      <c r="AN365" s="180"/>
      <c r="AO365" s="128"/>
      <c r="AP365" s="184"/>
      <c r="AQ365" s="128"/>
      <c r="AR365" s="184"/>
      <c r="AS365" s="128"/>
      <c r="AT365" s="184"/>
      <c r="AU365" s="128"/>
      <c r="AV365" s="184"/>
      <c r="AW365" s="128"/>
      <c r="AX365" s="184"/>
      <c r="AY365" s="111"/>
      <c r="AZ365" s="178"/>
      <c r="BC365" s="216"/>
      <c r="BD365" s="47"/>
      <c r="BF365" s="113"/>
      <c r="BG365" s="113"/>
      <c r="BH365" s="113"/>
      <c r="BI365" s="113"/>
      <c r="BJ365" s="113"/>
      <c r="BK365" s="113"/>
      <c r="BL365" s="5">
        <f t="shared" si="125"/>
        <v>0</v>
      </c>
    </row>
    <row r="366" spans="1:64" s="2" customFormat="1" ht="15.75" customHeight="1" outlineLevel="1" x14ac:dyDescent="0.2">
      <c r="A366" s="595"/>
      <c r="B366" s="602"/>
      <c r="C366" s="7" t="s">
        <v>1554</v>
      </c>
      <c r="D366" s="8"/>
      <c r="E366" s="23"/>
      <c r="F366" s="8"/>
      <c r="G366" s="8"/>
      <c r="H366" s="5">
        <v>5.9420000000000001E-2</v>
      </c>
      <c r="I366" s="5">
        <v>5.9420000000000001E-2</v>
      </c>
      <c r="J366" s="5">
        <v>0.01</v>
      </c>
      <c r="K366" s="23"/>
      <c r="L366" s="8"/>
      <c r="M366" s="8"/>
      <c r="N366" s="8"/>
      <c r="O366" s="8"/>
      <c r="P366" s="8"/>
      <c r="Q366" s="23"/>
      <c r="R366" s="113"/>
      <c r="S366" s="113"/>
      <c r="T366" s="113"/>
      <c r="U366" s="113"/>
      <c r="V366" s="113"/>
      <c r="W366" s="113"/>
      <c r="X366" s="5">
        <f t="shared" si="98"/>
        <v>0</v>
      </c>
      <c r="Y366" s="302"/>
      <c r="Z366" s="5"/>
      <c r="AA366" s="94"/>
      <c r="AB366" s="311">
        <f t="shared" si="120"/>
        <v>5.9420000000000001E-2</v>
      </c>
      <c r="AC366" s="296"/>
      <c r="AD366" s="113"/>
      <c r="AE366" s="5"/>
      <c r="AF366" s="5"/>
      <c r="AG366" s="5"/>
      <c r="AH366" s="5"/>
      <c r="AI366" s="5"/>
      <c r="AJ366" s="5"/>
      <c r="AK366" s="141"/>
      <c r="AL366" s="94"/>
      <c r="AM366" s="128"/>
      <c r="AN366" s="180"/>
      <c r="AO366" s="128"/>
      <c r="AP366" s="184"/>
      <c r="AQ366" s="128"/>
      <c r="AR366" s="184"/>
      <c r="AS366" s="128"/>
      <c r="AT366" s="184"/>
      <c r="AU366" s="128"/>
      <c r="AV366" s="184"/>
      <c r="AW366" s="128"/>
      <c r="AX366" s="184"/>
      <c r="AY366" s="111"/>
      <c r="AZ366" s="178"/>
      <c r="BC366" s="216"/>
      <c r="BD366" s="47"/>
      <c r="BF366" s="113"/>
      <c r="BG366" s="113"/>
      <c r="BH366" s="113"/>
      <c r="BI366" s="113"/>
      <c r="BJ366" s="113"/>
      <c r="BK366" s="113"/>
      <c r="BL366" s="5">
        <f t="shared" si="125"/>
        <v>0</v>
      </c>
    </row>
    <row r="367" spans="1:64" s="2" customFormat="1" ht="76.5" outlineLevel="1" x14ac:dyDescent="0.2">
      <c r="A367" s="593" t="s">
        <v>746</v>
      </c>
      <c r="B367" s="600" t="s">
        <v>385</v>
      </c>
      <c r="C367" s="7" t="s">
        <v>181</v>
      </c>
      <c r="D367" s="8" t="s">
        <v>397</v>
      </c>
      <c r="E367" s="23" t="s">
        <v>1241</v>
      </c>
      <c r="F367" s="8">
        <v>2011</v>
      </c>
      <c r="G367" s="8">
        <v>2014</v>
      </c>
      <c r="H367" s="5">
        <v>6.7299999999999999E-3</v>
      </c>
      <c r="I367" s="5">
        <v>0.01</v>
      </c>
      <c r="J367" s="5">
        <f>R367</f>
        <v>0.01</v>
      </c>
      <c r="K367" s="23" t="s">
        <v>1241</v>
      </c>
      <c r="L367" s="8"/>
      <c r="M367" s="8"/>
      <c r="N367" s="8"/>
      <c r="O367" s="8"/>
      <c r="P367" s="8"/>
      <c r="Q367" s="23" t="s">
        <v>1241</v>
      </c>
      <c r="R367" s="113">
        <v>0.01</v>
      </c>
      <c r="S367" s="113"/>
      <c r="T367" s="113"/>
      <c r="U367" s="113"/>
      <c r="V367" s="113"/>
      <c r="W367" s="113"/>
      <c r="X367" s="5">
        <f t="shared" si="98"/>
        <v>0.01</v>
      </c>
      <c r="Y367" s="302">
        <f>H367-H368-H369</f>
        <v>0</v>
      </c>
      <c r="Z367" s="5">
        <f>I367-I368-I369</f>
        <v>0</v>
      </c>
      <c r="AA367" s="94">
        <f>J367-J368-J369</f>
        <v>0</v>
      </c>
      <c r="AB367" s="311">
        <f t="shared" si="120"/>
        <v>0</v>
      </c>
      <c r="AC367" s="296"/>
      <c r="AD367" s="113"/>
      <c r="AE367" s="5"/>
      <c r="AF367" s="5">
        <f>H367</f>
        <v>6.7299999999999999E-3</v>
      </c>
      <c r="AG367" s="5"/>
      <c r="AH367" s="5"/>
      <c r="AI367" s="5"/>
      <c r="AJ367" s="5"/>
      <c r="AK367" s="141"/>
      <c r="AL367" s="94">
        <f>SUM(AF367:AK367)</f>
        <v>6.7299999999999999E-3</v>
      </c>
      <c r="AM367" s="128">
        <v>0</v>
      </c>
      <c r="AN367" s="180">
        <v>0</v>
      </c>
      <c r="AO367" s="128"/>
      <c r="AP367" s="184"/>
      <c r="AQ367" s="128"/>
      <c r="AR367" s="184"/>
      <c r="AS367" s="128"/>
      <c r="AT367" s="184"/>
      <c r="AU367" s="128"/>
      <c r="AV367" s="184"/>
      <c r="AW367" s="128"/>
      <c r="AX367" s="184"/>
      <c r="AY367" s="111">
        <f t="shared" ref="AY367:AZ370" si="126">AM367+AO367+AQ367+AS367+AU367+AW367</f>
        <v>0</v>
      </c>
      <c r="AZ367" s="178">
        <f t="shared" si="126"/>
        <v>0</v>
      </c>
      <c r="BC367" s="216"/>
      <c r="BD367" s="47"/>
      <c r="BF367" s="113">
        <v>0.01</v>
      </c>
      <c r="BG367" s="113"/>
      <c r="BH367" s="113"/>
      <c r="BI367" s="113"/>
      <c r="BJ367" s="113"/>
      <c r="BK367" s="113"/>
      <c r="BL367" s="5">
        <f t="shared" si="125"/>
        <v>0.01</v>
      </c>
    </row>
    <row r="368" spans="1:64" s="2" customFormat="1" ht="15.75" customHeight="1" outlineLevel="1" x14ac:dyDescent="0.2">
      <c r="A368" s="594"/>
      <c r="B368" s="601"/>
      <c r="C368" s="7" t="s">
        <v>1553</v>
      </c>
      <c r="D368" s="8"/>
      <c r="E368" s="23"/>
      <c r="F368" s="8"/>
      <c r="G368" s="8"/>
      <c r="H368" s="5">
        <v>6.7299999999999999E-3</v>
      </c>
      <c r="I368" s="5">
        <v>0.01</v>
      </c>
      <c r="J368" s="5">
        <v>0.01</v>
      </c>
      <c r="K368" s="8"/>
      <c r="L368" s="23"/>
      <c r="M368" s="8"/>
      <c r="N368" s="8"/>
      <c r="O368" s="8"/>
      <c r="P368" s="8"/>
      <c r="Q368" s="23"/>
      <c r="R368" s="113"/>
      <c r="S368" s="113"/>
      <c r="T368" s="113"/>
      <c r="U368" s="113"/>
      <c r="V368" s="113"/>
      <c r="W368" s="113"/>
      <c r="X368" s="5">
        <f>SUM(R368:W368)</f>
        <v>0</v>
      </c>
      <c r="Y368" s="302"/>
      <c r="Z368" s="5"/>
      <c r="AA368" s="94"/>
      <c r="AB368" s="311">
        <f t="shared" si="120"/>
        <v>0.01</v>
      </c>
      <c r="AC368" s="296"/>
      <c r="AD368" s="113"/>
      <c r="AE368" s="5"/>
      <c r="AF368" s="5"/>
      <c r="AG368" s="5"/>
      <c r="AH368" s="5"/>
      <c r="AI368" s="5"/>
      <c r="AJ368" s="5"/>
      <c r="AK368" s="141"/>
      <c r="AL368" s="94"/>
      <c r="AM368" s="128"/>
      <c r="AN368" s="180"/>
      <c r="AO368" s="128"/>
      <c r="AP368" s="184"/>
      <c r="AQ368" s="128"/>
      <c r="AR368" s="184"/>
      <c r="AS368" s="128"/>
      <c r="AT368" s="184"/>
      <c r="AU368" s="128"/>
      <c r="AV368" s="184"/>
      <c r="AW368" s="128"/>
      <c r="AX368" s="184"/>
      <c r="AY368" s="111"/>
      <c r="AZ368" s="178"/>
      <c r="BC368" s="216"/>
      <c r="BD368" s="47"/>
      <c r="BF368" s="113"/>
      <c r="BG368" s="113"/>
      <c r="BH368" s="113"/>
      <c r="BI368" s="113"/>
      <c r="BJ368" s="113"/>
      <c r="BK368" s="113"/>
      <c r="BL368" s="5">
        <f t="shared" si="125"/>
        <v>0</v>
      </c>
    </row>
    <row r="369" spans="1:64" s="2" customFormat="1" ht="15.75" customHeight="1" outlineLevel="1" x14ac:dyDescent="0.2">
      <c r="A369" s="595"/>
      <c r="B369" s="602"/>
      <c r="C369" s="7" t="s">
        <v>1554</v>
      </c>
      <c r="D369" s="8"/>
      <c r="E369" s="23"/>
      <c r="F369" s="8"/>
      <c r="G369" s="8"/>
      <c r="H369" s="5"/>
      <c r="I369" s="5"/>
      <c r="J369" s="5"/>
      <c r="K369" s="23"/>
      <c r="L369" s="8"/>
      <c r="M369" s="8"/>
      <c r="N369" s="8"/>
      <c r="O369" s="8"/>
      <c r="P369" s="8"/>
      <c r="Q369" s="23"/>
      <c r="R369" s="113"/>
      <c r="S369" s="113"/>
      <c r="T369" s="113"/>
      <c r="U369" s="113"/>
      <c r="V369" s="113"/>
      <c r="W369" s="113"/>
      <c r="X369" s="5">
        <f>SUM(R369:W369)</f>
        <v>0</v>
      </c>
      <c r="Y369" s="302"/>
      <c r="Z369" s="5"/>
      <c r="AA369" s="94"/>
      <c r="AB369" s="311">
        <f t="shared" si="120"/>
        <v>0</v>
      </c>
      <c r="AC369" s="296"/>
      <c r="AD369" s="113"/>
      <c r="AE369" s="5"/>
      <c r="AF369" s="5"/>
      <c r="AG369" s="5"/>
      <c r="AH369" s="5"/>
      <c r="AI369" s="5"/>
      <c r="AJ369" s="5"/>
      <c r="AK369" s="141"/>
      <c r="AL369" s="94"/>
      <c r="AM369" s="128"/>
      <c r="AN369" s="180"/>
      <c r="AO369" s="128"/>
      <c r="AP369" s="184"/>
      <c r="AQ369" s="128"/>
      <c r="AR369" s="184"/>
      <c r="AS369" s="128"/>
      <c r="AT369" s="184"/>
      <c r="AU369" s="128"/>
      <c r="AV369" s="184"/>
      <c r="AW369" s="128"/>
      <c r="AX369" s="184"/>
      <c r="AY369" s="111"/>
      <c r="AZ369" s="178"/>
      <c r="BC369" s="216"/>
      <c r="BD369" s="47"/>
      <c r="BF369" s="113"/>
      <c r="BG369" s="113"/>
      <c r="BH369" s="113"/>
      <c r="BI369" s="113"/>
      <c r="BJ369" s="113"/>
      <c r="BK369" s="113"/>
      <c r="BL369" s="5">
        <f t="shared" si="125"/>
        <v>0</v>
      </c>
    </row>
    <row r="370" spans="1:64" s="2" customFormat="1" ht="38.25" customHeight="1" outlineLevel="1" x14ac:dyDescent="0.2">
      <c r="A370" s="593" t="s">
        <v>747</v>
      </c>
      <c r="B370" s="600" t="s">
        <v>1631</v>
      </c>
      <c r="C370" s="7" t="s">
        <v>182</v>
      </c>
      <c r="D370" s="8" t="s">
        <v>397</v>
      </c>
      <c r="E370" s="23" t="s">
        <v>340</v>
      </c>
      <c r="F370" s="8">
        <v>2011</v>
      </c>
      <c r="G370" s="8">
        <v>2015</v>
      </c>
      <c r="H370" s="5">
        <v>0.19064</v>
      </c>
      <c r="I370" s="5">
        <v>0.139625</v>
      </c>
      <c r="J370" s="5">
        <f>R370</f>
        <v>0.01</v>
      </c>
      <c r="K370" s="8"/>
      <c r="L370" s="23" t="s">
        <v>340</v>
      </c>
      <c r="M370" s="8"/>
      <c r="N370" s="8"/>
      <c r="O370" s="8"/>
      <c r="P370" s="8"/>
      <c r="Q370" s="23" t="s">
        <v>340</v>
      </c>
      <c r="R370" s="113">
        <v>0.01</v>
      </c>
      <c r="S370" s="113"/>
      <c r="T370" s="113"/>
      <c r="U370" s="113"/>
      <c r="V370" s="113"/>
      <c r="W370" s="113"/>
      <c r="X370" s="5">
        <f t="shared" si="98"/>
        <v>0.01</v>
      </c>
      <c r="Y370" s="302">
        <f>H370-H371-H372</f>
        <v>0</v>
      </c>
      <c r="Z370" s="5">
        <f>I370-I371-I372</f>
        <v>0</v>
      </c>
      <c r="AA370" s="94">
        <f>J370-J371-J372</f>
        <v>0</v>
      </c>
      <c r="AB370" s="311">
        <f t="shared" si="120"/>
        <v>0.12962499999999999</v>
      </c>
      <c r="AC370" s="296"/>
      <c r="AD370" s="113"/>
      <c r="AE370" s="5"/>
      <c r="AF370" s="5"/>
      <c r="AG370" s="5">
        <f>H370</f>
        <v>0.19064</v>
      </c>
      <c r="AH370" s="5"/>
      <c r="AI370" s="5"/>
      <c r="AJ370" s="5"/>
      <c r="AK370" s="141"/>
      <c r="AL370" s="94">
        <f>SUM(AF370:AK370)</f>
        <v>0.19064</v>
      </c>
      <c r="AM370" s="128"/>
      <c r="AN370" s="180"/>
      <c r="AO370" s="128">
        <v>0.2</v>
      </c>
      <c r="AP370" s="184">
        <v>0</v>
      </c>
      <c r="AQ370" s="128"/>
      <c r="AR370" s="184"/>
      <c r="AS370" s="128"/>
      <c r="AT370" s="184"/>
      <c r="AU370" s="128"/>
      <c r="AV370" s="184"/>
      <c r="AW370" s="128"/>
      <c r="AX370" s="184"/>
      <c r="AY370" s="111">
        <f t="shared" si="126"/>
        <v>0.2</v>
      </c>
      <c r="AZ370" s="178">
        <f t="shared" si="126"/>
        <v>0</v>
      </c>
      <c r="BC370" s="216"/>
      <c r="BD370" s="47"/>
      <c r="BF370" s="113">
        <v>0.01</v>
      </c>
      <c r="BG370" s="113"/>
      <c r="BH370" s="113"/>
      <c r="BI370" s="113"/>
      <c r="BJ370" s="113"/>
      <c r="BK370" s="113"/>
      <c r="BL370" s="5">
        <f t="shared" ref="BL370:BL376" si="127">SUM(BF370:BK370)</f>
        <v>0.01</v>
      </c>
    </row>
    <row r="371" spans="1:64" s="2" customFormat="1" ht="15.75" customHeight="1" outlineLevel="1" x14ac:dyDescent="0.2">
      <c r="A371" s="594"/>
      <c r="B371" s="601"/>
      <c r="C371" s="7" t="s">
        <v>1553</v>
      </c>
      <c r="D371" s="8"/>
      <c r="E371" s="23"/>
      <c r="F371" s="8"/>
      <c r="G371" s="8"/>
      <c r="H371" s="5">
        <v>0.19064</v>
      </c>
      <c r="I371" s="5">
        <v>0.139625</v>
      </c>
      <c r="J371" s="5">
        <v>0.01</v>
      </c>
      <c r="K371" s="8"/>
      <c r="L371" s="23"/>
      <c r="M371" s="8"/>
      <c r="N371" s="8"/>
      <c r="O371" s="8"/>
      <c r="P371" s="8"/>
      <c r="Q371" s="23"/>
      <c r="R371" s="113"/>
      <c r="S371" s="113"/>
      <c r="T371" s="113"/>
      <c r="U371" s="113"/>
      <c r="V371" s="113"/>
      <c r="W371" s="113"/>
      <c r="X371" s="5">
        <f t="shared" si="98"/>
        <v>0</v>
      </c>
      <c r="Y371" s="302"/>
      <c r="Z371" s="5"/>
      <c r="AA371" s="94"/>
      <c r="AB371" s="311">
        <f t="shared" si="120"/>
        <v>0.139625</v>
      </c>
      <c r="AC371" s="296"/>
      <c r="AD371" s="113"/>
      <c r="AE371" s="5"/>
      <c r="AF371" s="5"/>
      <c r="AG371" s="5"/>
      <c r="AH371" s="5"/>
      <c r="AI371" s="5"/>
      <c r="AJ371" s="5"/>
      <c r="AK371" s="141"/>
      <c r="AL371" s="94"/>
      <c r="AM371" s="128"/>
      <c r="AN371" s="180"/>
      <c r="AO371" s="128"/>
      <c r="AP371" s="184"/>
      <c r="AQ371" s="128"/>
      <c r="AR371" s="184"/>
      <c r="AS371" s="128"/>
      <c r="AT371" s="184"/>
      <c r="AU371" s="128"/>
      <c r="AV371" s="184"/>
      <c r="AW371" s="128"/>
      <c r="AX371" s="184"/>
      <c r="AY371" s="111"/>
      <c r="AZ371" s="178"/>
      <c r="BC371" s="216"/>
      <c r="BD371" s="47"/>
      <c r="BF371" s="113"/>
      <c r="BG371" s="113"/>
      <c r="BH371" s="113"/>
      <c r="BI371" s="113"/>
      <c r="BJ371" s="113"/>
      <c r="BK371" s="113"/>
      <c r="BL371" s="5">
        <f t="shared" si="127"/>
        <v>0</v>
      </c>
    </row>
    <row r="372" spans="1:64" s="2" customFormat="1" ht="15.75" customHeight="1" outlineLevel="1" x14ac:dyDescent="0.2">
      <c r="A372" s="595"/>
      <c r="B372" s="602"/>
      <c r="C372" s="7" t="s">
        <v>1554</v>
      </c>
      <c r="D372" s="8"/>
      <c r="E372" s="23"/>
      <c r="F372" s="8"/>
      <c r="G372" s="8"/>
      <c r="H372" s="5"/>
      <c r="I372" s="5"/>
      <c r="J372" s="5"/>
      <c r="K372" s="23"/>
      <c r="L372" s="8"/>
      <c r="M372" s="8"/>
      <c r="N372" s="8"/>
      <c r="O372" s="8"/>
      <c r="P372" s="8"/>
      <c r="Q372" s="23"/>
      <c r="R372" s="113"/>
      <c r="S372" s="113"/>
      <c r="T372" s="113"/>
      <c r="U372" s="113"/>
      <c r="V372" s="113"/>
      <c r="W372" s="113"/>
      <c r="X372" s="5">
        <f t="shared" si="98"/>
        <v>0</v>
      </c>
      <c r="Y372" s="302"/>
      <c r="Z372" s="5"/>
      <c r="AA372" s="94"/>
      <c r="AB372" s="311">
        <f t="shared" si="120"/>
        <v>0</v>
      </c>
      <c r="AC372" s="296"/>
      <c r="AD372" s="113"/>
      <c r="AE372" s="5"/>
      <c r="AF372" s="5"/>
      <c r="AG372" s="5"/>
      <c r="AH372" s="5"/>
      <c r="AI372" s="5"/>
      <c r="AJ372" s="5"/>
      <c r="AK372" s="141"/>
      <c r="AL372" s="94"/>
      <c r="AM372" s="128"/>
      <c r="AN372" s="180"/>
      <c r="AO372" s="128"/>
      <c r="AP372" s="184"/>
      <c r="AQ372" s="128"/>
      <c r="AR372" s="184"/>
      <c r="AS372" s="128"/>
      <c r="AT372" s="184"/>
      <c r="AU372" s="128"/>
      <c r="AV372" s="184"/>
      <c r="AW372" s="128"/>
      <c r="AX372" s="184"/>
      <c r="AY372" s="111"/>
      <c r="AZ372" s="178"/>
      <c r="BC372" s="216"/>
      <c r="BD372" s="47"/>
      <c r="BF372" s="113"/>
      <c r="BG372" s="113"/>
      <c r="BH372" s="113"/>
      <c r="BI372" s="113"/>
      <c r="BJ372" s="113"/>
      <c r="BK372" s="113"/>
      <c r="BL372" s="5">
        <f t="shared" si="127"/>
        <v>0</v>
      </c>
    </row>
    <row r="373" spans="1:64" s="2" customFormat="1" ht="77.25" customHeight="1" outlineLevel="1" x14ac:dyDescent="0.2">
      <c r="A373" s="593" t="s">
        <v>748</v>
      </c>
      <c r="B373" s="600" t="s">
        <v>1632</v>
      </c>
      <c r="C373" s="7" t="s">
        <v>183</v>
      </c>
      <c r="D373" s="8" t="s">
        <v>397</v>
      </c>
      <c r="E373" s="23" t="s">
        <v>335</v>
      </c>
      <c r="F373" s="8">
        <v>2011</v>
      </c>
      <c r="G373" s="8">
        <v>2015</v>
      </c>
      <c r="H373" s="5">
        <v>0.21410000000000001</v>
      </c>
      <c r="I373" s="5">
        <v>0.18865200000000001</v>
      </c>
      <c r="J373" s="5">
        <f>R373</f>
        <v>0.18061199999999999</v>
      </c>
      <c r="K373" s="8"/>
      <c r="L373" s="23" t="s">
        <v>335</v>
      </c>
      <c r="M373" s="8"/>
      <c r="N373" s="8"/>
      <c r="O373" s="8"/>
      <c r="P373" s="8"/>
      <c r="Q373" s="23" t="s">
        <v>335</v>
      </c>
      <c r="R373" s="113">
        <v>0.18061199999999999</v>
      </c>
      <c r="S373" s="113"/>
      <c r="T373" s="113"/>
      <c r="U373" s="113"/>
      <c r="V373" s="113"/>
      <c r="W373" s="113"/>
      <c r="X373" s="5">
        <f t="shared" si="98"/>
        <v>0.18061199999999999</v>
      </c>
      <c r="Y373" s="302">
        <f>H373-H374-H375</f>
        <v>0</v>
      </c>
      <c r="Z373" s="5">
        <f>I373-I374-I375</f>
        <v>0</v>
      </c>
      <c r="AA373" s="94">
        <f>J373-J374-J375</f>
        <v>0</v>
      </c>
      <c r="AB373" s="311">
        <f t="shared" si="120"/>
        <v>8.0400000000000194E-3</v>
      </c>
      <c r="AC373" s="296"/>
      <c r="AD373" s="113"/>
      <c r="AE373" s="5"/>
      <c r="AF373" s="5"/>
      <c r="AG373" s="5">
        <f>H373</f>
        <v>0.21410000000000001</v>
      </c>
      <c r="AH373" s="5"/>
      <c r="AI373" s="5"/>
      <c r="AJ373" s="5"/>
      <c r="AK373" s="141"/>
      <c r="AL373" s="94">
        <f>SUM(AF373:AK373)</f>
        <v>0.21410000000000001</v>
      </c>
      <c r="AM373" s="128"/>
      <c r="AN373" s="180"/>
      <c r="AO373" s="128">
        <v>0.1</v>
      </c>
      <c r="AP373" s="184">
        <v>0</v>
      </c>
      <c r="AQ373" s="128"/>
      <c r="AR373" s="184"/>
      <c r="AS373" s="128"/>
      <c r="AT373" s="184"/>
      <c r="AU373" s="128"/>
      <c r="AV373" s="184"/>
      <c r="AW373" s="128"/>
      <c r="AX373" s="184"/>
      <c r="AY373" s="111">
        <f>AM373+AO373+AQ373+AS373+AU373+AW373</f>
        <v>0.1</v>
      </c>
      <c r="AZ373" s="178">
        <f>AN373+AP373+AR373+AT373+AV373+AX373</f>
        <v>0</v>
      </c>
      <c r="BC373" s="216"/>
      <c r="BD373" s="47"/>
      <c r="BF373" s="113">
        <v>0.18061199999999999</v>
      </c>
      <c r="BG373" s="113"/>
      <c r="BH373" s="113"/>
      <c r="BI373" s="113"/>
      <c r="BJ373" s="113"/>
      <c r="BK373" s="113"/>
      <c r="BL373" s="5">
        <f t="shared" si="127"/>
        <v>0.18061199999999999</v>
      </c>
    </row>
    <row r="374" spans="1:64" s="2" customFormat="1" ht="15.75" customHeight="1" outlineLevel="1" x14ac:dyDescent="0.2">
      <c r="A374" s="594"/>
      <c r="B374" s="601"/>
      <c r="C374" s="7" t="s">
        <v>1553</v>
      </c>
      <c r="D374" s="8"/>
      <c r="E374" s="23"/>
      <c r="F374" s="8"/>
      <c r="G374" s="8"/>
      <c r="H374" s="5"/>
      <c r="I374" s="5"/>
      <c r="J374" s="5"/>
      <c r="K374" s="8"/>
      <c r="L374" s="23"/>
      <c r="M374" s="8"/>
      <c r="N374" s="8"/>
      <c r="O374" s="8"/>
      <c r="P374" s="8"/>
      <c r="Q374" s="23"/>
      <c r="R374" s="113"/>
      <c r="S374" s="113"/>
      <c r="T374" s="113"/>
      <c r="U374" s="113"/>
      <c r="V374" s="113"/>
      <c r="W374" s="113"/>
      <c r="X374" s="5">
        <f t="shared" si="98"/>
        <v>0</v>
      </c>
      <c r="Y374" s="302"/>
      <c r="Z374" s="5"/>
      <c r="AA374" s="94"/>
      <c r="AB374" s="311">
        <f t="shared" si="120"/>
        <v>0</v>
      </c>
      <c r="AC374" s="296"/>
      <c r="AD374" s="113"/>
      <c r="AE374" s="5"/>
      <c r="AF374" s="5"/>
      <c r="AG374" s="5"/>
      <c r="AH374" s="5"/>
      <c r="AI374" s="5"/>
      <c r="AJ374" s="5"/>
      <c r="AK374" s="141"/>
      <c r="AL374" s="94"/>
      <c r="AM374" s="128"/>
      <c r="AN374" s="180"/>
      <c r="AO374" s="128"/>
      <c r="AP374" s="184"/>
      <c r="AQ374" s="128"/>
      <c r="AR374" s="184"/>
      <c r="AS374" s="128"/>
      <c r="AT374" s="184"/>
      <c r="AU374" s="128"/>
      <c r="AV374" s="184"/>
      <c r="AW374" s="128"/>
      <c r="AX374" s="184"/>
      <c r="AY374" s="111"/>
      <c r="AZ374" s="178"/>
      <c r="BC374" s="216"/>
      <c r="BD374" s="47"/>
      <c r="BF374" s="113"/>
      <c r="BG374" s="113"/>
      <c r="BH374" s="113"/>
      <c r="BI374" s="113"/>
      <c r="BJ374" s="113"/>
      <c r="BK374" s="113"/>
      <c r="BL374" s="5">
        <f t="shared" si="127"/>
        <v>0</v>
      </c>
    </row>
    <row r="375" spans="1:64" s="2" customFormat="1" ht="15.75" customHeight="1" outlineLevel="1" x14ac:dyDescent="0.2">
      <c r="A375" s="595"/>
      <c r="B375" s="602"/>
      <c r="C375" s="7" t="s">
        <v>1554</v>
      </c>
      <c r="D375" s="8"/>
      <c r="E375" s="23"/>
      <c r="F375" s="8"/>
      <c r="G375" s="8"/>
      <c r="H375" s="5">
        <v>0.21410000000000001</v>
      </c>
      <c r="I375" s="5">
        <v>0.18865200000000001</v>
      </c>
      <c r="J375" s="5">
        <v>0.18061199999999999</v>
      </c>
      <c r="K375" s="23"/>
      <c r="L375" s="8"/>
      <c r="M375" s="8"/>
      <c r="N375" s="8"/>
      <c r="O375" s="8"/>
      <c r="P375" s="8"/>
      <c r="Q375" s="23"/>
      <c r="R375" s="113"/>
      <c r="S375" s="113"/>
      <c r="T375" s="113"/>
      <c r="U375" s="113"/>
      <c r="V375" s="113"/>
      <c r="W375" s="113"/>
      <c r="X375" s="5">
        <f t="shared" si="98"/>
        <v>0</v>
      </c>
      <c r="Y375" s="302"/>
      <c r="Z375" s="5"/>
      <c r="AA375" s="94"/>
      <c r="AB375" s="311">
        <f t="shared" si="120"/>
        <v>0.18865200000000001</v>
      </c>
      <c r="AC375" s="296"/>
      <c r="AD375" s="113"/>
      <c r="AE375" s="5"/>
      <c r="AF375" s="5"/>
      <c r="AG375" s="5"/>
      <c r="AH375" s="5"/>
      <c r="AI375" s="5"/>
      <c r="AJ375" s="5"/>
      <c r="AK375" s="141"/>
      <c r="AL375" s="94"/>
      <c r="AM375" s="128"/>
      <c r="AN375" s="180"/>
      <c r="AO375" s="128"/>
      <c r="AP375" s="184"/>
      <c r="AQ375" s="128"/>
      <c r="AR375" s="184"/>
      <c r="AS375" s="128"/>
      <c r="AT375" s="184"/>
      <c r="AU375" s="128"/>
      <c r="AV375" s="184"/>
      <c r="AW375" s="128"/>
      <c r="AX375" s="184"/>
      <c r="AY375" s="111"/>
      <c r="AZ375" s="178"/>
      <c r="BC375" s="216"/>
      <c r="BD375" s="47"/>
      <c r="BF375" s="113"/>
      <c r="BG375" s="113"/>
      <c r="BH375" s="113"/>
      <c r="BI375" s="113"/>
      <c r="BJ375" s="113"/>
      <c r="BK375" s="113"/>
      <c r="BL375" s="5">
        <f t="shared" si="127"/>
        <v>0</v>
      </c>
    </row>
    <row r="376" spans="1:64" s="2" customFormat="1" ht="25.5" customHeight="1" outlineLevel="1" x14ac:dyDescent="0.2">
      <c r="A376" s="593" t="s">
        <v>749</v>
      </c>
      <c r="B376" s="600" t="s">
        <v>1633</v>
      </c>
      <c r="C376" s="7" t="s">
        <v>1512</v>
      </c>
      <c r="D376" s="8" t="s">
        <v>397</v>
      </c>
      <c r="E376" s="23" t="s">
        <v>340</v>
      </c>
      <c r="F376" s="8">
        <v>2011</v>
      </c>
      <c r="G376" s="8">
        <v>2015</v>
      </c>
      <c r="H376" s="5">
        <v>0.31391999999999998</v>
      </c>
      <c r="I376" s="5">
        <v>0.30603999999999998</v>
      </c>
      <c r="J376" s="5">
        <f>R376</f>
        <v>6.1398000000000001E-2</v>
      </c>
      <c r="K376" s="8"/>
      <c r="L376" s="23" t="s">
        <v>340</v>
      </c>
      <c r="M376" s="8"/>
      <c r="N376" s="8"/>
      <c r="O376" s="8"/>
      <c r="P376" s="8"/>
      <c r="Q376" s="23" t="s">
        <v>340</v>
      </c>
      <c r="R376" s="113">
        <v>6.1398000000000001E-2</v>
      </c>
      <c r="S376" s="113"/>
      <c r="T376" s="113"/>
      <c r="U376" s="113"/>
      <c r="V376" s="113"/>
      <c r="W376" s="113"/>
      <c r="X376" s="5">
        <f t="shared" si="98"/>
        <v>6.1398000000000001E-2</v>
      </c>
      <c r="Y376" s="302">
        <f>H376-H377-H378</f>
        <v>0</v>
      </c>
      <c r="Z376" s="5">
        <f>I376-I377-I378</f>
        <v>0</v>
      </c>
      <c r="AA376" s="94">
        <f>J376-J377-J378</f>
        <v>0</v>
      </c>
      <c r="AB376" s="311">
        <f t="shared" si="120"/>
        <v>0.24464199999999997</v>
      </c>
      <c r="AC376" s="296"/>
      <c r="AD376" s="113"/>
      <c r="AE376" s="5"/>
      <c r="AF376" s="5"/>
      <c r="AG376" s="5">
        <f>H376</f>
        <v>0.31391999999999998</v>
      </c>
      <c r="AH376" s="5"/>
      <c r="AI376" s="5"/>
      <c r="AJ376" s="5"/>
      <c r="AK376" s="141"/>
      <c r="AL376" s="94">
        <f>SUM(AF376:AK376)</f>
        <v>0.31391999999999998</v>
      </c>
      <c r="AM376" s="128"/>
      <c r="AN376" s="180"/>
      <c r="AO376" s="128">
        <v>0.2</v>
      </c>
      <c r="AP376" s="184">
        <v>0</v>
      </c>
      <c r="AQ376" s="128"/>
      <c r="AR376" s="184"/>
      <c r="AS376" s="128"/>
      <c r="AT376" s="184"/>
      <c r="AU376" s="128"/>
      <c r="AV376" s="184"/>
      <c r="AW376" s="128"/>
      <c r="AX376" s="184"/>
      <c r="AY376" s="111">
        <f t="shared" ref="AY376:AZ379" si="128">AM376+AO376+AQ376+AS376+AU376+AW376</f>
        <v>0.2</v>
      </c>
      <c r="AZ376" s="178">
        <f t="shared" si="128"/>
        <v>0</v>
      </c>
      <c r="BC376" s="216"/>
      <c r="BD376" s="47"/>
      <c r="BF376" s="113">
        <v>6.1398000000000001E-2</v>
      </c>
      <c r="BG376" s="113"/>
      <c r="BH376" s="113"/>
      <c r="BI376" s="113"/>
      <c r="BJ376" s="113"/>
      <c r="BK376" s="113"/>
      <c r="BL376" s="5">
        <f t="shared" si="127"/>
        <v>6.1398000000000001E-2</v>
      </c>
    </row>
    <row r="377" spans="1:64" s="2" customFormat="1" ht="15.75" customHeight="1" outlineLevel="1" x14ac:dyDescent="0.2">
      <c r="A377" s="594"/>
      <c r="B377" s="601"/>
      <c r="C377" s="7" t="s">
        <v>1553</v>
      </c>
      <c r="D377" s="8"/>
      <c r="E377" s="23"/>
      <c r="F377" s="8"/>
      <c r="G377" s="8"/>
      <c r="H377" s="5"/>
      <c r="I377" s="5"/>
      <c r="J377" s="5"/>
      <c r="K377" s="8"/>
      <c r="L377" s="23"/>
      <c r="M377" s="8"/>
      <c r="N377" s="8"/>
      <c r="O377" s="8"/>
      <c r="P377" s="8"/>
      <c r="Q377" s="23"/>
      <c r="R377" s="113"/>
      <c r="S377" s="113"/>
      <c r="T377" s="113"/>
      <c r="U377" s="113"/>
      <c r="V377" s="113"/>
      <c r="W377" s="113"/>
      <c r="X377" s="5">
        <f>SUM(R377:W377)</f>
        <v>0</v>
      </c>
      <c r="Y377" s="302"/>
      <c r="Z377" s="5"/>
      <c r="AA377" s="94"/>
      <c r="AB377" s="311">
        <f t="shared" si="120"/>
        <v>0</v>
      </c>
      <c r="AC377" s="296"/>
      <c r="AD377" s="113"/>
      <c r="AE377" s="5"/>
      <c r="AF377" s="5"/>
      <c r="AG377" s="5"/>
      <c r="AH377" s="5"/>
      <c r="AI377" s="5"/>
      <c r="AJ377" s="5"/>
      <c r="AK377" s="141"/>
      <c r="AL377" s="94"/>
      <c r="AM377" s="128"/>
      <c r="AN377" s="180"/>
      <c r="AO377" s="128"/>
      <c r="AP377" s="184"/>
      <c r="AQ377" s="128"/>
      <c r="AR377" s="184"/>
      <c r="AS377" s="128"/>
      <c r="AT377" s="184"/>
      <c r="AU377" s="128"/>
      <c r="AV377" s="184"/>
      <c r="AW377" s="128"/>
      <c r="AX377" s="184"/>
      <c r="AY377" s="111"/>
      <c r="AZ377" s="178"/>
      <c r="BC377" s="216"/>
      <c r="BD377" s="47"/>
      <c r="BF377" s="113"/>
      <c r="BG377" s="113"/>
      <c r="BH377" s="113"/>
      <c r="BI377" s="113"/>
      <c r="BJ377" s="113"/>
      <c r="BK377" s="113"/>
      <c r="BL377" s="5">
        <f>SUM(BF377:BK377)</f>
        <v>0</v>
      </c>
    </row>
    <row r="378" spans="1:64" s="2" customFormat="1" ht="15.75" customHeight="1" outlineLevel="1" x14ac:dyDescent="0.2">
      <c r="A378" s="595"/>
      <c r="B378" s="602"/>
      <c r="C378" s="7" t="s">
        <v>1554</v>
      </c>
      <c r="D378" s="8"/>
      <c r="E378" s="23"/>
      <c r="F378" s="8"/>
      <c r="G378" s="8"/>
      <c r="H378" s="5">
        <v>0.31391999999999998</v>
      </c>
      <c r="I378" s="5">
        <v>0.30603999999999998</v>
      </c>
      <c r="J378" s="5">
        <v>6.1398000000000001E-2</v>
      </c>
      <c r="K378" s="23"/>
      <c r="L378" s="8"/>
      <c r="M378" s="8"/>
      <c r="N378" s="8"/>
      <c r="O378" s="8"/>
      <c r="P378" s="8"/>
      <c r="Q378" s="23"/>
      <c r="R378" s="113"/>
      <c r="S378" s="113"/>
      <c r="T378" s="113"/>
      <c r="U378" s="113"/>
      <c r="V378" s="113"/>
      <c r="W378" s="113"/>
      <c r="X378" s="5">
        <f>SUM(R378:W378)</f>
        <v>0</v>
      </c>
      <c r="Y378" s="302"/>
      <c r="Z378" s="5"/>
      <c r="AA378" s="94"/>
      <c r="AB378" s="311">
        <f t="shared" si="120"/>
        <v>0.30603999999999998</v>
      </c>
      <c r="AC378" s="296"/>
      <c r="AD378" s="113"/>
      <c r="AE378" s="5"/>
      <c r="AF378" s="5"/>
      <c r="AG378" s="5"/>
      <c r="AH378" s="5"/>
      <c r="AI378" s="5"/>
      <c r="AJ378" s="5"/>
      <c r="AK378" s="141"/>
      <c r="AL378" s="94"/>
      <c r="AM378" s="128"/>
      <c r="AN378" s="180"/>
      <c r="AO378" s="128"/>
      <c r="AP378" s="184"/>
      <c r="AQ378" s="128"/>
      <c r="AR378" s="184"/>
      <c r="AS378" s="128"/>
      <c r="AT378" s="184"/>
      <c r="AU378" s="128"/>
      <c r="AV378" s="184"/>
      <c r="AW378" s="128"/>
      <c r="AX378" s="184"/>
      <c r="AY378" s="111"/>
      <c r="AZ378" s="178"/>
      <c r="BC378" s="216"/>
      <c r="BD378" s="47"/>
      <c r="BF378" s="113"/>
      <c r="BG378" s="113"/>
      <c r="BH378" s="113"/>
      <c r="BI378" s="113"/>
      <c r="BJ378" s="113"/>
      <c r="BK378" s="113"/>
      <c r="BL378" s="5">
        <f>SUM(BF378:BK378)</f>
        <v>0</v>
      </c>
    </row>
    <row r="379" spans="1:64" s="2" customFormat="1" ht="38.25" customHeight="1" outlineLevel="1" x14ac:dyDescent="0.2">
      <c r="A379" s="593" t="s">
        <v>750</v>
      </c>
      <c r="B379" s="600" t="s">
        <v>1634</v>
      </c>
      <c r="C379" s="7" t="s">
        <v>184</v>
      </c>
      <c r="D379" s="8" t="s">
        <v>397</v>
      </c>
      <c r="E379" s="23" t="s">
        <v>335</v>
      </c>
      <c r="F379" s="8">
        <v>2011</v>
      </c>
      <c r="G379" s="8">
        <v>2015</v>
      </c>
      <c r="H379" s="5">
        <v>9.9839999999999998E-2</v>
      </c>
      <c r="I379" s="5">
        <v>9.0706999999999996E-2</v>
      </c>
      <c r="J379" s="5">
        <f>R379</f>
        <v>0.01</v>
      </c>
      <c r="K379" s="8"/>
      <c r="L379" s="23" t="s">
        <v>335</v>
      </c>
      <c r="M379" s="8"/>
      <c r="N379" s="8"/>
      <c r="O379" s="8"/>
      <c r="P379" s="8"/>
      <c r="Q379" s="23" t="s">
        <v>335</v>
      </c>
      <c r="R379" s="113">
        <v>0.01</v>
      </c>
      <c r="S379" s="113"/>
      <c r="T379" s="113"/>
      <c r="U379" s="113"/>
      <c r="V379" s="113"/>
      <c r="W379" s="113"/>
      <c r="X379" s="5">
        <f t="shared" si="98"/>
        <v>0.01</v>
      </c>
      <c r="Y379" s="302">
        <f>H379-H380-H381</f>
        <v>0</v>
      </c>
      <c r="Z379" s="5">
        <f>I379-I380-I381</f>
        <v>0</v>
      </c>
      <c r="AA379" s="94">
        <f>J379-J380-J381</f>
        <v>0</v>
      </c>
      <c r="AB379" s="311">
        <f t="shared" si="120"/>
        <v>8.0707000000000001E-2</v>
      </c>
      <c r="AC379" s="296"/>
      <c r="AD379" s="113"/>
      <c r="AE379" s="5"/>
      <c r="AF379" s="5"/>
      <c r="AG379" s="5">
        <f>H379</f>
        <v>9.9839999999999998E-2</v>
      </c>
      <c r="AH379" s="5"/>
      <c r="AI379" s="5"/>
      <c r="AJ379" s="5"/>
      <c r="AK379" s="141"/>
      <c r="AL379" s="94">
        <f>SUM(AF379:AK379)</f>
        <v>9.9839999999999998E-2</v>
      </c>
      <c r="AM379" s="128"/>
      <c r="AN379" s="180"/>
      <c r="AO379" s="128">
        <v>0.1</v>
      </c>
      <c r="AP379" s="184">
        <v>0</v>
      </c>
      <c r="AQ379" s="128"/>
      <c r="AR379" s="184"/>
      <c r="AS379" s="128"/>
      <c r="AT379" s="184"/>
      <c r="AU379" s="128"/>
      <c r="AV379" s="184"/>
      <c r="AW379" s="128"/>
      <c r="AX379" s="184"/>
      <c r="AY379" s="111">
        <f t="shared" si="128"/>
        <v>0.1</v>
      </c>
      <c r="AZ379" s="178">
        <f t="shared" si="128"/>
        <v>0</v>
      </c>
      <c r="BC379" s="216"/>
      <c r="BD379" s="47"/>
      <c r="BF379" s="113">
        <v>0.01</v>
      </c>
      <c r="BG379" s="113"/>
      <c r="BH379" s="113"/>
      <c r="BI379" s="113"/>
      <c r="BJ379" s="113"/>
      <c r="BK379" s="113"/>
      <c r="BL379" s="5">
        <f t="shared" ref="BL379:BL388" si="129">SUM(BF379:BK379)</f>
        <v>0.01</v>
      </c>
    </row>
    <row r="380" spans="1:64" s="2" customFormat="1" ht="15.75" customHeight="1" outlineLevel="1" x14ac:dyDescent="0.2">
      <c r="A380" s="594"/>
      <c r="B380" s="601"/>
      <c r="C380" s="7" t="s">
        <v>1553</v>
      </c>
      <c r="D380" s="8"/>
      <c r="E380" s="23"/>
      <c r="F380" s="8"/>
      <c r="G380" s="8"/>
      <c r="H380" s="5">
        <v>9.9839999999999998E-2</v>
      </c>
      <c r="I380" s="5">
        <v>9.0706999999999996E-2</v>
      </c>
      <c r="J380" s="5">
        <v>0.01</v>
      </c>
      <c r="K380" s="8"/>
      <c r="L380" s="23"/>
      <c r="M380" s="8"/>
      <c r="N380" s="8"/>
      <c r="O380" s="8"/>
      <c r="P380" s="8"/>
      <c r="Q380" s="23"/>
      <c r="R380" s="113"/>
      <c r="S380" s="113"/>
      <c r="T380" s="113"/>
      <c r="U380" s="113"/>
      <c r="V380" s="113"/>
      <c r="W380" s="113"/>
      <c r="X380" s="5">
        <f t="shared" si="98"/>
        <v>0</v>
      </c>
      <c r="Y380" s="302"/>
      <c r="Z380" s="5"/>
      <c r="AA380" s="94"/>
      <c r="AB380" s="311">
        <f t="shared" si="120"/>
        <v>9.0706999999999996E-2</v>
      </c>
      <c r="AC380" s="296"/>
      <c r="AD380" s="113"/>
      <c r="AE380" s="5"/>
      <c r="AF380" s="5"/>
      <c r="AG380" s="5"/>
      <c r="AH380" s="5"/>
      <c r="AI380" s="5"/>
      <c r="AJ380" s="5"/>
      <c r="AK380" s="141"/>
      <c r="AL380" s="94"/>
      <c r="AM380" s="128"/>
      <c r="AN380" s="180"/>
      <c r="AO380" s="128"/>
      <c r="AP380" s="184"/>
      <c r="AQ380" s="128"/>
      <c r="AR380" s="184"/>
      <c r="AS380" s="128"/>
      <c r="AT380" s="184"/>
      <c r="AU380" s="128"/>
      <c r="AV380" s="184"/>
      <c r="AW380" s="128"/>
      <c r="AX380" s="184"/>
      <c r="AY380" s="111"/>
      <c r="AZ380" s="178"/>
      <c r="BC380" s="216"/>
      <c r="BD380" s="47"/>
      <c r="BF380" s="113"/>
      <c r="BG380" s="113"/>
      <c r="BH380" s="113"/>
      <c r="BI380" s="113"/>
      <c r="BJ380" s="113"/>
      <c r="BK380" s="113"/>
      <c r="BL380" s="5">
        <f t="shared" si="129"/>
        <v>0</v>
      </c>
    </row>
    <row r="381" spans="1:64" s="2" customFormat="1" ht="15.75" customHeight="1" outlineLevel="1" x14ac:dyDescent="0.2">
      <c r="A381" s="595"/>
      <c r="B381" s="602"/>
      <c r="C381" s="7" t="s">
        <v>1554</v>
      </c>
      <c r="D381" s="8"/>
      <c r="E381" s="23"/>
      <c r="F381" s="8"/>
      <c r="G381" s="8"/>
      <c r="H381" s="5"/>
      <c r="I381" s="5"/>
      <c r="J381" s="5"/>
      <c r="K381" s="23"/>
      <c r="L381" s="8"/>
      <c r="M381" s="8"/>
      <c r="N381" s="8"/>
      <c r="O381" s="8"/>
      <c r="P381" s="8"/>
      <c r="Q381" s="23"/>
      <c r="R381" s="113"/>
      <c r="S381" s="113"/>
      <c r="T381" s="113"/>
      <c r="U381" s="113"/>
      <c r="V381" s="113"/>
      <c r="W381" s="113"/>
      <c r="X381" s="5">
        <f t="shared" si="98"/>
        <v>0</v>
      </c>
      <c r="Y381" s="302"/>
      <c r="Z381" s="5"/>
      <c r="AA381" s="94"/>
      <c r="AB381" s="311">
        <f t="shared" si="120"/>
        <v>0</v>
      </c>
      <c r="AC381" s="296"/>
      <c r="AD381" s="113"/>
      <c r="AE381" s="5"/>
      <c r="AF381" s="5"/>
      <c r="AG381" s="5"/>
      <c r="AH381" s="5"/>
      <c r="AI381" s="5"/>
      <c r="AJ381" s="5"/>
      <c r="AK381" s="141"/>
      <c r="AL381" s="94"/>
      <c r="AM381" s="128"/>
      <c r="AN381" s="180"/>
      <c r="AO381" s="128"/>
      <c r="AP381" s="184"/>
      <c r="AQ381" s="128"/>
      <c r="AR381" s="184"/>
      <c r="AS381" s="128"/>
      <c r="AT381" s="184"/>
      <c r="AU381" s="128"/>
      <c r="AV381" s="184"/>
      <c r="AW381" s="128"/>
      <c r="AX381" s="184"/>
      <c r="AY381" s="111"/>
      <c r="AZ381" s="178"/>
      <c r="BC381" s="216"/>
      <c r="BD381" s="47"/>
      <c r="BF381" s="113"/>
      <c r="BG381" s="113"/>
      <c r="BH381" s="113"/>
      <c r="BI381" s="113"/>
      <c r="BJ381" s="113"/>
      <c r="BK381" s="113"/>
      <c r="BL381" s="5">
        <f t="shared" si="129"/>
        <v>0</v>
      </c>
    </row>
    <row r="382" spans="1:64" s="2" customFormat="1" ht="38.25" outlineLevel="1" x14ac:dyDescent="0.2">
      <c r="A382" s="593" t="s">
        <v>751</v>
      </c>
      <c r="B382" s="600" t="s">
        <v>1635</v>
      </c>
      <c r="C382" s="7" t="s">
        <v>185</v>
      </c>
      <c r="D382" s="8" t="s">
        <v>397</v>
      </c>
      <c r="E382" s="23" t="s">
        <v>348</v>
      </c>
      <c r="F382" s="8">
        <v>2011</v>
      </c>
      <c r="G382" s="8">
        <v>2014</v>
      </c>
      <c r="H382" s="5">
        <v>2.36463994</v>
      </c>
      <c r="I382" s="5">
        <v>2.3239320000000001</v>
      </c>
      <c r="J382" s="5">
        <f>R382</f>
        <v>2.3239320000000001</v>
      </c>
      <c r="K382" s="23" t="s">
        <v>348</v>
      </c>
      <c r="L382" s="8"/>
      <c r="M382" s="8"/>
      <c r="N382" s="8"/>
      <c r="O382" s="8"/>
      <c r="P382" s="8"/>
      <c r="Q382" s="23" t="s">
        <v>348</v>
      </c>
      <c r="R382" s="113">
        <v>2.3239320000000001</v>
      </c>
      <c r="S382" s="113"/>
      <c r="T382" s="113"/>
      <c r="U382" s="113"/>
      <c r="V382" s="113"/>
      <c r="W382" s="113"/>
      <c r="X382" s="5">
        <f t="shared" si="98"/>
        <v>2.3239320000000001</v>
      </c>
      <c r="Y382" s="302">
        <f>H382-H383-H384</f>
        <v>0</v>
      </c>
      <c r="Z382" s="5">
        <f>I382-I383-I384</f>
        <v>0</v>
      </c>
      <c r="AA382" s="94">
        <f>J382-J383-J384</f>
        <v>0</v>
      </c>
      <c r="AB382" s="311">
        <f t="shared" si="120"/>
        <v>0</v>
      </c>
      <c r="AC382" s="296"/>
      <c r="AD382" s="113"/>
      <c r="AE382" s="5"/>
      <c r="AF382" s="5">
        <f>H382</f>
        <v>2.36463994</v>
      </c>
      <c r="AG382" s="5"/>
      <c r="AH382" s="5"/>
      <c r="AI382" s="5"/>
      <c r="AJ382" s="5"/>
      <c r="AK382" s="141"/>
      <c r="AL382" s="94">
        <f>SUM(AF382:AK382)</f>
        <v>2.36463994</v>
      </c>
      <c r="AM382" s="128">
        <v>0.2</v>
      </c>
      <c r="AN382" s="180">
        <v>0.4</v>
      </c>
      <c r="AO382" s="128"/>
      <c r="AP382" s="184"/>
      <c r="AQ382" s="128"/>
      <c r="AR382" s="184"/>
      <c r="AS382" s="128"/>
      <c r="AT382" s="184"/>
      <c r="AU382" s="128"/>
      <c r="AV382" s="184"/>
      <c r="AW382" s="128"/>
      <c r="AX382" s="184"/>
      <c r="AY382" s="111">
        <f>AM382+AO382+AQ382+AS382+AU382+AW382</f>
        <v>0.2</v>
      </c>
      <c r="AZ382" s="178">
        <f>AN382+AP382+AR382+AT382+AV382+AX382</f>
        <v>0.4</v>
      </c>
      <c r="BC382" s="216"/>
      <c r="BD382" s="47"/>
      <c r="BF382" s="113">
        <v>2.3239320000000001</v>
      </c>
      <c r="BG382" s="113"/>
      <c r="BH382" s="113"/>
      <c r="BI382" s="113"/>
      <c r="BJ382" s="113"/>
      <c r="BK382" s="113"/>
      <c r="BL382" s="5">
        <f t="shared" si="129"/>
        <v>2.3239320000000001</v>
      </c>
    </row>
    <row r="383" spans="1:64" s="2" customFormat="1" ht="15.75" customHeight="1" outlineLevel="1" x14ac:dyDescent="0.2">
      <c r="A383" s="594"/>
      <c r="B383" s="601"/>
      <c r="C383" s="7" t="s">
        <v>1553</v>
      </c>
      <c r="D383" s="8"/>
      <c r="E383" s="23"/>
      <c r="F383" s="8"/>
      <c r="G383" s="8"/>
      <c r="H383" s="5"/>
      <c r="I383" s="5"/>
      <c r="J383" s="5"/>
      <c r="K383" s="8"/>
      <c r="L383" s="23"/>
      <c r="M383" s="8"/>
      <c r="N383" s="8"/>
      <c r="O383" s="8"/>
      <c r="P383" s="8"/>
      <c r="Q383" s="23"/>
      <c r="R383" s="113"/>
      <c r="S383" s="113"/>
      <c r="T383" s="113"/>
      <c r="U383" s="113"/>
      <c r="V383" s="113"/>
      <c r="W383" s="113"/>
      <c r="X383" s="5">
        <f t="shared" si="98"/>
        <v>0</v>
      </c>
      <c r="Y383" s="302"/>
      <c r="Z383" s="5"/>
      <c r="AA383" s="94"/>
      <c r="AB383" s="311">
        <f t="shared" si="120"/>
        <v>0</v>
      </c>
      <c r="AC383" s="296"/>
      <c r="AD383" s="113"/>
      <c r="AE383" s="5"/>
      <c r="AF383" s="5"/>
      <c r="AG383" s="5"/>
      <c r="AH383" s="5"/>
      <c r="AI383" s="5"/>
      <c r="AJ383" s="5"/>
      <c r="AK383" s="141"/>
      <c r="AL383" s="94"/>
      <c r="AM383" s="128"/>
      <c r="AN383" s="180"/>
      <c r="AO383" s="128"/>
      <c r="AP383" s="184"/>
      <c r="AQ383" s="128"/>
      <c r="AR383" s="184"/>
      <c r="AS383" s="128"/>
      <c r="AT383" s="184"/>
      <c r="AU383" s="128"/>
      <c r="AV383" s="184"/>
      <c r="AW383" s="128"/>
      <c r="AX383" s="184"/>
      <c r="AY383" s="111"/>
      <c r="AZ383" s="178"/>
      <c r="BC383" s="216"/>
      <c r="BD383" s="47"/>
      <c r="BF383" s="113"/>
      <c r="BG383" s="113"/>
      <c r="BH383" s="113"/>
      <c r="BI383" s="113"/>
      <c r="BJ383" s="113"/>
      <c r="BK383" s="113"/>
      <c r="BL383" s="5">
        <f t="shared" si="129"/>
        <v>0</v>
      </c>
    </row>
    <row r="384" spans="1:64" s="2" customFormat="1" ht="15.75" customHeight="1" outlineLevel="1" x14ac:dyDescent="0.2">
      <c r="A384" s="595"/>
      <c r="B384" s="602"/>
      <c r="C384" s="7" t="s">
        <v>1554</v>
      </c>
      <c r="D384" s="8"/>
      <c r="E384" s="23"/>
      <c r="F384" s="8"/>
      <c r="G384" s="8"/>
      <c r="H384" s="5">
        <f>H382</f>
        <v>2.36463994</v>
      </c>
      <c r="I384" s="5">
        <f>I382</f>
        <v>2.3239320000000001</v>
      </c>
      <c r="J384" s="5">
        <f>J382</f>
        <v>2.3239320000000001</v>
      </c>
      <c r="K384" s="23"/>
      <c r="L384" s="8"/>
      <c r="M384" s="8"/>
      <c r="N384" s="8"/>
      <c r="O384" s="8"/>
      <c r="P384" s="8"/>
      <c r="Q384" s="23"/>
      <c r="R384" s="113"/>
      <c r="S384" s="113"/>
      <c r="T384" s="113"/>
      <c r="U384" s="113"/>
      <c r="V384" s="113"/>
      <c r="W384" s="113"/>
      <c r="X384" s="5">
        <f t="shared" si="98"/>
        <v>0</v>
      </c>
      <c r="Y384" s="302"/>
      <c r="Z384" s="5"/>
      <c r="AA384" s="94"/>
      <c r="AB384" s="311">
        <f t="shared" si="120"/>
        <v>2.3239320000000001</v>
      </c>
      <c r="AC384" s="296"/>
      <c r="AD384" s="113"/>
      <c r="AE384" s="5"/>
      <c r="AF384" s="5"/>
      <c r="AG384" s="5"/>
      <c r="AH384" s="5"/>
      <c r="AI384" s="5"/>
      <c r="AJ384" s="5"/>
      <c r="AK384" s="141"/>
      <c r="AL384" s="94"/>
      <c r="AM384" s="128"/>
      <c r="AN384" s="180"/>
      <c r="AO384" s="128"/>
      <c r="AP384" s="184"/>
      <c r="AQ384" s="128"/>
      <c r="AR384" s="184"/>
      <c r="AS384" s="128"/>
      <c r="AT384" s="184"/>
      <c r="AU384" s="128"/>
      <c r="AV384" s="184"/>
      <c r="AW384" s="128"/>
      <c r="AX384" s="184"/>
      <c r="AY384" s="111"/>
      <c r="AZ384" s="178"/>
      <c r="BC384" s="216"/>
      <c r="BD384" s="47"/>
      <c r="BF384" s="113"/>
      <c r="BG384" s="113"/>
      <c r="BH384" s="113"/>
      <c r="BI384" s="113"/>
      <c r="BJ384" s="113"/>
      <c r="BK384" s="113"/>
      <c r="BL384" s="5">
        <f t="shared" si="129"/>
        <v>0</v>
      </c>
    </row>
    <row r="385" spans="1:64" s="2" customFormat="1" ht="63.75" customHeight="1" outlineLevel="1" x14ac:dyDescent="0.2">
      <c r="A385" s="593" t="s">
        <v>752</v>
      </c>
      <c r="B385" s="600" t="s">
        <v>1636</v>
      </c>
      <c r="C385" s="7" t="s">
        <v>186</v>
      </c>
      <c r="D385" s="8" t="s">
        <v>397</v>
      </c>
      <c r="E385" s="23" t="s">
        <v>340</v>
      </c>
      <c r="F385" s="8">
        <v>2011</v>
      </c>
      <c r="G385" s="8">
        <v>2015</v>
      </c>
      <c r="H385" s="5">
        <v>0.28634000000000004</v>
      </c>
      <c r="I385" s="5">
        <v>0.25875799999999999</v>
      </c>
      <c r="J385" s="5">
        <f>R385</f>
        <v>0.1</v>
      </c>
      <c r="K385" s="8"/>
      <c r="L385" s="23" t="s">
        <v>340</v>
      </c>
      <c r="M385" s="8"/>
      <c r="N385" s="8"/>
      <c r="O385" s="8"/>
      <c r="P385" s="8"/>
      <c r="Q385" s="23" t="s">
        <v>340</v>
      </c>
      <c r="R385" s="113">
        <v>0.1</v>
      </c>
      <c r="S385" s="113"/>
      <c r="T385" s="113"/>
      <c r="U385" s="113"/>
      <c r="V385" s="113"/>
      <c r="W385" s="113"/>
      <c r="X385" s="5">
        <f t="shared" si="98"/>
        <v>0.1</v>
      </c>
      <c r="Y385" s="302">
        <f>H385-H386-H387</f>
        <v>0</v>
      </c>
      <c r="Z385" s="5">
        <f>I385-I386-I387</f>
        <v>0</v>
      </c>
      <c r="AA385" s="94">
        <f>J385-J386-J387</f>
        <v>0</v>
      </c>
      <c r="AB385" s="311">
        <f t="shared" si="120"/>
        <v>0.15875799999999998</v>
      </c>
      <c r="AC385" s="296"/>
      <c r="AD385" s="113"/>
      <c r="AE385" s="5"/>
      <c r="AF385" s="5"/>
      <c r="AG385" s="5">
        <f>H385</f>
        <v>0.28634000000000004</v>
      </c>
      <c r="AH385" s="5"/>
      <c r="AI385" s="5"/>
      <c r="AJ385" s="5"/>
      <c r="AK385" s="141"/>
      <c r="AL385" s="94">
        <f>SUM(AF385:AK385)</f>
        <v>0.28634000000000004</v>
      </c>
      <c r="AM385" s="128"/>
      <c r="AN385" s="180"/>
      <c r="AO385" s="128">
        <v>0.2</v>
      </c>
      <c r="AP385" s="184">
        <v>0</v>
      </c>
      <c r="AQ385" s="128"/>
      <c r="AR385" s="184"/>
      <c r="AS385" s="128"/>
      <c r="AT385" s="184"/>
      <c r="AU385" s="128"/>
      <c r="AV385" s="184"/>
      <c r="AW385" s="128"/>
      <c r="AX385" s="184"/>
      <c r="AY385" s="111">
        <f t="shared" ref="AY385:AZ388" si="130">AM385+AO385+AQ385+AS385+AU385+AW385</f>
        <v>0.2</v>
      </c>
      <c r="AZ385" s="178">
        <f t="shared" si="130"/>
        <v>0</v>
      </c>
      <c r="BC385" s="216"/>
      <c r="BD385" s="47"/>
      <c r="BF385" s="113">
        <v>0.1</v>
      </c>
      <c r="BG385" s="113"/>
      <c r="BH385" s="113"/>
      <c r="BI385" s="113"/>
      <c r="BJ385" s="113"/>
      <c r="BK385" s="113"/>
      <c r="BL385" s="5">
        <f t="shared" si="129"/>
        <v>0.1</v>
      </c>
    </row>
    <row r="386" spans="1:64" s="2" customFormat="1" ht="15.75" customHeight="1" outlineLevel="1" x14ac:dyDescent="0.2">
      <c r="A386" s="594"/>
      <c r="B386" s="601"/>
      <c r="C386" s="7" t="s">
        <v>1553</v>
      </c>
      <c r="D386" s="8"/>
      <c r="E386" s="23"/>
      <c r="F386" s="8"/>
      <c r="G386" s="8"/>
      <c r="H386" s="5"/>
      <c r="I386" s="5"/>
      <c r="J386" s="5"/>
      <c r="K386" s="8"/>
      <c r="L386" s="23"/>
      <c r="M386" s="8"/>
      <c r="N386" s="8"/>
      <c r="O386" s="8"/>
      <c r="P386" s="8"/>
      <c r="Q386" s="23"/>
      <c r="R386" s="113"/>
      <c r="S386" s="113"/>
      <c r="T386" s="113"/>
      <c r="U386" s="113"/>
      <c r="V386" s="113"/>
      <c r="W386" s="113"/>
      <c r="X386" s="5">
        <f t="shared" si="98"/>
        <v>0</v>
      </c>
      <c r="Y386" s="302"/>
      <c r="Z386" s="5"/>
      <c r="AA386" s="94"/>
      <c r="AB386" s="311">
        <f t="shared" si="120"/>
        <v>0</v>
      </c>
      <c r="AC386" s="296"/>
      <c r="AD386" s="113"/>
      <c r="AE386" s="5"/>
      <c r="AF386" s="5"/>
      <c r="AG386" s="5"/>
      <c r="AH386" s="5"/>
      <c r="AI386" s="5"/>
      <c r="AJ386" s="5"/>
      <c r="AK386" s="141"/>
      <c r="AL386" s="94"/>
      <c r="AM386" s="128"/>
      <c r="AN386" s="180"/>
      <c r="AO386" s="128"/>
      <c r="AP386" s="184"/>
      <c r="AQ386" s="128"/>
      <c r="AR386" s="184"/>
      <c r="AS386" s="128"/>
      <c r="AT386" s="184"/>
      <c r="AU386" s="128"/>
      <c r="AV386" s="184"/>
      <c r="AW386" s="128"/>
      <c r="AX386" s="184"/>
      <c r="AY386" s="111"/>
      <c r="AZ386" s="178"/>
      <c r="BC386" s="216"/>
      <c r="BD386" s="47"/>
      <c r="BF386" s="113"/>
      <c r="BG386" s="113"/>
      <c r="BH386" s="113"/>
      <c r="BI386" s="113"/>
      <c r="BJ386" s="113"/>
      <c r="BK386" s="113"/>
      <c r="BL386" s="5">
        <f t="shared" si="129"/>
        <v>0</v>
      </c>
    </row>
    <row r="387" spans="1:64" s="2" customFormat="1" ht="15.75" customHeight="1" outlineLevel="1" x14ac:dyDescent="0.2">
      <c r="A387" s="595"/>
      <c r="B387" s="602"/>
      <c r="C387" s="7" t="s">
        <v>1554</v>
      </c>
      <c r="D387" s="8"/>
      <c r="E387" s="23"/>
      <c r="F387" s="8"/>
      <c r="G387" s="8"/>
      <c r="H387" s="5">
        <v>0.28634000000000004</v>
      </c>
      <c r="I387" s="5">
        <v>0.25875800000000004</v>
      </c>
      <c r="J387" s="5">
        <v>0.1</v>
      </c>
      <c r="K387" s="23"/>
      <c r="L387" s="8"/>
      <c r="M387" s="8"/>
      <c r="N387" s="8"/>
      <c r="O387" s="8"/>
      <c r="P387" s="8"/>
      <c r="Q387" s="23"/>
      <c r="R387" s="113"/>
      <c r="S387" s="113"/>
      <c r="T387" s="113"/>
      <c r="U387" s="113"/>
      <c r="V387" s="113"/>
      <c r="W387" s="113"/>
      <c r="X387" s="5">
        <f t="shared" si="98"/>
        <v>0</v>
      </c>
      <c r="Y387" s="302"/>
      <c r="Z387" s="5"/>
      <c r="AA387" s="94"/>
      <c r="AB387" s="311">
        <f t="shared" si="120"/>
        <v>0.25875800000000004</v>
      </c>
      <c r="AC387" s="296"/>
      <c r="AD387" s="113"/>
      <c r="AE387" s="5"/>
      <c r="AF387" s="5"/>
      <c r="AG387" s="5"/>
      <c r="AH387" s="5"/>
      <c r="AI387" s="5"/>
      <c r="AJ387" s="5"/>
      <c r="AK387" s="141"/>
      <c r="AL387" s="94"/>
      <c r="AM387" s="128"/>
      <c r="AN387" s="180"/>
      <c r="AO387" s="128"/>
      <c r="AP387" s="184"/>
      <c r="AQ387" s="128"/>
      <c r="AR387" s="184"/>
      <c r="AS387" s="128"/>
      <c r="AT387" s="184"/>
      <c r="AU387" s="128"/>
      <c r="AV387" s="184"/>
      <c r="AW387" s="128"/>
      <c r="AX387" s="184"/>
      <c r="AY387" s="111"/>
      <c r="AZ387" s="178"/>
      <c r="BC387" s="216"/>
      <c r="BD387" s="47"/>
      <c r="BF387" s="113"/>
      <c r="BG387" s="113"/>
      <c r="BH387" s="113"/>
      <c r="BI387" s="113"/>
      <c r="BJ387" s="113"/>
      <c r="BK387" s="113"/>
      <c r="BL387" s="5">
        <f t="shared" si="129"/>
        <v>0</v>
      </c>
    </row>
    <row r="388" spans="1:64" s="2" customFormat="1" ht="38.25" customHeight="1" outlineLevel="1" x14ac:dyDescent="0.2">
      <c r="A388" s="593" t="s">
        <v>753</v>
      </c>
      <c r="B388" s="600" t="s">
        <v>1637</v>
      </c>
      <c r="C388" s="7" t="s">
        <v>187</v>
      </c>
      <c r="D388" s="8" t="s">
        <v>397</v>
      </c>
      <c r="E388" s="23" t="s">
        <v>346</v>
      </c>
      <c r="F388" s="8">
        <v>2012</v>
      </c>
      <c r="G388" s="8">
        <v>2015</v>
      </c>
      <c r="H388" s="5">
        <v>0.24260999999999999</v>
      </c>
      <c r="I388" s="5">
        <v>0.12263399999999999</v>
      </c>
      <c r="J388" s="5">
        <f>R388</f>
        <v>9.3525999999999998E-2</v>
      </c>
      <c r="K388" s="8"/>
      <c r="L388" s="23" t="s">
        <v>346</v>
      </c>
      <c r="M388" s="8"/>
      <c r="N388" s="8"/>
      <c r="O388" s="8"/>
      <c r="P388" s="8"/>
      <c r="Q388" s="23" t="s">
        <v>346</v>
      </c>
      <c r="R388" s="113">
        <v>9.3525999999999998E-2</v>
      </c>
      <c r="S388" s="113"/>
      <c r="T388" s="113"/>
      <c r="U388" s="113"/>
      <c r="V388" s="113"/>
      <c r="W388" s="113"/>
      <c r="X388" s="5">
        <f t="shared" si="98"/>
        <v>9.3525999999999998E-2</v>
      </c>
      <c r="Y388" s="302">
        <f>H388-H389-H390</f>
        <v>0</v>
      </c>
      <c r="Z388" s="5">
        <f>I388-I389-I390</f>
        <v>0</v>
      </c>
      <c r="AA388" s="94">
        <f>J388-J389-J390</f>
        <v>0</v>
      </c>
      <c r="AB388" s="311">
        <f t="shared" si="120"/>
        <v>2.9107999999999995E-2</v>
      </c>
      <c r="AC388" s="296"/>
      <c r="AD388" s="113"/>
      <c r="AE388" s="5"/>
      <c r="AF388" s="5"/>
      <c r="AG388" s="5">
        <f>H388</f>
        <v>0.24260999999999999</v>
      </c>
      <c r="AH388" s="5"/>
      <c r="AI388" s="5"/>
      <c r="AJ388" s="5"/>
      <c r="AK388" s="141"/>
      <c r="AL388" s="94">
        <f>SUM(AF388:AK388)</f>
        <v>0.24260999999999999</v>
      </c>
      <c r="AM388" s="128"/>
      <c r="AN388" s="180"/>
      <c r="AO388" s="128">
        <v>0.15</v>
      </c>
      <c r="AP388" s="184">
        <v>0</v>
      </c>
      <c r="AQ388" s="128"/>
      <c r="AR388" s="184"/>
      <c r="AS388" s="128"/>
      <c r="AT388" s="184"/>
      <c r="AU388" s="128"/>
      <c r="AV388" s="184"/>
      <c r="AW388" s="128"/>
      <c r="AX388" s="184"/>
      <c r="AY388" s="111">
        <f t="shared" si="130"/>
        <v>0.15</v>
      </c>
      <c r="AZ388" s="178">
        <f t="shared" si="130"/>
        <v>0</v>
      </c>
      <c r="BC388" s="216"/>
      <c r="BD388" s="47"/>
      <c r="BF388" s="113">
        <v>9.3525999999999998E-2</v>
      </c>
      <c r="BG388" s="113"/>
      <c r="BH388" s="113"/>
      <c r="BI388" s="113"/>
      <c r="BJ388" s="113"/>
      <c r="BK388" s="113"/>
      <c r="BL388" s="5">
        <f t="shared" si="129"/>
        <v>9.3525999999999998E-2</v>
      </c>
    </row>
    <row r="389" spans="1:64" s="2" customFormat="1" ht="15.75" customHeight="1" outlineLevel="1" x14ac:dyDescent="0.2">
      <c r="A389" s="594"/>
      <c r="B389" s="601"/>
      <c r="C389" s="7" t="s">
        <v>1553</v>
      </c>
      <c r="D389" s="8"/>
      <c r="E389" s="23"/>
      <c r="F389" s="8"/>
      <c r="G389" s="8"/>
      <c r="H389" s="5"/>
      <c r="I389" s="5"/>
      <c r="J389" s="5"/>
      <c r="K389" s="8"/>
      <c r="L389" s="23"/>
      <c r="M389" s="8"/>
      <c r="N389" s="8"/>
      <c r="O389" s="8"/>
      <c r="P389" s="8"/>
      <c r="Q389" s="23"/>
      <c r="R389" s="113"/>
      <c r="S389" s="113"/>
      <c r="T389" s="113"/>
      <c r="U389" s="113"/>
      <c r="V389" s="113"/>
      <c r="W389" s="113"/>
      <c r="X389" s="5">
        <f>SUM(R389:W389)</f>
        <v>0</v>
      </c>
      <c r="Y389" s="302"/>
      <c r="Z389" s="5"/>
      <c r="AA389" s="94"/>
      <c r="AB389" s="311">
        <f t="shared" si="120"/>
        <v>0</v>
      </c>
      <c r="AC389" s="296"/>
      <c r="AD389" s="113"/>
      <c r="AE389" s="5"/>
      <c r="AF389" s="5"/>
      <c r="AG389" s="5"/>
      <c r="AH389" s="5"/>
      <c r="AI389" s="5"/>
      <c r="AJ389" s="5"/>
      <c r="AK389" s="141"/>
      <c r="AL389" s="94"/>
      <c r="AM389" s="128"/>
      <c r="AN389" s="180"/>
      <c r="AO389" s="128"/>
      <c r="AP389" s="184"/>
      <c r="AQ389" s="128"/>
      <c r="AR389" s="184"/>
      <c r="AS389" s="128"/>
      <c r="AT389" s="184"/>
      <c r="AU389" s="128"/>
      <c r="AV389" s="184"/>
      <c r="AW389" s="128"/>
      <c r="AX389" s="184"/>
      <c r="AY389" s="111"/>
      <c r="AZ389" s="178"/>
      <c r="BC389" s="216"/>
      <c r="BD389" s="47"/>
      <c r="BF389" s="113"/>
      <c r="BG389" s="113"/>
      <c r="BH389" s="113"/>
      <c r="BI389" s="113"/>
      <c r="BJ389" s="113"/>
      <c r="BK389" s="113"/>
      <c r="BL389" s="5">
        <f t="shared" ref="BL389:BL399" si="131">SUM(BF389:BK389)</f>
        <v>0</v>
      </c>
    </row>
    <row r="390" spans="1:64" s="2" customFormat="1" ht="15.75" customHeight="1" outlineLevel="1" x14ac:dyDescent="0.2">
      <c r="A390" s="595"/>
      <c r="B390" s="602"/>
      <c r="C390" s="7" t="s">
        <v>1554</v>
      </c>
      <c r="D390" s="8"/>
      <c r="E390" s="23"/>
      <c r="F390" s="8"/>
      <c r="G390" s="8"/>
      <c r="H390" s="5">
        <v>0.24260999999999999</v>
      </c>
      <c r="I390" s="5">
        <v>0.12263399999999999</v>
      </c>
      <c r="J390" s="5">
        <v>9.3525999999999998E-2</v>
      </c>
      <c r="K390" s="23"/>
      <c r="L390" s="8"/>
      <c r="M390" s="8"/>
      <c r="N390" s="8"/>
      <c r="O390" s="8"/>
      <c r="P390" s="8"/>
      <c r="Q390" s="23"/>
      <c r="R390" s="113"/>
      <c r="S390" s="113"/>
      <c r="T390" s="113"/>
      <c r="U390" s="113"/>
      <c r="V390" s="113"/>
      <c r="W390" s="113"/>
      <c r="X390" s="5">
        <f>SUM(R390:W390)</f>
        <v>0</v>
      </c>
      <c r="Y390" s="302"/>
      <c r="Z390" s="5"/>
      <c r="AA390" s="94"/>
      <c r="AB390" s="311">
        <f t="shared" si="120"/>
        <v>0.12263399999999999</v>
      </c>
      <c r="AC390" s="296"/>
      <c r="AD390" s="113"/>
      <c r="AE390" s="5"/>
      <c r="AF390" s="5"/>
      <c r="AG390" s="5"/>
      <c r="AH390" s="5"/>
      <c r="AI390" s="5"/>
      <c r="AJ390" s="5"/>
      <c r="AK390" s="141"/>
      <c r="AL390" s="94"/>
      <c r="AM390" s="128"/>
      <c r="AN390" s="180"/>
      <c r="AO390" s="128"/>
      <c r="AP390" s="184"/>
      <c r="AQ390" s="128"/>
      <c r="AR390" s="184"/>
      <c r="AS390" s="128"/>
      <c r="AT390" s="184"/>
      <c r="AU390" s="128"/>
      <c r="AV390" s="184"/>
      <c r="AW390" s="128"/>
      <c r="AX390" s="184"/>
      <c r="AY390" s="111"/>
      <c r="AZ390" s="178"/>
      <c r="BC390" s="216"/>
      <c r="BD390" s="47"/>
      <c r="BF390" s="113"/>
      <c r="BG390" s="113"/>
      <c r="BH390" s="113"/>
      <c r="BI390" s="113"/>
      <c r="BJ390" s="113"/>
      <c r="BK390" s="113"/>
      <c r="BL390" s="5">
        <f t="shared" si="131"/>
        <v>0</v>
      </c>
    </row>
    <row r="391" spans="1:64" s="2" customFormat="1" ht="38.25" customHeight="1" outlineLevel="1" x14ac:dyDescent="0.2">
      <c r="A391" s="593" t="s">
        <v>754</v>
      </c>
      <c r="B391" s="600" t="s">
        <v>1638</v>
      </c>
      <c r="C391" s="7" t="s">
        <v>188</v>
      </c>
      <c r="D391" s="8" t="s">
        <v>397</v>
      </c>
      <c r="E391" s="23" t="s">
        <v>340</v>
      </c>
      <c r="F391" s="8">
        <v>2012</v>
      </c>
      <c r="G391" s="8">
        <v>2015</v>
      </c>
      <c r="H391" s="5">
        <v>0.52236130000000003</v>
      </c>
      <c r="I391" s="5">
        <v>0.216498</v>
      </c>
      <c r="J391" s="5">
        <f>R391</f>
        <v>0.11918000000000001</v>
      </c>
      <c r="K391" s="8"/>
      <c r="L391" s="23" t="s">
        <v>340</v>
      </c>
      <c r="M391" s="8"/>
      <c r="N391" s="8"/>
      <c r="O391" s="8"/>
      <c r="P391" s="8"/>
      <c r="Q391" s="23" t="s">
        <v>340</v>
      </c>
      <c r="R391" s="113">
        <v>0.11918000000000001</v>
      </c>
      <c r="S391" s="113"/>
      <c r="T391" s="113"/>
      <c r="U391" s="113"/>
      <c r="V391" s="113"/>
      <c r="W391" s="113"/>
      <c r="X391" s="5">
        <f t="shared" si="98"/>
        <v>0.11918000000000001</v>
      </c>
      <c r="Y391" s="302">
        <f>H391-H392-H393</f>
        <v>0</v>
      </c>
      <c r="Z391" s="5">
        <f>I391-I392-I393</f>
        <v>0</v>
      </c>
      <c r="AA391" s="94">
        <f>J391-J392-J393</f>
        <v>0</v>
      </c>
      <c r="AB391" s="311">
        <f t="shared" si="120"/>
        <v>9.7317999999999988E-2</v>
      </c>
      <c r="AC391" s="296"/>
      <c r="AD391" s="113"/>
      <c r="AE391" s="5"/>
      <c r="AF391" s="5"/>
      <c r="AG391" s="5">
        <f>H391</f>
        <v>0.52236130000000003</v>
      </c>
      <c r="AH391" s="5"/>
      <c r="AI391" s="5"/>
      <c r="AJ391" s="5"/>
      <c r="AK391" s="141"/>
      <c r="AL391" s="94">
        <f>SUM(AF391:AK391)</f>
        <v>0.52236130000000003</v>
      </c>
      <c r="AM391" s="128"/>
      <c r="AN391" s="180"/>
      <c r="AO391" s="128">
        <v>0.2</v>
      </c>
      <c r="AP391" s="184">
        <v>0</v>
      </c>
      <c r="AQ391" s="128"/>
      <c r="AR391" s="184"/>
      <c r="AS391" s="128"/>
      <c r="AT391" s="184"/>
      <c r="AU391" s="128"/>
      <c r="AV391" s="184"/>
      <c r="AW391" s="128"/>
      <c r="AX391" s="184"/>
      <c r="AY391" s="111">
        <f>AM391+AO391+AQ391+AS391+AU391+AW391</f>
        <v>0.2</v>
      </c>
      <c r="AZ391" s="178">
        <f>AN391+AP391+AR391+AT391+AV391+AX391</f>
        <v>0</v>
      </c>
      <c r="BC391" s="216"/>
      <c r="BD391" s="47"/>
      <c r="BF391" s="113">
        <v>0.11918000000000001</v>
      </c>
      <c r="BG391" s="113"/>
      <c r="BH391" s="113"/>
      <c r="BI391" s="113"/>
      <c r="BJ391" s="113"/>
      <c r="BK391" s="113"/>
      <c r="BL391" s="5">
        <f t="shared" si="131"/>
        <v>0.11918000000000001</v>
      </c>
    </row>
    <row r="392" spans="1:64" s="2" customFormat="1" ht="15.75" customHeight="1" outlineLevel="1" x14ac:dyDescent="0.2">
      <c r="A392" s="594"/>
      <c r="B392" s="601"/>
      <c r="C392" s="7" t="s">
        <v>1553</v>
      </c>
      <c r="D392" s="8"/>
      <c r="E392" s="23"/>
      <c r="F392" s="8"/>
      <c r="G392" s="8"/>
      <c r="H392" s="5"/>
      <c r="I392" s="5"/>
      <c r="J392" s="5"/>
      <c r="K392" s="8"/>
      <c r="L392" s="23"/>
      <c r="M392" s="8"/>
      <c r="N392" s="8"/>
      <c r="O392" s="8"/>
      <c r="P392" s="8"/>
      <c r="Q392" s="23"/>
      <c r="R392" s="113"/>
      <c r="S392" s="113"/>
      <c r="T392" s="113"/>
      <c r="U392" s="113"/>
      <c r="V392" s="113"/>
      <c r="W392" s="113"/>
      <c r="X392" s="5">
        <f t="shared" si="98"/>
        <v>0</v>
      </c>
      <c r="Y392" s="302"/>
      <c r="Z392" s="5"/>
      <c r="AA392" s="94"/>
      <c r="AB392" s="311">
        <f t="shared" si="120"/>
        <v>0</v>
      </c>
      <c r="AC392" s="296"/>
      <c r="AD392" s="113"/>
      <c r="AE392" s="5"/>
      <c r="AF392" s="5"/>
      <c r="AG392" s="5"/>
      <c r="AH392" s="5"/>
      <c r="AI392" s="5"/>
      <c r="AJ392" s="5"/>
      <c r="AK392" s="141"/>
      <c r="AL392" s="94"/>
      <c r="AM392" s="128"/>
      <c r="AN392" s="180"/>
      <c r="AO392" s="128"/>
      <c r="AP392" s="184"/>
      <c r="AQ392" s="128"/>
      <c r="AR392" s="184"/>
      <c r="AS392" s="128"/>
      <c r="AT392" s="184"/>
      <c r="AU392" s="128"/>
      <c r="AV392" s="184"/>
      <c r="AW392" s="128"/>
      <c r="AX392" s="184"/>
      <c r="AY392" s="111"/>
      <c r="AZ392" s="178"/>
      <c r="BC392" s="216"/>
      <c r="BD392" s="47"/>
      <c r="BF392" s="113"/>
      <c r="BG392" s="113"/>
      <c r="BH392" s="113"/>
      <c r="BI392" s="113"/>
      <c r="BJ392" s="113"/>
      <c r="BK392" s="113"/>
      <c r="BL392" s="5">
        <f t="shared" si="131"/>
        <v>0</v>
      </c>
    </row>
    <row r="393" spans="1:64" s="2" customFormat="1" ht="15.75" customHeight="1" outlineLevel="1" x14ac:dyDescent="0.2">
      <c r="A393" s="595"/>
      <c r="B393" s="602"/>
      <c r="C393" s="7" t="s">
        <v>1554</v>
      </c>
      <c r="D393" s="8"/>
      <c r="E393" s="23"/>
      <c r="F393" s="8"/>
      <c r="G393" s="8"/>
      <c r="H393" s="5">
        <f>H391</f>
        <v>0.52236130000000003</v>
      </c>
      <c r="I393" s="5">
        <f>I391</f>
        <v>0.216498</v>
      </c>
      <c r="J393" s="5">
        <f>J391</f>
        <v>0.11918000000000001</v>
      </c>
      <c r="K393" s="23"/>
      <c r="L393" s="8"/>
      <c r="M393" s="8"/>
      <c r="N393" s="8"/>
      <c r="O393" s="8"/>
      <c r="P393" s="8"/>
      <c r="Q393" s="23"/>
      <c r="R393" s="113"/>
      <c r="S393" s="113"/>
      <c r="T393" s="113"/>
      <c r="U393" s="113"/>
      <c r="V393" s="113"/>
      <c r="W393" s="113"/>
      <c r="X393" s="5">
        <f t="shared" si="98"/>
        <v>0</v>
      </c>
      <c r="Y393" s="302"/>
      <c r="Z393" s="5"/>
      <c r="AA393" s="94"/>
      <c r="AB393" s="311">
        <f t="shared" si="120"/>
        <v>0.216498</v>
      </c>
      <c r="AC393" s="296"/>
      <c r="AD393" s="113"/>
      <c r="AE393" s="5"/>
      <c r="AF393" s="5"/>
      <c r="AG393" s="5"/>
      <c r="AH393" s="5"/>
      <c r="AI393" s="5"/>
      <c r="AJ393" s="5"/>
      <c r="AK393" s="141"/>
      <c r="AL393" s="94"/>
      <c r="AM393" s="128"/>
      <c r="AN393" s="180"/>
      <c r="AO393" s="128"/>
      <c r="AP393" s="184"/>
      <c r="AQ393" s="128"/>
      <c r="AR393" s="184"/>
      <c r="AS393" s="128"/>
      <c r="AT393" s="184"/>
      <c r="AU393" s="128"/>
      <c r="AV393" s="184"/>
      <c r="AW393" s="128"/>
      <c r="AX393" s="184"/>
      <c r="AY393" s="111"/>
      <c r="AZ393" s="178"/>
      <c r="BC393" s="216"/>
      <c r="BD393" s="47"/>
      <c r="BF393" s="113"/>
      <c r="BG393" s="113"/>
      <c r="BH393" s="113"/>
      <c r="BI393" s="113"/>
      <c r="BJ393" s="113"/>
      <c r="BK393" s="113"/>
      <c r="BL393" s="5">
        <f t="shared" si="131"/>
        <v>0</v>
      </c>
    </row>
    <row r="394" spans="1:64" s="2" customFormat="1" ht="38.25" outlineLevel="1" x14ac:dyDescent="0.2">
      <c r="A394" s="593" t="s">
        <v>755</v>
      </c>
      <c r="B394" s="600" t="s">
        <v>1639</v>
      </c>
      <c r="C394" s="7" t="s">
        <v>189</v>
      </c>
      <c r="D394" s="8" t="s">
        <v>397</v>
      </c>
      <c r="E394" s="23" t="s">
        <v>333</v>
      </c>
      <c r="F394" s="8">
        <v>2013</v>
      </c>
      <c r="G394" s="8">
        <v>2014</v>
      </c>
      <c r="H394" s="5">
        <v>0.807361</v>
      </c>
      <c r="I394" s="5">
        <v>0.01</v>
      </c>
      <c r="J394" s="5">
        <f>R394</f>
        <v>0.01</v>
      </c>
      <c r="K394" s="23" t="s">
        <v>333</v>
      </c>
      <c r="L394" s="8"/>
      <c r="M394" s="8"/>
      <c r="N394" s="8"/>
      <c r="O394" s="8"/>
      <c r="P394" s="8"/>
      <c r="Q394" s="23" t="s">
        <v>333</v>
      </c>
      <c r="R394" s="113">
        <v>0.01</v>
      </c>
      <c r="S394" s="113"/>
      <c r="T394" s="113"/>
      <c r="U394" s="113"/>
      <c r="V394" s="113"/>
      <c r="W394" s="113"/>
      <c r="X394" s="5">
        <f t="shared" si="98"/>
        <v>0.01</v>
      </c>
      <c r="Y394" s="302">
        <f>H394-H395-H396</f>
        <v>0</v>
      </c>
      <c r="Z394" s="5">
        <f>I394-I395-I396</f>
        <v>0</v>
      </c>
      <c r="AA394" s="94">
        <f>J394-J395-J396</f>
        <v>0</v>
      </c>
      <c r="AB394" s="311">
        <f t="shared" si="120"/>
        <v>0</v>
      </c>
      <c r="AC394" s="296"/>
      <c r="AD394" s="113"/>
      <c r="AE394" s="5"/>
      <c r="AF394" s="5">
        <f>H394</f>
        <v>0.807361</v>
      </c>
      <c r="AG394" s="5"/>
      <c r="AH394" s="5"/>
      <c r="AI394" s="5"/>
      <c r="AJ394" s="5"/>
      <c r="AK394" s="141"/>
      <c r="AL394" s="94">
        <f>SUM(AF394:AK394)</f>
        <v>0.807361</v>
      </c>
      <c r="AM394" s="128">
        <v>0.3</v>
      </c>
      <c r="AN394" s="180">
        <v>0</v>
      </c>
      <c r="AO394" s="128"/>
      <c r="AP394" s="184"/>
      <c r="AQ394" s="128"/>
      <c r="AR394" s="184"/>
      <c r="AS394" s="128"/>
      <c r="AT394" s="184"/>
      <c r="AU394" s="128"/>
      <c r="AV394" s="184"/>
      <c r="AW394" s="128"/>
      <c r="AX394" s="184"/>
      <c r="AY394" s="111">
        <f t="shared" ref="AY394:AZ397" si="132">AM394+AO394+AQ394+AS394+AU394+AW394</f>
        <v>0.3</v>
      </c>
      <c r="AZ394" s="178">
        <f t="shared" si="132"/>
        <v>0</v>
      </c>
      <c r="BC394" s="216"/>
      <c r="BD394" s="47"/>
      <c r="BF394" s="113">
        <v>0.01</v>
      </c>
      <c r="BG394" s="113"/>
      <c r="BH394" s="113"/>
      <c r="BI394" s="113"/>
      <c r="BJ394" s="113"/>
      <c r="BK394" s="113"/>
      <c r="BL394" s="5">
        <f t="shared" si="131"/>
        <v>0.01</v>
      </c>
    </row>
    <row r="395" spans="1:64" s="2" customFormat="1" ht="15.75" customHeight="1" outlineLevel="1" x14ac:dyDescent="0.2">
      <c r="A395" s="594"/>
      <c r="B395" s="601"/>
      <c r="C395" s="7" t="s">
        <v>1553</v>
      </c>
      <c r="D395" s="8"/>
      <c r="E395" s="23"/>
      <c r="F395" s="8"/>
      <c r="G395" s="8"/>
      <c r="H395" s="5"/>
      <c r="I395" s="5"/>
      <c r="J395" s="5"/>
      <c r="K395" s="8"/>
      <c r="L395" s="23"/>
      <c r="M395" s="8"/>
      <c r="N395" s="8"/>
      <c r="O395" s="8"/>
      <c r="P395" s="8"/>
      <c r="Q395" s="23"/>
      <c r="R395" s="113"/>
      <c r="S395" s="113"/>
      <c r="T395" s="113"/>
      <c r="U395" s="113"/>
      <c r="V395" s="113"/>
      <c r="W395" s="113"/>
      <c r="X395" s="5">
        <f>SUM(R395:W395)</f>
        <v>0</v>
      </c>
      <c r="Y395" s="302"/>
      <c r="Z395" s="5"/>
      <c r="AA395" s="94"/>
      <c r="AB395" s="311">
        <f t="shared" si="120"/>
        <v>0</v>
      </c>
      <c r="AC395" s="296"/>
      <c r="AD395" s="113"/>
      <c r="AE395" s="5"/>
      <c r="AF395" s="5"/>
      <c r="AG395" s="5"/>
      <c r="AH395" s="5"/>
      <c r="AI395" s="5"/>
      <c r="AJ395" s="5"/>
      <c r="AK395" s="141"/>
      <c r="AL395" s="94"/>
      <c r="AM395" s="128"/>
      <c r="AN395" s="180"/>
      <c r="AO395" s="128"/>
      <c r="AP395" s="184"/>
      <c r="AQ395" s="128"/>
      <c r="AR395" s="184"/>
      <c r="AS395" s="128"/>
      <c r="AT395" s="184"/>
      <c r="AU395" s="128"/>
      <c r="AV395" s="184"/>
      <c r="AW395" s="128"/>
      <c r="AX395" s="184"/>
      <c r="AY395" s="111"/>
      <c r="AZ395" s="178"/>
      <c r="BC395" s="216"/>
      <c r="BD395" s="47"/>
      <c r="BF395" s="113"/>
      <c r="BG395" s="113"/>
      <c r="BH395" s="113"/>
      <c r="BI395" s="113"/>
      <c r="BJ395" s="113"/>
      <c r="BK395" s="113"/>
      <c r="BL395" s="5">
        <f t="shared" si="131"/>
        <v>0</v>
      </c>
    </row>
    <row r="396" spans="1:64" s="2" customFormat="1" ht="15.75" customHeight="1" outlineLevel="1" x14ac:dyDescent="0.2">
      <c r="A396" s="595"/>
      <c r="B396" s="602"/>
      <c r="C396" s="7" t="s">
        <v>1554</v>
      </c>
      <c r="D396" s="8"/>
      <c r="E396" s="23"/>
      <c r="F396" s="8"/>
      <c r="G396" s="8"/>
      <c r="H396" s="5">
        <v>0.807361</v>
      </c>
      <c r="I396" s="5">
        <v>0.01</v>
      </c>
      <c r="J396" s="5">
        <v>0.01</v>
      </c>
      <c r="K396" s="23"/>
      <c r="L396" s="8"/>
      <c r="M396" s="8"/>
      <c r="N396" s="8"/>
      <c r="O396" s="8"/>
      <c r="P396" s="8"/>
      <c r="Q396" s="23"/>
      <c r="R396" s="113"/>
      <c r="S396" s="113"/>
      <c r="T396" s="113"/>
      <c r="U396" s="113"/>
      <c r="V396" s="113"/>
      <c r="W396" s="113"/>
      <c r="X396" s="5">
        <f>SUM(R396:W396)</f>
        <v>0</v>
      </c>
      <c r="Y396" s="302"/>
      <c r="Z396" s="5"/>
      <c r="AA396" s="94"/>
      <c r="AB396" s="311">
        <f t="shared" si="120"/>
        <v>0.01</v>
      </c>
      <c r="AC396" s="296"/>
      <c r="AD396" s="113"/>
      <c r="AE396" s="5"/>
      <c r="AF396" s="5"/>
      <c r="AG396" s="5"/>
      <c r="AH396" s="5"/>
      <c r="AI396" s="5"/>
      <c r="AJ396" s="5"/>
      <c r="AK396" s="141"/>
      <c r="AL396" s="94"/>
      <c r="AM396" s="128"/>
      <c r="AN396" s="180"/>
      <c r="AO396" s="128"/>
      <c r="AP396" s="184"/>
      <c r="AQ396" s="128"/>
      <c r="AR396" s="184"/>
      <c r="AS396" s="128"/>
      <c r="AT396" s="184"/>
      <c r="AU396" s="128"/>
      <c r="AV396" s="184"/>
      <c r="AW396" s="128"/>
      <c r="AX396" s="184"/>
      <c r="AY396" s="111"/>
      <c r="AZ396" s="178"/>
      <c r="BC396" s="216"/>
      <c r="BD396" s="47"/>
      <c r="BF396" s="113"/>
      <c r="BG396" s="113"/>
      <c r="BH396" s="113"/>
      <c r="BI396" s="113"/>
      <c r="BJ396" s="113"/>
      <c r="BK396" s="113"/>
      <c r="BL396" s="5">
        <f t="shared" si="131"/>
        <v>0</v>
      </c>
    </row>
    <row r="397" spans="1:64" s="2" customFormat="1" ht="25.5" outlineLevel="1" x14ac:dyDescent="0.2">
      <c r="A397" s="593" t="s">
        <v>756</v>
      </c>
      <c r="B397" s="600" t="s">
        <v>1640</v>
      </c>
      <c r="C397" s="7" t="s">
        <v>190</v>
      </c>
      <c r="D397" s="8" t="s">
        <v>397</v>
      </c>
      <c r="E397" s="23" t="s">
        <v>349</v>
      </c>
      <c r="F397" s="8">
        <v>2012</v>
      </c>
      <c r="G397" s="8">
        <v>2014</v>
      </c>
      <c r="H397" s="5">
        <v>0.50481900000000002</v>
      </c>
      <c r="I397" s="5">
        <v>0.01</v>
      </c>
      <c r="J397" s="5">
        <f>R397</f>
        <v>0.01</v>
      </c>
      <c r="K397" s="23" t="s">
        <v>349</v>
      </c>
      <c r="L397" s="8"/>
      <c r="M397" s="8"/>
      <c r="N397" s="8"/>
      <c r="O397" s="8"/>
      <c r="P397" s="8"/>
      <c r="Q397" s="23" t="s">
        <v>349</v>
      </c>
      <c r="R397" s="113">
        <v>0.01</v>
      </c>
      <c r="S397" s="113"/>
      <c r="T397" s="113"/>
      <c r="U397" s="113"/>
      <c r="V397" s="113"/>
      <c r="W397" s="113"/>
      <c r="X397" s="5">
        <f t="shared" si="98"/>
        <v>0.01</v>
      </c>
      <c r="Y397" s="302">
        <f>H397-H398-H399</f>
        <v>4.8190000000000177E-3</v>
      </c>
      <c r="Z397" s="5">
        <f>I397-I398-I399</f>
        <v>0</v>
      </c>
      <c r="AA397" s="94">
        <f>J397-J398-J399</f>
        <v>0</v>
      </c>
      <c r="AB397" s="311">
        <f t="shared" si="120"/>
        <v>0</v>
      </c>
      <c r="AC397" s="296"/>
      <c r="AD397" s="113"/>
      <c r="AE397" s="5"/>
      <c r="AF397" s="5">
        <f>H397</f>
        <v>0.50481900000000002</v>
      </c>
      <c r="AG397" s="5"/>
      <c r="AH397" s="5"/>
      <c r="AI397" s="5"/>
      <c r="AJ397" s="5"/>
      <c r="AK397" s="141"/>
      <c r="AL397" s="94">
        <f>SUM(AF397:AK397)</f>
        <v>0.50481900000000002</v>
      </c>
      <c r="AM397" s="128">
        <v>0.25</v>
      </c>
      <c r="AN397" s="180">
        <v>0</v>
      </c>
      <c r="AO397" s="128"/>
      <c r="AP397" s="184"/>
      <c r="AQ397" s="128"/>
      <c r="AR397" s="184"/>
      <c r="AS397" s="128"/>
      <c r="AT397" s="184"/>
      <c r="AU397" s="128"/>
      <c r="AV397" s="184"/>
      <c r="AW397" s="128"/>
      <c r="AX397" s="184"/>
      <c r="AY397" s="111">
        <f t="shared" si="132"/>
        <v>0.25</v>
      </c>
      <c r="AZ397" s="178">
        <f t="shared" si="132"/>
        <v>0</v>
      </c>
      <c r="BC397" s="216"/>
      <c r="BD397" s="47"/>
      <c r="BF397" s="113">
        <v>0.01</v>
      </c>
      <c r="BG397" s="113"/>
      <c r="BH397" s="113"/>
      <c r="BI397" s="113"/>
      <c r="BJ397" s="113"/>
      <c r="BK397" s="113"/>
      <c r="BL397" s="5">
        <f t="shared" si="131"/>
        <v>0.01</v>
      </c>
    </row>
    <row r="398" spans="1:64" s="2" customFormat="1" ht="15.75" customHeight="1" outlineLevel="1" x14ac:dyDescent="0.2">
      <c r="A398" s="594"/>
      <c r="B398" s="601"/>
      <c r="C398" s="7" t="s">
        <v>1553</v>
      </c>
      <c r="D398" s="8"/>
      <c r="E398" s="23"/>
      <c r="F398" s="8"/>
      <c r="G398" s="8"/>
      <c r="H398" s="5">
        <v>0.1</v>
      </c>
      <c r="I398" s="5">
        <f>I397</f>
        <v>0.01</v>
      </c>
      <c r="J398" s="5">
        <f>J397</f>
        <v>0.01</v>
      </c>
      <c r="K398" s="8"/>
      <c r="L398" s="23"/>
      <c r="M398" s="8"/>
      <c r="N398" s="8"/>
      <c r="O398" s="8"/>
      <c r="P398" s="8"/>
      <c r="Q398" s="23"/>
      <c r="R398" s="113"/>
      <c r="S398" s="113"/>
      <c r="T398" s="113"/>
      <c r="U398" s="113"/>
      <c r="V398" s="113"/>
      <c r="W398" s="113"/>
      <c r="X398" s="5">
        <f>SUM(R398:W398)</f>
        <v>0</v>
      </c>
      <c r="Y398" s="302"/>
      <c r="Z398" s="5"/>
      <c r="AA398" s="94"/>
      <c r="AB398" s="311">
        <f t="shared" si="120"/>
        <v>0.01</v>
      </c>
      <c r="AC398" s="296"/>
      <c r="AD398" s="113"/>
      <c r="AE398" s="5"/>
      <c r="AF398" s="5"/>
      <c r="AG398" s="5"/>
      <c r="AH398" s="5"/>
      <c r="AI398" s="5"/>
      <c r="AJ398" s="5"/>
      <c r="AK398" s="141"/>
      <c r="AL398" s="94"/>
      <c r="AM398" s="128"/>
      <c r="AN398" s="180"/>
      <c r="AO398" s="128"/>
      <c r="AP398" s="184"/>
      <c r="AQ398" s="128"/>
      <c r="AR398" s="184"/>
      <c r="AS398" s="128"/>
      <c r="AT398" s="184"/>
      <c r="AU398" s="128"/>
      <c r="AV398" s="184"/>
      <c r="AW398" s="128"/>
      <c r="AX398" s="184"/>
      <c r="AY398" s="111"/>
      <c r="AZ398" s="178"/>
      <c r="BC398" s="216"/>
      <c r="BD398" s="47"/>
      <c r="BF398" s="113"/>
      <c r="BG398" s="113"/>
      <c r="BH398" s="113"/>
      <c r="BI398" s="113"/>
      <c r="BJ398" s="113"/>
      <c r="BK398" s="113"/>
      <c r="BL398" s="5">
        <f t="shared" si="131"/>
        <v>0</v>
      </c>
    </row>
    <row r="399" spans="1:64" s="2" customFormat="1" ht="15.75" customHeight="1" outlineLevel="1" x14ac:dyDescent="0.2">
      <c r="A399" s="595"/>
      <c r="B399" s="602"/>
      <c r="C399" s="7" t="s">
        <v>1554</v>
      </c>
      <c r="D399" s="8"/>
      <c r="E399" s="23"/>
      <c r="F399" s="8"/>
      <c r="G399" s="8"/>
      <c r="H399" s="5">
        <v>0.4</v>
      </c>
      <c r="I399" s="5">
        <v>0</v>
      </c>
      <c r="J399" s="5">
        <v>0</v>
      </c>
      <c r="K399" s="23"/>
      <c r="L399" s="8"/>
      <c r="M399" s="8"/>
      <c r="N399" s="8"/>
      <c r="O399" s="8"/>
      <c r="P399" s="8"/>
      <c r="Q399" s="23"/>
      <c r="R399" s="113"/>
      <c r="S399" s="113"/>
      <c r="T399" s="113"/>
      <c r="U399" s="113"/>
      <c r="V399" s="113"/>
      <c r="W399" s="113"/>
      <c r="X399" s="5">
        <f>SUM(R399:W399)</f>
        <v>0</v>
      </c>
      <c r="Y399" s="302"/>
      <c r="Z399" s="5"/>
      <c r="AA399" s="94"/>
      <c r="AB399" s="311">
        <f t="shared" si="120"/>
        <v>0</v>
      </c>
      <c r="AC399" s="296"/>
      <c r="AD399" s="113"/>
      <c r="AE399" s="5"/>
      <c r="AF399" s="5"/>
      <c r="AG399" s="5"/>
      <c r="AH399" s="5"/>
      <c r="AI399" s="5"/>
      <c r="AJ399" s="5"/>
      <c r="AK399" s="141"/>
      <c r="AL399" s="94"/>
      <c r="AM399" s="128"/>
      <c r="AN399" s="180"/>
      <c r="AO399" s="128"/>
      <c r="AP399" s="184"/>
      <c r="AQ399" s="128"/>
      <c r="AR399" s="184"/>
      <c r="AS399" s="128"/>
      <c r="AT399" s="184"/>
      <c r="AU399" s="128"/>
      <c r="AV399" s="184"/>
      <c r="AW399" s="128"/>
      <c r="AX399" s="184"/>
      <c r="AY399" s="111"/>
      <c r="AZ399" s="178"/>
      <c r="BC399" s="216"/>
      <c r="BD399" s="47"/>
      <c r="BF399" s="113"/>
      <c r="BG399" s="113"/>
      <c r="BH399" s="113"/>
      <c r="BI399" s="113"/>
      <c r="BJ399" s="113"/>
      <c r="BK399" s="113"/>
      <c r="BL399" s="5">
        <f t="shared" si="131"/>
        <v>0</v>
      </c>
    </row>
    <row r="400" spans="1:64" s="2" customFormat="1" ht="53.25" customHeight="1" outlineLevel="1" x14ac:dyDescent="0.2">
      <c r="A400" s="593" t="s">
        <v>757</v>
      </c>
      <c r="B400" s="600" t="s">
        <v>1641</v>
      </c>
      <c r="C400" s="7" t="s">
        <v>191</v>
      </c>
      <c r="D400" s="8" t="s">
        <v>397</v>
      </c>
      <c r="E400" s="23" t="s">
        <v>358</v>
      </c>
      <c r="F400" s="8">
        <v>2012</v>
      </c>
      <c r="G400" s="8">
        <v>2015</v>
      </c>
      <c r="H400" s="5">
        <v>0.85476409000000009</v>
      </c>
      <c r="I400" s="5">
        <v>0.56721299999999997</v>
      </c>
      <c r="J400" s="5">
        <f>R400</f>
        <v>0.20394200000000001</v>
      </c>
      <c r="K400" s="8"/>
      <c r="L400" s="23" t="s">
        <v>358</v>
      </c>
      <c r="M400" s="8"/>
      <c r="N400" s="8"/>
      <c r="O400" s="8"/>
      <c r="P400" s="8"/>
      <c r="Q400" s="23" t="s">
        <v>358</v>
      </c>
      <c r="R400" s="113">
        <v>0.20394200000000001</v>
      </c>
      <c r="S400" s="113"/>
      <c r="T400" s="113"/>
      <c r="U400" s="113"/>
      <c r="V400" s="113"/>
      <c r="W400" s="113"/>
      <c r="X400" s="5">
        <f t="shared" si="98"/>
        <v>0.20394200000000001</v>
      </c>
      <c r="Y400" s="302">
        <f>H400-H401-H402</f>
        <v>0</v>
      </c>
      <c r="Z400" s="5">
        <f>I400-I401-I402</f>
        <v>0</v>
      </c>
      <c r="AA400" s="94">
        <f>J400-J401-J402</f>
        <v>0</v>
      </c>
      <c r="AB400" s="311">
        <f t="shared" si="120"/>
        <v>0.36327099999999996</v>
      </c>
      <c r="AC400" s="296"/>
      <c r="AD400" s="113"/>
      <c r="AE400" s="5"/>
      <c r="AF400" s="5"/>
      <c r="AG400" s="5">
        <f>H400</f>
        <v>0.85476409000000009</v>
      </c>
      <c r="AH400" s="5"/>
      <c r="AI400" s="5"/>
      <c r="AJ400" s="5"/>
      <c r="AK400" s="141"/>
      <c r="AL400" s="94">
        <f>SUM(AF400:AK400)</f>
        <v>0.85476409000000009</v>
      </c>
      <c r="AM400" s="128"/>
      <c r="AN400" s="180"/>
      <c r="AO400" s="128">
        <v>0.2</v>
      </c>
      <c r="AP400" s="184">
        <v>0.1</v>
      </c>
      <c r="AQ400" s="128"/>
      <c r="AR400" s="184"/>
      <c r="AS400" s="128"/>
      <c r="AT400" s="184"/>
      <c r="AU400" s="128"/>
      <c r="AV400" s="184"/>
      <c r="AW400" s="128"/>
      <c r="AX400" s="184"/>
      <c r="AY400" s="111">
        <f>AM400+AO400+AQ400+AS400+AU400+AW400</f>
        <v>0.2</v>
      </c>
      <c r="AZ400" s="178">
        <f>AN400+AP400+AR400+AT400+AV400+AX400</f>
        <v>0.1</v>
      </c>
      <c r="BC400" s="216"/>
      <c r="BD400" s="47"/>
      <c r="BF400" s="113">
        <v>0.20394200000000001</v>
      </c>
      <c r="BG400" s="113"/>
      <c r="BH400" s="113"/>
      <c r="BI400" s="113"/>
      <c r="BJ400" s="113"/>
      <c r="BK400" s="113"/>
      <c r="BL400" s="5">
        <f t="shared" ref="BL400:BL406" si="133">SUM(BF400:BK400)</f>
        <v>0.20394200000000001</v>
      </c>
    </row>
    <row r="401" spans="1:64" s="2" customFormat="1" ht="15.75" customHeight="1" outlineLevel="1" x14ac:dyDescent="0.2">
      <c r="A401" s="594"/>
      <c r="B401" s="601"/>
      <c r="C401" s="7" t="s">
        <v>1553</v>
      </c>
      <c r="D401" s="8"/>
      <c r="E401" s="23"/>
      <c r="F401" s="8"/>
      <c r="G401" s="8"/>
      <c r="H401" s="5"/>
      <c r="I401" s="5"/>
      <c r="J401" s="5"/>
      <c r="K401" s="8"/>
      <c r="L401" s="23"/>
      <c r="M401" s="8"/>
      <c r="N401" s="8"/>
      <c r="O401" s="8"/>
      <c r="P401" s="8"/>
      <c r="Q401" s="23"/>
      <c r="R401" s="113"/>
      <c r="S401" s="113"/>
      <c r="T401" s="113"/>
      <c r="U401" s="113"/>
      <c r="V401" s="113"/>
      <c r="W401" s="113"/>
      <c r="X401" s="5">
        <f t="shared" si="98"/>
        <v>0</v>
      </c>
      <c r="Y401" s="302"/>
      <c r="Z401" s="5"/>
      <c r="AA401" s="94"/>
      <c r="AB401" s="311">
        <f t="shared" si="120"/>
        <v>0</v>
      </c>
      <c r="AC401" s="296"/>
      <c r="AD401" s="113"/>
      <c r="AE401" s="5"/>
      <c r="AF401" s="5"/>
      <c r="AG401" s="5"/>
      <c r="AH401" s="5"/>
      <c r="AI401" s="5"/>
      <c r="AJ401" s="5"/>
      <c r="AK401" s="141"/>
      <c r="AL401" s="94"/>
      <c r="AM401" s="128"/>
      <c r="AN401" s="180"/>
      <c r="AO401" s="128"/>
      <c r="AP401" s="184"/>
      <c r="AQ401" s="128"/>
      <c r="AR401" s="184"/>
      <c r="AS401" s="128"/>
      <c r="AT401" s="184"/>
      <c r="AU401" s="128"/>
      <c r="AV401" s="184"/>
      <c r="AW401" s="128"/>
      <c r="AX401" s="184"/>
      <c r="AY401" s="111"/>
      <c r="AZ401" s="178"/>
      <c r="BC401" s="216"/>
      <c r="BD401" s="47"/>
      <c r="BF401" s="113"/>
      <c r="BG401" s="113"/>
      <c r="BH401" s="113"/>
      <c r="BI401" s="113"/>
      <c r="BJ401" s="113"/>
      <c r="BK401" s="113"/>
      <c r="BL401" s="5">
        <f t="shared" si="133"/>
        <v>0</v>
      </c>
    </row>
    <row r="402" spans="1:64" s="2" customFormat="1" ht="15.75" customHeight="1" outlineLevel="1" x14ac:dyDescent="0.2">
      <c r="A402" s="595"/>
      <c r="B402" s="602"/>
      <c r="C402" s="7" t="s">
        <v>1554</v>
      </c>
      <c r="D402" s="8"/>
      <c r="E402" s="23"/>
      <c r="F402" s="8"/>
      <c r="G402" s="8"/>
      <c r="H402" s="5">
        <f>H400</f>
        <v>0.85476409000000009</v>
      </c>
      <c r="I402" s="5">
        <f>I400</f>
        <v>0.56721299999999997</v>
      </c>
      <c r="J402" s="5">
        <f>J400</f>
        <v>0.20394200000000001</v>
      </c>
      <c r="K402" s="23"/>
      <c r="L402" s="8"/>
      <c r="M402" s="8"/>
      <c r="N402" s="8"/>
      <c r="O402" s="8"/>
      <c r="P402" s="8"/>
      <c r="Q402" s="23"/>
      <c r="R402" s="113"/>
      <c r="S402" s="113"/>
      <c r="T402" s="113"/>
      <c r="U402" s="113"/>
      <c r="V402" s="113"/>
      <c r="W402" s="113"/>
      <c r="X402" s="5">
        <f t="shared" si="98"/>
        <v>0</v>
      </c>
      <c r="Y402" s="302"/>
      <c r="Z402" s="5"/>
      <c r="AA402" s="94"/>
      <c r="AB402" s="311">
        <f t="shared" si="120"/>
        <v>0.56721299999999997</v>
      </c>
      <c r="AC402" s="296"/>
      <c r="AD402" s="113"/>
      <c r="AE402" s="5"/>
      <c r="AF402" s="5"/>
      <c r="AG402" s="5"/>
      <c r="AH402" s="5"/>
      <c r="AI402" s="5"/>
      <c r="AJ402" s="5"/>
      <c r="AK402" s="141"/>
      <c r="AL402" s="94"/>
      <c r="AM402" s="128"/>
      <c r="AN402" s="180"/>
      <c r="AO402" s="128"/>
      <c r="AP402" s="184"/>
      <c r="AQ402" s="128"/>
      <c r="AR402" s="184"/>
      <c r="AS402" s="128"/>
      <c r="AT402" s="184"/>
      <c r="AU402" s="128"/>
      <c r="AV402" s="184"/>
      <c r="AW402" s="128"/>
      <c r="AX402" s="184"/>
      <c r="AY402" s="111"/>
      <c r="AZ402" s="178"/>
      <c r="BC402" s="216"/>
      <c r="BD402" s="47"/>
      <c r="BF402" s="113"/>
      <c r="BG402" s="113"/>
      <c r="BH402" s="113"/>
      <c r="BI402" s="113"/>
      <c r="BJ402" s="113"/>
      <c r="BK402" s="113"/>
      <c r="BL402" s="5">
        <f t="shared" si="133"/>
        <v>0</v>
      </c>
    </row>
    <row r="403" spans="1:64" s="2" customFormat="1" ht="51" customHeight="1" outlineLevel="1" x14ac:dyDescent="0.2">
      <c r="A403" s="593" t="s">
        <v>758</v>
      </c>
      <c r="B403" s="600" t="s">
        <v>1642</v>
      </c>
      <c r="C403" s="7" t="s">
        <v>192</v>
      </c>
      <c r="D403" s="8" t="s">
        <v>397</v>
      </c>
      <c r="E403" s="23" t="s">
        <v>347</v>
      </c>
      <c r="F403" s="8">
        <v>2012</v>
      </c>
      <c r="G403" s="8">
        <v>2015</v>
      </c>
      <c r="H403" s="5">
        <v>4.7539999999999999E-2</v>
      </c>
      <c r="I403" s="5">
        <v>4.7539999999999999E-2</v>
      </c>
      <c r="J403" s="5">
        <f>R403</f>
        <v>0.01</v>
      </c>
      <c r="K403" s="8"/>
      <c r="L403" s="23" t="s">
        <v>347</v>
      </c>
      <c r="M403" s="8"/>
      <c r="N403" s="8"/>
      <c r="O403" s="8"/>
      <c r="P403" s="8"/>
      <c r="Q403" s="23" t="s">
        <v>347</v>
      </c>
      <c r="R403" s="113">
        <v>0.01</v>
      </c>
      <c r="S403" s="113"/>
      <c r="T403" s="113"/>
      <c r="U403" s="113"/>
      <c r="V403" s="113"/>
      <c r="W403" s="113"/>
      <c r="X403" s="5">
        <f t="shared" si="98"/>
        <v>0.01</v>
      </c>
      <c r="Y403" s="302">
        <f>H403-H404-H405</f>
        <v>0</v>
      </c>
      <c r="Z403" s="5">
        <f>I403-I404-I405</f>
        <v>0</v>
      </c>
      <c r="AA403" s="94">
        <f>J403-J404-J405</f>
        <v>0</v>
      </c>
      <c r="AB403" s="311">
        <f t="shared" si="120"/>
        <v>3.7539999999999997E-2</v>
      </c>
      <c r="AC403" s="296"/>
      <c r="AD403" s="113"/>
      <c r="AE403" s="5"/>
      <c r="AF403" s="5"/>
      <c r="AG403" s="5">
        <f>H403</f>
        <v>4.7539999999999999E-2</v>
      </c>
      <c r="AH403" s="5"/>
      <c r="AI403" s="5"/>
      <c r="AJ403" s="5"/>
      <c r="AK403" s="141"/>
      <c r="AL403" s="94">
        <f>SUM(AF403:AK403)</f>
        <v>4.7539999999999999E-2</v>
      </c>
      <c r="AM403" s="128"/>
      <c r="AN403" s="180"/>
      <c r="AO403" s="128">
        <v>0.05</v>
      </c>
      <c r="AP403" s="184">
        <v>0</v>
      </c>
      <c r="AQ403" s="128"/>
      <c r="AR403" s="184"/>
      <c r="AS403" s="128"/>
      <c r="AT403" s="184"/>
      <c r="AU403" s="128"/>
      <c r="AV403" s="184"/>
      <c r="AW403" s="128"/>
      <c r="AX403" s="184"/>
      <c r="AY403" s="111">
        <f t="shared" ref="AY403:AZ406" si="134">AM403+AO403+AQ403+AS403+AU403+AW403</f>
        <v>0.05</v>
      </c>
      <c r="AZ403" s="178">
        <f t="shared" si="134"/>
        <v>0</v>
      </c>
      <c r="BC403" s="216"/>
      <c r="BD403" s="47"/>
      <c r="BF403" s="113">
        <v>0.01</v>
      </c>
      <c r="BG403" s="113"/>
      <c r="BH403" s="113"/>
      <c r="BI403" s="113"/>
      <c r="BJ403" s="113"/>
      <c r="BK403" s="113"/>
      <c r="BL403" s="5">
        <f t="shared" si="133"/>
        <v>0.01</v>
      </c>
    </row>
    <row r="404" spans="1:64" s="2" customFormat="1" ht="15.75" customHeight="1" outlineLevel="1" x14ac:dyDescent="0.2">
      <c r="A404" s="594"/>
      <c r="B404" s="601"/>
      <c r="C404" s="7" t="s">
        <v>1553</v>
      </c>
      <c r="D404" s="8"/>
      <c r="E404" s="23"/>
      <c r="F404" s="8"/>
      <c r="G404" s="8"/>
      <c r="H404" s="5"/>
      <c r="I404" s="5"/>
      <c r="J404" s="5"/>
      <c r="K404" s="8"/>
      <c r="L404" s="23"/>
      <c r="M404" s="8"/>
      <c r="N404" s="8"/>
      <c r="O404" s="8"/>
      <c r="P404" s="8"/>
      <c r="Q404" s="23"/>
      <c r="R404" s="113"/>
      <c r="S404" s="113"/>
      <c r="T404" s="113"/>
      <c r="U404" s="113"/>
      <c r="V404" s="113"/>
      <c r="W404" s="113"/>
      <c r="X404" s="5">
        <f t="shared" si="98"/>
        <v>0</v>
      </c>
      <c r="Y404" s="302"/>
      <c r="Z404" s="5"/>
      <c r="AA404" s="94"/>
      <c r="AB404" s="311">
        <f t="shared" si="120"/>
        <v>0</v>
      </c>
      <c r="AC404" s="296"/>
      <c r="AD404" s="113"/>
      <c r="AE404" s="5"/>
      <c r="AF404" s="5"/>
      <c r="AG404" s="5"/>
      <c r="AH404" s="5"/>
      <c r="AI404" s="5"/>
      <c r="AJ404" s="5"/>
      <c r="AK404" s="141"/>
      <c r="AL404" s="94"/>
      <c r="AM404" s="128"/>
      <c r="AN404" s="180"/>
      <c r="AO404" s="128"/>
      <c r="AP404" s="184"/>
      <c r="AQ404" s="128"/>
      <c r="AR404" s="184"/>
      <c r="AS404" s="128"/>
      <c r="AT404" s="184"/>
      <c r="AU404" s="128"/>
      <c r="AV404" s="184"/>
      <c r="AW404" s="128"/>
      <c r="AX404" s="184"/>
      <c r="AY404" s="111"/>
      <c r="AZ404" s="178"/>
      <c r="BC404" s="216"/>
      <c r="BD404" s="47"/>
      <c r="BF404" s="113"/>
      <c r="BG404" s="113"/>
      <c r="BH404" s="113"/>
      <c r="BI404" s="113"/>
      <c r="BJ404" s="113"/>
      <c r="BK404" s="113"/>
      <c r="BL404" s="5">
        <f t="shared" si="133"/>
        <v>0</v>
      </c>
    </row>
    <row r="405" spans="1:64" s="2" customFormat="1" ht="15.75" customHeight="1" outlineLevel="1" x14ac:dyDescent="0.2">
      <c r="A405" s="595"/>
      <c r="B405" s="602"/>
      <c r="C405" s="7" t="s">
        <v>1554</v>
      </c>
      <c r="D405" s="8"/>
      <c r="E405" s="23"/>
      <c r="F405" s="8"/>
      <c r="G405" s="8"/>
      <c r="H405" s="5">
        <f>H403</f>
        <v>4.7539999999999999E-2</v>
      </c>
      <c r="I405" s="5">
        <f>I403</f>
        <v>4.7539999999999999E-2</v>
      </c>
      <c r="J405" s="5">
        <f>J403</f>
        <v>0.01</v>
      </c>
      <c r="K405" s="23"/>
      <c r="L405" s="8"/>
      <c r="M405" s="8"/>
      <c r="N405" s="8"/>
      <c r="O405" s="8"/>
      <c r="P405" s="8"/>
      <c r="Q405" s="23"/>
      <c r="R405" s="113"/>
      <c r="S405" s="113"/>
      <c r="T405" s="113"/>
      <c r="U405" s="113"/>
      <c r="V405" s="113"/>
      <c r="W405" s="113"/>
      <c r="X405" s="5">
        <f t="shared" si="98"/>
        <v>0</v>
      </c>
      <c r="Y405" s="302"/>
      <c r="Z405" s="5"/>
      <c r="AA405" s="94"/>
      <c r="AB405" s="311">
        <f t="shared" ref="AB405:AB468" si="135">I405-X405</f>
        <v>4.7539999999999999E-2</v>
      </c>
      <c r="AC405" s="296"/>
      <c r="AD405" s="113"/>
      <c r="AE405" s="5"/>
      <c r="AF405" s="5"/>
      <c r="AG405" s="5"/>
      <c r="AH405" s="5"/>
      <c r="AI405" s="5"/>
      <c r="AJ405" s="5"/>
      <c r="AK405" s="141"/>
      <c r="AL405" s="94"/>
      <c r="AM405" s="128"/>
      <c r="AN405" s="180"/>
      <c r="AO405" s="128"/>
      <c r="AP405" s="184"/>
      <c r="AQ405" s="128"/>
      <c r="AR405" s="184"/>
      <c r="AS405" s="128"/>
      <c r="AT405" s="184"/>
      <c r="AU405" s="128"/>
      <c r="AV405" s="184"/>
      <c r="AW405" s="128"/>
      <c r="AX405" s="184"/>
      <c r="AY405" s="111"/>
      <c r="AZ405" s="178"/>
      <c r="BC405" s="216"/>
      <c r="BD405" s="47"/>
      <c r="BF405" s="113"/>
      <c r="BG405" s="113"/>
      <c r="BH405" s="113"/>
      <c r="BI405" s="113"/>
      <c r="BJ405" s="113"/>
      <c r="BK405" s="113"/>
      <c r="BL405" s="5">
        <f t="shared" si="133"/>
        <v>0</v>
      </c>
    </row>
    <row r="406" spans="1:64" s="2" customFormat="1" ht="63.75" customHeight="1" outlineLevel="1" x14ac:dyDescent="0.2">
      <c r="A406" s="593" t="s">
        <v>759</v>
      </c>
      <c r="B406" s="600" t="s">
        <v>1643</v>
      </c>
      <c r="C406" s="7" t="s">
        <v>193</v>
      </c>
      <c r="D406" s="8" t="s">
        <v>397</v>
      </c>
      <c r="E406" s="23" t="s">
        <v>347</v>
      </c>
      <c r="F406" s="8">
        <v>2012</v>
      </c>
      <c r="G406" s="8">
        <v>2015</v>
      </c>
      <c r="H406" s="5">
        <v>4.7539999999999999E-2</v>
      </c>
      <c r="I406" s="5">
        <v>4.6120000000000001E-2</v>
      </c>
      <c r="J406" s="5">
        <f>R406</f>
        <v>0.01</v>
      </c>
      <c r="K406" s="8"/>
      <c r="L406" s="23" t="s">
        <v>347</v>
      </c>
      <c r="M406" s="8"/>
      <c r="N406" s="8"/>
      <c r="O406" s="8"/>
      <c r="P406" s="8"/>
      <c r="Q406" s="23" t="s">
        <v>347</v>
      </c>
      <c r="R406" s="113">
        <v>0.01</v>
      </c>
      <c r="S406" s="113"/>
      <c r="T406" s="113"/>
      <c r="U406" s="113"/>
      <c r="V406" s="113"/>
      <c r="W406" s="113"/>
      <c r="X406" s="5">
        <f t="shared" si="98"/>
        <v>0.01</v>
      </c>
      <c r="Y406" s="302">
        <f>H406-H407-H408</f>
        <v>0</v>
      </c>
      <c r="Z406" s="5">
        <f>I406-I407-I408</f>
        <v>0</v>
      </c>
      <c r="AA406" s="94">
        <f>J406-J407-J408</f>
        <v>0</v>
      </c>
      <c r="AB406" s="311">
        <f t="shared" si="135"/>
        <v>3.6119999999999999E-2</v>
      </c>
      <c r="AC406" s="296"/>
      <c r="AD406" s="113"/>
      <c r="AE406" s="5"/>
      <c r="AF406" s="5"/>
      <c r="AG406" s="5">
        <f>H406</f>
        <v>4.7539999999999999E-2</v>
      </c>
      <c r="AH406" s="5"/>
      <c r="AI406" s="5"/>
      <c r="AJ406" s="5"/>
      <c r="AK406" s="141"/>
      <c r="AL406" s="94">
        <f>SUM(AF406:AK406)</f>
        <v>4.7539999999999999E-2</v>
      </c>
      <c r="AM406" s="128"/>
      <c r="AN406" s="180"/>
      <c r="AO406" s="128">
        <v>0.05</v>
      </c>
      <c r="AP406" s="184">
        <v>0</v>
      </c>
      <c r="AQ406" s="128"/>
      <c r="AR406" s="184"/>
      <c r="AS406" s="128"/>
      <c r="AT406" s="184"/>
      <c r="AU406" s="128"/>
      <c r="AV406" s="184"/>
      <c r="AW406" s="128"/>
      <c r="AX406" s="184"/>
      <c r="AY406" s="111">
        <f t="shared" si="134"/>
        <v>0.05</v>
      </c>
      <c r="AZ406" s="178">
        <f t="shared" si="134"/>
        <v>0</v>
      </c>
      <c r="BC406" s="216"/>
      <c r="BD406" s="47"/>
      <c r="BF406" s="113">
        <v>0.01</v>
      </c>
      <c r="BG406" s="113"/>
      <c r="BH406" s="113"/>
      <c r="BI406" s="113"/>
      <c r="BJ406" s="113"/>
      <c r="BK406" s="113"/>
      <c r="BL406" s="5">
        <f t="shared" si="133"/>
        <v>0.01</v>
      </c>
    </row>
    <row r="407" spans="1:64" s="2" customFormat="1" ht="15.75" customHeight="1" outlineLevel="1" x14ac:dyDescent="0.2">
      <c r="A407" s="594"/>
      <c r="B407" s="601"/>
      <c r="C407" s="7" t="s">
        <v>1553</v>
      </c>
      <c r="D407" s="8"/>
      <c r="E407" s="23"/>
      <c r="F407" s="8"/>
      <c r="G407" s="8"/>
      <c r="H407" s="5"/>
      <c r="I407" s="5"/>
      <c r="J407" s="5"/>
      <c r="K407" s="8"/>
      <c r="L407" s="23"/>
      <c r="M407" s="8"/>
      <c r="N407" s="8"/>
      <c r="O407" s="8"/>
      <c r="P407" s="8"/>
      <c r="Q407" s="23"/>
      <c r="R407" s="113"/>
      <c r="S407" s="113"/>
      <c r="T407" s="113"/>
      <c r="U407" s="113"/>
      <c r="V407" s="113"/>
      <c r="W407" s="113"/>
      <c r="X407" s="5">
        <f>SUM(R407:W407)</f>
        <v>0</v>
      </c>
      <c r="Y407" s="302"/>
      <c r="Z407" s="5"/>
      <c r="AA407" s="94"/>
      <c r="AB407" s="311">
        <f t="shared" si="135"/>
        <v>0</v>
      </c>
      <c r="AC407" s="296"/>
      <c r="AD407" s="113"/>
      <c r="AE407" s="5"/>
      <c r="AF407" s="5"/>
      <c r="AG407" s="5"/>
      <c r="AH407" s="5"/>
      <c r="AI407" s="5"/>
      <c r="AJ407" s="5"/>
      <c r="AK407" s="141"/>
      <c r="AL407" s="94"/>
      <c r="AM407" s="128"/>
      <c r="AN407" s="180"/>
      <c r="AO407" s="128"/>
      <c r="AP407" s="184"/>
      <c r="AQ407" s="128"/>
      <c r="AR407" s="184"/>
      <c r="AS407" s="128"/>
      <c r="AT407" s="184"/>
      <c r="AU407" s="128"/>
      <c r="AV407" s="184"/>
      <c r="AW407" s="128"/>
      <c r="AX407" s="184"/>
      <c r="AY407" s="111"/>
      <c r="AZ407" s="178"/>
      <c r="BC407" s="216"/>
      <c r="BD407" s="47"/>
      <c r="BF407" s="113"/>
      <c r="BG407" s="113"/>
      <c r="BH407" s="113"/>
      <c r="BI407" s="113"/>
      <c r="BJ407" s="113"/>
      <c r="BK407" s="113"/>
      <c r="BL407" s="5">
        <f>SUM(BF407:BK407)</f>
        <v>0</v>
      </c>
    </row>
    <row r="408" spans="1:64" s="2" customFormat="1" ht="15.75" customHeight="1" outlineLevel="1" x14ac:dyDescent="0.2">
      <c r="A408" s="595"/>
      <c r="B408" s="602"/>
      <c r="C408" s="7" t="s">
        <v>1554</v>
      </c>
      <c r="D408" s="8"/>
      <c r="E408" s="23"/>
      <c r="F408" s="8"/>
      <c r="G408" s="8"/>
      <c r="H408" s="5">
        <v>4.7539999999999999E-2</v>
      </c>
      <c r="I408" s="5">
        <v>4.6120000000000001E-2</v>
      </c>
      <c r="J408" s="5">
        <v>0.01</v>
      </c>
      <c r="K408" s="23"/>
      <c r="L408" s="8"/>
      <c r="M408" s="8"/>
      <c r="N408" s="8"/>
      <c r="O408" s="8"/>
      <c r="P408" s="8"/>
      <c r="Q408" s="23"/>
      <c r="R408" s="113"/>
      <c r="S408" s="113"/>
      <c r="T408" s="113"/>
      <c r="U408" s="113"/>
      <c r="V408" s="113"/>
      <c r="W408" s="113"/>
      <c r="X408" s="5">
        <f>SUM(R408:W408)</f>
        <v>0</v>
      </c>
      <c r="Y408" s="302"/>
      <c r="Z408" s="5"/>
      <c r="AA408" s="94"/>
      <c r="AB408" s="311">
        <f t="shared" si="135"/>
        <v>4.6120000000000001E-2</v>
      </c>
      <c r="AC408" s="296"/>
      <c r="AD408" s="113"/>
      <c r="AE408" s="5"/>
      <c r="AF408" s="5"/>
      <c r="AG408" s="5"/>
      <c r="AH408" s="5"/>
      <c r="AI408" s="5"/>
      <c r="AJ408" s="5"/>
      <c r="AK408" s="141"/>
      <c r="AL408" s="94"/>
      <c r="AM408" s="128"/>
      <c r="AN408" s="180"/>
      <c r="AO408" s="128"/>
      <c r="AP408" s="184"/>
      <c r="AQ408" s="128"/>
      <c r="AR408" s="184"/>
      <c r="AS408" s="128"/>
      <c r="AT408" s="184"/>
      <c r="AU408" s="128"/>
      <c r="AV408" s="184"/>
      <c r="AW408" s="128"/>
      <c r="AX408" s="184"/>
      <c r="AY408" s="111"/>
      <c r="AZ408" s="178"/>
      <c r="BC408" s="216"/>
      <c r="BD408" s="47"/>
      <c r="BF408" s="113"/>
      <c r="BG408" s="113"/>
      <c r="BH408" s="113"/>
      <c r="BI408" s="113"/>
      <c r="BJ408" s="113"/>
      <c r="BK408" s="113"/>
      <c r="BL408" s="5">
        <f>SUM(BF408:BK408)</f>
        <v>0</v>
      </c>
    </row>
    <row r="409" spans="1:64" s="2" customFormat="1" ht="54.75" customHeight="1" outlineLevel="1" x14ac:dyDescent="0.2">
      <c r="A409" s="593" t="s">
        <v>760</v>
      </c>
      <c r="B409" s="600" t="s">
        <v>1644</v>
      </c>
      <c r="C409" s="7" t="s">
        <v>2148</v>
      </c>
      <c r="D409" s="8" t="s">
        <v>397</v>
      </c>
      <c r="E409" s="23" t="s">
        <v>340</v>
      </c>
      <c r="F409" s="8">
        <v>2012</v>
      </c>
      <c r="G409" s="8">
        <v>2014</v>
      </c>
      <c r="H409" s="5">
        <v>0.85238329000000002</v>
      </c>
      <c r="I409" s="5">
        <v>4.7618000000000001E-2</v>
      </c>
      <c r="J409" s="5">
        <f>R409</f>
        <v>4.7618000000000001E-2</v>
      </c>
      <c r="K409" s="23" t="s">
        <v>340</v>
      </c>
      <c r="L409" s="8"/>
      <c r="M409" s="8"/>
      <c r="N409" s="8"/>
      <c r="O409" s="8"/>
      <c r="P409" s="8"/>
      <c r="Q409" s="23" t="s">
        <v>340</v>
      </c>
      <c r="R409" s="113">
        <v>4.7618000000000001E-2</v>
      </c>
      <c r="S409" s="113"/>
      <c r="T409" s="113"/>
      <c r="U409" s="113"/>
      <c r="V409" s="113"/>
      <c r="W409" s="113"/>
      <c r="X409" s="5">
        <f t="shared" si="98"/>
        <v>4.7618000000000001E-2</v>
      </c>
      <c r="Y409" s="302">
        <f>H409-H410-H411</f>
        <v>0</v>
      </c>
      <c r="Z409" s="5">
        <f>I409-I410-I411</f>
        <v>0</v>
      </c>
      <c r="AA409" s="94">
        <f>J409-J410-J411</f>
        <v>0</v>
      </c>
      <c r="AB409" s="311">
        <f t="shared" si="135"/>
        <v>0</v>
      </c>
      <c r="AC409" s="296"/>
      <c r="AD409" s="113"/>
      <c r="AE409" s="5"/>
      <c r="AF409" s="5">
        <f>H409</f>
        <v>0.85238329000000002</v>
      </c>
      <c r="AG409" s="5"/>
      <c r="AH409" s="5"/>
      <c r="AI409" s="5"/>
      <c r="AJ409" s="5"/>
      <c r="AK409" s="141"/>
      <c r="AL409" s="94">
        <f>SUM(AF409:AK409)</f>
        <v>0.85238329000000002</v>
      </c>
      <c r="AM409" s="128">
        <v>0.2</v>
      </c>
      <c r="AN409" s="180">
        <v>0</v>
      </c>
      <c r="AO409" s="128"/>
      <c r="AP409" s="184"/>
      <c r="AQ409" s="128"/>
      <c r="AR409" s="184"/>
      <c r="AS409" s="128"/>
      <c r="AT409" s="184"/>
      <c r="AU409" s="128"/>
      <c r="AV409" s="184"/>
      <c r="AW409" s="128"/>
      <c r="AX409" s="184"/>
      <c r="AY409" s="111">
        <f>AM409+AO409+AQ409+AS409+AU409+AW409</f>
        <v>0.2</v>
      </c>
      <c r="AZ409" s="178">
        <f>AN409+AP409+AR409+AT409+AV409+AX409</f>
        <v>0</v>
      </c>
      <c r="BC409" s="216"/>
      <c r="BD409" s="47"/>
      <c r="BF409" s="113">
        <v>4.7618000000000001E-2</v>
      </c>
      <c r="BG409" s="113"/>
      <c r="BH409" s="113"/>
      <c r="BI409" s="113"/>
      <c r="BJ409" s="113"/>
      <c r="BK409" s="113"/>
      <c r="BL409" s="5">
        <f t="shared" ref="BL409:BL421" si="136">SUM(BF409:BK409)</f>
        <v>4.7618000000000001E-2</v>
      </c>
    </row>
    <row r="410" spans="1:64" s="2" customFormat="1" ht="15.75" customHeight="1" outlineLevel="1" x14ac:dyDescent="0.2">
      <c r="A410" s="594"/>
      <c r="B410" s="601"/>
      <c r="C410" s="7" t="s">
        <v>1553</v>
      </c>
      <c r="D410" s="8"/>
      <c r="E410" s="23"/>
      <c r="F410" s="8"/>
      <c r="G410" s="8"/>
      <c r="H410" s="5"/>
      <c r="I410" s="5"/>
      <c r="J410" s="5"/>
      <c r="K410" s="8"/>
      <c r="L410" s="23"/>
      <c r="M410" s="8"/>
      <c r="N410" s="8"/>
      <c r="O410" s="8"/>
      <c r="P410" s="8"/>
      <c r="Q410" s="23"/>
      <c r="R410" s="113"/>
      <c r="S410" s="113"/>
      <c r="T410" s="113"/>
      <c r="U410" s="113"/>
      <c r="V410" s="113"/>
      <c r="W410" s="113"/>
      <c r="X410" s="5">
        <f t="shared" si="98"/>
        <v>0</v>
      </c>
      <c r="Y410" s="302"/>
      <c r="Z410" s="5"/>
      <c r="AA410" s="94"/>
      <c r="AB410" s="311">
        <f t="shared" si="135"/>
        <v>0</v>
      </c>
      <c r="AC410" s="296"/>
      <c r="AD410" s="113"/>
      <c r="AE410" s="5"/>
      <c r="AF410" s="5"/>
      <c r="AG410" s="5"/>
      <c r="AH410" s="5"/>
      <c r="AI410" s="5"/>
      <c r="AJ410" s="5"/>
      <c r="AK410" s="141"/>
      <c r="AL410" s="94"/>
      <c r="AM410" s="128"/>
      <c r="AN410" s="180"/>
      <c r="AO410" s="128"/>
      <c r="AP410" s="184"/>
      <c r="AQ410" s="128"/>
      <c r="AR410" s="184"/>
      <c r="AS410" s="128"/>
      <c r="AT410" s="184"/>
      <c r="AU410" s="128"/>
      <c r="AV410" s="184"/>
      <c r="AW410" s="128"/>
      <c r="AX410" s="184"/>
      <c r="AY410" s="111"/>
      <c r="AZ410" s="178"/>
      <c r="BC410" s="216"/>
      <c r="BD410" s="47"/>
      <c r="BF410" s="113"/>
      <c r="BG410" s="113"/>
      <c r="BH410" s="113"/>
      <c r="BI410" s="113"/>
      <c r="BJ410" s="113"/>
      <c r="BK410" s="113"/>
      <c r="BL410" s="5">
        <f t="shared" si="136"/>
        <v>0</v>
      </c>
    </row>
    <row r="411" spans="1:64" s="2" customFormat="1" ht="15.75" customHeight="1" outlineLevel="1" x14ac:dyDescent="0.2">
      <c r="A411" s="595"/>
      <c r="B411" s="602"/>
      <c r="C411" s="7" t="s">
        <v>1554</v>
      </c>
      <c r="D411" s="8"/>
      <c r="E411" s="23"/>
      <c r="F411" s="8"/>
      <c r="G411" s="8"/>
      <c r="H411" s="5">
        <f>H409</f>
        <v>0.85238329000000002</v>
      </c>
      <c r="I411" s="5">
        <f>I409</f>
        <v>4.7618000000000001E-2</v>
      </c>
      <c r="J411" s="5">
        <f>J409</f>
        <v>4.7618000000000001E-2</v>
      </c>
      <c r="K411" s="23"/>
      <c r="L411" s="8"/>
      <c r="M411" s="8"/>
      <c r="N411" s="8"/>
      <c r="O411" s="8"/>
      <c r="P411" s="8"/>
      <c r="Q411" s="23"/>
      <c r="R411" s="113"/>
      <c r="S411" s="113"/>
      <c r="T411" s="113"/>
      <c r="U411" s="113"/>
      <c r="V411" s="113"/>
      <c r="W411" s="113"/>
      <c r="X411" s="5">
        <f t="shared" si="98"/>
        <v>0</v>
      </c>
      <c r="Y411" s="302"/>
      <c r="Z411" s="5"/>
      <c r="AA411" s="94"/>
      <c r="AB411" s="311">
        <f t="shared" si="135"/>
        <v>4.7618000000000001E-2</v>
      </c>
      <c r="AC411" s="296"/>
      <c r="AD411" s="113"/>
      <c r="AE411" s="5"/>
      <c r="AF411" s="5"/>
      <c r="AG411" s="5"/>
      <c r="AH411" s="5"/>
      <c r="AI411" s="5"/>
      <c r="AJ411" s="5"/>
      <c r="AK411" s="141"/>
      <c r="AL411" s="94"/>
      <c r="AM411" s="128"/>
      <c r="AN411" s="180"/>
      <c r="AO411" s="128"/>
      <c r="AP411" s="184"/>
      <c r="AQ411" s="128"/>
      <c r="AR411" s="184"/>
      <c r="AS411" s="128"/>
      <c r="AT411" s="184"/>
      <c r="AU411" s="128"/>
      <c r="AV411" s="184"/>
      <c r="AW411" s="128"/>
      <c r="AX411" s="184"/>
      <c r="AY411" s="111"/>
      <c r="AZ411" s="178"/>
      <c r="BC411" s="216"/>
      <c r="BD411" s="47"/>
      <c r="BF411" s="113"/>
      <c r="BG411" s="113"/>
      <c r="BH411" s="113"/>
      <c r="BI411" s="113"/>
      <c r="BJ411" s="113"/>
      <c r="BK411" s="113"/>
      <c r="BL411" s="5">
        <f t="shared" si="136"/>
        <v>0</v>
      </c>
    </row>
    <row r="412" spans="1:64" s="2" customFormat="1" ht="38.25" outlineLevel="1" x14ac:dyDescent="0.2">
      <c r="A412" s="593" t="s">
        <v>761</v>
      </c>
      <c r="B412" s="600" t="s">
        <v>1645</v>
      </c>
      <c r="C412" s="7" t="s">
        <v>2149</v>
      </c>
      <c r="D412" s="8" t="s">
        <v>397</v>
      </c>
      <c r="E412" s="23" t="s">
        <v>1387</v>
      </c>
      <c r="F412" s="8">
        <v>2012</v>
      </c>
      <c r="G412" s="8">
        <v>2014</v>
      </c>
      <c r="H412" s="5">
        <v>1.3470633400000001</v>
      </c>
      <c r="I412" s="5">
        <v>0.4</v>
      </c>
      <c r="J412" s="5">
        <f>R412</f>
        <v>0.4</v>
      </c>
      <c r="K412" s="23" t="s">
        <v>1387</v>
      </c>
      <c r="L412" s="8"/>
      <c r="M412" s="8"/>
      <c r="N412" s="8"/>
      <c r="O412" s="8"/>
      <c r="P412" s="8"/>
      <c r="Q412" s="23" t="s">
        <v>1387</v>
      </c>
      <c r="R412" s="286">
        <v>0.4</v>
      </c>
      <c r="S412" s="113"/>
      <c r="T412" s="113"/>
      <c r="U412" s="113"/>
      <c r="V412" s="113"/>
      <c r="W412" s="113"/>
      <c r="X412" s="5">
        <f t="shared" si="98"/>
        <v>0.4</v>
      </c>
      <c r="Y412" s="302">
        <f>H412-H413-H414</f>
        <v>0</v>
      </c>
      <c r="Z412" s="5">
        <f>I412-I413-I414</f>
        <v>0</v>
      </c>
      <c r="AA412" s="94">
        <f>J412-J413-J414</f>
        <v>0</v>
      </c>
      <c r="AB412" s="311">
        <f t="shared" si="135"/>
        <v>0</v>
      </c>
      <c r="AC412" s="296"/>
      <c r="AD412" s="113"/>
      <c r="AE412" s="5"/>
      <c r="AF412" s="5">
        <f>H412</f>
        <v>1.3470633400000001</v>
      </c>
      <c r="AG412" s="5"/>
      <c r="AH412" s="5"/>
      <c r="AI412" s="5"/>
      <c r="AJ412" s="5"/>
      <c r="AK412" s="141"/>
      <c r="AL412" s="94">
        <f>SUM(AF412:AK412)</f>
        <v>1.3470633400000001</v>
      </c>
      <c r="AM412" s="128">
        <v>0.5</v>
      </c>
      <c r="AN412" s="180">
        <v>0</v>
      </c>
      <c r="AO412" s="128"/>
      <c r="AP412" s="184"/>
      <c r="AQ412" s="128"/>
      <c r="AR412" s="184"/>
      <c r="AS412" s="128"/>
      <c r="AT412" s="184"/>
      <c r="AU412" s="128"/>
      <c r="AV412" s="184"/>
      <c r="AW412" s="128"/>
      <c r="AX412" s="184"/>
      <c r="AY412" s="111">
        <f t="shared" ref="AY412:AZ415" si="137">AM412+AO412+AQ412+AS412+AU412+AW412</f>
        <v>0.5</v>
      </c>
      <c r="AZ412" s="178">
        <f t="shared" si="137"/>
        <v>0</v>
      </c>
      <c r="BC412" s="216"/>
      <c r="BD412" s="47"/>
      <c r="BF412" s="113">
        <v>0</v>
      </c>
      <c r="BG412" s="113"/>
      <c r="BH412" s="113"/>
      <c r="BI412" s="113"/>
      <c r="BJ412" s="113"/>
      <c r="BK412" s="113"/>
      <c r="BL412" s="5">
        <f t="shared" si="136"/>
        <v>0</v>
      </c>
    </row>
    <row r="413" spans="1:64" s="2" customFormat="1" ht="15.75" customHeight="1" outlineLevel="1" x14ac:dyDescent="0.2">
      <c r="A413" s="594"/>
      <c r="B413" s="601"/>
      <c r="C413" s="7" t="s">
        <v>1553</v>
      </c>
      <c r="D413" s="8"/>
      <c r="E413" s="23"/>
      <c r="F413" s="8"/>
      <c r="G413" s="8"/>
      <c r="H413" s="5"/>
      <c r="I413" s="5"/>
      <c r="J413" s="5"/>
      <c r="K413" s="8"/>
      <c r="L413" s="23"/>
      <c r="M413" s="8"/>
      <c r="N413" s="8"/>
      <c r="O413" s="8"/>
      <c r="P413" s="8"/>
      <c r="Q413" s="23"/>
      <c r="R413" s="113"/>
      <c r="S413" s="113"/>
      <c r="T413" s="113"/>
      <c r="U413" s="113"/>
      <c r="V413" s="113"/>
      <c r="W413" s="113"/>
      <c r="X413" s="5">
        <f t="shared" si="98"/>
        <v>0</v>
      </c>
      <c r="Y413" s="302"/>
      <c r="Z413" s="5"/>
      <c r="AA413" s="94"/>
      <c r="AB413" s="311">
        <f t="shared" si="135"/>
        <v>0</v>
      </c>
      <c r="AC413" s="296"/>
      <c r="AD413" s="113"/>
      <c r="AE413" s="5"/>
      <c r="AF413" s="5"/>
      <c r="AG413" s="5"/>
      <c r="AH413" s="5"/>
      <c r="AI413" s="5"/>
      <c r="AJ413" s="5"/>
      <c r="AK413" s="141"/>
      <c r="AL413" s="94"/>
      <c r="AM413" s="128"/>
      <c r="AN413" s="180"/>
      <c r="AO413" s="128"/>
      <c r="AP413" s="184"/>
      <c r="AQ413" s="128"/>
      <c r="AR413" s="184"/>
      <c r="AS413" s="128"/>
      <c r="AT413" s="184"/>
      <c r="AU413" s="128"/>
      <c r="AV413" s="184"/>
      <c r="AW413" s="128"/>
      <c r="AX413" s="184"/>
      <c r="AY413" s="111"/>
      <c r="AZ413" s="178"/>
      <c r="BC413" s="216"/>
      <c r="BD413" s="47"/>
      <c r="BF413" s="113"/>
      <c r="BG413" s="113"/>
      <c r="BH413" s="113"/>
      <c r="BI413" s="113"/>
      <c r="BJ413" s="113"/>
      <c r="BK413" s="113"/>
      <c r="BL413" s="5">
        <f t="shared" si="136"/>
        <v>0</v>
      </c>
    </row>
    <row r="414" spans="1:64" s="2" customFormat="1" ht="15.75" customHeight="1" outlineLevel="1" x14ac:dyDescent="0.2">
      <c r="A414" s="595"/>
      <c r="B414" s="602"/>
      <c r="C414" s="7" t="s">
        <v>1554</v>
      </c>
      <c r="D414" s="8"/>
      <c r="E414" s="23"/>
      <c r="F414" s="8"/>
      <c r="G414" s="8"/>
      <c r="H414" s="5">
        <f>H412</f>
        <v>1.3470633400000001</v>
      </c>
      <c r="I414" s="5">
        <f>I412</f>
        <v>0.4</v>
      </c>
      <c r="J414" s="5">
        <f>J412</f>
        <v>0.4</v>
      </c>
      <c r="K414" s="23"/>
      <c r="L414" s="8"/>
      <c r="M414" s="8"/>
      <c r="N414" s="8"/>
      <c r="O414" s="8"/>
      <c r="P414" s="8"/>
      <c r="Q414" s="23"/>
      <c r="R414" s="113"/>
      <c r="S414" s="113"/>
      <c r="T414" s="113"/>
      <c r="U414" s="113"/>
      <c r="V414" s="113"/>
      <c r="W414" s="113"/>
      <c r="X414" s="5">
        <f t="shared" si="98"/>
        <v>0</v>
      </c>
      <c r="Y414" s="302"/>
      <c r="Z414" s="5"/>
      <c r="AA414" s="94"/>
      <c r="AB414" s="311">
        <f t="shared" si="135"/>
        <v>0.4</v>
      </c>
      <c r="AC414" s="296"/>
      <c r="AD414" s="113"/>
      <c r="AE414" s="5"/>
      <c r="AF414" s="5"/>
      <c r="AG414" s="5"/>
      <c r="AH414" s="5"/>
      <c r="AI414" s="5"/>
      <c r="AJ414" s="5"/>
      <c r="AK414" s="141"/>
      <c r="AL414" s="94"/>
      <c r="AM414" s="128"/>
      <c r="AN414" s="180"/>
      <c r="AO414" s="128"/>
      <c r="AP414" s="184"/>
      <c r="AQ414" s="128"/>
      <c r="AR414" s="184"/>
      <c r="AS414" s="128"/>
      <c r="AT414" s="184"/>
      <c r="AU414" s="128"/>
      <c r="AV414" s="184"/>
      <c r="AW414" s="128"/>
      <c r="AX414" s="184"/>
      <c r="AY414" s="111"/>
      <c r="AZ414" s="178"/>
      <c r="BC414" s="216"/>
      <c r="BD414" s="47"/>
      <c r="BF414" s="113"/>
      <c r="BG414" s="113"/>
      <c r="BH414" s="113"/>
      <c r="BI414" s="113"/>
      <c r="BJ414" s="113"/>
      <c r="BK414" s="113"/>
      <c r="BL414" s="5">
        <f t="shared" si="136"/>
        <v>0</v>
      </c>
    </row>
    <row r="415" spans="1:64" s="2" customFormat="1" ht="42.75" customHeight="1" outlineLevel="1" x14ac:dyDescent="0.2">
      <c r="A415" s="593" t="s">
        <v>762</v>
      </c>
      <c r="B415" s="600" t="s">
        <v>1646</v>
      </c>
      <c r="C415" s="7" t="s">
        <v>2150</v>
      </c>
      <c r="D415" s="8" t="s">
        <v>397</v>
      </c>
      <c r="E415" s="23" t="s">
        <v>340</v>
      </c>
      <c r="F415" s="8">
        <v>2012</v>
      </c>
      <c r="G415" s="8">
        <v>2014</v>
      </c>
      <c r="H415" s="5">
        <v>0.47816700000000001</v>
      </c>
      <c r="I415" s="5">
        <v>0.203988</v>
      </c>
      <c r="J415" s="5">
        <f>R415</f>
        <v>0.203988</v>
      </c>
      <c r="K415" s="23" t="s">
        <v>340</v>
      </c>
      <c r="L415" s="8"/>
      <c r="M415" s="8"/>
      <c r="N415" s="8"/>
      <c r="O415" s="8"/>
      <c r="P415" s="8"/>
      <c r="Q415" s="23" t="s">
        <v>340</v>
      </c>
      <c r="R415" s="113">
        <v>0.203988</v>
      </c>
      <c r="S415" s="113"/>
      <c r="T415" s="113"/>
      <c r="U415" s="113"/>
      <c r="V415" s="113"/>
      <c r="W415" s="113"/>
      <c r="X415" s="5">
        <f t="shared" si="98"/>
        <v>0.203988</v>
      </c>
      <c r="Y415" s="302">
        <f>H415-H416-H417</f>
        <v>0</v>
      </c>
      <c r="Z415" s="5">
        <f>I415-I416-I417</f>
        <v>3.9879999999999916E-3</v>
      </c>
      <c r="AA415" s="94">
        <f>J415-J416-J417</f>
        <v>0</v>
      </c>
      <c r="AB415" s="311">
        <f t="shared" si="135"/>
        <v>0</v>
      </c>
      <c r="AC415" s="296"/>
      <c r="AD415" s="113"/>
      <c r="AE415" s="5"/>
      <c r="AF415" s="5">
        <f>H415</f>
        <v>0.47816700000000001</v>
      </c>
      <c r="AG415" s="5"/>
      <c r="AH415" s="5"/>
      <c r="AI415" s="5"/>
      <c r="AJ415" s="5"/>
      <c r="AK415" s="141"/>
      <c r="AL415" s="94">
        <f>SUM(AF415:AK415)</f>
        <v>0.47816700000000001</v>
      </c>
      <c r="AM415" s="128">
        <v>0.2</v>
      </c>
      <c r="AN415" s="180">
        <v>0</v>
      </c>
      <c r="AO415" s="128"/>
      <c r="AP415" s="184"/>
      <c r="AQ415" s="128"/>
      <c r="AR415" s="184"/>
      <c r="AS415" s="128"/>
      <c r="AT415" s="184"/>
      <c r="AU415" s="128"/>
      <c r="AV415" s="184"/>
      <c r="AW415" s="128"/>
      <c r="AX415" s="184"/>
      <c r="AY415" s="111">
        <f t="shared" si="137"/>
        <v>0.2</v>
      </c>
      <c r="AZ415" s="178">
        <f t="shared" si="137"/>
        <v>0</v>
      </c>
      <c r="BC415" s="216"/>
      <c r="BD415" s="47"/>
      <c r="BF415" s="113">
        <v>0.203988</v>
      </c>
      <c r="BG415" s="113"/>
      <c r="BH415" s="113"/>
      <c r="BI415" s="113"/>
      <c r="BJ415" s="113"/>
      <c r="BK415" s="113"/>
      <c r="BL415" s="5">
        <f t="shared" si="136"/>
        <v>0.203988</v>
      </c>
    </row>
    <row r="416" spans="1:64" s="2" customFormat="1" ht="15.75" customHeight="1" outlineLevel="1" x14ac:dyDescent="0.2">
      <c r="A416" s="594"/>
      <c r="B416" s="601"/>
      <c r="C416" s="7" t="s">
        <v>1553</v>
      </c>
      <c r="D416" s="8"/>
      <c r="E416" s="23"/>
      <c r="F416" s="8"/>
      <c r="G416" s="8"/>
      <c r="H416" s="5"/>
      <c r="I416" s="5"/>
      <c r="J416" s="5"/>
      <c r="K416" s="8"/>
      <c r="L416" s="23"/>
      <c r="M416" s="8"/>
      <c r="N416" s="8"/>
      <c r="O416" s="8"/>
      <c r="P416" s="8"/>
      <c r="Q416" s="23"/>
      <c r="R416" s="113"/>
      <c r="S416" s="113"/>
      <c r="T416" s="113"/>
      <c r="U416" s="113"/>
      <c r="V416" s="113"/>
      <c r="W416" s="113"/>
      <c r="X416" s="5">
        <f t="shared" si="98"/>
        <v>0</v>
      </c>
      <c r="Y416" s="302"/>
      <c r="Z416" s="5"/>
      <c r="AA416" s="94"/>
      <c r="AB416" s="311">
        <f t="shared" si="135"/>
        <v>0</v>
      </c>
      <c r="AC416" s="296"/>
      <c r="AD416" s="113"/>
      <c r="AE416" s="5"/>
      <c r="AF416" s="5"/>
      <c r="AG416" s="5"/>
      <c r="AH416" s="5"/>
      <c r="AI416" s="5"/>
      <c r="AJ416" s="5"/>
      <c r="AK416" s="141"/>
      <c r="AL416" s="94"/>
      <c r="AM416" s="128"/>
      <c r="AN416" s="180"/>
      <c r="AO416" s="128"/>
      <c r="AP416" s="184"/>
      <c r="AQ416" s="128"/>
      <c r="AR416" s="184"/>
      <c r="AS416" s="128"/>
      <c r="AT416" s="184"/>
      <c r="AU416" s="128"/>
      <c r="AV416" s="184"/>
      <c r="AW416" s="128"/>
      <c r="AX416" s="184"/>
      <c r="AY416" s="111"/>
      <c r="AZ416" s="178"/>
      <c r="BC416" s="216"/>
      <c r="BD416" s="47"/>
      <c r="BF416" s="113"/>
      <c r="BG416" s="113"/>
      <c r="BH416" s="113"/>
      <c r="BI416" s="113"/>
      <c r="BJ416" s="113"/>
      <c r="BK416" s="113"/>
      <c r="BL416" s="5">
        <f t="shared" si="136"/>
        <v>0</v>
      </c>
    </row>
    <row r="417" spans="1:64" s="2" customFormat="1" ht="15.75" customHeight="1" outlineLevel="1" x14ac:dyDescent="0.2">
      <c r="A417" s="595"/>
      <c r="B417" s="602"/>
      <c r="C417" s="7" t="s">
        <v>1554</v>
      </c>
      <c r="D417" s="8"/>
      <c r="E417" s="23"/>
      <c r="F417" s="8"/>
      <c r="G417" s="8"/>
      <c r="H417" s="5">
        <v>0.47816700000000001</v>
      </c>
      <c r="I417" s="5">
        <v>0.2</v>
      </c>
      <c r="J417" s="5">
        <v>0.203988</v>
      </c>
      <c r="K417" s="23"/>
      <c r="L417" s="8"/>
      <c r="M417" s="8"/>
      <c r="N417" s="8"/>
      <c r="O417" s="8"/>
      <c r="P417" s="8"/>
      <c r="Q417" s="23"/>
      <c r="R417" s="113"/>
      <c r="S417" s="113"/>
      <c r="T417" s="113"/>
      <c r="U417" s="113"/>
      <c r="V417" s="113"/>
      <c r="W417" s="113"/>
      <c r="X417" s="5">
        <f t="shared" si="98"/>
        <v>0</v>
      </c>
      <c r="Y417" s="302"/>
      <c r="Z417" s="5"/>
      <c r="AA417" s="94"/>
      <c r="AB417" s="311">
        <f t="shared" si="135"/>
        <v>0.2</v>
      </c>
      <c r="AC417" s="296"/>
      <c r="AD417" s="113"/>
      <c r="AE417" s="5"/>
      <c r="AF417" s="5"/>
      <c r="AG417" s="5"/>
      <c r="AH417" s="5"/>
      <c r="AI417" s="5"/>
      <c r="AJ417" s="5"/>
      <c r="AK417" s="141"/>
      <c r="AL417" s="94"/>
      <c r="AM417" s="128"/>
      <c r="AN417" s="180"/>
      <c r="AO417" s="128"/>
      <c r="AP417" s="184"/>
      <c r="AQ417" s="128"/>
      <c r="AR417" s="184"/>
      <c r="AS417" s="128"/>
      <c r="AT417" s="184"/>
      <c r="AU417" s="128"/>
      <c r="AV417" s="184"/>
      <c r="AW417" s="128"/>
      <c r="AX417" s="184"/>
      <c r="AY417" s="111"/>
      <c r="AZ417" s="178"/>
      <c r="BC417" s="216"/>
      <c r="BD417" s="47"/>
      <c r="BF417" s="113"/>
      <c r="BG417" s="113"/>
      <c r="BH417" s="113"/>
      <c r="BI417" s="113"/>
      <c r="BJ417" s="113"/>
      <c r="BK417" s="113"/>
      <c r="BL417" s="5">
        <f t="shared" si="136"/>
        <v>0</v>
      </c>
    </row>
    <row r="418" spans="1:64" s="2" customFormat="1" ht="38.25" outlineLevel="1" x14ac:dyDescent="0.2">
      <c r="A418" s="593" t="s">
        <v>763</v>
      </c>
      <c r="B418" s="600" t="s">
        <v>1647</v>
      </c>
      <c r="C418" s="7" t="s">
        <v>2151</v>
      </c>
      <c r="D418" s="8" t="s">
        <v>397</v>
      </c>
      <c r="E418" s="23" t="s">
        <v>335</v>
      </c>
      <c r="F418" s="8">
        <v>2012</v>
      </c>
      <c r="G418" s="8">
        <v>2014</v>
      </c>
      <c r="H418" s="5">
        <v>0.12271899999999999</v>
      </c>
      <c r="I418" s="5">
        <v>3.6902000000000004E-2</v>
      </c>
      <c r="J418" s="5">
        <f>R418</f>
        <v>3.6902000000000004E-2</v>
      </c>
      <c r="K418" s="23" t="s">
        <v>335</v>
      </c>
      <c r="L418" s="8"/>
      <c r="M418" s="8"/>
      <c r="N418" s="8"/>
      <c r="O418" s="8"/>
      <c r="P418" s="8"/>
      <c r="Q418" s="23" t="s">
        <v>335</v>
      </c>
      <c r="R418" s="113">
        <v>3.6902000000000004E-2</v>
      </c>
      <c r="S418" s="113"/>
      <c r="T418" s="113"/>
      <c r="U418" s="113"/>
      <c r="V418" s="113"/>
      <c r="W418" s="113"/>
      <c r="X418" s="5">
        <f t="shared" si="98"/>
        <v>3.6902000000000004E-2</v>
      </c>
      <c r="Y418" s="302">
        <f>H418-H419-H420</f>
        <v>0</v>
      </c>
      <c r="Z418" s="5">
        <f>I418-I419-I420</f>
        <v>0</v>
      </c>
      <c r="AA418" s="94">
        <f>J418-J419-J420</f>
        <v>0</v>
      </c>
      <c r="AB418" s="311">
        <f t="shared" si="135"/>
        <v>0</v>
      </c>
      <c r="AC418" s="296"/>
      <c r="AD418" s="113"/>
      <c r="AE418" s="5"/>
      <c r="AF418" s="5">
        <f>H418</f>
        <v>0.12271899999999999</v>
      </c>
      <c r="AG418" s="5"/>
      <c r="AH418" s="5"/>
      <c r="AI418" s="5"/>
      <c r="AJ418" s="5"/>
      <c r="AK418" s="141"/>
      <c r="AL418" s="94">
        <f>SUM(AF418:AK418)</f>
        <v>0.12271899999999999</v>
      </c>
      <c r="AM418" s="128">
        <v>0.1</v>
      </c>
      <c r="AN418" s="180">
        <v>0</v>
      </c>
      <c r="AO418" s="128"/>
      <c r="AP418" s="184"/>
      <c r="AQ418" s="128"/>
      <c r="AR418" s="184"/>
      <c r="AS418" s="128"/>
      <c r="AT418" s="184"/>
      <c r="AU418" s="128"/>
      <c r="AV418" s="184"/>
      <c r="AW418" s="128"/>
      <c r="AX418" s="184"/>
      <c r="AY418" s="111">
        <f>AM418+AO418+AQ418+AS418+AU418+AW418</f>
        <v>0.1</v>
      </c>
      <c r="AZ418" s="178">
        <f>AN418+AP418+AR418+AT418+AV418+AX418</f>
        <v>0</v>
      </c>
      <c r="BC418" s="216"/>
      <c r="BD418" s="47"/>
      <c r="BF418" s="113">
        <v>3.6902000000000004E-2</v>
      </c>
      <c r="BG418" s="113"/>
      <c r="BH418" s="113"/>
      <c r="BI418" s="113"/>
      <c r="BJ418" s="113"/>
      <c r="BK418" s="113"/>
      <c r="BL418" s="5">
        <f t="shared" si="136"/>
        <v>3.6902000000000004E-2</v>
      </c>
    </row>
    <row r="419" spans="1:64" s="2" customFormat="1" ht="15.75" customHeight="1" outlineLevel="1" x14ac:dyDescent="0.2">
      <c r="A419" s="594"/>
      <c r="B419" s="601"/>
      <c r="C419" s="7" t="s">
        <v>1553</v>
      </c>
      <c r="D419" s="8"/>
      <c r="E419" s="23"/>
      <c r="F419" s="8"/>
      <c r="G419" s="8"/>
      <c r="H419" s="5"/>
      <c r="I419" s="5"/>
      <c r="J419" s="5"/>
      <c r="K419" s="8"/>
      <c r="L419" s="23"/>
      <c r="M419" s="8"/>
      <c r="N419" s="8"/>
      <c r="O419" s="8"/>
      <c r="P419" s="8"/>
      <c r="Q419" s="23"/>
      <c r="R419" s="113"/>
      <c r="S419" s="113"/>
      <c r="T419" s="113"/>
      <c r="U419" s="113"/>
      <c r="V419" s="113"/>
      <c r="W419" s="113"/>
      <c r="X419" s="5">
        <f t="shared" si="98"/>
        <v>0</v>
      </c>
      <c r="Y419" s="302"/>
      <c r="Z419" s="5"/>
      <c r="AA419" s="94"/>
      <c r="AB419" s="311">
        <f t="shared" si="135"/>
        <v>0</v>
      </c>
      <c r="AC419" s="296"/>
      <c r="AD419" s="113"/>
      <c r="AE419" s="5"/>
      <c r="AF419" s="5"/>
      <c r="AG419" s="5"/>
      <c r="AH419" s="5"/>
      <c r="AI419" s="5"/>
      <c r="AJ419" s="5"/>
      <c r="AK419" s="141"/>
      <c r="AL419" s="94"/>
      <c r="AM419" s="128"/>
      <c r="AN419" s="180"/>
      <c r="AO419" s="128"/>
      <c r="AP419" s="184"/>
      <c r="AQ419" s="128"/>
      <c r="AR419" s="184"/>
      <c r="AS419" s="128"/>
      <c r="AT419" s="184"/>
      <c r="AU419" s="128"/>
      <c r="AV419" s="184"/>
      <c r="AW419" s="128"/>
      <c r="AX419" s="184"/>
      <c r="AY419" s="111"/>
      <c r="AZ419" s="178"/>
      <c r="BC419" s="216"/>
      <c r="BD419" s="47"/>
      <c r="BF419" s="113"/>
      <c r="BG419" s="113"/>
      <c r="BH419" s="113"/>
      <c r="BI419" s="113"/>
      <c r="BJ419" s="113"/>
      <c r="BK419" s="113"/>
      <c r="BL419" s="5">
        <f t="shared" si="136"/>
        <v>0</v>
      </c>
    </row>
    <row r="420" spans="1:64" s="2" customFormat="1" ht="15.75" customHeight="1" outlineLevel="1" x14ac:dyDescent="0.2">
      <c r="A420" s="595"/>
      <c r="B420" s="602"/>
      <c r="C420" s="7" t="s">
        <v>1554</v>
      </c>
      <c r="D420" s="8"/>
      <c r="E420" s="23"/>
      <c r="F420" s="8"/>
      <c r="G420" s="8"/>
      <c r="H420" s="5">
        <v>0.12271899999999999</v>
      </c>
      <c r="I420" s="5">
        <f>I418</f>
        <v>3.6902000000000004E-2</v>
      </c>
      <c r="J420" s="5">
        <v>3.6902000000000004E-2</v>
      </c>
      <c r="K420" s="23"/>
      <c r="L420" s="8"/>
      <c r="M420" s="8"/>
      <c r="N420" s="8"/>
      <c r="O420" s="8"/>
      <c r="P420" s="8"/>
      <c r="Q420" s="23"/>
      <c r="R420" s="113"/>
      <c r="S420" s="113"/>
      <c r="T420" s="113"/>
      <c r="U420" s="113"/>
      <c r="V420" s="113"/>
      <c r="W420" s="113"/>
      <c r="X420" s="5">
        <f t="shared" si="98"/>
        <v>0</v>
      </c>
      <c r="Y420" s="302"/>
      <c r="Z420" s="5"/>
      <c r="AA420" s="94"/>
      <c r="AB420" s="311">
        <f t="shared" si="135"/>
        <v>3.6902000000000004E-2</v>
      </c>
      <c r="AC420" s="296"/>
      <c r="AD420" s="113"/>
      <c r="AE420" s="5"/>
      <c r="AF420" s="5"/>
      <c r="AG420" s="5"/>
      <c r="AH420" s="5"/>
      <c r="AI420" s="5"/>
      <c r="AJ420" s="5"/>
      <c r="AK420" s="141"/>
      <c r="AL420" s="94"/>
      <c r="AM420" s="128"/>
      <c r="AN420" s="180"/>
      <c r="AO420" s="128"/>
      <c r="AP420" s="184"/>
      <c r="AQ420" s="128"/>
      <c r="AR420" s="184"/>
      <c r="AS420" s="128"/>
      <c r="AT420" s="184"/>
      <c r="AU420" s="128"/>
      <c r="AV420" s="184"/>
      <c r="AW420" s="128"/>
      <c r="AX420" s="184"/>
      <c r="AY420" s="111"/>
      <c r="AZ420" s="178"/>
      <c r="BC420" s="216"/>
      <c r="BD420" s="47"/>
      <c r="BF420" s="113"/>
      <c r="BG420" s="113"/>
      <c r="BH420" s="113"/>
      <c r="BI420" s="113"/>
      <c r="BJ420" s="113"/>
      <c r="BK420" s="113"/>
      <c r="BL420" s="5">
        <f t="shared" si="136"/>
        <v>0</v>
      </c>
    </row>
    <row r="421" spans="1:64" s="2" customFormat="1" ht="38.25" outlineLevel="1" x14ac:dyDescent="0.2">
      <c r="A421" s="593" t="s">
        <v>764</v>
      </c>
      <c r="B421" s="600" t="s">
        <v>1648</v>
      </c>
      <c r="C421" s="7" t="s">
        <v>2152</v>
      </c>
      <c r="D421" s="8" t="s">
        <v>397</v>
      </c>
      <c r="E421" s="23" t="s">
        <v>340</v>
      </c>
      <c r="F421" s="8">
        <v>2012</v>
      </c>
      <c r="G421" s="8">
        <v>2014</v>
      </c>
      <c r="H421" s="5">
        <v>0.47571999999999998</v>
      </c>
      <c r="I421" s="5">
        <v>0.2</v>
      </c>
      <c r="J421" s="5">
        <f>R421</f>
        <v>0.2</v>
      </c>
      <c r="K421" s="23" t="s">
        <v>340</v>
      </c>
      <c r="L421" s="8"/>
      <c r="M421" s="8"/>
      <c r="N421" s="8"/>
      <c r="O421" s="8"/>
      <c r="P421" s="8"/>
      <c r="Q421" s="23" t="s">
        <v>340</v>
      </c>
      <c r="R421" s="286">
        <v>0.2</v>
      </c>
      <c r="S421" s="113"/>
      <c r="T421" s="113"/>
      <c r="U421" s="113"/>
      <c r="V421" s="113"/>
      <c r="W421" s="113"/>
      <c r="X421" s="5">
        <f t="shared" si="98"/>
        <v>0.2</v>
      </c>
      <c r="Y421" s="302">
        <f>H421-H422-H423</f>
        <v>0</v>
      </c>
      <c r="Z421" s="5">
        <f>I421-I422-I423</f>
        <v>0</v>
      </c>
      <c r="AA421" s="94">
        <f>J421-J422-J423</f>
        <v>0</v>
      </c>
      <c r="AB421" s="311">
        <f t="shared" si="135"/>
        <v>0</v>
      </c>
      <c r="AC421" s="296"/>
      <c r="AD421" s="113"/>
      <c r="AE421" s="5"/>
      <c r="AF421" s="5">
        <f>H421</f>
        <v>0.47571999999999998</v>
      </c>
      <c r="AG421" s="5"/>
      <c r="AH421" s="5"/>
      <c r="AI421" s="5"/>
      <c r="AJ421" s="5"/>
      <c r="AK421" s="141"/>
      <c r="AL421" s="94">
        <f>SUM(AF421:AK421)</f>
        <v>0.47571999999999998</v>
      </c>
      <c r="AM421" s="128">
        <v>0.2</v>
      </c>
      <c r="AN421" s="180">
        <v>0</v>
      </c>
      <c r="AO421" s="128"/>
      <c r="AP421" s="184"/>
      <c r="AQ421" s="128"/>
      <c r="AR421" s="184"/>
      <c r="AS421" s="128"/>
      <c r="AT421" s="184"/>
      <c r="AU421" s="128"/>
      <c r="AV421" s="184"/>
      <c r="AW421" s="128"/>
      <c r="AX421" s="184"/>
      <c r="AY421" s="111">
        <f t="shared" ref="AY421:AZ424" si="138">AM421+AO421+AQ421+AS421+AU421+AW421</f>
        <v>0.2</v>
      </c>
      <c r="AZ421" s="178">
        <f t="shared" si="138"/>
        <v>0</v>
      </c>
      <c r="BC421" s="216"/>
      <c r="BD421" s="47"/>
      <c r="BF421" s="113">
        <v>0</v>
      </c>
      <c r="BG421" s="113"/>
      <c r="BH421" s="113"/>
      <c r="BI421" s="113"/>
      <c r="BJ421" s="113"/>
      <c r="BK421" s="113"/>
      <c r="BL421" s="5">
        <f t="shared" si="136"/>
        <v>0</v>
      </c>
    </row>
    <row r="422" spans="1:64" s="2" customFormat="1" ht="15.75" customHeight="1" outlineLevel="1" x14ac:dyDescent="0.2">
      <c r="A422" s="594"/>
      <c r="B422" s="601"/>
      <c r="C422" s="7" t="s">
        <v>1553</v>
      </c>
      <c r="D422" s="8"/>
      <c r="E422" s="23"/>
      <c r="F422" s="8"/>
      <c r="G422" s="8"/>
      <c r="H422" s="5">
        <f>H421</f>
        <v>0.47571999999999998</v>
      </c>
      <c r="I422" s="5">
        <f>I421</f>
        <v>0.2</v>
      </c>
      <c r="J422" s="5">
        <f>J421</f>
        <v>0.2</v>
      </c>
      <c r="K422" s="8"/>
      <c r="L422" s="23"/>
      <c r="M422" s="8"/>
      <c r="N422" s="8"/>
      <c r="O422" s="8"/>
      <c r="P422" s="8"/>
      <c r="Q422" s="23"/>
      <c r="R422" s="113"/>
      <c r="S422" s="113"/>
      <c r="T422" s="113"/>
      <c r="U422" s="113"/>
      <c r="V422" s="113"/>
      <c r="W422" s="113"/>
      <c r="X422" s="5">
        <f>SUM(R422:W422)</f>
        <v>0</v>
      </c>
      <c r="Y422" s="302"/>
      <c r="Z422" s="5"/>
      <c r="AA422" s="94"/>
      <c r="AB422" s="311">
        <f t="shared" si="135"/>
        <v>0.2</v>
      </c>
      <c r="AC422" s="296"/>
      <c r="AD422" s="113"/>
      <c r="AE422" s="5"/>
      <c r="AF422" s="5"/>
      <c r="AG422" s="5"/>
      <c r="AH422" s="5"/>
      <c r="AI422" s="5"/>
      <c r="AJ422" s="5"/>
      <c r="AK422" s="141"/>
      <c r="AL422" s="94"/>
      <c r="AM422" s="128"/>
      <c r="AN422" s="180"/>
      <c r="AO422" s="128"/>
      <c r="AP422" s="184"/>
      <c r="AQ422" s="128"/>
      <c r="AR422" s="184"/>
      <c r="AS422" s="128"/>
      <c r="AT422" s="184"/>
      <c r="AU422" s="128"/>
      <c r="AV422" s="184"/>
      <c r="AW422" s="128"/>
      <c r="AX422" s="184"/>
      <c r="AY422" s="111"/>
      <c r="AZ422" s="178"/>
      <c r="BC422" s="216"/>
      <c r="BD422" s="47"/>
      <c r="BF422" s="113"/>
      <c r="BG422" s="113"/>
      <c r="BH422" s="113"/>
      <c r="BI422" s="113"/>
      <c r="BJ422" s="113"/>
      <c r="BK422" s="113"/>
      <c r="BL422" s="5">
        <f t="shared" ref="BL422:BL432" si="139">SUM(BF422:BK422)</f>
        <v>0</v>
      </c>
    </row>
    <row r="423" spans="1:64" s="2" customFormat="1" ht="15.75" customHeight="1" outlineLevel="1" x14ac:dyDescent="0.2">
      <c r="A423" s="595"/>
      <c r="B423" s="602"/>
      <c r="C423" s="7" t="s">
        <v>1554</v>
      </c>
      <c r="D423" s="8"/>
      <c r="E423" s="23"/>
      <c r="F423" s="8"/>
      <c r="G423" s="8"/>
      <c r="H423" s="5"/>
      <c r="I423" s="5"/>
      <c r="J423" s="5"/>
      <c r="K423" s="23"/>
      <c r="L423" s="8"/>
      <c r="M423" s="8"/>
      <c r="N423" s="8"/>
      <c r="O423" s="8"/>
      <c r="P423" s="8"/>
      <c r="Q423" s="23"/>
      <c r="R423" s="113"/>
      <c r="S423" s="113"/>
      <c r="T423" s="113"/>
      <c r="U423" s="113"/>
      <c r="V423" s="113"/>
      <c r="W423" s="113"/>
      <c r="X423" s="5">
        <f>SUM(R423:W423)</f>
        <v>0</v>
      </c>
      <c r="Y423" s="302"/>
      <c r="Z423" s="5"/>
      <c r="AA423" s="94"/>
      <c r="AB423" s="311">
        <f t="shared" si="135"/>
        <v>0</v>
      </c>
      <c r="AC423" s="296"/>
      <c r="AD423" s="113"/>
      <c r="AE423" s="5"/>
      <c r="AF423" s="5"/>
      <c r="AG423" s="5"/>
      <c r="AH423" s="5"/>
      <c r="AI423" s="5"/>
      <c r="AJ423" s="5"/>
      <c r="AK423" s="141"/>
      <c r="AL423" s="94"/>
      <c r="AM423" s="128"/>
      <c r="AN423" s="180"/>
      <c r="AO423" s="128"/>
      <c r="AP423" s="184"/>
      <c r="AQ423" s="128"/>
      <c r="AR423" s="184"/>
      <c r="AS423" s="128"/>
      <c r="AT423" s="184"/>
      <c r="AU423" s="128"/>
      <c r="AV423" s="184"/>
      <c r="AW423" s="128"/>
      <c r="AX423" s="184"/>
      <c r="AY423" s="111"/>
      <c r="AZ423" s="178"/>
      <c r="BC423" s="216"/>
      <c r="BD423" s="47"/>
      <c r="BF423" s="113"/>
      <c r="BG423" s="113"/>
      <c r="BH423" s="113"/>
      <c r="BI423" s="113"/>
      <c r="BJ423" s="113"/>
      <c r="BK423" s="113"/>
      <c r="BL423" s="5">
        <f t="shared" si="139"/>
        <v>0</v>
      </c>
    </row>
    <row r="424" spans="1:64" s="2" customFormat="1" ht="38.25" customHeight="1" outlineLevel="1" x14ac:dyDescent="0.2">
      <c r="A424" s="593" t="s">
        <v>765</v>
      </c>
      <c r="B424" s="600" t="s">
        <v>1649</v>
      </c>
      <c r="C424" s="7" t="s">
        <v>1513</v>
      </c>
      <c r="D424" s="8" t="s">
        <v>397</v>
      </c>
      <c r="E424" s="23" t="s">
        <v>1227</v>
      </c>
      <c r="F424" s="8">
        <v>2012</v>
      </c>
      <c r="G424" s="8">
        <v>2015</v>
      </c>
      <c r="H424" s="5">
        <v>1.0538099999999999</v>
      </c>
      <c r="I424" s="5">
        <v>0.99158799999999991</v>
      </c>
      <c r="J424" s="5">
        <f>R424</f>
        <v>6.1950999999999999E-2</v>
      </c>
      <c r="K424" s="8"/>
      <c r="L424" s="23" t="s">
        <v>1227</v>
      </c>
      <c r="M424" s="8"/>
      <c r="N424" s="8"/>
      <c r="O424" s="8"/>
      <c r="P424" s="8"/>
      <c r="Q424" s="23" t="s">
        <v>1227</v>
      </c>
      <c r="R424" s="113">
        <v>6.1950999999999999E-2</v>
      </c>
      <c r="S424" s="113"/>
      <c r="T424" s="113"/>
      <c r="U424" s="113"/>
      <c r="V424" s="113"/>
      <c r="W424" s="113"/>
      <c r="X424" s="5">
        <f t="shared" si="98"/>
        <v>6.1950999999999999E-2</v>
      </c>
      <c r="Y424" s="302">
        <f>H424-H425-H426</f>
        <v>0</v>
      </c>
      <c r="Z424" s="5">
        <f>I424-I425-I426</f>
        <v>0</v>
      </c>
      <c r="AA424" s="94">
        <f>J424-J425-J426</f>
        <v>-4.9000000000000432E-5</v>
      </c>
      <c r="AB424" s="311">
        <f t="shared" si="135"/>
        <v>0.92963699999999994</v>
      </c>
      <c r="AC424" s="296"/>
      <c r="AD424" s="113"/>
      <c r="AE424" s="5"/>
      <c r="AF424" s="5"/>
      <c r="AG424" s="5">
        <f>H424</f>
        <v>1.0538099999999999</v>
      </c>
      <c r="AH424" s="5"/>
      <c r="AI424" s="5"/>
      <c r="AJ424" s="5"/>
      <c r="AK424" s="141"/>
      <c r="AL424" s="94">
        <f>SUM(AF424:AK424)</f>
        <v>1.0538099999999999</v>
      </c>
      <c r="AM424" s="128"/>
      <c r="AN424" s="180"/>
      <c r="AO424" s="128">
        <v>0.4</v>
      </c>
      <c r="AP424" s="184">
        <v>0.1</v>
      </c>
      <c r="AQ424" s="128"/>
      <c r="AR424" s="184"/>
      <c r="AS424" s="128"/>
      <c r="AT424" s="184"/>
      <c r="AU424" s="128"/>
      <c r="AV424" s="184"/>
      <c r="AW424" s="128"/>
      <c r="AX424" s="184"/>
      <c r="AY424" s="111">
        <f t="shared" si="138"/>
        <v>0.4</v>
      </c>
      <c r="AZ424" s="178">
        <f t="shared" si="138"/>
        <v>0.1</v>
      </c>
      <c r="BC424" s="216"/>
      <c r="BD424" s="47"/>
      <c r="BF424" s="113">
        <v>6.1950999999999999E-2</v>
      </c>
      <c r="BG424" s="113"/>
      <c r="BH424" s="113"/>
      <c r="BI424" s="113"/>
      <c r="BJ424" s="113"/>
      <c r="BK424" s="113"/>
      <c r="BL424" s="5">
        <f t="shared" si="139"/>
        <v>6.1950999999999999E-2</v>
      </c>
    </row>
    <row r="425" spans="1:64" s="2" customFormat="1" ht="15.75" customHeight="1" outlineLevel="1" x14ac:dyDescent="0.2">
      <c r="A425" s="594"/>
      <c r="B425" s="601"/>
      <c r="C425" s="7" t="s">
        <v>1553</v>
      </c>
      <c r="D425" s="8"/>
      <c r="E425" s="23"/>
      <c r="F425" s="8"/>
      <c r="G425" s="8"/>
      <c r="H425" s="5">
        <v>1.0538099999999999</v>
      </c>
      <c r="I425" s="5">
        <v>0.99158799999999991</v>
      </c>
      <c r="J425" s="5">
        <f>0.062</f>
        <v>6.2E-2</v>
      </c>
      <c r="K425" s="8"/>
      <c r="L425" s="23"/>
      <c r="M425" s="8"/>
      <c r="N425" s="8"/>
      <c r="O425" s="8"/>
      <c r="P425" s="8"/>
      <c r="Q425" s="23"/>
      <c r="R425" s="113"/>
      <c r="S425" s="113"/>
      <c r="T425" s="113"/>
      <c r="U425" s="113"/>
      <c r="V425" s="113"/>
      <c r="W425" s="113"/>
      <c r="X425" s="5">
        <f t="shared" si="98"/>
        <v>0</v>
      </c>
      <c r="Y425" s="302"/>
      <c r="Z425" s="5"/>
      <c r="AA425" s="94"/>
      <c r="AB425" s="311">
        <f t="shared" si="135"/>
        <v>0.99158799999999991</v>
      </c>
      <c r="AC425" s="296"/>
      <c r="AD425" s="113"/>
      <c r="AE425" s="5"/>
      <c r="AF425" s="5"/>
      <c r="AG425" s="5"/>
      <c r="AH425" s="5"/>
      <c r="AI425" s="5"/>
      <c r="AJ425" s="5"/>
      <c r="AK425" s="141"/>
      <c r="AL425" s="94"/>
      <c r="AM425" s="128"/>
      <c r="AN425" s="180"/>
      <c r="AO425" s="128"/>
      <c r="AP425" s="184"/>
      <c r="AQ425" s="128"/>
      <c r="AR425" s="184"/>
      <c r="AS425" s="128"/>
      <c r="AT425" s="184"/>
      <c r="AU425" s="128"/>
      <c r="AV425" s="184"/>
      <c r="AW425" s="128"/>
      <c r="AX425" s="184"/>
      <c r="AY425" s="111"/>
      <c r="AZ425" s="178"/>
      <c r="BC425" s="216"/>
      <c r="BD425" s="47"/>
      <c r="BF425" s="113"/>
      <c r="BG425" s="113"/>
      <c r="BH425" s="113"/>
      <c r="BI425" s="113"/>
      <c r="BJ425" s="113"/>
      <c r="BK425" s="113"/>
      <c r="BL425" s="5">
        <f t="shared" si="139"/>
        <v>0</v>
      </c>
    </row>
    <row r="426" spans="1:64" s="2" customFormat="1" ht="15.75" customHeight="1" outlineLevel="1" x14ac:dyDescent="0.2">
      <c r="A426" s="595"/>
      <c r="B426" s="602"/>
      <c r="C426" s="7" t="s">
        <v>1554</v>
      </c>
      <c r="D426" s="8"/>
      <c r="E426" s="23"/>
      <c r="F426" s="8"/>
      <c r="G426" s="8"/>
      <c r="H426" s="5"/>
      <c r="I426" s="5"/>
      <c r="J426" s="5"/>
      <c r="K426" s="23"/>
      <c r="L426" s="8"/>
      <c r="M426" s="8"/>
      <c r="N426" s="8"/>
      <c r="O426" s="8"/>
      <c r="P426" s="8"/>
      <c r="Q426" s="23"/>
      <c r="R426" s="113"/>
      <c r="S426" s="113"/>
      <c r="T426" s="113"/>
      <c r="U426" s="113"/>
      <c r="V426" s="113"/>
      <c r="W426" s="113"/>
      <c r="X426" s="5">
        <f t="shared" si="98"/>
        <v>0</v>
      </c>
      <c r="Y426" s="302"/>
      <c r="Z426" s="5"/>
      <c r="AA426" s="94"/>
      <c r="AB426" s="311">
        <f t="shared" si="135"/>
        <v>0</v>
      </c>
      <c r="AC426" s="296"/>
      <c r="AD426" s="113"/>
      <c r="AE426" s="5"/>
      <c r="AF426" s="5"/>
      <c r="AG426" s="5"/>
      <c r="AH426" s="5"/>
      <c r="AI426" s="5"/>
      <c r="AJ426" s="5"/>
      <c r="AK426" s="141"/>
      <c r="AL426" s="94"/>
      <c r="AM426" s="128"/>
      <c r="AN426" s="180"/>
      <c r="AO426" s="128"/>
      <c r="AP426" s="184"/>
      <c r="AQ426" s="128"/>
      <c r="AR426" s="184"/>
      <c r="AS426" s="128"/>
      <c r="AT426" s="184"/>
      <c r="AU426" s="128"/>
      <c r="AV426" s="184"/>
      <c r="AW426" s="128"/>
      <c r="AX426" s="184"/>
      <c r="AY426" s="111"/>
      <c r="AZ426" s="178"/>
      <c r="BC426" s="216"/>
      <c r="BD426" s="47"/>
      <c r="BF426" s="113"/>
      <c r="BG426" s="113"/>
      <c r="BH426" s="113"/>
      <c r="BI426" s="113"/>
      <c r="BJ426" s="113"/>
      <c r="BK426" s="113"/>
      <c r="BL426" s="5">
        <f t="shared" si="139"/>
        <v>0</v>
      </c>
    </row>
    <row r="427" spans="1:64" s="2" customFormat="1" ht="40.5" customHeight="1" outlineLevel="1" x14ac:dyDescent="0.2">
      <c r="A427" s="593" t="s">
        <v>766</v>
      </c>
      <c r="B427" s="600" t="s">
        <v>1650</v>
      </c>
      <c r="C427" s="7" t="s">
        <v>2153</v>
      </c>
      <c r="D427" s="8" t="s">
        <v>397</v>
      </c>
      <c r="E427" s="23" t="s">
        <v>351</v>
      </c>
      <c r="F427" s="8">
        <v>2012</v>
      </c>
      <c r="G427" s="8">
        <v>2014</v>
      </c>
      <c r="H427" s="5">
        <v>0.54772014000000002</v>
      </c>
      <c r="I427" s="5">
        <v>0.2</v>
      </c>
      <c r="J427" s="5">
        <f>R427</f>
        <v>0.2</v>
      </c>
      <c r="K427" s="23" t="s">
        <v>351</v>
      </c>
      <c r="L427" s="8"/>
      <c r="M427" s="8"/>
      <c r="N427" s="8"/>
      <c r="O427" s="8"/>
      <c r="P427" s="8"/>
      <c r="Q427" s="23" t="s">
        <v>351</v>
      </c>
      <c r="R427" s="286">
        <v>0.2</v>
      </c>
      <c r="S427" s="113"/>
      <c r="T427" s="113"/>
      <c r="U427" s="113"/>
      <c r="V427" s="113"/>
      <c r="W427" s="113"/>
      <c r="X427" s="5">
        <f t="shared" si="98"/>
        <v>0.2</v>
      </c>
      <c r="Y427" s="302">
        <f>H427-H428-H429</f>
        <v>0</v>
      </c>
      <c r="Z427" s="5">
        <f>I427-I428-I429</f>
        <v>0</v>
      </c>
      <c r="AA427" s="94">
        <f>J427-J428-J429</f>
        <v>0</v>
      </c>
      <c r="AB427" s="311">
        <f t="shared" si="135"/>
        <v>0</v>
      </c>
      <c r="AC427" s="296"/>
      <c r="AD427" s="113"/>
      <c r="AE427" s="5"/>
      <c r="AF427" s="5">
        <f>H427</f>
        <v>0.54772014000000002</v>
      </c>
      <c r="AG427" s="5"/>
      <c r="AH427" s="5"/>
      <c r="AI427" s="5"/>
      <c r="AJ427" s="5"/>
      <c r="AK427" s="141"/>
      <c r="AL427" s="94">
        <f>SUM(AF427:AK427)</f>
        <v>0.54772014000000002</v>
      </c>
      <c r="AM427" s="128">
        <v>0.05</v>
      </c>
      <c r="AN427" s="180">
        <v>0.1</v>
      </c>
      <c r="AO427" s="128"/>
      <c r="AP427" s="184"/>
      <c r="AQ427" s="128"/>
      <c r="AR427" s="184"/>
      <c r="AS427" s="128"/>
      <c r="AT427" s="184"/>
      <c r="AU427" s="128"/>
      <c r="AV427" s="184"/>
      <c r="AW427" s="128"/>
      <c r="AX427" s="184"/>
      <c r="AY427" s="111">
        <f>AM427+AO427+AQ427+AS427+AU427+AW427</f>
        <v>0.05</v>
      </c>
      <c r="AZ427" s="178">
        <f>AN427+AP427+AR427+AT427+AV427+AX427</f>
        <v>0.1</v>
      </c>
      <c r="BC427" s="216"/>
      <c r="BD427" s="47"/>
      <c r="BF427" s="113">
        <v>0</v>
      </c>
      <c r="BG427" s="113"/>
      <c r="BH427" s="113"/>
      <c r="BI427" s="113"/>
      <c r="BJ427" s="113"/>
      <c r="BK427" s="113"/>
      <c r="BL427" s="5">
        <f t="shared" si="139"/>
        <v>0</v>
      </c>
    </row>
    <row r="428" spans="1:64" s="2" customFormat="1" ht="15.75" customHeight="1" outlineLevel="1" x14ac:dyDescent="0.2">
      <c r="A428" s="594"/>
      <c r="B428" s="601"/>
      <c r="C428" s="7" t="s">
        <v>1553</v>
      </c>
      <c r="D428" s="8"/>
      <c r="E428" s="23"/>
      <c r="F428" s="8"/>
      <c r="G428" s="8"/>
      <c r="H428" s="5"/>
      <c r="I428" s="5"/>
      <c r="J428" s="5"/>
      <c r="K428" s="8"/>
      <c r="L428" s="23"/>
      <c r="M428" s="8"/>
      <c r="N428" s="8"/>
      <c r="O428" s="8"/>
      <c r="P428" s="8"/>
      <c r="Q428" s="23"/>
      <c r="R428" s="113"/>
      <c r="S428" s="113"/>
      <c r="T428" s="113"/>
      <c r="U428" s="113"/>
      <c r="V428" s="113"/>
      <c r="W428" s="113"/>
      <c r="X428" s="5">
        <f t="shared" ref="X428:X491" si="140">SUM(R428:W428)</f>
        <v>0</v>
      </c>
      <c r="Y428" s="302"/>
      <c r="Z428" s="5"/>
      <c r="AA428" s="94"/>
      <c r="AB428" s="311">
        <f t="shared" si="135"/>
        <v>0</v>
      </c>
      <c r="AC428" s="296"/>
      <c r="AD428" s="113"/>
      <c r="AE428" s="5"/>
      <c r="AF428" s="5"/>
      <c r="AG428" s="5"/>
      <c r="AH428" s="5"/>
      <c r="AI428" s="5"/>
      <c r="AJ428" s="5"/>
      <c r="AK428" s="141"/>
      <c r="AL428" s="94"/>
      <c r="AM428" s="128"/>
      <c r="AN428" s="180"/>
      <c r="AO428" s="128"/>
      <c r="AP428" s="184"/>
      <c r="AQ428" s="128"/>
      <c r="AR428" s="184"/>
      <c r="AS428" s="128"/>
      <c r="AT428" s="184"/>
      <c r="AU428" s="128"/>
      <c r="AV428" s="184"/>
      <c r="AW428" s="128"/>
      <c r="AX428" s="184"/>
      <c r="AY428" s="111"/>
      <c r="AZ428" s="178"/>
      <c r="BC428" s="216"/>
      <c r="BD428" s="47"/>
      <c r="BF428" s="113"/>
      <c r="BG428" s="113"/>
      <c r="BH428" s="113"/>
      <c r="BI428" s="113"/>
      <c r="BJ428" s="113"/>
      <c r="BK428" s="113"/>
      <c r="BL428" s="5">
        <f t="shared" si="139"/>
        <v>0</v>
      </c>
    </row>
    <row r="429" spans="1:64" s="2" customFormat="1" ht="15.75" customHeight="1" outlineLevel="1" x14ac:dyDescent="0.2">
      <c r="A429" s="595"/>
      <c r="B429" s="602"/>
      <c r="C429" s="7" t="s">
        <v>1554</v>
      </c>
      <c r="D429" s="8"/>
      <c r="E429" s="23"/>
      <c r="F429" s="8"/>
      <c r="G429" s="8"/>
      <c r="H429" s="5">
        <f>H427</f>
        <v>0.54772014000000002</v>
      </c>
      <c r="I429" s="5">
        <f>I427</f>
        <v>0.2</v>
      </c>
      <c r="J429" s="5">
        <f>J427</f>
        <v>0.2</v>
      </c>
      <c r="K429" s="23"/>
      <c r="L429" s="8"/>
      <c r="M429" s="8"/>
      <c r="N429" s="8"/>
      <c r="O429" s="8"/>
      <c r="P429" s="8"/>
      <c r="Q429" s="23"/>
      <c r="R429" s="113"/>
      <c r="S429" s="113"/>
      <c r="T429" s="113"/>
      <c r="U429" s="113"/>
      <c r="V429" s="113"/>
      <c r="W429" s="113"/>
      <c r="X429" s="5">
        <f t="shared" si="140"/>
        <v>0</v>
      </c>
      <c r="Y429" s="302"/>
      <c r="Z429" s="5"/>
      <c r="AA429" s="94"/>
      <c r="AB429" s="311">
        <f t="shared" si="135"/>
        <v>0.2</v>
      </c>
      <c r="AC429" s="296"/>
      <c r="AD429" s="113"/>
      <c r="AE429" s="5"/>
      <c r="AF429" s="5"/>
      <c r="AG429" s="5"/>
      <c r="AH429" s="5"/>
      <c r="AI429" s="5"/>
      <c r="AJ429" s="5"/>
      <c r="AK429" s="141"/>
      <c r="AL429" s="94"/>
      <c r="AM429" s="128"/>
      <c r="AN429" s="180"/>
      <c r="AO429" s="128"/>
      <c r="AP429" s="184"/>
      <c r="AQ429" s="128"/>
      <c r="AR429" s="184"/>
      <c r="AS429" s="128"/>
      <c r="AT429" s="184"/>
      <c r="AU429" s="128"/>
      <c r="AV429" s="184"/>
      <c r="AW429" s="128"/>
      <c r="AX429" s="184"/>
      <c r="AY429" s="111"/>
      <c r="AZ429" s="178"/>
      <c r="BC429" s="216"/>
      <c r="BD429" s="47"/>
      <c r="BF429" s="113"/>
      <c r="BG429" s="113"/>
      <c r="BH429" s="113"/>
      <c r="BI429" s="113"/>
      <c r="BJ429" s="113"/>
      <c r="BK429" s="113"/>
      <c r="BL429" s="5">
        <f t="shared" si="139"/>
        <v>0</v>
      </c>
    </row>
    <row r="430" spans="1:64" s="2" customFormat="1" ht="38.25" outlineLevel="1" x14ac:dyDescent="0.2">
      <c r="A430" s="593" t="s">
        <v>767</v>
      </c>
      <c r="B430" s="600" t="s">
        <v>1651</v>
      </c>
      <c r="C430" s="7" t="s">
        <v>2154</v>
      </c>
      <c r="D430" s="8" t="s">
        <v>397</v>
      </c>
      <c r="E430" s="23" t="s">
        <v>335</v>
      </c>
      <c r="F430" s="8">
        <v>2012</v>
      </c>
      <c r="G430" s="8">
        <v>2014</v>
      </c>
      <c r="H430" s="5">
        <v>0.24101700000000001</v>
      </c>
      <c r="I430" s="5">
        <v>0.01</v>
      </c>
      <c r="J430" s="5">
        <f>R430</f>
        <v>0.01</v>
      </c>
      <c r="K430" s="23" t="s">
        <v>335</v>
      </c>
      <c r="L430" s="8"/>
      <c r="M430" s="8"/>
      <c r="N430" s="8"/>
      <c r="O430" s="8"/>
      <c r="P430" s="8"/>
      <c r="Q430" s="23" t="s">
        <v>335</v>
      </c>
      <c r="R430" s="113">
        <v>0.01</v>
      </c>
      <c r="S430" s="113"/>
      <c r="T430" s="113"/>
      <c r="U430" s="113"/>
      <c r="V430" s="113"/>
      <c r="W430" s="113"/>
      <c r="X430" s="5">
        <f t="shared" si="140"/>
        <v>0.01</v>
      </c>
      <c r="Y430" s="302">
        <f>H430-H431-H432</f>
        <v>0</v>
      </c>
      <c r="Z430" s="5">
        <f>I430-I431-I432</f>
        <v>0</v>
      </c>
      <c r="AA430" s="94">
        <f>J430-J431-J432</f>
        <v>0</v>
      </c>
      <c r="AB430" s="311">
        <f t="shared" si="135"/>
        <v>0</v>
      </c>
      <c r="AC430" s="296"/>
      <c r="AD430" s="113"/>
      <c r="AE430" s="5"/>
      <c r="AF430" s="5">
        <f>H430</f>
        <v>0.24101700000000001</v>
      </c>
      <c r="AG430" s="5"/>
      <c r="AH430" s="5"/>
      <c r="AI430" s="5"/>
      <c r="AJ430" s="5"/>
      <c r="AK430" s="141"/>
      <c r="AL430" s="94">
        <f>SUM(AF430:AK430)</f>
        <v>0.24101700000000001</v>
      </c>
      <c r="AM430" s="128">
        <v>0.1</v>
      </c>
      <c r="AN430" s="180">
        <v>0</v>
      </c>
      <c r="AO430" s="128"/>
      <c r="AP430" s="184"/>
      <c r="AQ430" s="128"/>
      <c r="AR430" s="184"/>
      <c r="AS430" s="128"/>
      <c r="AT430" s="184"/>
      <c r="AU430" s="128"/>
      <c r="AV430" s="184"/>
      <c r="AW430" s="128"/>
      <c r="AX430" s="184"/>
      <c r="AY430" s="111">
        <f t="shared" ref="AY430:AZ433" si="141">AM430+AO430+AQ430+AS430+AU430+AW430</f>
        <v>0.1</v>
      </c>
      <c r="AZ430" s="178">
        <f t="shared" si="141"/>
        <v>0</v>
      </c>
      <c r="BC430" s="216"/>
      <c r="BD430" s="47"/>
      <c r="BF430" s="113">
        <v>0.01</v>
      </c>
      <c r="BG430" s="113"/>
      <c r="BH430" s="113"/>
      <c r="BI430" s="113"/>
      <c r="BJ430" s="113"/>
      <c r="BK430" s="113"/>
      <c r="BL430" s="5">
        <f t="shared" si="139"/>
        <v>0.01</v>
      </c>
    </row>
    <row r="431" spans="1:64" s="2" customFormat="1" ht="15.75" customHeight="1" outlineLevel="1" x14ac:dyDescent="0.2">
      <c r="A431" s="594"/>
      <c r="B431" s="601"/>
      <c r="C431" s="7" t="s">
        <v>1553</v>
      </c>
      <c r="D431" s="8"/>
      <c r="E431" s="23"/>
      <c r="F431" s="8"/>
      <c r="G431" s="8"/>
      <c r="H431" s="5"/>
      <c r="I431" s="5"/>
      <c r="J431" s="5"/>
      <c r="K431" s="8"/>
      <c r="L431" s="23"/>
      <c r="M431" s="8"/>
      <c r="N431" s="8"/>
      <c r="O431" s="8"/>
      <c r="P431" s="8"/>
      <c r="Q431" s="23"/>
      <c r="R431" s="113"/>
      <c r="S431" s="113"/>
      <c r="T431" s="113"/>
      <c r="U431" s="113"/>
      <c r="V431" s="113"/>
      <c r="W431" s="113"/>
      <c r="X431" s="5">
        <f>SUM(R431:W431)</f>
        <v>0</v>
      </c>
      <c r="Y431" s="302"/>
      <c r="Z431" s="5"/>
      <c r="AA431" s="94"/>
      <c r="AB431" s="311">
        <f t="shared" si="135"/>
        <v>0</v>
      </c>
      <c r="AC431" s="296"/>
      <c r="AD431" s="113"/>
      <c r="AE431" s="5"/>
      <c r="AF431" s="5"/>
      <c r="AG431" s="5"/>
      <c r="AH431" s="5"/>
      <c r="AI431" s="5"/>
      <c r="AJ431" s="5"/>
      <c r="AK431" s="141"/>
      <c r="AL431" s="94"/>
      <c r="AM431" s="128"/>
      <c r="AN431" s="180"/>
      <c r="AO431" s="128"/>
      <c r="AP431" s="184"/>
      <c r="AQ431" s="128"/>
      <c r="AR431" s="184"/>
      <c r="AS431" s="128"/>
      <c r="AT431" s="184"/>
      <c r="AU431" s="128"/>
      <c r="AV431" s="184"/>
      <c r="AW431" s="128"/>
      <c r="AX431" s="184"/>
      <c r="AY431" s="111"/>
      <c r="AZ431" s="178"/>
      <c r="BC431" s="216"/>
      <c r="BD431" s="47"/>
      <c r="BF431" s="113"/>
      <c r="BG431" s="113"/>
      <c r="BH431" s="113"/>
      <c r="BI431" s="113"/>
      <c r="BJ431" s="113"/>
      <c r="BK431" s="113"/>
      <c r="BL431" s="5">
        <f t="shared" si="139"/>
        <v>0</v>
      </c>
    </row>
    <row r="432" spans="1:64" s="2" customFormat="1" ht="15.75" customHeight="1" outlineLevel="1" x14ac:dyDescent="0.2">
      <c r="A432" s="595"/>
      <c r="B432" s="602"/>
      <c r="C432" s="7" t="s">
        <v>1554</v>
      </c>
      <c r="D432" s="8"/>
      <c r="E432" s="23"/>
      <c r="F432" s="8"/>
      <c r="G432" s="8"/>
      <c r="H432" s="5">
        <f>H430</f>
        <v>0.24101700000000001</v>
      </c>
      <c r="I432" s="5">
        <f>I430</f>
        <v>0.01</v>
      </c>
      <c r="J432" s="5">
        <f>J430</f>
        <v>0.01</v>
      </c>
      <c r="K432" s="23"/>
      <c r="L432" s="8"/>
      <c r="M432" s="8"/>
      <c r="N432" s="8"/>
      <c r="O432" s="8"/>
      <c r="P432" s="8"/>
      <c r="Q432" s="23"/>
      <c r="R432" s="113"/>
      <c r="S432" s="113"/>
      <c r="T432" s="113"/>
      <c r="U432" s="113"/>
      <c r="V432" s="113"/>
      <c r="W432" s="113"/>
      <c r="X432" s="5">
        <f>SUM(R432:W432)</f>
        <v>0</v>
      </c>
      <c r="Y432" s="302"/>
      <c r="Z432" s="5"/>
      <c r="AA432" s="94"/>
      <c r="AB432" s="311">
        <f t="shared" si="135"/>
        <v>0.01</v>
      </c>
      <c r="AC432" s="296"/>
      <c r="AD432" s="113"/>
      <c r="AE432" s="5"/>
      <c r="AF432" s="5"/>
      <c r="AG432" s="5"/>
      <c r="AH432" s="5"/>
      <c r="AI432" s="5"/>
      <c r="AJ432" s="5"/>
      <c r="AK432" s="141"/>
      <c r="AL432" s="94"/>
      <c r="AM432" s="128"/>
      <c r="AN432" s="180"/>
      <c r="AO432" s="128"/>
      <c r="AP432" s="184"/>
      <c r="AQ432" s="128"/>
      <c r="AR432" s="184"/>
      <c r="AS432" s="128"/>
      <c r="AT432" s="184"/>
      <c r="AU432" s="128"/>
      <c r="AV432" s="184"/>
      <c r="AW432" s="128"/>
      <c r="AX432" s="184"/>
      <c r="AY432" s="111"/>
      <c r="AZ432" s="178"/>
      <c r="BC432" s="216"/>
      <c r="BD432" s="47"/>
      <c r="BF432" s="113"/>
      <c r="BG432" s="113"/>
      <c r="BH432" s="113"/>
      <c r="BI432" s="113"/>
      <c r="BJ432" s="113"/>
      <c r="BK432" s="113"/>
      <c r="BL432" s="5">
        <f t="shared" si="139"/>
        <v>0</v>
      </c>
    </row>
    <row r="433" spans="1:64" s="2" customFormat="1" ht="38.25" customHeight="1" outlineLevel="1" x14ac:dyDescent="0.2">
      <c r="A433" s="593" t="s">
        <v>768</v>
      </c>
      <c r="B433" s="600" t="s">
        <v>1652</v>
      </c>
      <c r="C433" s="7" t="s">
        <v>511</v>
      </c>
      <c r="D433" s="8" t="s">
        <v>397</v>
      </c>
      <c r="E433" s="23" t="s">
        <v>335</v>
      </c>
      <c r="F433" s="8">
        <v>2012</v>
      </c>
      <c r="G433" s="8">
        <v>2015</v>
      </c>
      <c r="H433" s="5">
        <v>0.23788000000000001</v>
      </c>
      <c r="I433" s="5">
        <v>0.22827700000000001</v>
      </c>
      <c r="J433" s="5">
        <f>R433</f>
        <v>9.8255999999999996E-2</v>
      </c>
      <c r="K433" s="8"/>
      <c r="L433" s="23" t="s">
        <v>335</v>
      </c>
      <c r="M433" s="8"/>
      <c r="N433" s="8"/>
      <c r="O433" s="8"/>
      <c r="P433" s="8"/>
      <c r="Q433" s="23" t="s">
        <v>335</v>
      </c>
      <c r="R433" s="113">
        <v>9.8255999999999996E-2</v>
      </c>
      <c r="S433" s="113"/>
      <c r="T433" s="113"/>
      <c r="U433" s="113"/>
      <c r="V433" s="113"/>
      <c r="W433" s="113"/>
      <c r="X433" s="5">
        <f t="shared" si="140"/>
        <v>9.8255999999999996E-2</v>
      </c>
      <c r="Y433" s="302">
        <f>H433-H434-H435</f>
        <v>0</v>
      </c>
      <c r="Z433" s="5">
        <f>I433-I434-I435</f>
        <v>0</v>
      </c>
      <c r="AA433" s="94">
        <f>J433-J434-J435</f>
        <v>0</v>
      </c>
      <c r="AB433" s="311">
        <f t="shared" si="135"/>
        <v>0.130021</v>
      </c>
      <c r="AC433" s="296"/>
      <c r="AD433" s="113"/>
      <c r="AE433" s="5"/>
      <c r="AF433" s="5"/>
      <c r="AG433" s="5">
        <f>H433</f>
        <v>0.23788000000000001</v>
      </c>
      <c r="AH433" s="5"/>
      <c r="AI433" s="5"/>
      <c r="AJ433" s="5"/>
      <c r="AK433" s="141"/>
      <c r="AL433" s="94">
        <f>SUM(AF433:AK433)</f>
        <v>0.23788000000000001</v>
      </c>
      <c r="AM433" s="128"/>
      <c r="AN433" s="180"/>
      <c r="AO433" s="128">
        <v>0.1</v>
      </c>
      <c r="AP433" s="184">
        <v>0</v>
      </c>
      <c r="AQ433" s="128"/>
      <c r="AR433" s="184"/>
      <c r="AS433" s="128"/>
      <c r="AT433" s="184"/>
      <c r="AU433" s="128"/>
      <c r="AV433" s="184"/>
      <c r="AW433" s="128"/>
      <c r="AX433" s="184"/>
      <c r="AY433" s="111">
        <f t="shared" si="141"/>
        <v>0.1</v>
      </c>
      <c r="AZ433" s="178">
        <f t="shared" si="141"/>
        <v>0</v>
      </c>
      <c r="BC433" s="216"/>
      <c r="BD433" s="47"/>
      <c r="BF433" s="113">
        <v>9.8255999999999996E-2</v>
      </c>
      <c r="BG433" s="113"/>
      <c r="BH433" s="113"/>
      <c r="BI433" s="113"/>
      <c r="BJ433" s="113"/>
      <c r="BK433" s="113"/>
      <c r="BL433" s="5">
        <f t="shared" ref="BL433:BL442" si="142">SUM(BF433:BK433)</f>
        <v>9.8255999999999996E-2</v>
      </c>
    </row>
    <row r="434" spans="1:64" s="2" customFormat="1" ht="15.75" customHeight="1" outlineLevel="1" x14ac:dyDescent="0.2">
      <c r="A434" s="594"/>
      <c r="B434" s="601"/>
      <c r="C434" s="7" t="s">
        <v>1553</v>
      </c>
      <c r="D434" s="8"/>
      <c r="E434" s="23"/>
      <c r="F434" s="8"/>
      <c r="G434" s="8"/>
      <c r="H434" s="5">
        <f>H433</f>
        <v>0.23788000000000001</v>
      </c>
      <c r="I434" s="5">
        <f>I433</f>
        <v>0.22827700000000001</v>
      </c>
      <c r="J434" s="5">
        <f>J433</f>
        <v>9.8255999999999996E-2</v>
      </c>
      <c r="K434" s="8"/>
      <c r="L434" s="23"/>
      <c r="M434" s="8"/>
      <c r="N434" s="8"/>
      <c r="O434" s="8"/>
      <c r="P434" s="8"/>
      <c r="Q434" s="23"/>
      <c r="R434" s="113"/>
      <c r="S434" s="113"/>
      <c r="T434" s="113"/>
      <c r="U434" s="113"/>
      <c r="V434" s="113"/>
      <c r="W434" s="113"/>
      <c r="X434" s="5">
        <f t="shared" si="140"/>
        <v>0</v>
      </c>
      <c r="Y434" s="302"/>
      <c r="Z434" s="5"/>
      <c r="AA434" s="94"/>
      <c r="AB434" s="311">
        <f t="shared" si="135"/>
        <v>0.22827700000000001</v>
      </c>
      <c r="AC434" s="296"/>
      <c r="AD434" s="113"/>
      <c r="AE434" s="5"/>
      <c r="AF434" s="5"/>
      <c r="AG434" s="5"/>
      <c r="AH434" s="5"/>
      <c r="AI434" s="5"/>
      <c r="AJ434" s="5"/>
      <c r="AK434" s="141"/>
      <c r="AL434" s="94"/>
      <c r="AM434" s="128"/>
      <c r="AN434" s="180"/>
      <c r="AO434" s="128"/>
      <c r="AP434" s="184"/>
      <c r="AQ434" s="128"/>
      <c r="AR434" s="184"/>
      <c r="AS434" s="128"/>
      <c r="AT434" s="184"/>
      <c r="AU434" s="128"/>
      <c r="AV434" s="184"/>
      <c r="AW434" s="128"/>
      <c r="AX434" s="184"/>
      <c r="AY434" s="111"/>
      <c r="AZ434" s="178"/>
      <c r="BC434" s="216"/>
      <c r="BD434" s="47"/>
      <c r="BF434" s="113"/>
      <c r="BG434" s="113"/>
      <c r="BH434" s="113"/>
      <c r="BI434" s="113"/>
      <c r="BJ434" s="113"/>
      <c r="BK434" s="113"/>
      <c r="BL434" s="5">
        <f t="shared" si="142"/>
        <v>0</v>
      </c>
    </row>
    <row r="435" spans="1:64" s="2" customFormat="1" ht="15.75" customHeight="1" outlineLevel="1" x14ac:dyDescent="0.2">
      <c r="A435" s="595"/>
      <c r="B435" s="602"/>
      <c r="C435" s="7" t="s">
        <v>1554</v>
      </c>
      <c r="D435" s="8"/>
      <c r="E435" s="23"/>
      <c r="F435" s="8"/>
      <c r="G435" s="8"/>
      <c r="H435" s="5"/>
      <c r="I435" s="5"/>
      <c r="J435" s="5"/>
      <c r="K435" s="23"/>
      <c r="L435" s="8"/>
      <c r="M435" s="8"/>
      <c r="N435" s="8"/>
      <c r="O435" s="8"/>
      <c r="P435" s="8"/>
      <c r="Q435" s="23"/>
      <c r="R435" s="113"/>
      <c r="S435" s="113"/>
      <c r="T435" s="113"/>
      <c r="U435" s="113"/>
      <c r="V435" s="113"/>
      <c r="W435" s="113"/>
      <c r="X435" s="5">
        <f t="shared" si="140"/>
        <v>0</v>
      </c>
      <c r="Y435" s="302"/>
      <c r="Z435" s="5"/>
      <c r="AA435" s="94"/>
      <c r="AB435" s="311">
        <f t="shared" si="135"/>
        <v>0</v>
      </c>
      <c r="AC435" s="296"/>
      <c r="AD435" s="113"/>
      <c r="AE435" s="5"/>
      <c r="AF435" s="5"/>
      <c r="AG435" s="5"/>
      <c r="AH435" s="5"/>
      <c r="AI435" s="5"/>
      <c r="AJ435" s="5"/>
      <c r="AK435" s="141"/>
      <c r="AL435" s="94"/>
      <c r="AM435" s="128"/>
      <c r="AN435" s="180"/>
      <c r="AO435" s="128"/>
      <c r="AP435" s="184"/>
      <c r="AQ435" s="128"/>
      <c r="AR435" s="184"/>
      <c r="AS435" s="128"/>
      <c r="AT435" s="184"/>
      <c r="AU435" s="128"/>
      <c r="AV435" s="184"/>
      <c r="AW435" s="128"/>
      <c r="AX435" s="184"/>
      <c r="AY435" s="111"/>
      <c r="AZ435" s="178"/>
      <c r="BC435" s="216"/>
      <c r="BD435" s="47"/>
      <c r="BF435" s="113"/>
      <c r="BG435" s="113"/>
      <c r="BH435" s="113"/>
      <c r="BI435" s="113"/>
      <c r="BJ435" s="113"/>
      <c r="BK435" s="113"/>
      <c r="BL435" s="5">
        <f t="shared" si="142"/>
        <v>0</v>
      </c>
    </row>
    <row r="436" spans="1:64" s="2" customFormat="1" ht="38.25" outlineLevel="1" x14ac:dyDescent="0.2">
      <c r="A436" s="593" t="s">
        <v>769</v>
      </c>
      <c r="B436" s="600" t="s">
        <v>1653</v>
      </c>
      <c r="C436" s="7" t="s">
        <v>512</v>
      </c>
      <c r="D436" s="8" t="s">
        <v>397</v>
      </c>
      <c r="E436" s="23" t="s">
        <v>340</v>
      </c>
      <c r="F436" s="8">
        <v>2012</v>
      </c>
      <c r="G436" s="8">
        <v>2014</v>
      </c>
      <c r="H436" s="5">
        <v>0.93901539000000001</v>
      </c>
      <c r="I436" s="5">
        <v>1.5945999999999998E-2</v>
      </c>
      <c r="J436" s="5">
        <f>R436</f>
        <v>1.5945999999999998E-2</v>
      </c>
      <c r="K436" s="23" t="s">
        <v>340</v>
      </c>
      <c r="L436" s="8"/>
      <c r="M436" s="8"/>
      <c r="N436" s="8"/>
      <c r="O436" s="8"/>
      <c r="P436" s="8"/>
      <c r="Q436" s="23" t="s">
        <v>340</v>
      </c>
      <c r="R436" s="113">
        <v>1.5945999999999998E-2</v>
      </c>
      <c r="S436" s="113"/>
      <c r="T436" s="113"/>
      <c r="U436" s="113"/>
      <c r="V436" s="113"/>
      <c r="W436" s="113"/>
      <c r="X436" s="5">
        <f t="shared" si="140"/>
        <v>1.5945999999999998E-2</v>
      </c>
      <c r="Y436" s="302">
        <f>H436-H437-H438</f>
        <v>0</v>
      </c>
      <c r="Z436" s="5">
        <f>I436-I437-I438</f>
        <v>0</v>
      </c>
      <c r="AA436" s="94">
        <f>J436-J437-J438</f>
        <v>0</v>
      </c>
      <c r="AB436" s="311">
        <f t="shared" si="135"/>
        <v>0</v>
      </c>
      <c r="AC436" s="296"/>
      <c r="AD436" s="113"/>
      <c r="AE436" s="5"/>
      <c r="AF436" s="5">
        <f>H436</f>
        <v>0.93901539000000001</v>
      </c>
      <c r="AG436" s="5"/>
      <c r="AH436" s="5"/>
      <c r="AI436" s="5"/>
      <c r="AJ436" s="5"/>
      <c r="AK436" s="141"/>
      <c r="AL436" s="94">
        <f>SUM(AF436:AK436)</f>
        <v>0.93901539000000001</v>
      </c>
      <c r="AM436" s="128">
        <v>0.2</v>
      </c>
      <c r="AN436" s="180">
        <v>0</v>
      </c>
      <c r="AO436" s="128"/>
      <c r="AP436" s="184"/>
      <c r="AQ436" s="128"/>
      <c r="AR436" s="184"/>
      <c r="AS436" s="128"/>
      <c r="AT436" s="184"/>
      <c r="AU436" s="128"/>
      <c r="AV436" s="184"/>
      <c r="AW436" s="128"/>
      <c r="AX436" s="184"/>
      <c r="AY436" s="111">
        <f>AM436+AO436+AQ436+AS436+AU436+AW436</f>
        <v>0.2</v>
      </c>
      <c r="AZ436" s="178">
        <f>AN436+AP436+AR436+AT436+AV436+AX436</f>
        <v>0</v>
      </c>
      <c r="BC436" s="216"/>
      <c r="BD436" s="47"/>
      <c r="BF436" s="113">
        <v>1.5945999999999998E-2</v>
      </c>
      <c r="BG436" s="113"/>
      <c r="BH436" s="113"/>
      <c r="BI436" s="113"/>
      <c r="BJ436" s="113"/>
      <c r="BK436" s="113"/>
      <c r="BL436" s="5">
        <f t="shared" si="142"/>
        <v>1.5945999999999998E-2</v>
      </c>
    </row>
    <row r="437" spans="1:64" s="2" customFormat="1" ht="14.1" customHeight="1" outlineLevel="1" x14ac:dyDescent="0.2">
      <c r="A437" s="594"/>
      <c r="B437" s="601"/>
      <c r="C437" s="7" t="s">
        <v>1553</v>
      </c>
      <c r="D437" s="8"/>
      <c r="E437" s="23"/>
      <c r="F437" s="8"/>
      <c r="G437" s="8"/>
      <c r="H437" s="5">
        <f>H436</f>
        <v>0.93901539000000001</v>
      </c>
      <c r="I437" s="5">
        <f>I436</f>
        <v>1.5945999999999998E-2</v>
      </c>
      <c r="J437" s="5">
        <f>J436</f>
        <v>1.5945999999999998E-2</v>
      </c>
      <c r="K437" s="8"/>
      <c r="L437" s="23"/>
      <c r="M437" s="8"/>
      <c r="N437" s="8"/>
      <c r="O437" s="8"/>
      <c r="P437" s="8"/>
      <c r="Q437" s="23"/>
      <c r="R437" s="113"/>
      <c r="S437" s="113"/>
      <c r="T437" s="113"/>
      <c r="U437" s="113"/>
      <c r="V437" s="113"/>
      <c r="W437" s="113"/>
      <c r="X437" s="5">
        <f t="shared" si="140"/>
        <v>0</v>
      </c>
      <c r="Y437" s="302"/>
      <c r="Z437" s="5"/>
      <c r="AA437" s="94"/>
      <c r="AB437" s="311">
        <f t="shared" si="135"/>
        <v>1.5945999999999998E-2</v>
      </c>
      <c r="AC437" s="296"/>
      <c r="AD437" s="113"/>
      <c r="AE437" s="5"/>
      <c r="AF437" s="5"/>
      <c r="AG437" s="5"/>
      <c r="AH437" s="5"/>
      <c r="AI437" s="5"/>
      <c r="AJ437" s="5"/>
      <c r="AK437" s="141"/>
      <c r="AL437" s="94"/>
      <c r="AM437" s="128"/>
      <c r="AN437" s="180"/>
      <c r="AO437" s="128"/>
      <c r="AP437" s="184"/>
      <c r="AQ437" s="128"/>
      <c r="AR437" s="184"/>
      <c r="AS437" s="128"/>
      <c r="AT437" s="184"/>
      <c r="AU437" s="128"/>
      <c r="AV437" s="184"/>
      <c r="AW437" s="128"/>
      <c r="AX437" s="184"/>
      <c r="AY437" s="111"/>
      <c r="AZ437" s="178"/>
      <c r="BC437" s="216"/>
      <c r="BD437" s="47"/>
      <c r="BF437" s="113"/>
      <c r="BG437" s="113"/>
      <c r="BH437" s="113"/>
      <c r="BI437" s="113"/>
      <c r="BJ437" s="113"/>
      <c r="BK437" s="113"/>
      <c r="BL437" s="5">
        <f t="shared" si="142"/>
        <v>0</v>
      </c>
    </row>
    <row r="438" spans="1:64" s="2" customFormat="1" ht="14.1" customHeight="1" outlineLevel="1" x14ac:dyDescent="0.2">
      <c r="A438" s="595"/>
      <c r="B438" s="602"/>
      <c r="C438" s="7" t="s">
        <v>1554</v>
      </c>
      <c r="D438" s="8"/>
      <c r="E438" s="23"/>
      <c r="F438" s="8"/>
      <c r="G438" s="8"/>
      <c r="H438" s="5"/>
      <c r="I438" s="5"/>
      <c r="J438" s="5"/>
      <c r="K438" s="23"/>
      <c r="L438" s="8"/>
      <c r="M438" s="8"/>
      <c r="N438" s="8"/>
      <c r="O438" s="8"/>
      <c r="P438" s="8"/>
      <c r="Q438" s="23"/>
      <c r="R438" s="113"/>
      <c r="S438" s="113"/>
      <c r="T438" s="113"/>
      <c r="U438" s="113"/>
      <c r="V438" s="113"/>
      <c r="W438" s="113"/>
      <c r="X438" s="5">
        <f t="shared" si="140"/>
        <v>0</v>
      </c>
      <c r="Y438" s="302"/>
      <c r="Z438" s="5"/>
      <c r="AA438" s="94"/>
      <c r="AB438" s="311">
        <f t="shared" si="135"/>
        <v>0</v>
      </c>
      <c r="AC438" s="296"/>
      <c r="AD438" s="113"/>
      <c r="AE438" s="5"/>
      <c r="AF438" s="5"/>
      <c r="AG438" s="5"/>
      <c r="AH438" s="5"/>
      <c r="AI438" s="5"/>
      <c r="AJ438" s="5"/>
      <c r="AK438" s="141"/>
      <c r="AL438" s="94"/>
      <c r="AM438" s="128"/>
      <c r="AN438" s="180"/>
      <c r="AO438" s="128"/>
      <c r="AP438" s="184"/>
      <c r="AQ438" s="128"/>
      <c r="AR438" s="184"/>
      <c r="AS438" s="128"/>
      <c r="AT438" s="184"/>
      <c r="AU438" s="128"/>
      <c r="AV438" s="184"/>
      <c r="AW438" s="128"/>
      <c r="AX438" s="184"/>
      <c r="AY438" s="111"/>
      <c r="AZ438" s="178"/>
      <c r="BC438" s="216"/>
      <c r="BD438" s="47"/>
      <c r="BF438" s="113"/>
      <c r="BG438" s="113"/>
      <c r="BH438" s="113"/>
      <c r="BI438" s="113"/>
      <c r="BJ438" s="113"/>
      <c r="BK438" s="113"/>
      <c r="BL438" s="5">
        <f t="shared" si="142"/>
        <v>0</v>
      </c>
    </row>
    <row r="439" spans="1:64" s="2" customFormat="1" ht="89.25" outlineLevel="1" x14ac:dyDescent="0.2">
      <c r="A439" s="593" t="s">
        <v>770</v>
      </c>
      <c r="B439" s="600" t="s">
        <v>1654</v>
      </c>
      <c r="C439" s="7" t="s">
        <v>604</v>
      </c>
      <c r="D439" s="8" t="s">
        <v>397</v>
      </c>
      <c r="E439" s="23" t="s">
        <v>347</v>
      </c>
      <c r="F439" s="8">
        <v>2012</v>
      </c>
      <c r="G439" s="8">
        <v>2014</v>
      </c>
      <c r="H439" s="5">
        <v>7.7691999999999997E-2</v>
      </c>
      <c r="I439" s="5">
        <v>0.01</v>
      </c>
      <c r="J439" s="5">
        <f>R439</f>
        <v>0.01</v>
      </c>
      <c r="K439" s="23" t="s">
        <v>347</v>
      </c>
      <c r="L439" s="8"/>
      <c r="M439" s="8"/>
      <c r="N439" s="8"/>
      <c r="O439" s="8"/>
      <c r="P439" s="8"/>
      <c r="Q439" s="23" t="s">
        <v>347</v>
      </c>
      <c r="R439" s="113">
        <v>0.01</v>
      </c>
      <c r="S439" s="113"/>
      <c r="T439" s="113"/>
      <c r="U439" s="113"/>
      <c r="V439" s="113"/>
      <c r="W439" s="113"/>
      <c r="X439" s="5">
        <f t="shared" si="140"/>
        <v>0.01</v>
      </c>
      <c r="Y439" s="302">
        <f>H439-H440-H441</f>
        <v>0</v>
      </c>
      <c r="Z439" s="5">
        <f>I439-I440-I441</f>
        <v>0</v>
      </c>
      <c r="AA439" s="94">
        <f>J439-J440-J441</f>
        <v>0</v>
      </c>
      <c r="AB439" s="311">
        <f t="shared" si="135"/>
        <v>0</v>
      </c>
      <c r="AC439" s="296"/>
      <c r="AD439" s="113"/>
      <c r="AE439" s="5"/>
      <c r="AF439" s="5">
        <f>H439</f>
        <v>7.7691999999999997E-2</v>
      </c>
      <c r="AG439" s="5"/>
      <c r="AH439" s="5"/>
      <c r="AI439" s="5"/>
      <c r="AJ439" s="5"/>
      <c r="AK439" s="141"/>
      <c r="AL439" s="94">
        <f>SUM(AF439:AK439)</f>
        <v>7.7691999999999997E-2</v>
      </c>
      <c r="AM439" s="128">
        <v>0.05</v>
      </c>
      <c r="AN439" s="180">
        <v>0</v>
      </c>
      <c r="AO439" s="128"/>
      <c r="AP439" s="184"/>
      <c r="AQ439" s="128"/>
      <c r="AR439" s="184"/>
      <c r="AS439" s="128"/>
      <c r="AT439" s="184"/>
      <c r="AU439" s="128"/>
      <c r="AV439" s="184"/>
      <c r="AW439" s="128"/>
      <c r="AX439" s="184"/>
      <c r="AY439" s="111">
        <f>AM439+AO439+AQ439+AS439+AU439+AW439</f>
        <v>0.05</v>
      </c>
      <c r="AZ439" s="178">
        <f>AN439+AP439+AR439+AT439+AV439+AX439</f>
        <v>0</v>
      </c>
      <c r="BC439" s="216"/>
      <c r="BD439" s="47"/>
      <c r="BF439" s="113">
        <v>0.01</v>
      </c>
      <c r="BG439" s="113"/>
      <c r="BH439" s="113"/>
      <c r="BI439" s="113"/>
      <c r="BJ439" s="113"/>
      <c r="BK439" s="113"/>
      <c r="BL439" s="5">
        <f t="shared" si="142"/>
        <v>0.01</v>
      </c>
    </row>
    <row r="440" spans="1:64" s="2" customFormat="1" ht="14.1" customHeight="1" outlineLevel="1" x14ac:dyDescent="0.2">
      <c r="A440" s="594"/>
      <c r="B440" s="601"/>
      <c r="C440" s="7" t="s">
        <v>1553</v>
      </c>
      <c r="D440" s="8"/>
      <c r="E440" s="23"/>
      <c r="F440" s="8"/>
      <c r="G440" s="8"/>
      <c r="H440" s="5">
        <v>7.7691999999999997E-2</v>
      </c>
      <c r="I440" s="5">
        <v>0.01</v>
      </c>
      <c r="J440" s="5">
        <v>0.01</v>
      </c>
      <c r="K440" s="8"/>
      <c r="L440" s="23"/>
      <c r="M440" s="8"/>
      <c r="N440" s="8"/>
      <c r="O440" s="8"/>
      <c r="P440" s="8"/>
      <c r="Q440" s="23"/>
      <c r="R440" s="113"/>
      <c r="S440" s="113"/>
      <c r="T440" s="113"/>
      <c r="U440" s="113"/>
      <c r="V440" s="113"/>
      <c r="W440" s="113"/>
      <c r="X440" s="5">
        <f t="shared" si="140"/>
        <v>0</v>
      </c>
      <c r="Y440" s="302"/>
      <c r="Z440" s="5"/>
      <c r="AA440" s="94"/>
      <c r="AB440" s="311">
        <f t="shared" si="135"/>
        <v>0.01</v>
      </c>
      <c r="AC440" s="296"/>
      <c r="AD440" s="113"/>
      <c r="AE440" s="5"/>
      <c r="AF440" s="5"/>
      <c r="AG440" s="5"/>
      <c r="AH440" s="5"/>
      <c r="AI440" s="5"/>
      <c r="AJ440" s="5"/>
      <c r="AK440" s="141"/>
      <c r="AL440" s="94"/>
      <c r="AM440" s="128"/>
      <c r="AN440" s="180"/>
      <c r="AO440" s="128"/>
      <c r="AP440" s="184"/>
      <c r="AQ440" s="128"/>
      <c r="AR440" s="184"/>
      <c r="AS440" s="128"/>
      <c r="AT440" s="184"/>
      <c r="AU440" s="128"/>
      <c r="AV440" s="184"/>
      <c r="AW440" s="128"/>
      <c r="AX440" s="184"/>
      <c r="AY440" s="111"/>
      <c r="AZ440" s="178"/>
      <c r="BC440" s="216"/>
      <c r="BD440" s="47"/>
      <c r="BF440" s="113"/>
      <c r="BG440" s="113"/>
      <c r="BH440" s="113"/>
      <c r="BI440" s="113"/>
      <c r="BJ440" s="113"/>
      <c r="BK440" s="113"/>
      <c r="BL440" s="5">
        <f t="shared" si="142"/>
        <v>0</v>
      </c>
    </row>
    <row r="441" spans="1:64" s="2" customFormat="1" ht="14.1" customHeight="1" outlineLevel="1" x14ac:dyDescent="0.2">
      <c r="A441" s="595"/>
      <c r="B441" s="602"/>
      <c r="C441" s="7" t="s">
        <v>1554</v>
      </c>
      <c r="D441" s="8"/>
      <c r="E441" s="23"/>
      <c r="F441" s="8"/>
      <c r="G441" s="8"/>
      <c r="H441" s="5"/>
      <c r="I441" s="5"/>
      <c r="J441" s="5"/>
      <c r="K441" s="23"/>
      <c r="L441" s="8"/>
      <c r="M441" s="8"/>
      <c r="N441" s="8"/>
      <c r="O441" s="8"/>
      <c r="P441" s="8"/>
      <c r="Q441" s="23"/>
      <c r="R441" s="113"/>
      <c r="S441" s="113"/>
      <c r="T441" s="113"/>
      <c r="U441" s="113"/>
      <c r="V441" s="113"/>
      <c r="W441" s="113"/>
      <c r="X441" s="5">
        <f t="shared" si="140"/>
        <v>0</v>
      </c>
      <c r="Y441" s="302"/>
      <c r="Z441" s="5"/>
      <c r="AA441" s="94"/>
      <c r="AB441" s="311">
        <f t="shared" si="135"/>
        <v>0</v>
      </c>
      <c r="AC441" s="296"/>
      <c r="AD441" s="113"/>
      <c r="AE441" s="5"/>
      <c r="AF441" s="5"/>
      <c r="AG441" s="5"/>
      <c r="AH441" s="5"/>
      <c r="AI441" s="5"/>
      <c r="AJ441" s="5"/>
      <c r="AK441" s="141"/>
      <c r="AL441" s="94"/>
      <c r="AM441" s="128"/>
      <c r="AN441" s="180"/>
      <c r="AO441" s="128"/>
      <c r="AP441" s="184"/>
      <c r="AQ441" s="128"/>
      <c r="AR441" s="184"/>
      <c r="AS441" s="128"/>
      <c r="AT441" s="184"/>
      <c r="AU441" s="128"/>
      <c r="AV441" s="184"/>
      <c r="AW441" s="128"/>
      <c r="AX441" s="184"/>
      <c r="AY441" s="111"/>
      <c r="AZ441" s="178"/>
      <c r="BC441" s="216"/>
      <c r="BD441" s="47"/>
      <c r="BF441" s="113"/>
      <c r="BG441" s="113"/>
      <c r="BH441" s="113"/>
      <c r="BI441" s="113"/>
      <c r="BJ441" s="113"/>
      <c r="BK441" s="113"/>
      <c r="BL441" s="5">
        <f t="shared" si="142"/>
        <v>0</v>
      </c>
    </row>
    <row r="442" spans="1:64" s="2" customFormat="1" ht="63.75" customHeight="1" outlineLevel="1" x14ac:dyDescent="0.2">
      <c r="A442" s="593" t="s">
        <v>771</v>
      </c>
      <c r="B442" s="600" t="s">
        <v>1655</v>
      </c>
      <c r="C442" s="7" t="s">
        <v>605</v>
      </c>
      <c r="D442" s="8" t="s">
        <v>397</v>
      </c>
      <c r="E442" s="23" t="s">
        <v>342</v>
      </c>
      <c r="F442" s="8">
        <v>2012</v>
      </c>
      <c r="G442" s="8">
        <v>2015</v>
      </c>
      <c r="H442" s="5">
        <v>0.83532000000000006</v>
      </c>
      <c r="I442" s="5">
        <v>0.78612000000000004</v>
      </c>
      <c r="J442" s="5">
        <f>R442</f>
        <v>0</v>
      </c>
      <c r="K442" s="8"/>
      <c r="L442" s="23" t="s">
        <v>342</v>
      </c>
      <c r="M442" s="8"/>
      <c r="N442" s="8"/>
      <c r="O442" s="8"/>
      <c r="P442" s="8"/>
      <c r="Q442" s="23" t="s">
        <v>342</v>
      </c>
      <c r="R442" s="113">
        <v>0</v>
      </c>
      <c r="S442" s="113"/>
      <c r="T442" s="113"/>
      <c r="U442" s="113"/>
      <c r="V442" s="113"/>
      <c r="W442" s="113"/>
      <c r="X442" s="5">
        <f t="shared" si="140"/>
        <v>0</v>
      </c>
      <c r="Y442" s="302">
        <f>H442-H443-H444</f>
        <v>0</v>
      </c>
      <c r="Z442" s="5">
        <f>I442-I443-I444</f>
        <v>0</v>
      </c>
      <c r="AA442" s="94">
        <f>J442-J443-J444</f>
        <v>0</v>
      </c>
      <c r="AB442" s="311">
        <f t="shared" si="135"/>
        <v>0.78612000000000004</v>
      </c>
      <c r="AC442" s="296"/>
      <c r="AD442" s="113"/>
      <c r="AE442" s="5"/>
      <c r="AF442" s="5"/>
      <c r="AG442" s="5">
        <f>H442</f>
        <v>0.83532000000000006</v>
      </c>
      <c r="AH442" s="5"/>
      <c r="AI442" s="5"/>
      <c r="AJ442" s="5"/>
      <c r="AK442" s="141"/>
      <c r="AL442" s="94">
        <f>SUM(AF442:AK442)</f>
        <v>0.83532000000000006</v>
      </c>
      <c r="AM442" s="128"/>
      <c r="AN442" s="180"/>
      <c r="AO442" s="128">
        <v>0.7</v>
      </c>
      <c r="AP442" s="184">
        <v>0</v>
      </c>
      <c r="AQ442" s="128"/>
      <c r="AR442" s="184"/>
      <c r="AS442" s="128"/>
      <c r="AT442" s="184"/>
      <c r="AU442" s="128"/>
      <c r="AV442" s="184"/>
      <c r="AW442" s="128"/>
      <c r="AX442" s="184"/>
      <c r="AY442" s="111">
        <f t="shared" ref="AY442:AZ445" si="143">AM442+AO442+AQ442+AS442+AU442+AW442</f>
        <v>0.7</v>
      </c>
      <c r="AZ442" s="178">
        <f t="shared" si="143"/>
        <v>0</v>
      </c>
      <c r="BC442" s="216"/>
      <c r="BD442" s="47"/>
      <c r="BF442" s="113">
        <v>0</v>
      </c>
      <c r="BG442" s="113"/>
      <c r="BH442" s="113"/>
      <c r="BI442" s="113"/>
      <c r="BJ442" s="113"/>
      <c r="BK442" s="113"/>
      <c r="BL442" s="5">
        <f t="shared" si="142"/>
        <v>0</v>
      </c>
    </row>
    <row r="443" spans="1:64" s="2" customFormat="1" ht="15.75" customHeight="1" outlineLevel="1" x14ac:dyDescent="0.2">
      <c r="A443" s="594"/>
      <c r="B443" s="601"/>
      <c r="C443" s="7" t="s">
        <v>1553</v>
      </c>
      <c r="D443" s="8"/>
      <c r="E443" s="23"/>
      <c r="F443" s="8"/>
      <c r="G443" s="8"/>
      <c r="H443" s="5"/>
      <c r="I443" s="5"/>
      <c r="J443" s="5"/>
      <c r="K443" s="8"/>
      <c r="L443" s="23"/>
      <c r="M443" s="8"/>
      <c r="N443" s="8"/>
      <c r="O443" s="8"/>
      <c r="P443" s="8"/>
      <c r="Q443" s="23"/>
      <c r="R443" s="113"/>
      <c r="S443" s="113"/>
      <c r="T443" s="113"/>
      <c r="U443" s="113"/>
      <c r="V443" s="113"/>
      <c r="W443" s="113"/>
      <c r="X443" s="5">
        <f>SUM(R443:W443)</f>
        <v>0</v>
      </c>
      <c r="Y443" s="302"/>
      <c r="Z443" s="5"/>
      <c r="AA443" s="94"/>
      <c r="AB443" s="311">
        <f t="shared" si="135"/>
        <v>0</v>
      </c>
      <c r="AC443" s="296"/>
      <c r="AD443" s="113"/>
      <c r="AE443" s="5"/>
      <c r="AF443" s="5"/>
      <c r="AG443" s="5"/>
      <c r="AH443" s="5"/>
      <c r="AI443" s="5"/>
      <c r="AJ443" s="5"/>
      <c r="AK443" s="141"/>
      <c r="AL443" s="94"/>
      <c r="AM443" s="128"/>
      <c r="AN443" s="180"/>
      <c r="AO443" s="128"/>
      <c r="AP443" s="184"/>
      <c r="AQ443" s="128"/>
      <c r="AR443" s="184"/>
      <c r="AS443" s="128"/>
      <c r="AT443" s="184"/>
      <c r="AU443" s="128"/>
      <c r="AV443" s="184"/>
      <c r="AW443" s="128"/>
      <c r="AX443" s="184"/>
      <c r="AY443" s="111"/>
      <c r="AZ443" s="178"/>
      <c r="BC443" s="216"/>
      <c r="BD443" s="47"/>
      <c r="BF443" s="113"/>
      <c r="BG443" s="113"/>
      <c r="BH443" s="113"/>
      <c r="BI443" s="113"/>
      <c r="BJ443" s="113"/>
      <c r="BK443" s="113"/>
      <c r="BL443" s="5">
        <f>SUM(BF443:BK443)</f>
        <v>0</v>
      </c>
    </row>
    <row r="444" spans="1:64" s="2" customFormat="1" ht="15.75" customHeight="1" outlineLevel="1" x14ac:dyDescent="0.2">
      <c r="A444" s="595"/>
      <c r="B444" s="602"/>
      <c r="C444" s="7" t="s">
        <v>1554</v>
      </c>
      <c r="D444" s="8"/>
      <c r="E444" s="23"/>
      <c r="F444" s="8"/>
      <c r="G444" s="8"/>
      <c r="H444" s="5">
        <v>0.83532000000000006</v>
      </c>
      <c r="I444" s="5">
        <v>0.78612000000000004</v>
      </c>
      <c r="J444" s="5">
        <f>R444</f>
        <v>0</v>
      </c>
      <c r="K444" s="23"/>
      <c r="L444" s="8"/>
      <c r="M444" s="8"/>
      <c r="N444" s="8"/>
      <c r="O444" s="8"/>
      <c r="P444" s="8"/>
      <c r="Q444" s="23"/>
      <c r="R444" s="113"/>
      <c r="S444" s="113"/>
      <c r="T444" s="113"/>
      <c r="U444" s="113"/>
      <c r="V444" s="113"/>
      <c r="W444" s="113"/>
      <c r="X444" s="5">
        <f>SUM(R444:W444)</f>
        <v>0</v>
      </c>
      <c r="Y444" s="302"/>
      <c r="Z444" s="5"/>
      <c r="AA444" s="94"/>
      <c r="AB444" s="311">
        <f t="shared" si="135"/>
        <v>0.78612000000000004</v>
      </c>
      <c r="AC444" s="296"/>
      <c r="AD444" s="113"/>
      <c r="AE444" s="5"/>
      <c r="AF444" s="5"/>
      <c r="AG444" s="5"/>
      <c r="AH444" s="5"/>
      <c r="AI444" s="5"/>
      <c r="AJ444" s="5"/>
      <c r="AK444" s="141"/>
      <c r="AL444" s="94"/>
      <c r="AM444" s="128"/>
      <c r="AN444" s="180"/>
      <c r="AO444" s="128"/>
      <c r="AP444" s="184"/>
      <c r="AQ444" s="128"/>
      <c r="AR444" s="184"/>
      <c r="AS444" s="128"/>
      <c r="AT444" s="184"/>
      <c r="AU444" s="128"/>
      <c r="AV444" s="184"/>
      <c r="AW444" s="128"/>
      <c r="AX444" s="184"/>
      <c r="AY444" s="111"/>
      <c r="AZ444" s="178"/>
      <c r="BC444" s="216"/>
      <c r="BD444" s="47"/>
      <c r="BF444" s="113"/>
      <c r="BG444" s="113"/>
      <c r="BH444" s="113"/>
      <c r="BI444" s="113"/>
      <c r="BJ444" s="113"/>
      <c r="BK444" s="113"/>
      <c r="BL444" s="5">
        <f>SUM(BF444:BK444)</f>
        <v>0</v>
      </c>
    </row>
    <row r="445" spans="1:64" s="2" customFormat="1" ht="51" customHeight="1" outlineLevel="1" x14ac:dyDescent="0.2">
      <c r="A445" s="593" t="s">
        <v>772</v>
      </c>
      <c r="B445" s="600" t="s">
        <v>1656</v>
      </c>
      <c r="C445" s="7" t="s">
        <v>513</v>
      </c>
      <c r="D445" s="8" t="s">
        <v>397</v>
      </c>
      <c r="E445" s="23" t="s">
        <v>1241</v>
      </c>
      <c r="F445" s="8">
        <v>2012</v>
      </c>
      <c r="G445" s="8">
        <v>2014</v>
      </c>
      <c r="H445" s="5">
        <v>3.2799999999999996E-2</v>
      </c>
      <c r="I445" s="5">
        <v>0.01</v>
      </c>
      <c r="J445" s="5">
        <f>R445</f>
        <v>0.01</v>
      </c>
      <c r="K445" s="23" t="s">
        <v>1241</v>
      </c>
      <c r="L445" s="8"/>
      <c r="M445" s="8"/>
      <c r="N445" s="8"/>
      <c r="O445" s="8"/>
      <c r="P445" s="8"/>
      <c r="Q445" s="23" t="s">
        <v>1241</v>
      </c>
      <c r="R445" s="113">
        <v>0.01</v>
      </c>
      <c r="S445" s="113"/>
      <c r="T445" s="113"/>
      <c r="U445" s="113"/>
      <c r="V445" s="113"/>
      <c r="W445" s="113"/>
      <c r="X445" s="5">
        <f t="shared" si="140"/>
        <v>0.01</v>
      </c>
      <c r="Y445" s="302">
        <f>H445-H446-H447</f>
        <v>0</v>
      </c>
      <c r="Z445" s="5">
        <f>I445-I446-I447</f>
        <v>0</v>
      </c>
      <c r="AA445" s="94">
        <f>J445-J446-J447</f>
        <v>0</v>
      </c>
      <c r="AB445" s="311">
        <f t="shared" si="135"/>
        <v>0</v>
      </c>
      <c r="AC445" s="296"/>
      <c r="AD445" s="113"/>
      <c r="AE445" s="5"/>
      <c r="AF445" s="5">
        <f>H445</f>
        <v>3.2799999999999996E-2</v>
      </c>
      <c r="AG445" s="5"/>
      <c r="AH445" s="5"/>
      <c r="AI445" s="5"/>
      <c r="AJ445" s="5"/>
      <c r="AK445" s="141"/>
      <c r="AL445" s="94">
        <f>SUM(AF445:AK445)</f>
        <v>3.2799999999999996E-2</v>
      </c>
      <c r="AM445" s="128">
        <v>0</v>
      </c>
      <c r="AN445" s="180">
        <v>0</v>
      </c>
      <c r="AO445" s="128"/>
      <c r="AP445" s="184"/>
      <c r="AQ445" s="128"/>
      <c r="AR445" s="184"/>
      <c r="AS445" s="128"/>
      <c r="AT445" s="184"/>
      <c r="AU445" s="128"/>
      <c r="AV445" s="184"/>
      <c r="AW445" s="128"/>
      <c r="AX445" s="184"/>
      <c r="AY445" s="111">
        <f t="shared" si="143"/>
        <v>0</v>
      </c>
      <c r="AZ445" s="178">
        <f t="shared" si="143"/>
        <v>0</v>
      </c>
      <c r="BC445" s="216"/>
      <c r="BD445" s="47"/>
      <c r="BF445" s="113">
        <v>0.01</v>
      </c>
      <c r="BG445" s="113"/>
      <c r="BH445" s="113"/>
      <c r="BI445" s="113"/>
      <c r="BJ445" s="113"/>
      <c r="BK445" s="113"/>
      <c r="BL445" s="5">
        <f t="shared" ref="BL445:BL451" si="144">SUM(BF445:BK445)</f>
        <v>0.01</v>
      </c>
    </row>
    <row r="446" spans="1:64" s="2" customFormat="1" ht="15.75" customHeight="1" outlineLevel="1" x14ac:dyDescent="0.2">
      <c r="A446" s="594"/>
      <c r="B446" s="601"/>
      <c r="C446" s="7" t="s">
        <v>1553</v>
      </c>
      <c r="D446" s="8"/>
      <c r="E446" s="23"/>
      <c r="F446" s="8"/>
      <c r="G446" s="8"/>
      <c r="H446" s="5"/>
      <c r="I446" s="5"/>
      <c r="J446" s="5"/>
      <c r="K446" s="8"/>
      <c r="L446" s="23"/>
      <c r="M446" s="8"/>
      <c r="N446" s="8"/>
      <c r="O446" s="8"/>
      <c r="P446" s="8"/>
      <c r="Q446" s="23"/>
      <c r="R446" s="113"/>
      <c r="S446" s="113"/>
      <c r="T446" s="113"/>
      <c r="U446" s="113"/>
      <c r="V446" s="113"/>
      <c r="W446" s="113"/>
      <c r="X446" s="5">
        <f t="shared" si="140"/>
        <v>0</v>
      </c>
      <c r="Y446" s="302"/>
      <c r="Z446" s="5"/>
      <c r="AA446" s="94"/>
      <c r="AB446" s="311">
        <f t="shared" si="135"/>
        <v>0</v>
      </c>
      <c r="AC446" s="296"/>
      <c r="AD446" s="113"/>
      <c r="AE446" s="5"/>
      <c r="AF446" s="5"/>
      <c r="AG446" s="5"/>
      <c r="AH446" s="5"/>
      <c r="AI446" s="5"/>
      <c r="AJ446" s="5"/>
      <c r="AK446" s="141"/>
      <c r="AL446" s="94"/>
      <c r="AM446" s="128"/>
      <c r="AN446" s="180"/>
      <c r="AO446" s="128"/>
      <c r="AP446" s="184"/>
      <c r="AQ446" s="128"/>
      <c r="AR446" s="184"/>
      <c r="AS446" s="128"/>
      <c r="AT446" s="184"/>
      <c r="AU446" s="128"/>
      <c r="AV446" s="184"/>
      <c r="AW446" s="128"/>
      <c r="AX446" s="184"/>
      <c r="AY446" s="111"/>
      <c r="AZ446" s="178"/>
      <c r="BC446" s="216"/>
      <c r="BD446" s="47"/>
      <c r="BF446" s="113"/>
      <c r="BG446" s="113"/>
      <c r="BH446" s="113"/>
      <c r="BI446" s="113"/>
      <c r="BJ446" s="113"/>
      <c r="BK446" s="113"/>
      <c r="BL446" s="5">
        <f t="shared" si="144"/>
        <v>0</v>
      </c>
    </row>
    <row r="447" spans="1:64" s="2" customFormat="1" ht="15.75" customHeight="1" outlineLevel="1" x14ac:dyDescent="0.2">
      <c r="A447" s="595"/>
      <c r="B447" s="602"/>
      <c r="C447" s="7" t="s">
        <v>1554</v>
      </c>
      <c r="D447" s="8"/>
      <c r="E447" s="23"/>
      <c r="F447" s="8"/>
      <c r="G447" s="8"/>
      <c r="H447" s="5">
        <v>3.2799999999999996E-2</v>
      </c>
      <c r="I447" s="5">
        <v>0.01</v>
      </c>
      <c r="J447" s="5">
        <v>0.01</v>
      </c>
      <c r="K447" s="23"/>
      <c r="L447" s="8"/>
      <c r="M447" s="8"/>
      <c r="N447" s="8"/>
      <c r="O447" s="8"/>
      <c r="P447" s="8"/>
      <c r="Q447" s="23"/>
      <c r="R447" s="113"/>
      <c r="S447" s="113"/>
      <c r="T447" s="113"/>
      <c r="U447" s="113"/>
      <c r="V447" s="113"/>
      <c r="W447" s="113"/>
      <c r="X447" s="5">
        <f t="shared" si="140"/>
        <v>0</v>
      </c>
      <c r="Y447" s="302"/>
      <c r="Z447" s="5"/>
      <c r="AA447" s="94"/>
      <c r="AB447" s="311">
        <f t="shared" si="135"/>
        <v>0.01</v>
      </c>
      <c r="AC447" s="296"/>
      <c r="AD447" s="113"/>
      <c r="AE447" s="5"/>
      <c r="AF447" s="5"/>
      <c r="AG447" s="5"/>
      <c r="AH447" s="5"/>
      <c r="AI447" s="5"/>
      <c r="AJ447" s="5"/>
      <c r="AK447" s="141"/>
      <c r="AL447" s="94"/>
      <c r="AM447" s="128"/>
      <c r="AN447" s="180"/>
      <c r="AO447" s="128"/>
      <c r="AP447" s="184"/>
      <c r="AQ447" s="128"/>
      <c r="AR447" s="184"/>
      <c r="AS447" s="128"/>
      <c r="AT447" s="184"/>
      <c r="AU447" s="128"/>
      <c r="AV447" s="184"/>
      <c r="AW447" s="128"/>
      <c r="AX447" s="184"/>
      <c r="AY447" s="111"/>
      <c r="AZ447" s="178"/>
      <c r="BC447" s="216"/>
      <c r="BD447" s="47"/>
      <c r="BF447" s="113"/>
      <c r="BG447" s="113"/>
      <c r="BH447" s="113"/>
      <c r="BI447" s="113"/>
      <c r="BJ447" s="113"/>
      <c r="BK447" s="113"/>
      <c r="BL447" s="5">
        <f t="shared" si="144"/>
        <v>0</v>
      </c>
    </row>
    <row r="448" spans="1:64" s="2" customFormat="1" ht="89.25" customHeight="1" outlineLevel="1" x14ac:dyDescent="0.2">
      <c r="A448" s="593" t="s">
        <v>773</v>
      </c>
      <c r="B448" s="600" t="s">
        <v>1657</v>
      </c>
      <c r="C448" s="7" t="s">
        <v>514</v>
      </c>
      <c r="D448" s="8" t="s">
        <v>397</v>
      </c>
      <c r="E448" s="23" t="s">
        <v>347</v>
      </c>
      <c r="F448" s="8">
        <v>2012</v>
      </c>
      <c r="G448" s="8">
        <v>2015</v>
      </c>
      <c r="H448" s="5">
        <v>5.6100000000000004E-2</v>
      </c>
      <c r="I448" s="5">
        <v>4.9434000000000006E-2</v>
      </c>
      <c r="J448" s="5">
        <f>R448</f>
        <v>0.01</v>
      </c>
      <c r="K448" s="8"/>
      <c r="L448" s="23" t="s">
        <v>347</v>
      </c>
      <c r="M448" s="8"/>
      <c r="N448" s="8"/>
      <c r="O448" s="8"/>
      <c r="P448" s="8"/>
      <c r="Q448" s="23" t="s">
        <v>347</v>
      </c>
      <c r="R448" s="113">
        <v>0.01</v>
      </c>
      <c r="S448" s="113"/>
      <c r="T448" s="113"/>
      <c r="U448" s="113"/>
      <c r="V448" s="113"/>
      <c r="W448" s="113"/>
      <c r="X448" s="5">
        <f t="shared" si="140"/>
        <v>0.01</v>
      </c>
      <c r="Y448" s="302">
        <f>H448-H449-H450</f>
        <v>0</v>
      </c>
      <c r="Z448" s="5">
        <f>I448-I449-I450</f>
        <v>0</v>
      </c>
      <c r="AA448" s="94">
        <f>J448-J449-J450</f>
        <v>0</v>
      </c>
      <c r="AB448" s="311">
        <f t="shared" si="135"/>
        <v>3.9434000000000004E-2</v>
      </c>
      <c r="AC448" s="296"/>
      <c r="AD448" s="113"/>
      <c r="AE448" s="5"/>
      <c r="AF448" s="5"/>
      <c r="AG448" s="5">
        <f>H448</f>
        <v>5.6100000000000004E-2</v>
      </c>
      <c r="AH448" s="5"/>
      <c r="AI448" s="5"/>
      <c r="AJ448" s="5"/>
      <c r="AK448" s="141"/>
      <c r="AL448" s="94">
        <f>SUM(AF448:AK448)</f>
        <v>5.6100000000000004E-2</v>
      </c>
      <c r="AM448" s="128"/>
      <c r="AN448" s="180"/>
      <c r="AO448" s="128">
        <v>0.05</v>
      </c>
      <c r="AP448" s="184">
        <v>0</v>
      </c>
      <c r="AQ448" s="128"/>
      <c r="AR448" s="184"/>
      <c r="AS448" s="128"/>
      <c r="AT448" s="184"/>
      <c r="AU448" s="128"/>
      <c r="AV448" s="184"/>
      <c r="AW448" s="128"/>
      <c r="AX448" s="184"/>
      <c r="AY448" s="111">
        <f>AM448+AO448+AQ448+AS448+AU448+AW448</f>
        <v>0.05</v>
      </c>
      <c r="AZ448" s="178">
        <f>AN448+AP448+AR448+AT448+AV448+AX448</f>
        <v>0</v>
      </c>
      <c r="BC448" s="216"/>
      <c r="BD448" s="47"/>
      <c r="BF448" s="113">
        <v>0.01</v>
      </c>
      <c r="BG448" s="113"/>
      <c r="BH448" s="113"/>
      <c r="BI448" s="113"/>
      <c r="BJ448" s="113"/>
      <c r="BK448" s="113"/>
      <c r="BL448" s="5">
        <f t="shared" si="144"/>
        <v>0.01</v>
      </c>
    </row>
    <row r="449" spans="1:64" s="2" customFormat="1" ht="15.75" customHeight="1" outlineLevel="1" x14ac:dyDescent="0.2">
      <c r="A449" s="594"/>
      <c r="B449" s="601"/>
      <c r="C449" s="7" t="s">
        <v>1553</v>
      </c>
      <c r="D449" s="8"/>
      <c r="E449" s="23"/>
      <c r="F449" s="8"/>
      <c r="G449" s="8"/>
      <c r="H449" s="5"/>
      <c r="I449" s="5"/>
      <c r="J449" s="5"/>
      <c r="K449" s="8"/>
      <c r="L449" s="23"/>
      <c r="M449" s="8"/>
      <c r="N449" s="8"/>
      <c r="O449" s="8"/>
      <c r="P449" s="8"/>
      <c r="Q449" s="23"/>
      <c r="R449" s="113"/>
      <c r="S449" s="113"/>
      <c r="T449" s="113"/>
      <c r="U449" s="113"/>
      <c r="V449" s="113"/>
      <c r="W449" s="113"/>
      <c r="X449" s="5">
        <f t="shared" si="140"/>
        <v>0</v>
      </c>
      <c r="Y449" s="302"/>
      <c r="Z449" s="5"/>
      <c r="AA449" s="94"/>
      <c r="AB449" s="311">
        <f t="shared" si="135"/>
        <v>0</v>
      </c>
      <c r="AC449" s="296"/>
      <c r="AD449" s="113"/>
      <c r="AE449" s="5"/>
      <c r="AF449" s="5"/>
      <c r="AG449" s="5"/>
      <c r="AH449" s="5"/>
      <c r="AI449" s="5"/>
      <c r="AJ449" s="5"/>
      <c r="AK449" s="141"/>
      <c r="AL449" s="94"/>
      <c r="AM449" s="128"/>
      <c r="AN449" s="180"/>
      <c r="AO449" s="128"/>
      <c r="AP449" s="184"/>
      <c r="AQ449" s="128"/>
      <c r="AR449" s="184"/>
      <c r="AS449" s="128"/>
      <c r="AT449" s="184"/>
      <c r="AU449" s="128"/>
      <c r="AV449" s="184"/>
      <c r="AW449" s="128"/>
      <c r="AX449" s="184"/>
      <c r="AY449" s="111"/>
      <c r="AZ449" s="178"/>
      <c r="BC449" s="216"/>
      <c r="BD449" s="47"/>
      <c r="BF449" s="113"/>
      <c r="BG449" s="113"/>
      <c r="BH449" s="113"/>
      <c r="BI449" s="113"/>
      <c r="BJ449" s="113"/>
      <c r="BK449" s="113"/>
      <c r="BL449" s="5">
        <f t="shared" si="144"/>
        <v>0</v>
      </c>
    </row>
    <row r="450" spans="1:64" s="2" customFormat="1" ht="15.75" customHeight="1" outlineLevel="1" x14ac:dyDescent="0.2">
      <c r="A450" s="595"/>
      <c r="B450" s="602"/>
      <c r="C450" s="7" t="s">
        <v>1554</v>
      </c>
      <c r="D450" s="8"/>
      <c r="E450" s="23"/>
      <c r="F450" s="8"/>
      <c r="G450" s="8"/>
      <c r="H450" s="5">
        <v>5.6100000000000004E-2</v>
      </c>
      <c r="I450" s="5">
        <v>4.9434000000000006E-2</v>
      </c>
      <c r="J450" s="5">
        <v>0.01</v>
      </c>
      <c r="K450" s="23"/>
      <c r="L450" s="8"/>
      <c r="M450" s="8"/>
      <c r="N450" s="8"/>
      <c r="O450" s="8"/>
      <c r="P450" s="8"/>
      <c r="Q450" s="23"/>
      <c r="R450" s="113"/>
      <c r="S450" s="113"/>
      <c r="T450" s="113"/>
      <c r="U450" s="113"/>
      <c r="V450" s="113"/>
      <c r="W450" s="113"/>
      <c r="X450" s="5">
        <f t="shared" si="140"/>
        <v>0</v>
      </c>
      <c r="Y450" s="302"/>
      <c r="Z450" s="5"/>
      <c r="AA450" s="94"/>
      <c r="AB450" s="311">
        <f t="shared" si="135"/>
        <v>4.9434000000000006E-2</v>
      </c>
      <c r="AC450" s="296"/>
      <c r="AD450" s="113"/>
      <c r="AE450" s="5"/>
      <c r="AF450" s="5"/>
      <c r="AG450" s="5"/>
      <c r="AH450" s="5"/>
      <c r="AI450" s="5"/>
      <c r="AJ450" s="5"/>
      <c r="AK450" s="141"/>
      <c r="AL450" s="94"/>
      <c r="AM450" s="128"/>
      <c r="AN450" s="180"/>
      <c r="AO450" s="128"/>
      <c r="AP450" s="184"/>
      <c r="AQ450" s="128"/>
      <c r="AR450" s="184"/>
      <c r="AS450" s="128"/>
      <c r="AT450" s="184"/>
      <c r="AU450" s="128"/>
      <c r="AV450" s="184"/>
      <c r="AW450" s="128"/>
      <c r="AX450" s="184"/>
      <c r="AY450" s="111"/>
      <c r="AZ450" s="178"/>
      <c r="BC450" s="216"/>
      <c r="BD450" s="47"/>
      <c r="BF450" s="113"/>
      <c r="BG450" s="113"/>
      <c r="BH450" s="113"/>
      <c r="BI450" s="113"/>
      <c r="BJ450" s="113"/>
      <c r="BK450" s="113"/>
      <c r="BL450" s="5">
        <f t="shared" si="144"/>
        <v>0</v>
      </c>
    </row>
    <row r="451" spans="1:64" s="2" customFormat="1" ht="51" outlineLevel="1" x14ac:dyDescent="0.2">
      <c r="A451" s="593" t="s">
        <v>774</v>
      </c>
      <c r="B451" s="600" t="s">
        <v>1658</v>
      </c>
      <c r="C451" s="7" t="s">
        <v>515</v>
      </c>
      <c r="D451" s="8" t="s">
        <v>397</v>
      </c>
      <c r="E451" s="23" t="s">
        <v>342</v>
      </c>
      <c r="F451" s="8">
        <v>2012</v>
      </c>
      <c r="G451" s="8">
        <v>2014</v>
      </c>
      <c r="H451" s="5">
        <v>1.3558599999999998</v>
      </c>
      <c r="I451" s="5">
        <v>0.13120099999999998</v>
      </c>
      <c r="J451" s="5">
        <f>R451</f>
        <v>0.13120099999999998</v>
      </c>
      <c r="K451" s="23" t="s">
        <v>342</v>
      </c>
      <c r="L451" s="8"/>
      <c r="M451" s="8"/>
      <c r="N451" s="8"/>
      <c r="O451" s="8"/>
      <c r="P451" s="8"/>
      <c r="Q451" s="23" t="s">
        <v>342</v>
      </c>
      <c r="R451" s="113">
        <v>0.13120099999999998</v>
      </c>
      <c r="S451" s="113"/>
      <c r="T451" s="113"/>
      <c r="U451" s="113"/>
      <c r="V451" s="113"/>
      <c r="W451" s="113"/>
      <c r="X451" s="5">
        <f t="shared" si="140"/>
        <v>0.13120099999999998</v>
      </c>
      <c r="Y451" s="302">
        <f>H451-H452-H453</f>
        <v>0</v>
      </c>
      <c r="Z451" s="5">
        <f>I451-I452-I453</f>
        <v>0</v>
      </c>
      <c r="AA451" s="94">
        <f>J451-J452-J453</f>
        <v>0</v>
      </c>
      <c r="AB451" s="311">
        <f t="shared" si="135"/>
        <v>0</v>
      </c>
      <c r="AC451" s="296"/>
      <c r="AD451" s="113"/>
      <c r="AE451" s="5"/>
      <c r="AF451" s="5">
        <f>H451</f>
        <v>1.3558599999999998</v>
      </c>
      <c r="AG451" s="5"/>
      <c r="AH451" s="5"/>
      <c r="AI451" s="5"/>
      <c r="AJ451" s="5"/>
      <c r="AK451" s="141"/>
      <c r="AL451" s="94">
        <f>SUM(AF451:AK451)</f>
        <v>1.3558599999999998</v>
      </c>
      <c r="AM451" s="128">
        <v>0.7</v>
      </c>
      <c r="AN451" s="180">
        <v>0</v>
      </c>
      <c r="AO451" s="128"/>
      <c r="AP451" s="184"/>
      <c r="AQ451" s="128"/>
      <c r="AR451" s="184"/>
      <c r="AS451" s="128"/>
      <c r="AT451" s="184"/>
      <c r="AU451" s="128"/>
      <c r="AV451" s="184"/>
      <c r="AW451" s="128"/>
      <c r="AX451" s="184"/>
      <c r="AY451" s="111">
        <f t="shared" ref="AY451:AZ454" si="145">AM451+AO451+AQ451+AS451+AU451+AW451</f>
        <v>0.7</v>
      </c>
      <c r="AZ451" s="178">
        <f t="shared" si="145"/>
        <v>0</v>
      </c>
      <c r="BC451" s="216"/>
      <c r="BD451" s="47"/>
      <c r="BF451" s="113">
        <v>0.13120099999999998</v>
      </c>
      <c r="BG451" s="113"/>
      <c r="BH451" s="113"/>
      <c r="BI451" s="113"/>
      <c r="BJ451" s="113"/>
      <c r="BK451" s="113"/>
      <c r="BL451" s="5">
        <f t="shared" si="144"/>
        <v>0.13120099999999998</v>
      </c>
    </row>
    <row r="452" spans="1:64" s="2" customFormat="1" ht="15.75" customHeight="1" outlineLevel="1" x14ac:dyDescent="0.2">
      <c r="A452" s="594"/>
      <c r="B452" s="601"/>
      <c r="C452" s="7" t="s">
        <v>1553</v>
      </c>
      <c r="D452" s="8"/>
      <c r="E452" s="23"/>
      <c r="F452" s="8"/>
      <c r="G452" s="8"/>
      <c r="H452" s="5">
        <v>0.2</v>
      </c>
      <c r="I452" s="5"/>
      <c r="J452" s="5">
        <v>0</v>
      </c>
      <c r="K452" s="8"/>
      <c r="L452" s="23"/>
      <c r="M452" s="8"/>
      <c r="N452" s="8"/>
      <c r="O452" s="8"/>
      <c r="P452" s="8"/>
      <c r="Q452" s="23"/>
      <c r="R452" s="113"/>
      <c r="S452" s="113"/>
      <c r="T452" s="113"/>
      <c r="U452" s="113"/>
      <c r="V452" s="113"/>
      <c r="W452" s="113"/>
      <c r="X452" s="5">
        <f>SUM(R452:W452)</f>
        <v>0</v>
      </c>
      <c r="Y452" s="302"/>
      <c r="Z452" s="5"/>
      <c r="AA452" s="94"/>
      <c r="AB452" s="311">
        <f t="shared" si="135"/>
        <v>0</v>
      </c>
      <c r="AC452" s="296"/>
      <c r="AD452" s="113"/>
      <c r="AE452" s="5"/>
      <c r="AF452" s="5"/>
      <c r="AG452" s="5"/>
      <c r="AH452" s="5"/>
      <c r="AI452" s="5"/>
      <c r="AJ452" s="5"/>
      <c r="AK452" s="141"/>
      <c r="AL452" s="94"/>
      <c r="AM452" s="128"/>
      <c r="AN452" s="180"/>
      <c r="AO452" s="128"/>
      <c r="AP452" s="184"/>
      <c r="AQ452" s="128"/>
      <c r="AR452" s="184"/>
      <c r="AS452" s="128"/>
      <c r="AT452" s="184"/>
      <c r="AU452" s="128"/>
      <c r="AV452" s="184"/>
      <c r="AW452" s="128"/>
      <c r="AX452" s="184"/>
      <c r="AY452" s="111"/>
      <c r="AZ452" s="178"/>
      <c r="BC452" s="216"/>
      <c r="BD452" s="47"/>
      <c r="BF452" s="113"/>
      <c r="BG452" s="113"/>
      <c r="BH452" s="113"/>
      <c r="BI452" s="113"/>
      <c r="BJ452" s="113"/>
      <c r="BK452" s="113"/>
      <c r="BL452" s="5">
        <f>SUM(BF452:BK452)</f>
        <v>0</v>
      </c>
    </row>
    <row r="453" spans="1:64" s="2" customFormat="1" ht="15.75" customHeight="1" outlineLevel="1" x14ac:dyDescent="0.2">
      <c r="A453" s="595"/>
      <c r="B453" s="602"/>
      <c r="C453" s="7" t="s">
        <v>1554</v>
      </c>
      <c r="D453" s="8"/>
      <c r="E453" s="23"/>
      <c r="F453" s="8"/>
      <c r="G453" s="8"/>
      <c r="H453" s="5">
        <f>H451-H452</f>
        <v>1.1558599999999999</v>
      </c>
      <c r="I453" s="5">
        <f>I451-I452</f>
        <v>0.13120099999999998</v>
      </c>
      <c r="J453" s="5">
        <f>J451-J452</f>
        <v>0.13120099999999998</v>
      </c>
      <c r="K453" s="23"/>
      <c r="L453" s="8"/>
      <c r="M453" s="8"/>
      <c r="N453" s="8"/>
      <c r="O453" s="8"/>
      <c r="P453" s="8"/>
      <c r="Q453" s="23"/>
      <c r="R453" s="113"/>
      <c r="S453" s="113"/>
      <c r="T453" s="113"/>
      <c r="U453" s="113"/>
      <c r="V453" s="113"/>
      <c r="W453" s="113"/>
      <c r="X453" s="5">
        <f>SUM(R453:W453)</f>
        <v>0</v>
      </c>
      <c r="Y453" s="302"/>
      <c r="Z453" s="5"/>
      <c r="AA453" s="94"/>
      <c r="AB453" s="311">
        <f t="shared" si="135"/>
        <v>0.13120099999999998</v>
      </c>
      <c r="AC453" s="296"/>
      <c r="AD453" s="113"/>
      <c r="AE453" s="5"/>
      <c r="AF453" s="5"/>
      <c r="AG453" s="5"/>
      <c r="AH453" s="5"/>
      <c r="AI453" s="5"/>
      <c r="AJ453" s="5"/>
      <c r="AK453" s="141"/>
      <c r="AL453" s="94"/>
      <c r="AM453" s="128"/>
      <c r="AN453" s="180"/>
      <c r="AO453" s="128"/>
      <c r="AP453" s="184"/>
      <c r="AQ453" s="128"/>
      <c r="AR453" s="184"/>
      <c r="AS453" s="128"/>
      <c r="AT453" s="184"/>
      <c r="AU453" s="128"/>
      <c r="AV453" s="184"/>
      <c r="AW453" s="128"/>
      <c r="AX453" s="184"/>
      <c r="AY453" s="111"/>
      <c r="AZ453" s="178"/>
      <c r="BC453" s="216"/>
      <c r="BD453" s="47"/>
      <c r="BF453" s="113"/>
      <c r="BG453" s="113"/>
      <c r="BH453" s="113"/>
      <c r="BI453" s="113"/>
      <c r="BJ453" s="113"/>
      <c r="BK453" s="113"/>
      <c r="BL453" s="5">
        <f>SUM(BF453:BK453)</f>
        <v>0</v>
      </c>
    </row>
    <row r="454" spans="1:64" s="2" customFormat="1" ht="63.75" customHeight="1" outlineLevel="1" x14ac:dyDescent="0.2">
      <c r="A454" s="593" t="s">
        <v>775</v>
      </c>
      <c r="B454" s="600" t="s">
        <v>1659</v>
      </c>
      <c r="C454" s="7" t="s">
        <v>516</v>
      </c>
      <c r="D454" s="8" t="s">
        <v>397</v>
      </c>
      <c r="E454" s="23" t="s">
        <v>335</v>
      </c>
      <c r="F454" s="8">
        <v>2012</v>
      </c>
      <c r="G454" s="8">
        <v>2015</v>
      </c>
      <c r="H454" s="5">
        <v>0.12892999999999999</v>
      </c>
      <c r="I454" s="5">
        <v>7.9638999999999988E-2</v>
      </c>
      <c r="J454" s="5">
        <f>R454</f>
        <v>5.3866999999999998E-2</v>
      </c>
      <c r="K454" s="8"/>
      <c r="L454" s="23" t="s">
        <v>335</v>
      </c>
      <c r="M454" s="8"/>
      <c r="N454" s="8"/>
      <c r="O454" s="8"/>
      <c r="P454" s="8"/>
      <c r="Q454" s="23" t="s">
        <v>335</v>
      </c>
      <c r="R454" s="113">
        <v>5.3866999999999998E-2</v>
      </c>
      <c r="S454" s="113"/>
      <c r="T454" s="113"/>
      <c r="U454" s="113"/>
      <c r="V454" s="113"/>
      <c r="W454" s="113"/>
      <c r="X454" s="5">
        <f t="shared" si="140"/>
        <v>5.3866999999999998E-2</v>
      </c>
      <c r="Y454" s="302">
        <f>H454-H455-H456</f>
        <v>0</v>
      </c>
      <c r="Z454" s="5">
        <f>I454-I455-I456</f>
        <v>0</v>
      </c>
      <c r="AA454" s="94">
        <f>J454-J455-J456</f>
        <v>0</v>
      </c>
      <c r="AB454" s="311">
        <f t="shared" si="135"/>
        <v>2.5771999999999989E-2</v>
      </c>
      <c r="AC454" s="296"/>
      <c r="AD454" s="113"/>
      <c r="AE454" s="5"/>
      <c r="AF454" s="5"/>
      <c r="AG454" s="5">
        <f>H454</f>
        <v>0.12892999999999999</v>
      </c>
      <c r="AH454" s="5"/>
      <c r="AI454" s="5"/>
      <c r="AJ454" s="5"/>
      <c r="AK454" s="141"/>
      <c r="AL454" s="94">
        <f>SUM(AF454:AK454)</f>
        <v>0.12892999999999999</v>
      </c>
      <c r="AM454" s="128"/>
      <c r="AN454" s="180"/>
      <c r="AO454" s="128">
        <v>0.1</v>
      </c>
      <c r="AP454" s="184">
        <v>0</v>
      </c>
      <c r="AQ454" s="128"/>
      <c r="AR454" s="184"/>
      <c r="AS454" s="128"/>
      <c r="AT454" s="184"/>
      <c r="AU454" s="128"/>
      <c r="AV454" s="184"/>
      <c r="AW454" s="128"/>
      <c r="AX454" s="184"/>
      <c r="AY454" s="111">
        <f t="shared" si="145"/>
        <v>0.1</v>
      </c>
      <c r="AZ454" s="178">
        <f t="shared" si="145"/>
        <v>0</v>
      </c>
      <c r="BC454" s="216"/>
      <c r="BD454" s="47"/>
      <c r="BF454" s="113">
        <v>5.3866999999999998E-2</v>
      </c>
      <c r="BG454" s="113"/>
      <c r="BH454" s="113"/>
      <c r="BI454" s="113"/>
      <c r="BJ454" s="113"/>
      <c r="BK454" s="113"/>
      <c r="BL454" s="5">
        <f t="shared" ref="BL454:BL460" si="146">SUM(BF454:BK454)</f>
        <v>5.3866999999999998E-2</v>
      </c>
    </row>
    <row r="455" spans="1:64" s="2" customFormat="1" ht="15.75" customHeight="1" outlineLevel="1" x14ac:dyDescent="0.2">
      <c r="A455" s="594"/>
      <c r="B455" s="601"/>
      <c r="C455" s="7" t="s">
        <v>1553</v>
      </c>
      <c r="D455" s="8"/>
      <c r="E455" s="23"/>
      <c r="F455" s="8"/>
      <c r="G455" s="8"/>
      <c r="H455" s="5">
        <v>0.12892999999999999</v>
      </c>
      <c r="I455" s="5">
        <v>7.9638999999999988E-2</v>
      </c>
      <c r="J455" s="5">
        <v>5.3866999999999998E-2</v>
      </c>
      <c r="K455" s="8"/>
      <c r="L455" s="23"/>
      <c r="M455" s="8"/>
      <c r="N455" s="8"/>
      <c r="O455" s="8"/>
      <c r="P455" s="8"/>
      <c r="Q455" s="23"/>
      <c r="R455" s="113"/>
      <c r="S455" s="113"/>
      <c r="T455" s="113"/>
      <c r="U455" s="113"/>
      <c r="V455" s="113"/>
      <c r="W455" s="113"/>
      <c r="X455" s="5">
        <f t="shared" si="140"/>
        <v>0</v>
      </c>
      <c r="Y455" s="302"/>
      <c r="Z455" s="5"/>
      <c r="AA455" s="94"/>
      <c r="AB455" s="311">
        <f t="shared" si="135"/>
        <v>7.9638999999999988E-2</v>
      </c>
      <c r="AC455" s="296"/>
      <c r="AD455" s="113"/>
      <c r="AE455" s="5"/>
      <c r="AF455" s="5"/>
      <c r="AG455" s="5"/>
      <c r="AH455" s="5"/>
      <c r="AI455" s="5"/>
      <c r="AJ455" s="5"/>
      <c r="AK455" s="141"/>
      <c r="AL455" s="94"/>
      <c r="AM455" s="128"/>
      <c r="AN455" s="180"/>
      <c r="AO455" s="128"/>
      <c r="AP455" s="184"/>
      <c r="AQ455" s="128"/>
      <c r="AR455" s="184"/>
      <c r="AS455" s="128"/>
      <c r="AT455" s="184"/>
      <c r="AU455" s="128"/>
      <c r="AV455" s="184"/>
      <c r="AW455" s="128"/>
      <c r="AX455" s="184"/>
      <c r="AY455" s="111"/>
      <c r="AZ455" s="178"/>
      <c r="BC455" s="216"/>
      <c r="BD455" s="47"/>
      <c r="BF455" s="113"/>
      <c r="BG455" s="113"/>
      <c r="BH455" s="113"/>
      <c r="BI455" s="113"/>
      <c r="BJ455" s="113"/>
      <c r="BK455" s="113"/>
      <c r="BL455" s="5">
        <f t="shared" si="146"/>
        <v>0</v>
      </c>
    </row>
    <row r="456" spans="1:64" s="2" customFormat="1" ht="15.75" customHeight="1" outlineLevel="1" x14ac:dyDescent="0.2">
      <c r="A456" s="595"/>
      <c r="B456" s="602"/>
      <c r="C456" s="7" t="s">
        <v>1554</v>
      </c>
      <c r="D456" s="8"/>
      <c r="E456" s="23"/>
      <c r="F456" s="8"/>
      <c r="G456" s="8"/>
      <c r="H456" s="5"/>
      <c r="I456" s="5"/>
      <c r="J456" s="5"/>
      <c r="K456" s="23"/>
      <c r="L456" s="8"/>
      <c r="M456" s="8"/>
      <c r="N456" s="8"/>
      <c r="O456" s="8"/>
      <c r="P456" s="8"/>
      <c r="Q456" s="23"/>
      <c r="R456" s="113"/>
      <c r="S456" s="113"/>
      <c r="T456" s="113"/>
      <c r="U456" s="113"/>
      <c r="V456" s="113"/>
      <c r="W456" s="113"/>
      <c r="X456" s="5">
        <f t="shared" si="140"/>
        <v>0</v>
      </c>
      <c r="Y456" s="302"/>
      <c r="Z456" s="5"/>
      <c r="AA456" s="94"/>
      <c r="AB456" s="311">
        <f t="shared" si="135"/>
        <v>0</v>
      </c>
      <c r="AC456" s="296"/>
      <c r="AD456" s="113"/>
      <c r="AE456" s="5"/>
      <c r="AF456" s="5"/>
      <c r="AG456" s="5"/>
      <c r="AH456" s="5"/>
      <c r="AI456" s="5"/>
      <c r="AJ456" s="5"/>
      <c r="AK456" s="141"/>
      <c r="AL456" s="94"/>
      <c r="AM456" s="128"/>
      <c r="AN456" s="180"/>
      <c r="AO456" s="128"/>
      <c r="AP456" s="184"/>
      <c r="AQ456" s="128"/>
      <c r="AR456" s="184"/>
      <c r="AS456" s="128"/>
      <c r="AT456" s="184"/>
      <c r="AU456" s="128"/>
      <c r="AV456" s="184"/>
      <c r="AW456" s="128"/>
      <c r="AX456" s="184"/>
      <c r="AY456" s="111"/>
      <c r="AZ456" s="178"/>
      <c r="BC456" s="216"/>
      <c r="BD456" s="47"/>
      <c r="BF456" s="113"/>
      <c r="BG456" s="113"/>
      <c r="BH456" s="113"/>
      <c r="BI456" s="113"/>
      <c r="BJ456" s="113"/>
      <c r="BK456" s="113"/>
      <c r="BL456" s="5">
        <f t="shared" si="146"/>
        <v>0</v>
      </c>
    </row>
    <row r="457" spans="1:64" s="2" customFormat="1" ht="51" customHeight="1" outlineLevel="1" x14ac:dyDescent="0.2">
      <c r="A457" s="593" t="s">
        <v>776</v>
      </c>
      <c r="B457" s="600" t="s">
        <v>1660</v>
      </c>
      <c r="C457" s="7" t="s">
        <v>1514</v>
      </c>
      <c r="D457" s="8" t="s">
        <v>397</v>
      </c>
      <c r="E457" s="23" t="s">
        <v>352</v>
      </c>
      <c r="F457" s="8">
        <v>2012</v>
      </c>
      <c r="G457" s="8">
        <v>2015</v>
      </c>
      <c r="H457" s="5">
        <v>1.3655299999999999</v>
      </c>
      <c r="I457" s="5">
        <v>0.80488300000000002</v>
      </c>
      <c r="J457" s="5">
        <f>R457</f>
        <v>0</v>
      </c>
      <c r="K457" s="8"/>
      <c r="L457" s="23" t="s">
        <v>352</v>
      </c>
      <c r="M457" s="8"/>
      <c r="N457" s="8"/>
      <c r="O457" s="8"/>
      <c r="P457" s="8"/>
      <c r="Q457" s="23" t="s">
        <v>352</v>
      </c>
      <c r="R457" s="113">
        <v>0</v>
      </c>
      <c r="S457" s="113"/>
      <c r="T457" s="113"/>
      <c r="U457" s="113"/>
      <c r="V457" s="113"/>
      <c r="W457" s="113"/>
      <c r="X457" s="5">
        <f t="shared" si="140"/>
        <v>0</v>
      </c>
      <c r="Y457" s="302">
        <f>H457-H458-H459</f>
        <v>0</v>
      </c>
      <c r="Z457" s="5">
        <f>I457-I458-I459</f>
        <v>0</v>
      </c>
      <c r="AA457" s="94">
        <f>J457-J458-J459</f>
        <v>0</v>
      </c>
      <c r="AB457" s="311">
        <f t="shared" si="135"/>
        <v>0.80488300000000002</v>
      </c>
      <c r="AC457" s="296"/>
      <c r="AD457" s="113"/>
      <c r="AE457" s="5"/>
      <c r="AF457" s="5"/>
      <c r="AG457" s="5">
        <f>H457</f>
        <v>1.3655299999999999</v>
      </c>
      <c r="AH457" s="5"/>
      <c r="AI457" s="5"/>
      <c r="AJ457" s="5"/>
      <c r="AK457" s="141"/>
      <c r="AL457" s="94">
        <f>SUM(AF457:AK457)</f>
        <v>1.3655299999999999</v>
      </c>
      <c r="AM457" s="128"/>
      <c r="AN457" s="180"/>
      <c r="AO457" s="128">
        <v>0.6</v>
      </c>
      <c r="AP457" s="184">
        <v>0</v>
      </c>
      <c r="AQ457" s="128"/>
      <c r="AR457" s="184"/>
      <c r="AS457" s="128"/>
      <c r="AT457" s="184"/>
      <c r="AU457" s="128"/>
      <c r="AV457" s="184"/>
      <c r="AW457" s="128"/>
      <c r="AX457" s="184"/>
      <c r="AY457" s="111">
        <f>AM457+AO457+AQ457+AS457+AU457+AW457</f>
        <v>0.6</v>
      </c>
      <c r="AZ457" s="178">
        <f>AN457+AP457+AR457+AT457+AV457+AX457</f>
        <v>0</v>
      </c>
      <c r="BC457" s="216"/>
      <c r="BD457" s="47"/>
      <c r="BF457" s="113">
        <v>0</v>
      </c>
      <c r="BG457" s="113"/>
      <c r="BH457" s="113"/>
      <c r="BI457" s="113"/>
      <c r="BJ457" s="113"/>
      <c r="BK457" s="113"/>
      <c r="BL457" s="5">
        <f t="shared" si="146"/>
        <v>0</v>
      </c>
    </row>
    <row r="458" spans="1:64" s="2" customFormat="1" ht="15.75" customHeight="1" outlineLevel="1" x14ac:dyDescent="0.2">
      <c r="A458" s="594"/>
      <c r="B458" s="601"/>
      <c r="C458" s="7" t="s">
        <v>1553</v>
      </c>
      <c r="D458" s="8"/>
      <c r="E458" s="23"/>
      <c r="F458" s="8"/>
      <c r="G458" s="8"/>
      <c r="H458" s="5">
        <v>1.3655299999999999</v>
      </c>
      <c r="I458" s="5">
        <v>0.80488300000000002</v>
      </c>
      <c r="J458" s="5">
        <v>0</v>
      </c>
      <c r="K458" s="8"/>
      <c r="L458" s="23"/>
      <c r="M458" s="8"/>
      <c r="N458" s="8"/>
      <c r="O458" s="8"/>
      <c r="P458" s="8"/>
      <c r="Q458" s="23"/>
      <c r="R458" s="113"/>
      <c r="S458" s="113"/>
      <c r="T458" s="113"/>
      <c r="U458" s="113"/>
      <c r="V458" s="113"/>
      <c r="W458" s="113"/>
      <c r="X458" s="5">
        <f t="shared" si="140"/>
        <v>0</v>
      </c>
      <c r="Y458" s="302"/>
      <c r="Z458" s="5"/>
      <c r="AA458" s="94"/>
      <c r="AB458" s="311">
        <f t="shared" si="135"/>
        <v>0.80488300000000002</v>
      </c>
      <c r="AC458" s="296"/>
      <c r="AD458" s="113"/>
      <c r="AE458" s="5"/>
      <c r="AF458" s="5"/>
      <c r="AG458" s="5"/>
      <c r="AH458" s="5"/>
      <c r="AI458" s="5"/>
      <c r="AJ458" s="5"/>
      <c r="AK458" s="141"/>
      <c r="AL458" s="94"/>
      <c r="AM458" s="128"/>
      <c r="AN458" s="180"/>
      <c r="AO458" s="128"/>
      <c r="AP458" s="184"/>
      <c r="AQ458" s="128"/>
      <c r="AR458" s="184"/>
      <c r="AS458" s="128"/>
      <c r="AT458" s="184"/>
      <c r="AU458" s="128"/>
      <c r="AV458" s="184"/>
      <c r="AW458" s="128"/>
      <c r="AX458" s="184"/>
      <c r="AY458" s="111"/>
      <c r="AZ458" s="178"/>
      <c r="BC458" s="216"/>
      <c r="BD458" s="47"/>
      <c r="BF458" s="113"/>
      <c r="BG458" s="113"/>
      <c r="BH458" s="113"/>
      <c r="BI458" s="113"/>
      <c r="BJ458" s="113"/>
      <c r="BK458" s="113"/>
      <c r="BL458" s="5">
        <f t="shared" si="146"/>
        <v>0</v>
      </c>
    </row>
    <row r="459" spans="1:64" s="2" customFormat="1" ht="15.75" customHeight="1" outlineLevel="1" x14ac:dyDescent="0.2">
      <c r="A459" s="595"/>
      <c r="B459" s="602"/>
      <c r="C459" s="7" t="s">
        <v>1554</v>
      </c>
      <c r="D459" s="8"/>
      <c r="E459" s="23"/>
      <c r="F459" s="8"/>
      <c r="G459" s="8"/>
      <c r="H459" s="5"/>
      <c r="I459" s="5"/>
      <c r="J459" s="5"/>
      <c r="K459" s="23"/>
      <c r="L459" s="8"/>
      <c r="M459" s="8"/>
      <c r="N459" s="8"/>
      <c r="O459" s="8"/>
      <c r="P459" s="8"/>
      <c r="Q459" s="23"/>
      <c r="R459" s="113"/>
      <c r="S459" s="113"/>
      <c r="T459" s="113"/>
      <c r="U459" s="113"/>
      <c r="V459" s="113"/>
      <c r="W459" s="113"/>
      <c r="X459" s="5">
        <f t="shared" si="140"/>
        <v>0</v>
      </c>
      <c r="Y459" s="302"/>
      <c r="Z459" s="5"/>
      <c r="AA459" s="94"/>
      <c r="AB459" s="311">
        <f t="shared" si="135"/>
        <v>0</v>
      </c>
      <c r="AC459" s="296"/>
      <c r="AD459" s="113"/>
      <c r="AE459" s="5"/>
      <c r="AF459" s="5"/>
      <c r="AG459" s="5"/>
      <c r="AH459" s="5"/>
      <c r="AI459" s="5"/>
      <c r="AJ459" s="5"/>
      <c r="AK459" s="141"/>
      <c r="AL459" s="94"/>
      <c r="AM459" s="128"/>
      <c r="AN459" s="180"/>
      <c r="AO459" s="128"/>
      <c r="AP459" s="184"/>
      <c r="AQ459" s="128"/>
      <c r="AR459" s="184"/>
      <c r="AS459" s="128"/>
      <c r="AT459" s="184"/>
      <c r="AU459" s="128"/>
      <c r="AV459" s="184"/>
      <c r="AW459" s="128"/>
      <c r="AX459" s="184"/>
      <c r="AY459" s="111"/>
      <c r="AZ459" s="178"/>
      <c r="BC459" s="216"/>
      <c r="BD459" s="47"/>
      <c r="BF459" s="113"/>
      <c r="BG459" s="113"/>
      <c r="BH459" s="113"/>
      <c r="BI459" s="113"/>
      <c r="BJ459" s="113"/>
      <c r="BK459" s="113"/>
      <c r="BL459" s="5">
        <f t="shared" si="146"/>
        <v>0</v>
      </c>
    </row>
    <row r="460" spans="1:64" s="2" customFormat="1" ht="76.5" outlineLevel="1" x14ac:dyDescent="0.2">
      <c r="A460" s="593" t="s">
        <v>777</v>
      </c>
      <c r="B460" s="600" t="s">
        <v>1661</v>
      </c>
      <c r="C460" s="7" t="s">
        <v>517</v>
      </c>
      <c r="D460" s="8" t="s">
        <v>397</v>
      </c>
      <c r="E460" s="23" t="s">
        <v>347</v>
      </c>
      <c r="F460" s="8">
        <v>2012</v>
      </c>
      <c r="G460" s="8">
        <v>2014</v>
      </c>
      <c r="H460" s="5">
        <v>0.24484800000000001</v>
      </c>
      <c r="I460" s="5">
        <v>0.01</v>
      </c>
      <c r="J460" s="5">
        <f>R460</f>
        <v>0.01</v>
      </c>
      <c r="K460" s="23" t="s">
        <v>347</v>
      </c>
      <c r="L460" s="8"/>
      <c r="M460" s="8"/>
      <c r="N460" s="8"/>
      <c r="O460" s="8"/>
      <c r="P460" s="8"/>
      <c r="Q460" s="23" t="s">
        <v>347</v>
      </c>
      <c r="R460" s="113">
        <v>0.01</v>
      </c>
      <c r="S460" s="113"/>
      <c r="T460" s="113"/>
      <c r="U460" s="113"/>
      <c r="V460" s="113"/>
      <c r="W460" s="113"/>
      <c r="X460" s="5">
        <f t="shared" si="140"/>
        <v>0.01</v>
      </c>
      <c r="Y460" s="302">
        <f>H460-H461-H462</f>
        <v>0</v>
      </c>
      <c r="Z460" s="5">
        <f>I460-I461-I462</f>
        <v>0</v>
      </c>
      <c r="AA460" s="94">
        <f>J460-J461-J462</f>
        <v>0</v>
      </c>
      <c r="AB460" s="311">
        <f t="shared" si="135"/>
        <v>0</v>
      </c>
      <c r="AC460" s="296"/>
      <c r="AD460" s="113"/>
      <c r="AE460" s="5"/>
      <c r="AF460" s="5">
        <f>H460</f>
        <v>0.24484800000000001</v>
      </c>
      <c r="AG460" s="5"/>
      <c r="AH460" s="5"/>
      <c r="AI460" s="5"/>
      <c r="AJ460" s="5"/>
      <c r="AK460" s="141"/>
      <c r="AL460" s="94">
        <f>SUM(AF460:AK460)</f>
        <v>0.24484800000000001</v>
      </c>
      <c r="AM460" s="128">
        <v>0.05</v>
      </c>
      <c r="AN460" s="180">
        <v>0</v>
      </c>
      <c r="AO460" s="128"/>
      <c r="AP460" s="184"/>
      <c r="AQ460" s="128"/>
      <c r="AR460" s="184"/>
      <c r="AS460" s="128"/>
      <c r="AT460" s="184"/>
      <c r="AU460" s="128"/>
      <c r="AV460" s="184"/>
      <c r="AW460" s="128"/>
      <c r="AX460" s="184"/>
      <c r="AY460" s="111">
        <f t="shared" ref="AY460:AZ463" si="147">AM460+AO460+AQ460+AS460+AU460+AW460</f>
        <v>0.05</v>
      </c>
      <c r="AZ460" s="178">
        <f t="shared" si="147"/>
        <v>0</v>
      </c>
      <c r="BC460" s="216"/>
      <c r="BD460" s="47"/>
      <c r="BF460" s="113">
        <v>0.01</v>
      </c>
      <c r="BG460" s="113"/>
      <c r="BH460" s="113"/>
      <c r="BI460" s="113"/>
      <c r="BJ460" s="113"/>
      <c r="BK460" s="113"/>
      <c r="BL460" s="5">
        <f t="shared" si="146"/>
        <v>0.01</v>
      </c>
    </row>
    <row r="461" spans="1:64" s="2" customFormat="1" ht="15.75" customHeight="1" outlineLevel="1" x14ac:dyDescent="0.2">
      <c r="A461" s="594"/>
      <c r="B461" s="601"/>
      <c r="C461" s="7" t="s">
        <v>1553</v>
      </c>
      <c r="D461" s="8"/>
      <c r="E461" s="23"/>
      <c r="F461" s="8"/>
      <c r="G461" s="8"/>
      <c r="H461" s="5"/>
      <c r="I461" s="5"/>
      <c r="J461" s="5"/>
      <c r="K461" s="8"/>
      <c r="L461" s="23"/>
      <c r="M461" s="8"/>
      <c r="N461" s="8"/>
      <c r="O461" s="8"/>
      <c r="P461" s="8"/>
      <c r="Q461" s="23"/>
      <c r="R461" s="113"/>
      <c r="S461" s="113"/>
      <c r="T461" s="113"/>
      <c r="U461" s="113"/>
      <c r="V461" s="113"/>
      <c r="W461" s="113"/>
      <c r="X461" s="5">
        <f>SUM(R461:W461)</f>
        <v>0</v>
      </c>
      <c r="Y461" s="302"/>
      <c r="Z461" s="5"/>
      <c r="AA461" s="94"/>
      <c r="AB461" s="311">
        <f t="shared" si="135"/>
        <v>0</v>
      </c>
      <c r="AC461" s="296"/>
      <c r="AD461" s="113"/>
      <c r="AE461" s="5"/>
      <c r="AF461" s="5"/>
      <c r="AG461" s="5"/>
      <c r="AH461" s="5"/>
      <c r="AI461" s="5"/>
      <c r="AJ461" s="5"/>
      <c r="AK461" s="141"/>
      <c r="AL461" s="94"/>
      <c r="AM461" s="128"/>
      <c r="AN461" s="180"/>
      <c r="AO461" s="128"/>
      <c r="AP461" s="184"/>
      <c r="AQ461" s="128"/>
      <c r="AR461" s="184"/>
      <c r="AS461" s="128"/>
      <c r="AT461" s="184"/>
      <c r="AU461" s="128"/>
      <c r="AV461" s="184"/>
      <c r="AW461" s="128"/>
      <c r="AX461" s="184"/>
      <c r="AY461" s="111"/>
      <c r="AZ461" s="178"/>
      <c r="BC461" s="216"/>
      <c r="BD461" s="47"/>
      <c r="BF461" s="113"/>
      <c r="BG461" s="113"/>
      <c r="BH461" s="113"/>
      <c r="BI461" s="113"/>
      <c r="BJ461" s="113"/>
      <c r="BK461" s="113"/>
      <c r="BL461" s="5">
        <f>SUM(BF461:BK461)</f>
        <v>0</v>
      </c>
    </row>
    <row r="462" spans="1:64" s="2" customFormat="1" ht="15.75" customHeight="1" outlineLevel="1" x14ac:dyDescent="0.2">
      <c r="A462" s="595"/>
      <c r="B462" s="602"/>
      <c r="C462" s="7" t="s">
        <v>1554</v>
      </c>
      <c r="D462" s="8"/>
      <c r="E462" s="23"/>
      <c r="F462" s="8"/>
      <c r="G462" s="8"/>
      <c r="H462" s="5">
        <v>0.24484800000000001</v>
      </c>
      <c r="I462" s="5">
        <v>0.01</v>
      </c>
      <c r="J462" s="5">
        <v>0.01</v>
      </c>
      <c r="K462" s="23"/>
      <c r="L462" s="8"/>
      <c r="M462" s="8"/>
      <c r="N462" s="8"/>
      <c r="O462" s="8"/>
      <c r="P462" s="8"/>
      <c r="Q462" s="23"/>
      <c r="R462" s="113"/>
      <c r="S462" s="113"/>
      <c r="T462" s="113"/>
      <c r="U462" s="113"/>
      <c r="V462" s="113"/>
      <c r="W462" s="113"/>
      <c r="X462" s="5">
        <f>SUM(R462:W462)</f>
        <v>0</v>
      </c>
      <c r="Y462" s="302"/>
      <c r="Z462" s="5"/>
      <c r="AA462" s="94"/>
      <c r="AB462" s="311">
        <f t="shared" si="135"/>
        <v>0.01</v>
      </c>
      <c r="AC462" s="296"/>
      <c r="AD462" s="113"/>
      <c r="AE462" s="5"/>
      <c r="AF462" s="5"/>
      <c r="AG462" s="5"/>
      <c r="AH462" s="5"/>
      <c r="AI462" s="5"/>
      <c r="AJ462" s="5"/>
      <c r="AK462" s="141"/>
      <c r="AL462" s="94"/>
      <c r="AM462" s="128"/>
      <c r="AN462" s="180"/>
      <c r="AO462" s="128"/>
      <c r="AP462" s="184"/>
      <c r="AQ462" s="128"/>
      <c r="AR462" s="184"/>
      <c r="AS462" s="128"/>
      <c r="AT462" s="184"/>
      <c r="AU462" s="128"/>
      <c r="AV462" s="184"/>
      <c r="AW462" s="128"/>
      <c r="AX462" s="184"/>
      <c r="AY462" s="111"/>
      <c r="AZ462" s="178"/>
      <c r="BC462" s="216"/>
      <c r="BD462" s="47"/>
      <c r="BF462" s="113"/>
      <c r="BG462" s="113"/>
      <c r="BH462" s="113"/>
      <c r="BI462" s="113"/>
      <c r="BJ462" s="113"/>
      <c r="BK462" s="113"/>
      <c r="BL462" s="5">
        <f>SUM(BF462:BK462)</f>
        <v>0</v>
      </c>
    </row>
    <row r="463" spans="1:64" s="2" customFormat="1" ht="89.25" customHeight="1" outlineLevel="1" x14ac:dyDescent="0.2">
      <c r="A463" s="593" t="s">
        <v>778</v>
      </c>
      <c r="B463" s="600" t="s">
        <v>1662</v>
      </c>
      <c r="C463" s="7" t="s">
        <v>518</v>
      </c>
      <c r="D463" s="8" t="s">
        <v>397</v>
      </c>
      <c r="E463" s="23" t="s">
        <v>346</v>
      </c>
      <c r="F463" s="8">
        <v>2012</v>
      </c>
      <c r="G463" s="8">
        <v>2014</v>
      </c>
      <c r="H463" s="5">
        <v>0.34689700000000001</v>
      </c>
      <c r="I463" s="5">
        <v>0.16279099999999999</v>
      </c>
      <c r="J463" s="5">
        <f>R463</f>
        <v>0.16279099999999999</v>
      </c>
      <c r="K463" s="23" t="s">
        <v>346</v>
      </c>
      <c r="L463" s="8"/>
      <c r="M463" s="8"/>
      <c r="N463" s="8"/>
      <c r="O463" s="8"/>
      <c r="P463" s="8"/>
      <c r="Q463" s="23" t="s">
        <v>346</v>
      </c>
      <c r="R463" s="113">
        <v>0.16279099999999999</v>
      </c>
      <c r="S463" s="113"/>
      <c r="T463" s="113"/>
      <c r="U463" s="113"/>
      <c r="V463" s="113"/>
      <c r="W463" s="113"/>
      <c r="X463" s="5">
        <f t="shared" si="140"/>
        <v>0.16279099999999999</v>
      </c>
      <c r="Y463" s="302">
        <f>H463-H464-H465</f>
        <v>0</v>
      </c>
      <c r="Z463" s="5">
        <f>I463-I464-I465</f>
        <v>0</v>
      </c>
      <c r="AA463" s="94">
        <f>J463-J464-J465</f>
        <v>0</v>
      </c>
      <c r="AB463" s="311">
        <f t="shared" si="135"/>
        <v>0</v>
      </c>
      <c r="AC463" s="296"/>
      <c r="AD463" s="113"/>
      <c r="AE463" s="5"/>
      <c r="AF463" s="5">
        <f>H463</f>
        <v>0.34689700000000001</v>
      </c>
      <c r="AG463" s="5"/>
      <c r="AH463" s="5"/>
      <c r="AI463" s="5"/>
      <c r="AJ463" s="5"/>
      <c r="AK463" s="141"/>
      <c r="AL463" s="94">
        <f>SUM(AF463:AK463)</f>
        <v>0.34689700000000001</v>
      </c>
      <c r="AM463" s="128">
        <v>0.15</v>
      </c>
      <c r="AN463" s="180">
        <v>0</v>
      </c>
      <c r="AO463" s="128"/>
      <c r="AP463" s="184"/>
      <c r="AQ463" s="128"/>
      <c r="AR463" s="184"/>
      <c r="AS463" s="128"/>
      <c r="AT463" s="184"/>
      <c r="AU463" s="128"/>
      <c r="AV463" s="184"/>
      <c r="AW463" s="128"/>
      <c r="AX463" s="184"/>
      <c r="AY463" s="111">
        <f t="shared" si="147"/>
        <v>0.15</v>
      </c>
      <c r="AZ463" s="178">
        <f t="shared" si="147"/>
        <v>0</v>
      </c>
      <c r="BC463" s="216"/>
      <c r="BD463" s="47"/>
      <c r="BF463" s="113">
        <v>0.16279099999999999</v>
      </c>
      <c r="BG463" s="113"/>
      <c r="BH463" s="113"/>
      <c r="BI463" s="113"/>
      <c r="BJ463" s="113"/>
      <c r="BK463" s="113"/>
      <c r="BL463" s="5">
        <f t="shared" ref="BL463:BL469" si="148">SUM(BF463:BK463)</f>
        <v>0.16279099999999999</v>
      </c>
    </row>
    <row r="464" spans="1:64" s="2" customFormat="1" ht="15.75" customHeight="1" outlineLevel="1" x14ac:dyDescent="0.2">
      <c r="A464" s="594"/>
      <c r="B464" s="601"/>
      <c r="C464" s="7" t="s">
        <v>1553</v>
      </c>
      <c r="D464" s="8"/>
      <c r="E464" s="23"/>
      <c r="F464" s="8"/>
      <c r="G464" s="8"/>
      <c r="H464" s="5"/>
      <c r="I464" s="5"/>
      <c r="J464" s="5"/>
      <c r="K464" s="8"/>
      <c r="L464" s="23"/>
      <c r="M464" s="8"/>
      <c r="N464" s="8"/>
      <c r="O464" s="8"/>
      <c r="P464" s="8"/>
      <c r="Q464" s="23"/>
      <c r="R464" s="113"/>
      <c r="S464" s="113"/>
      <c r="T464" s="113"/>
      <c r="U464" s="113"/>
      <c r="V464" s="113"/>
      <c r="W464" s="113"/>
      <c r="X464" s="5">
        <f t="shared" si="140"/>
        <v>0</v>
      </c>
      <c r="Y464" s="302"/>
      <c r="Z464" s="5"/>
      <c r="AA464" s="94"/>
      <c r="AB464" s="311">
        <f t="shared" si="135"/>
        <v>0</v>
      </c>
      <c r="AC464" s="296"/>
      <c r="AD464" s="113"/>
      <c r="AE464" s="5"/>
      <c r="AF464" s="5"/>
      <c r="AG464" s="5"/>
      <c r="AH464" s="5"/>
      <c r="AI464" s="5"/>
      <c r="AJ464" s="5"/>
      <c r="AK464" s="141"/>
      <c r="AL464" s="94"/>
      <c r="AM464" s="128"/>
      <c r="AN464" s="180"/>
      <c r="AO464" s="128"/>
      <c r="AP464" s="184"/>
      <c r="AQ464" s="128"/>
      <c r="AR464" s="184"/>
      <c r="AS464" s="128"/>
      <c r="AT464" s="184"/>
      <c r="AU464" s="128"/>
      <c r="AV464" s="184"/>
      <c r="AW464" s="128"/>
      <c r="AX464" s="184"/>
      <c r="AY464" s="111"/>
      <c r="AZ464" s="178"/>
      <c r="BC464" s="216"/>
      <c r="BD464" s="47"/>
      <c r="BF464" s="113"/>
      <c r="BG464" s="113"/>
      <c r="BH464" s="113"/>
      <c r="BI464" s="113"/>
      <c r="BJ464" s="113"/>
      <c r="BK464" s="113"/>
      <c r="BL464" s="5">
        <f t="shared" si="148"/>
        <v>0</v>
      </c>
    </row>
    <row r="465" spans="1:64" s="2" customFormat="1" ht="15.75" customHeight="1" outlineLevel="1" x14ac:dyDescent="0.2">
      <c r="A465" s="595"/>
      <c r="B465" s="602"/>
      <c r="C465" s="7" t="s">
        <v>1554</v>
      </c>
      <c r="D465" s="8"/>
      <c r="E465" s="23"/>
      <c r="F465" s="8"/>
      <c r="G465" s="8"/>
      <c r="H465" s="5">
        <f>H463</f>
        <v>0.34689700000000001</v>
      </c>
      <c r="I465" s="5">
        <f>I463</f>
        <v>0.16279099999999999</v>
      </c>
      <c r="J465" s="5">
        <f>J463</f>
        <v>0.16279099999999999</v>
      </c>
      <c r="K465" s="23"/>
      <c r="L465" s="8"/>
      <c r="M465" s="8"/>
      <c r="N465" s="8"/>
      <c r="O465" s="8"/>
      <c r="P465" s="8"/>
      <c r="Q465" s="23"/>
      <c r="R465" s="113"/>
      <c r="S465" s="113"/>
      <c r="T465" s="113"/>
      <c r="U465" s="113"/>
      <c r="V465" s="113"/>
      <c r="W465" s="113"/>
      <c r="X465" s="5">
        <f t="shared" si="140"/>
        <v>0</v>
      </c>
      <c r="Y465" s="302"/>
      <c r="Z465" s="5"/>
      <c r="AA465" s="94"/>
      <c r="AB465" s="311">
        <f t="shared" si="135"/>
        <v>0.16279099999999999</v>
      </c>
      <c r="AC465" s="296"/>
      <c r="AD465" s="113"/>
      <c r="AE465" s="5"/>
      <c r="AF465" s="5"/>
      <c r="AG465" s="5"/>
      <c r="AH465" s="5"/>
      <c r="AI465" s="5"/>
      <c r="AJ465" s="5"/>
      <c r="AK465" s="141"/>
      <c r="AL465" s="94"/>
      <c r="AM465" s="128"/>
      <c r="AN465" s="180"/>
      <c r="AO465" s="128"/>
      <c r="AP465" s="184"/>
      <c r="AQ465" s="128"/>
      <c r="AR465" s="184"/>
      <c r="AS465" s="128"/>
      <c r="AT465" s="184"/>
      <c r="AU465" s="128"/>
      <c r="AV465" s="184"/>
      <c r="AW465" s="128"/>
      <c r="AX465" s="184"/>
      <c r="AY465" s="111"/>
      <c r="AZ465" s="178"/>
      <c r="BC465" s="216"/>
      <c r="BD465" s="47"/>
      <c r="BF465" s="113"/>
      <c r="BG465" s="113"/>
      <c r="BH465" s="113"/>
      <c r="BI465" s="113"/>
      <c r="BJ465" s="113"/>
      <c r="BK465" s="113"/>
      <c r="BL465" s="5">
        <f t="shared" si="148"/>
        <v>0</v>
      </c>
    </row>
    <row r="466" spans="1:64" s="2" customFormat="1" ht="76.5" outlineLevel="1" x14ac:dyDescent="0.2">
      <c r="A466" s="593" t="s">
        <v>779</v>
      </c>
      <c r="B466" s="600" t="s">
        <v>1663</v>
      </c>
      <c r="C466" s="7" t="s">
        <v>1515</v>
      </c>
      <c r="D466" s="8" t="s">
        <v>397</v>
      </c>
      <c r="E466" s="23" t="s">
        <v>347</v>
      </c>
      <c r="F466" s="8">
        <v>2012</v>
      </c>
      <c r="G466" s="8">
        <v>2014</v>
      </c>
      <c r="H466" s="5">
        <v>0.11939900000000001</v>
      </c>
      <c r="I466" s="5">
        <v>0.01</v>
      </c>
      <c r="J466" s="5">
        <f>R466</f>
        <v>0.01</v>
      </c>
      <c r="K466" s="23" t="s">
        <v>347</v>
      </c>
      <c r="L466" s="8"/>
      <c r="M466" s="8"/>
      <c r="N466" s="8"/>
      <c r="O466" s="8"/>
      <c r="P466" s="8"/>
      <c r="Q466" s="23" t="s">
        <v>347</v>
      </c>
      <c r="R466" s="113">
        <v>0.01</v>
      </c>
      <c r="S466" s="113"/>
      <c r="T466" s="113"/>
      <c r="U466" s="113"/>
      <c r="V466" s="113"/>
      <c r="W466" s="113"/>
      <c r="X466" s="5">
        <f t="shared" si="140"/>
        <v>0.01</v>
      </c>
      <c r="Y466" s="302">
        <f>H466-H467-H468</f>
        <v>0</v>
      </c>
      <c r="Z466" s="5">
        <f>I466-I467-I468</f>
        <v>0</v>
      </c>
      <c r="AA466" s="94">
        <f>J466-J467-J468</f>
        <v>0</v>
      </c>
      <c r="AB466" s="311">
        <f t="shared" si="135"/>
        <v>0</v>
      </c>
      <c r="AC466" s="296"/>
      <c r="AD466" s="113"/>
      <c r="AE466" s="5"/>
      <c r="AF466" s="5">
        <f>H466</f>
        <v>0.11939900000000001</v>
      </c>
      <c r="AG466" s="5"/>
      <c r="AH466" s="5"/>
      <c r="AI466" s="5"/>
      <c r="AJ466" s="5"/>
      <c r="AK466" s="141"/>
      <c r="AL466" s="94">
        <f>SUM(AF466:AK466)</f>
        <v>0.11939900000000001</v>
      </c>
      <c r="AM466" s="128">
        <v>0.05</v>
      </c>
      <c r="AN466" s="180">
        <v>0</v>
      </c>
      <c r="AO466" s="128"/>
      <c r="AP466" s="184"/>
      <c r="AQ466" s="128"/>
      <c r="AR466" s="184"/>
      <c r="AS466" s="128"/>
      <c r="AT466" s="184"/>
      <c r="AU466" s="128"/>
      <c r="AV466" s="184"/>
      <c r="AW466" s="128"/>
      <c r="AX466" s="184"/>
      <c r="AY466" s="111">
        <f>AM466+AO466+AQ466+AS466+AU466+AW466</f>
        <v>0.05</v>
      </c>
      <c r="AZ466" s="178">
        <f>AN466+AP466+AR466+AT466+AV466+AX466</f>
        <v>0</v>
      </c>
      <c r="BC466" s="216"/>
      <c r="BD466" s="47"/>
      <c r="BF466" s="113">
        <v>0.01</v>
      </c>
      <c r="BG466" s="113"/>
      <c r="BH466" s="113"/>
      <c r="BI466" s="113"/>
      <c r="BJ466" s="113"/>
      <c r="BK466" s="113"/>
      <c r="BL466" s="5">
        <f t="shared" si="148"/>
        <v>0.01</v>
      </c>
    </row>
    <row r="467" spans="1:64" s="2" customFormat="1" ht="15.75" customHeight="1" outlineLevel="1" x14ac:dyDescent="0.2">
      <c r="A467" s="594"/>
      <c r="B467" s="601"/>
      <c r="C467" s="7" t="s">
        <v>1553</v>
      </c>
      <c r="D467" s="8"/>
      <c r="E467" s="23"/>
      <c r="F467" s="8"/>
      <c r="G467" s="8"/>
      <c r="H467" s="5">
        <v>0.11939900000000001</v>
      </c>
      <c r="I467" s="5">
        <v>0.01</v>
      </c>
      <c r="J467" s="5">
        <v>0.01</v>
      </c>
      <c r="K467" s="8"/>
      <c r="L467" s="23"/>
      <c r="M467" s="8"/>
      <c r="N467" s="8"/>
      <c r="O467" s="8"/>
      <c r="P467" s="8"/>
      <c r="Q467" s="23"/>
      <c r="R467" s="113"/>
      <c r="S467" s="113"/>
      <c r="T467" s="113"/>
      <c r="U467" s="113"/>
      <c r="V467" s="113"/>
      <c r="W467" s="113"/>
      <c r="X467" s="5">
        <f t="shared" si="140"/>
        <v>0</v>
      </c>
      <c r="Y467" s="302"/>
      <c r="Z467" s="5"/>
      <c r="AA467" s="94"/>
      <c r="AB467" s="311">
        <f t="shared" si="135"/>
        <v>0.01</v>
      </c>
      <c r="AC467" s="296"/>
      <c r="AD467" s="113"/>
      <c r="AE467" s="5"/>
      <c r="AF467" s="5"/>
      <c r="AG467" s="5"/>
      <c r="AH467" s="5"/>
      <c r="AI467" s="5"/>
      <c r="AJ467" s="5"/>
      <c r="AK467" s="141"/>
      <c r="AL467" s="94"/>
      <c r="AM467" s="128"/>
      <c r="AN467" s="180"/>
      <c r="AO467" s="128"/>
      <c r="AP467" s="184"/>
      <c r="AQ467" s="128"/>
      <c r="AR467" s="184"/>
      <c r="AS467" s="128"/>
      <c r="AT467" s="184"/>
      <c r="AU467" s="128"/>
      <c r="AV467" s="184"/>
      <c r="AW467" s="128"/>
      <c r="AX467" s="184"/>
      <c r="AY467" s="111"/>
      <c r="AZ467" s="178"/>
      <c r="BC467" s="216"/>
      <c r="BD467" s="47"/>
      <c r="BF467" s="113"/>
      <c r="BG467" s="113"/>
      <c r="BH467" s="113"/>
      <c r="BI467" s="113"/>
      <c r="BJ467" s="113"/>
      <c r="BK467" s="113"/>
      <c r="BL467" s="5">
        <f t="shared" si="148"/>
        <v>0</v>
      </c>
    </row>
    <row r="468" spans="1:64" s="2" customFormat="1" ht="15.75" customHeight="1" outlineLevel="1" x14ac:dyDescent="0.2">
      <c r="A468" s="595"/>
      <c r="B468" s="602"/>
      <c r="C468" s="7" t="s">
        <v>1554</v>
      </c>
      <c r="D468" s="8"/>
      <c r="E468" s="23"/>
      <c r="F468" s="8"/>
      <c r="G468" s="8"/>
      <c r="H468" s="5"/>
      <c r="I468" s="5"/>
      <c r="J468" s="5"/>
      <c r="K468" s="23"/>
      <c r="L468" s="8"/>
      <c r="M468" s="8"/>
      <c r="N468" s="8"/>
      <c r="O468" s="8"/>
      <c r="P468" s="8"/>
      <c r="Q468" s="23"/>
      <c r="R468" s="113"/>
      <c r="S468" s="113"/>
      <c r="T468" s="113"/>
      <c r="U468" s="113"/>
      <c r="V468" s="113"/>
      <c r="W468" s="113"/>
      <c r="X468" s="5">
        <f t="shared" si="140"/>
        <v>0</v>
      </c>
      <c r="Y468" s="302"/>
      <c r="Z468" s="5"/>
      <c r="AA468" s="94"/>
      <c r="AB468" s="311">
        <f t="shared" si="135"/>
        <v>0</v>
      </c>
      <c r="AC468" s="296"/>
      <c r="AD468" s="113"/>
      <c r="AE468" s="5"/>
      <c r="AF468" s="5"/>
      <c r="AG468" s="5"/>
      <c r="AH468" s="5"/>
      <c r="AI468" s="5"/>
      <c r="AJ468" s="5"/>
      <c r="AK468" s="141"/>
      <c r="AL468" s="94"/>
      <c r="AM468" s="128"/>
      <c r="AN468" s="180"/>
      <c r="AO468" s="128"/>
      <c r="AP468" s="184"/>
      <c r="AQ468" s="128"/>
      <c r="AR468" s="184"/>
      <c r="AS468" s="128"/>
      <c r="AT468" s="184"/>
      <c r="AU468" s="128"/>
      <c r="AV468" s="184"/>
      <c r="AW468" s="128"/>
      <c r="AX468" s="184"/>
      <c r="AY468" s="111"/>
      <c r="AZ468" s="178"/>
      <c r="BC468" s="216"/>
      <c r="BD468" s="47"/>
      <c r="BF468" s="113"/>
      <c r="BG468" s="113"/>
      <c r="BH468" s="113"/>
      <c r="BI468" s="113"/>
      <c r="BJ468" s="113"/>
      <c r="BK468" s="113"/>
      <c r="BL468" s="5">
        <f t="shared" si="148"/>
        <v>0</v>
      </c>
    </row>
    <row r="469" spans="1:64" s="2" customFormat="1" ht="38.25" customHeight="1" outlineLevel="1" x14ac:dyDescent="0.2">
      <c r="A469" s="593" t="s">
        <v>780</v>
      </c>
      <c r="B469" s="600" t="s">
        <v>1664</v>
      </c>
      <c r="C469" s="7" t="s">
        <v>519</v>
      </c>
      <c r="D469" s="8" t="s">
        <v>397</v>
      </c>
      <c r="E469" s="23" t="s">
        <v>340</v>
      </c>
      <c r="F469" s="8">
        <v>2012</v>
      </c>
      <c r="G469" s="8">
        <v>2015</v>
      </c>
      <c r="H469" s="5">
        <v>0.78051766999999994</v>
      </c>
      <c r="I469" s="5">
        <v>0.156719</v>
      </c>
      <c r="J469" s="5">
        <f>R469</f>
        <v>0.01</v>
      </c>
      <c r="K469" s="8"/>
      <c r="L469" s="23" t="s">
        <v>340</v>
      </c>
      <c r="M469" s="8"/>
      <c r="N469" s="8"/>
      <c r="O469" s="8"/>
      <c r="P469" s="8"/>
      <c r="Q469" s="23" t="s">
        <v>340</v>
      </c>
      <c r="R469" s="113">
        <v>0.01</v>
      </c>
      <c r="S469" s="113"/>
      <c r="T469" s="113"/>
      <c r="U469" s="113"/>
      <c r="V469" s="113"/>
      <c r="W469" s="113"/>
      <c r="X469" s="5">
        <f t="shared" si="140"/>
        <v>0.01</v>
      </c>
      <c r="Y469" s="302">
        <f>H469-H470-H471</f>
        <v>0</v>
      </c>
      <c r="Z469" s="5">
        <f>I469-I470-I471</f>
        <v>0</v>
      </c>
      <c r="AA469" s="94">
        <f>J469-J470-J471</f>
        <v>0</v>
      </c>
      <c r="AB469" s="311">
        <f t="shared" ref="AB469:AB532" si="149">I469-X469</f>
        <v>0.14671899999999999</v>
      </c>
      <c r="AC469" s="296"/>
      <c r="AD469" s="113"/>
      <c r="AE469" s="5"/>
      <c r="AF469" s="5"/>
      <c r="AG469" s="5">
        <f>H469</f>
        <v>0.78051766999999994</v>
      </c>
      <c r="AH469" s="5"/>
      <c r="AI469" s="5"/>
      <c r="AJ469" s="5"/>
      <c r="AK469" s="141"/>
      <c r="AL469" s="94">
        <f>SUM(AF469:AK469)</f>
        <v>0.78051766999999994</v>
      </c>
      <c r="AM469" s="128"/>
      <c r="AN469" s="180"/>
      <c r="AO469" s="128">
        <v>0.2</v>
      </c>
      <c r="AP469" s="184">
        <v>0</v>
      </c>
      <c r="AQ469" s="128"/>
      <c r="AR469" s="184"/>
      <c r="AS469" s="128"/>
      <c r="AT469" s="184"/>
      <c r="AU469" s="128"/>
      <c r="AV469" s="184"/>
      <c r="AW469" s="128"/>
      <c r="AX469" s="184"/>
      <c r="AY469" s="111">
        <f t="shared" ref="AY469:AZ472" si="150">AM469+AO469+AQ469+AS469+AU469+AW469</f>
        <v>0.2</v>
      </c>
      <c r="AZ469" s="178">
        <f t="shared" si="150"/>
        <v>0</v>
      </c>
      <c r="BC469" s="216"/>
      <c r="BD469" s="47"/>
      <c r="BF469" s="113">
        <v>0.01</v>
      </c>
      <c r="BG469" s="113"/>
      <c r="BH469" s="113"/>
      <c r="BI469" s="113"/>
      <c r="BJ469" s="113"/>
      <c r="BK469" s="113"/>
      <c r="BL469" s="5">
        <f t="shared" si="148"/>
        <v>0.01</v>
      </c>
    </row>
    <row r="470" spans="1:64" s="2" customFormat="1" ht="15.75" customHeight="1" outlineLevel="1" x14ac:dyDescent="0.2">
      <c r="A470" s="594"/>
      <c r="B470" s="601"/>
      <c r="C470" s="7" t="s">
        <v>1553</v>
      </c>
      <c r="D470" s="8"/>
      <c r="E470" s="23"/>
      <c r="F470" s="8"/>
      <c r="G470" s="8"/>
      <c r="H470" s="5"/>
      <c r="I470" s="5"/>
      <c r="J470" s="5"/>
      <c r="K470" s="8"/>
      <c r="L470" s="23"/>
      <c r="M470" s="8"/>
      <c r="N470" s="8"/>
      <c r="O470" s="8"/>
      <c r="P470" s="8"/>
      <c r="Q470" s="23"/>
      <c r="R470" s="113"/>
      <c r="S470" s="113"/>
      <c r="T470" s="113"/>
      <c r="U470" s="113"/>
      <c r="V470" s="113"/>
      <c r="W470" s="113"/>
      <c r="X470" s="5">
        <f>SUM(R470:W470)</f>
        <v>0</v>
      </c>
      <c r="Y470" s="302"/>
      <c r="Z470" s="5"/>
      <c r="AA470" s="94"/>
      <c r="AB470" s="311">
        <f t="shared" si="149"/>
        <v>0</v>
      </c>
      <c r="AC470" s="296"/>
      <c r="AD470" s="113"/>
      <c r="AE470" s="5"/>
      <c r="AF470" s="5"/>
      <c r="AG470" s="5"/>
      <c r="AH470" s="5"/>
      <c r="AI470" s="5"/>
      <c r="AJ470" s="5"/>
      <c r="AK470" s="141"/>
      <c r="AL470" s="94"/>
      <c r="AM470" s="128"/>
      <c r="AN470" s="180"/>
      <c r="AO470" s="128"/>
      <c r="AP470" s="184"/>
      <c r="AQ470" s="128"/>
      <c r="AR470" s="184"/>
      <c r="AS470" s="128"/>
      <c r="AT470" s="184"/>
      <c r="AU470" s="128"/>
      <c r="AV470" s="184"/>
      <c r="AW470" s="128"/>
      <c r="AX470" s="184"/>
      <c r="AY470" s="111"/>
      <c r="AZ470" s="178"/>
      <c r="BC470" s="216"/>
      <c r="BD470" s="47"/>
      <c r="BF470" s="113"/>
      <c r="BG470" s="113"/>
      <c r="BH470" s="113"/>
      <c r="BI470" s="113"/>
      <c r="BJ470" s="113"/>
      <c r="BK470" s="113"/>
      <c r="BL470" s="5">
        <f>SUM(BF470:BK470)</f>
        <v>0</v>
      </c>
    </row>
    <row r="471" spans="1:64" s="2" customFormat="1" ht="15.75" customHeight="1" outlineLevel="1" x14ac:dyDescent="0.2">
      <c r="A471" s="595"/>
      <c r="B471" s="602"/>
      <c r="C471" s="7" t="s">
        <v>1554</v>
      </c>
      <c r="D471" s="8"/>
      <c r="E471" s="23"/>
      <c r="F471" s="8"/>
      <c r="G471" s="8"/>
      <c r="H471" s="5">
        <f>H469</f>
        <v>0.78051766999999994</v>
      </c>
      <c r="I471" s="5">
        <f>I469</f>
        <v>0.156719</v>
      </c>
      <c r="J471" s="5">
        <f>J469</f>
        <v>0.01</v>
      </c>
      <c r="K471" s="23"/>
      <c r="L471" s="8"/>
      <c r="M471" s="8"/>
      <c r="N471" s="8"/>
      <c r="O471" s="8"/>
      <c r="P471" s="8"/>
      <c r="Q471" s="23"/>
      <c r="R471" s="113"/>
      <c r="S471" s="113"/>
      <c r="T471" s="113"/>
      <c r="U471" s="113"/>
      <c r="V471" s="113"/>
      <c r="W471" s="113"/>
      <c r="X471" s="5">
        <f>SUM(R471:W471)</f>
        <v>0</v>
      </c>
      <c r="Y471" s="302"/>
      <c r="Z471" s="5"/>
      <c r="AA471" s="94"/>
      <c r="AB471" s="311">
        <f t="shared" si="149"/>
        <v>0.156719</v>
      </c>
      <c r="AC471" s="296"/>
      <c r="AD471" s="113"/>
      <c r="AE471" s="5"/>
      <c r="AF471" s="5"/>
      <c r="AG471" s="5"/>
      <c r="AH471" s="5"/>
      <c r="AI471" s="5"/>
      <c r="AJ471" s="5"/>
      <c r="AK471" s="141"/>
      <c r="AL471" s="94"/>
      <c r="AM471" s="128"/>
      <c r="AN471" s="180"/>
      <c r="AO471" s="128"/>
      <c r="AP471" s="184"/>
      <c r="AQ471" s="128"/>
      <c r="AR471" s="184"/>
      <c r="AS471" s="128"/>
      <c r="AT471" s="184"/>
      <c r="AU471" s="128"/>
      <c r="AV471" s="184"/>
      <c r="AW471" s="128"/>
      <c r="AX471" s="184"/>
      <c r="AY471" s="111"/>
      <c r="AZ471" s="178"/>
      <c r="BC471" s="216"/>
      <c r="BD471" s="47"/>
      <c r="BF471" s="113"/>
      <c r="BG471" s="113"/>
      <c r="BH471" s="113"/>
      <c r="BI471" s="113"/>
      <c r="BJ471" s="113"/>
      <c r="BK471" s="113"/>
      <c r="BL471" s="5">
        <f>SUM(BF471:BK471)</f>
        <v>0</v>
      </c>
    </row>
    <row r="472" spans="1:64" s="2" customFormat="1" ht="38.25" customHeight="1" outlineLevel="1" x14ac:dyDescent="0.2">
      <c r="A472" s="593" t="s">
        <v>781</v>
      </c>
      <c r="B472" s="600" t="s">
        <v>1665</v>
      </c>
      <c r="C472" s="7" t="s">
        <v>520</v>
      </c>
      <c r="D472" s="8" t="s">
        <v>397</v>
      </c>
      <c r="E472" s="23" t="s">
        <v>346</v>
      </c>
      <c r="F472" s="8">
        <v>2012</v>
      </c>
      <c r="G472" s="8">
        <v>2015</v>
      </c>
      <c r="H472" s="5">
        <v>0.16638</v>
      </c>
      <c r="I472" s="5">
        <v>7.2692000000000007E-2</v>
      </c>
      <c r="J472" s="5">
        <f>R472</f>
        <v>0.01</v>
      </c>
      <c r="K472" s="8"/>
      <c r="L472" s="23" t="s">
        <v>346</v>
      </c>
      <c r="M472" s="8"/>
      <c r="N472" s="8"/>
      <c r="O472" s="8"/>
      <c r="P472" s="8"/>
      <c r="Q472" s="23" t="s">
        <v>346</v>
      </c>
      <c r="R472" s="113">
        <v>0.01</v>
      </c>
      <c r="S472" s="113"/>
      <c r="T472" s="113"/>
      <c r="U472" s="113"/>
      <c r="V472" s="113"/>
      <c r="W472" s="113"/>
      <c r="X472" s="5">
        <f t="shared" si="140"/>
        <v>0.01</v>
      </c>
      <c r="Y472" s="302">
        <f>H472-H473-H474</f>
        <v>0</v>
      </c>
      <c r="Z472" s="5">
        <f>I472-I473-I474</f>
        <v>0</v>
      </c>
      <c r="AA472" s="94">
        <f>J472-J473-J474</f>
        <v>0</v>
      </c>
      <c r="AB472" s="311">
        <f t="shared" si="149"/>
        <v>6.2692000000000012E-2</v>
      </c>
      <c r="AC472" s="296"/>
      <c r="AD472" s="113"/>
      <c r="AE472" s="5"/>
      <c r="AF472" s="5"/>
      <c r="AG472" s="5">
        <f>H472</f>
        <v>0.16638</v>
      </c>
      <c r="AH472" s="5"/>
      <c r="AI472" s="5"/>
      <c r="AJ472" s="5"/>
      <c r="AK472" s="141"/>
      <c r="AL472" s="94">
        <f>SUM(AF472:AK472)</f>
        <v>0.16638</v>
      </c>
      <c r="AM472" s="128"/>
      <c r="AN472" s="180"/>
      <c r="AO472" s="128">
        <v>0.15</v>
      </c>
      <c r="AP472" s="184">
        <v>0</v>
      </c>
      <c r="AQ472" s="128"/>
      <c r="AR472" s="184"/>
      <c r="AS472" s="128"/>
      <c r="AT472" s="184"/>
      <c r="AU472" s="128"/>
      <c r="AV472" s="184"/>
      <c r="AW472" s="128"/>
      <c r="AX472" s="184"/>
      <c r="AY472" s="111">
        <f t="shared" si="150"/>
        <v>0.15</v>
      </c>
      <c r="AZ472" s="178">
        <f t="shared" si="150"/>
        <v>0</v>
      </c>
      <c r="BC472" s="216"/>
      <c r="BD472" s="47"/>
      <c r="BF472" s="113">
        <v>0.01</v>
      </c>
      <c r="BG472" s="113"/>
      <c r="BH472" s="113"/>
      <c r="BI472" s="113"/>
      <c r="BJ472" s="113"/>
      <c r="BK472" s="113"/>
      <c r="BL472" s="5">
        <f t="shared" ref="BL472:BL478" si="151">SUM(BF472:BK472)</f>
        <v>0.01</v>
      </c>
    </row>
    <row r="473" spans="1:64" s="2" customFormat="1" ht="15.75" customHeight="1" outlineLevel="1" x14ac:dyDescent="0.2">
      <c r="A473" s="594"/>
      <c r="B473" s="601"/>
      <c r="C473" s="7" t="s">
        <v>1553</v>
      </c>
      <c r="D473" s="8"/>
      <c r="E473" s="23"/>
      <c r="F473" s="8"/>
      <c r="G473" s="8"/>
      <c r="H473" s="5">
        <v>0.03</v>
      </c>
      <c r="I473" s="5">
        <v>0</v>
      </c>
      <c r="J473" s="5">
        <v>0</v>
      </c>
      <c r="K473" s="8"/>
      <c r="L473" s="23"/>
      <c r="M473" s="8"/>
      <c r="N473" s="8"/>
      <c r="O473" s="8"/>
      <c r="P473" s="8"/>
      <c r="Q473" s="23"/>
      <c r="R473" s="113"/>
      <c r="S473" s="113"/>
      <c r="T473" s="113"/>
      <c r="U473" s="113"/>
      <c r="V473" s="113"/>
      <c r="W473" s="113"/>
      <c r="X473" s="5">
        <f t="shared" si="140"/>
        <v>0</v>
      </c>
      <c r="Y473" s="302"/>
      <c r="Z473" s="5"/>
      <c r="AA473" s="94"/>
      <c r="AB473" s="311">
        <f t="shared" si="149"/>
        <v>0</v>
      </c>
      <c r="AC473" s="296"/>
      <c r="AD473" s="113"/>
      <c r="AE473" s="5"/>
      <c r="AF473" s="5"/>
      <c r="AG473" s="5"/>
      <c r="AH473" s="5"/>
      <c r="AI473" s="5"/>
      <c r="AJ473" s="5"/>
      <c r="AK473" s="141"/>
      <c r="AL473" s="94"/>
      <c r="AM473" s="128"/>
      <c r="AN473" s="180"/>
      <c r="AO473" s="128"/>
      <c r="AP473" s="184"/>
      <c r="AQ473" s="128"/>
      <c r="AR473" s="184"/>
      <c r="AS473" s="128"/>
      <c r="AT473" s="184"/>
      <c r="AU473" s="128"/>
      <c r="AV473" s="184"/>
      <c r="AW473" s="128"/>
      <c r="AX473" s="184"/>
      <c r="AY473" s="111"/>
      <c r="AZ473" s="178"/>
      <c r="BC473" s="216"/>
      <c r="BD473" s="47"/>
      <c r="BF473" s="113"/>
      <c r="BG473" s="113"/>
      <c r="BH473" s="113"/>
      <c r="BI473" s="113"/>
      <c r="BJ473" s="113"/>
      <c r="BK473" s="113"/>
      <c r="BL473" s="5">
        <f t="shared" si="151"/>
        <v>0</v>
      </c>
    </row>
    <row r="474" spans="1:64" s="2" customFormat="1" ht="15.75" customHeight="1" outlineLevel="1" x14ac:dyDescent="0.2">
      <c r="A474" s="595"/>
      <c r="B474" s="602"/>
      <c r="C474" s="7" t="s">
        <v>1554</v>
      </c>
      <c r="D474" s="8"/>
      <c r="E474" s="23"/>
      <c r="F474" s="8"/>
      <c r="G474" s="8"/>
      <c r="H474" s="5">
        <v>0.13638</v>
      </c>
      <c r="I474" s="5">
        <v>7.2692000000000007E-2</v>
      </c>
      <c r="J474" s="5">
        <f>J472-J473</f>
        <v>0.01</v>
      </c>
      <c r="K474" s="23"/>
      <c r="L474" s="8"/>
      <c r="M474" s="8"/>
      <c r="N474" s="8"/>
      <c r="O474" s="8"/>
      <c r="P474" s="8"/>
      <c r="Q474" s="23"/>
      <c r="R474" s="113"/>
      <c r="S474" s="113"/>
      <c r="T474" s="113"/>
      <c r="U474" s="113"/>
      <c r="V474" s="113"/>
      <c r="W474" s="113"/>
      <c r="X474" s="5">
        <f t="shared" si="140"/>
        <v>0</v>
      </c>
      <c r="Y474" s="302"/>
      <c r="Z474" s="5"/>
      <c r="AA474" s="94"/>
      <c r="AB474" s="311">
        <f t="shared" si="149"/>
        <v>7.2692000000000007E-2</v>
      </c>
      <c r="AC474" s="296"/>
      <c r="AD474" s="113"/>
      <c r="AE474" s="5"/>
      <c r="AF474" s="5"/>
      <c r="AG474" s="5"/>
      <c r="AH474" s="5"/>
      <c r="AI474" s="5"/>
      <c r="AJ474" s="5"/>
      <c r="AK474" s="141"/>
      <c r="AL474" s="94"/>
      <c r="AM474" s="128"/>
      <c r="AN474" s="180"/>
      <c r="AO474" s="128"/>
      <c r="AP474" s="184"/>
      <c r="AQ474" s="128"/>
      <c r="AR474" s="184"/>
      <c r="AS474" s="128"/>
      <c r="AT474" s="184"/>
      <c r="AU474" s="128"/>
      <c r="AV474" s="184"/>
      <c r="AW474" s="128"/>
      <c r="AX474" s="184"/>
      <c r="AY474" s="111"/>
      <c r="AZ474" s="178"/>
      <c r="BC474" s="216"/>
      <c r="BD474" s="47"/>
      <c r="BF474" s="113"/>
      <c r="BG474" s="113"/>
      <c r="BH474" s="113"/>
      <c r="BI474" s="113"/>
      <c r="BJ474" s="113"/>
      <c r="BK474" s="113"/>
      <c r="BL474" s="5">
        <f t="shared" si="151"/>
        <v>0</v>
      </c>
    </row>
    <row r="475" spans="1:64" s="2" customFormat="1" ht="76.5" outlineLevel="1" x14ac:dyDescent="0.2">
      <c r="A475" s="593" t="s">
        <v>782</v>
      </c>
      <c r="B475" s="600" t="s">
        <v>1666</v>
      </c>
      <c r="C475" s="7" t="s">
        <v>521</v>
      </c>
      <c r="D475" s="8" t="s">
        <v>397</v>
      </c>
      <c r="E475" s="23" t="s">
        <v>347</v>
      </c>
      <c r="F475" s="8">
        <v>2012</v>
      </c>
      <c r="G475" s="8">
        <v>2014</v>
      </c>
      <c r="H475" s="5">
        <v>5.1947E-2</v>
      </c>
      <c r="I475" s="5">
        <v>0.01</v>
      </c>
      <c r="J475" s="5">
        <f>R475</f>
        <v>0.01</v>
      </c>
      <c r="K475" s="23" t="s">
        <v>347</v>
      </c>
      <c r="L475" s="8"/>
      <c r="M475" s="8"/>
      <c r="N475" s="8"/>
      <c r="O475" s="8"/>
      <c r="P475" s="8"/>
      <c r="Q475" s="23" t="s">
        <v>347</v>
      </c>
      <c r="R475" s="113">
        <v>0.01</v>
      </c>
      <c r="S475" s="113"/>
      <c r="T475" s="113"/>
      <c r="U475" s="113"/>
      <c r="V475" s="113"/>
      <c r="W475" s="113"/>
      <c r="X475" s="5">
        <f t="shared" si="140"/>
        <v>0.01</v>
      </c>
      <c r="Y475" s="302">
        <f>H475-H476-H477</f>
        <v>0</v>
      </c>
      <c r="Z475" s="5">
        <f>I475-I476-I477</f>
        <v>0</v>
      </c>
      <c r="AA475" s="94">
        <f>J475-J476-J477</f>
        <v>0</v>
      </c>
      <c r="AB475" s="311">
        <f t="shared" si="149"/>
        <v>0</v>
      </c>
      <c r="AC475" s="296"/>
      <c r="AD475" s="113"/>
      <c r="AE475" s="5"/>
      <c r="AF475" s="5">
        <f>H475</f>
        <v>5.1947E-2</v>
      </c>
      <c r="AG475" s="5"/>
      <c r="AH475" s="5"/>
      <c r="AI475" s="5"/>
      <c r="AJ475" s="5"/>
      <c r="AK475" s="141"/>
      <c r="AL475" s="94">
        <f>SUM(AF475:AK475)</f>
        <v>5.1947E-2</v>
      </c>
      <c r="AM475" s="128">
        <v>0.05</v>
      </c>
      <c r="AN475" s="180">
        <v>0</v>
      </c>
      <c r="AO475" s="128"/>
      <c r="AP475" s="184"/>
      <c r="AQ475" s="128"/>
      <c r="AR475" s="184"/>
      <c r="AS475" s="128"/>
      <c r="AT475" s="184"/>
      <c r="AU475" s="128"/>
      <c r="AV475" s="184"/>
      <c r="AW475" s="128"/>
      <c r="AX475" s="184"/>
      <c r="AY475" s="111">
        <f>AM475+AO475+AQ475+AS475+AU475+AW475</f>
        <v>0.05</v>
      </c>
      <c r="AZ475" s="178">
        <f>AN475+AP475+AR475+AT475+AV475+AX475</f>
        <v>0</v>
      </c>
      <c r="BC475" s="216"/>
      <c r="BD475" s="47"/>
      <c r="BF475" s="113">
        <v>0.01</v>
      </c>
      <c r="BG475" s="113"/>
      <c r="BH475" s="113"/>
      <c r="BI475" s="113"/>
      <c r="BJ475" s="113"/>
      <c r="BK475" s="113"/>
      <c r="BL475" s="5">
        <f t="shared" si="151"/>
        <v>0.01</v>
      </c>
    </row>
    <row r="476" spans="1:64" s="2" customFormat="1" ht="15.75" customHeight="1" outlineLevel="1" x14ac:dyDescent="0.2">
      <c r="A476" s="594"/>
      <c r="B476" s="601"/>
      <c r="C476" s="7" t="s">
        <v>1553</v>
      </c>
      <c r="D476" s="8"/>
      <c r="E476" s="23"/>
      <c r="F476" s="8"/>
      <c r="G476" s="8"/>
      <c r="H476" s="5"/>
      <c r="I476" s="5"/>
      <c r="J476" s="5"/>
      <c r="K476" s="8"/>
      <c r="L476" s="23"/>
      <c r="M476" s="8"/>
      <c r="N476" s="8"/>
      <c r="O476" s="8"/>
      <c r="P476" s="8"/>
      <c r="Q476" s="23"/>
      <c r="R476" s="113"/>
      <c r="S476" s="113"/>
      <c r="T476" s="113"/>
      <c r="U476" s="113"/>
      <c r="V476" s="113"/>
      <c r="W476" s="113"/>
      <c r="X476" s="5">
        <f t="shared" si="140"/>
        <v>0</v>
      </c>
      <c r="Y476" s="302"/>
      <c r="Z476" s="5"/>
      <c r="AA476" s="94"/>
      <c r="AB476" s="311">
        <f t="shared" si="149"/>
        <v>0</v>
      </c>
      <c r="AC476" s="296"/>
      <c r="AD476" s="113"/>
      <c r="AE476" s="5"/>
      <c r="AF476" s="5"/>
      <c r="AG476" s="5"/>
      <c r="AH476" s="5"/>
      <c r="AI476" s="5"/>
      <c r="AJ476" s="5"/>
      <c r="AK476" s="141"/>
      <c r="AL476" s="94"/>
      <c r="AM476" s="128"/>
      <c r="AN476" s="180"/>
      <c r="AO476" s="128"/>
      <c r="AP476" s="184"/>
      <c r="AQ476" s="128"/>
      <c r="AR476" s="184"/>
      <c r="AS476" s="128"/>
      <c r="AT476" s="184"/>
      <c r="AU476" s="128"/>
      <c r="AV476" s="184"/>
      <c r="AW476" s="128"/>
      <c r="AX476" s="184"/>
      <c r="AY476" s="111"/>
      <c r="AZ476" s="178"/>
      <c r="BC476" s="216"/>
      <c r="BD476" s="47"/>
      <c r="BF476" s="113"/>
      <c r="BG476" s="113"/>
      <c r="BH476" s="113"/>
      <c r="BI476" s="113"/>
      <c r="BJ476" s="113"/>
      <c r="BK476" s="113"/>
      <c r="BL476" s="5">
        <f t="shared" si="151"/>
        <v>0</v>
      </c>
    </row>
    <row r="477" spans="1:64" s="2" customFormat="1" ht="15.75" customHeight="1" outlineLevel="1" x14ac:dyDescent="0.2">
      <c r="A477" s="595"/>
      <c r="B477" s="602"/>
      <c r="C477" s="7" t="s">
        <v>1554</v>
      </c>
      <c r="D477" s="8"/>
      <c r="E477" s="23"/>
      <c r="F477" s="8"/>
      <c r="G477" s="8"/>
      <c r="H477" s="5">
        <v>5.1947E-2</v>
      </c>
      <c r="I477" s="5">
        <v>0.01</v>
      </c>
      <c r="J477" s="5">
        <v>0.01</v>
      </c>
      <c r="K477" s="23"/>
      <c r="L477" s="8"/>
      <c r="M477" s="8"/>
      <c r="N477" s="8"/>
      <c r="O477" s="8"/>
      <c r="P477" s="8"/>
      <c r="Q477" s="23"/>
      <c r="R477" s="113"/>
      <c r="S477" s="113"/>
      <c r="T477" s="113"/>
      <c r="U477" s="113"/>
      <c r="V477" s="113"/>
      <c r="W477" s="113"/>
      <c r="X477" s="5">
        <f t="shared" si="140"/>
        <v>0</v>
      </c>
      <c r="Y477" s="302"/>
      <c r="Z477" s="5"/>
      <c r="AA477" s="94"/>
      <c r="AB477" s="311">
        <f t="shared" si="149"/>
        <v>0.01</v>
      </c>
      <c r="AC477" s="296"/>
      <c r="AD477" s="113"/>
      <c r="AE477" s="5"/>
      <c r="AF477" s="5"/>
      <c r="AG477" s="5"/>
      <c r="AH477" s="5"/>
      <c r="AI477" s="5"/>
      <c r="AJ477" s="5"/>
      <c r="AK477" s="141"/>
      <c r="AL477" s="94"/>
      <c r="AM477" s="128"/>
      <c r="AN477" s="180"/>
      <c r="AO477" s="128"/>
      <c r="AP477" s="184"/>
      <c r="AQ477" s="128"/>
      <c r="AR477" s="184"/>
      <c r="AS477" s="128"/>
      <c r="AT477" s="184"/>
      <c r="AU477" s="128"/>
      <c r="AV477" s="184"/>
      <c r="AW477" s="128"/>
      <c r="AX477" s="184"/>
      <c r="AY477" s="111"/>
      <c r="AZ477" s="178"/>
      <c r="BC477" s="216"/>
      <c r="BD477" s="47"/>
      <c r="BF477" s="113"/>
      <c r="BG477" s="113"/>
      <c r="BH477" s="113"/>
      <c r="BI477" s="113"/>
      <c r="BJ477" s="113"/>
      <c r="BK477" s="113"/>
      <c r="BL477" s="5">
        <f t="shared" si="151"/>
        <v>0</v>
      </c>
    </row>
    <row r="478" spans="1:64" s="2" customFormat="1" ht="76.5" outlineLevel="1" x14ac:dyDescent="0.2">
      <c r="A478" s="593" t="s">
        <v>783</v>
      </c>
      <c r="B478" s="600" t="s">
        <v>1667</v>
      </c>
      <c r="C478" s="7" t="s">
        <v>522</v>
      </c>
      <c r="D478" s="8" t="s">
        <v>397</v>
      </c>
      <c r="E478" s="23" t="s">
        <v>347</v>
      </c>
      <c r="F478" s="8">
        <v>2012</v>
      </c>
      <c r="G478" s="8">
        <v>2014</v>
      </c>
      <c r="H478" s="5">
        <v>0.14580099999999999</v>
      </c>
      <c r="I478" s="5">
        <v>0.01</v>
      </c>
      <c r="J478" s="5">
        <f>R478</f>
        <v>0.01</v>
      </c>
      <c r="K478" s="23" t="s">
        <v>347</v>
      </c>
      <c r="L478" s="8"/>
      <c r="M478" s="8"/>
      <c r="N478" s="8"/>
      <c r="O478" s="8"/>
      <c r="P478" s="8"/>
      <c r="Q478" s="23" t="s">
        <v>347</v>
      </c>
      <c r="R478" s="113">
        <v>0.01</v>
      </c>
      <c r="S478" s="113"/>
      <c r="T478" s="113"/>
      <c r="U478" s="113"/>
      <c r="V478" s="113"/>
      <c r="W478" s="113"/>
      <c r="X478" s="5">
        <f t="shared" si="140"/>
        <v>0.01</v>
      </c>
      <c r="Y478" s="302">
        <f>H478-H479-H480</f>
        <v>0</v>
      </c>
      <c r="Z478" s="5">
        <f>I478-I479-I480</f>
        <v>0</v>
      </c>
      <c r="AA478" s="94">
        <f>J478-J479-J480</f>
        <v>0</v>
      </c>
      <c r="AB478" s="311">
        <f t="shared" si="149"/>
        <v>0</v>
      </c>
      <c r="AC478" s="296"/>
      <c r="AD478" s="113"/>
      <c r="AE478" s="5"/>
      <c r="AF478" s="5">
        <f>H478</f>
        <v>0.14580099999999999</v>
      </c>
      <c r="AG478" s="5"/>
      <c r="AH478" s="5"/>
      <c r="AI478" s="5"/>
      <c r="AJ478" s="5"/>
      <c r="AK478" s="141"/>
      <c r="AL478" s="94">
        <f>SUM(AF478:AK478)</f>
        <v>0.14580099999999999</v>
      </c>
      <c r="AM478" s="128">
        <v>0.05</v>
      </c>
      <c r="AN478" s="180">
        <v>0</v>
      </c>
      <c r="AO478" s="128"/>
      <c r="AP478" s="184"/>
      <c r="AQ478" s="128"/>
      <c r="AR478" s="184"/>
      <c r="AS478" s="128"/>
      <c r="AT478" s="184"/>
      <c r="AU478" s="128"/>
      <c r="AV478" s="184"/>
      <c r="AW478" s="128"/>
      <c r="AX478" s="184"/>
      <c r="AY478" s="111">
        <f>AM478+AO478+AQ478+AS478+AU478+AW478</f>
        <v>0.05</v>
      </c>
      <c r="AZ478" s="178">
        <f>AN478+AP478+AR478+AT478+AV478+AX478</f>
        <v>0</v>
      </c>
      <c r="BC478" s="216"/>
      <c r="BD478" s="47"/>
      <c r="BF478" s="113">
        <v>0.01</v>
      </c>
      <c r="BG478" s="113"/>
      <c r="BH478" s="113"/>
      <c r="BI478" s="113"/>
      <c r="BJ478" s="113"/>
      <c r="BK478" s="113"/>
      <c r="BL478" s="5">
        <f t="shared" si="151"/>
        <v>0.01</v>
      </c>
    </row>
    <row r="479" spans="1:64" s="2" customFormat="1" ht="15.75" customHeight="1" outlineLevel="1" x14ac:dyDescent="0.2">
      <c r="A479" s="594"/>
      <c r="B479" s="601"/>
      <c r="C479" s="7" t="s">
        <v>1553</v>
      </c>
      <c r="D479" s="8"/>
      <c r="E479" s="23"/>
      <c r="F479" s="8"/>
      <c r="G479" s="8"/>
      <c r="H479" s="5"/>
      <c r="I479" s="5"/>
      <c r="J479" s="5"/>
      <c r="K479" s="8"/>
      <c r="L479" s="23"/>
      <c r="M479" s="8"/>
      <c r="N479" s="8"/>
      <c r="O479" s="8"/>
      <c r="P479" s="8"/>
      <c r="Q479" s="23"/>
      <c r="R479" s="113"/>
      <c r="S479" s="113"/>
      <c r="T479" s="113"/>
      <c r="U479" s="113"/>
      <c r="V479" s="113"/>
      <c r="W479" s="113"/>
      <c r="X479" s="5">
        <f>SUM(R479:W479)</f>
        <v>0</v>
      </c>
      <c r="Y479" s="302"/>
      <c r="Z479" s="5"/>
      <c r="AA479" s="94"/>
      <c r="AB479" s="311">
        <f t="shared" si="149"/>
        <v>0</v>
      </c>
      <c r="AC479" s="296"/>
      <c r="AD479" s="113"/>
      <c r="AE479" s="5"/>
      <c r="AF479" s="5"/>
      <c r="AG479" s="5"/>
      <c r="AH479" s="5"/>
      <c r="AI479" s="5"/>
      <c r="AJ479" s="5"/>
      <c r="AK479" s="141"/>
      <c r="AL479" s="94"/>
      <c r="AM479" s="128"/>
      <c r="AN479" s="180"/>
      <c r="AO479" s="128"/>
      <c r="AP479" s="184"/>
      <c r="AQ479" s="128"/>
      <c r="AR479" s="184"/>
      <c r="AS479" s="128"/>
      <c r="AT479" s="184"/>
      <c r="AU479" s="128"/>
      <c r="AV479" s="184"/>
      <c r="AW479" s="128"/>
      <c r="AX479" s="184"/>
      <c r="AY479" s="111"/>
      <c r="AZ479" s="178"/>
      <c r="BC479" s="216"/>
      <c r="BD479" s="47"/>
      <c r="BF479" s="113"/>
      <c r="BG479" s="113"/>
      <c r="BH479" s="113"/>
      <c r="BI479" s="113"/>
      <c r="BJ479" s="113"/>
      <c r="BK479" s="113"/>
      <c r="BL479" s="5">
        <f t="shared" ref="BL479:BL491" si="152">SUM(BF479:BK479)</f>
        <v>0</v>
      </c>
    </row>
    <row r="480" spans="1:64" s="2" customFormat="1" ht="15.75" customHeight="1" outlineLevel="1" x14ac:dyDescent="0.2">
      <c r="A480" s="595"/>
      <c r="B480" s="602"/>
      <c r="C480" s="7" t="s">
        <v>1554</v>
      </c>
      <c r="D480" s="8"/>
      <c r="E480" s="23"/>
      <c r="F480" s="8"/>
      <c r="G480" s="8"/>
      <c r="H480" s="5">
        <f>H478</f>
        <v>0.14580099999999999</v>
      </c>
      <c r="I480" s="5">
        <f>I478</f>
        <v>0.01</v>
      </c>
      <c r="J480" s="5">
        <f>J478</f>
        <v>0.01</v>
      </c>
      <c r="K480" s="23"/>
      <c r="L480" s="8"/>
      <c r="M480" s="8"/>
      <c r="N480" s="8"/>
      <c r="O480" s="8"/>
      <c r="P480" s="8"/>
      <c r="Q480" s="23"/>
      <c r="R480" s="113"/>
      <c r="S480" s="113"/>
      <c r="T480" s="113"/>
      <c r="U480" s="113"/>
      <c r="V480" s="113"/>
      <c r="W480" s="113"/>
      <c r="X480" s="5">
        <f>SUM(R480:W480)</f>
        <v>0</v>
      </c>
      <c r="Y480" s="302"/>
      <c r="Z480" s="5"/>
      <c r="AA480" s="94"/>
      <c r="AB480" s="311">
        <f t="shared" si="149"/>
        <v>0.01</v>
      </c>
      <c r="AC480" s="296"/>
      <c r="AD480" s="113"/>
      <c r="AE480" s="5"/>
      <c r="AF480" s="5"/>
      <c r="AG480" s="5"/>
      <c r="AH480" s="5"/>
      <c r="AI480" s="5"/>
      <c r="AJ480" s="5"/>
      <c r="AK480" s="141"/>
      <c r="AL480" s="94"/>
      <c r="AM480" s="128"/>
      <c r="AN480" s="180"/>
      <c r="AO480" s="128"/>
      <c r="AP480" s="184"/>
      <c r="AQ480" s="128"/>
      <c r="AR480" s="184"/>
      <c r="AS480" s="128"/>
      <c r="AT480" s="184"/>
      <c r="AU480" s="128"/>
      <c r="AV480" s="184"/>
      <c r="AW480" s="128"/>
      <c r="AX480" s="184"/>
      <c r="AY480" s="111"/>
      <c r="AZ480" s="178"/>
      <c r="BC480" s="216"/>
      <c r="BD480" s="47"/>
      <c r="BF480" s="113"/>
      <c r="BG480" s="113"/>
      <c r="BH480" s="113"/>
      <c r="BI480" s="113"/>
      <c r="BJ480" s="113"/>
      <c r="BK480" s="113"/>
      <c r="BL480" s="5">
        <f t="shared" si="152"/>
        <v>0</v>
      </c>
    </row>
    <row r="481" spans="1:64" s="2" customFormat="1" ht="63.75" outlineLevel="1" x14ac:dyDescent="0.2">
      <c r="A481" s="593" t="s">
        <v>784</v>
      </c>
      <c r="B481" s="600" t="s">
        <v>1668</v>
      </c>
      <c r="C481" s="7" t="s">
        <v>523</v>
      </c>
      <c r="D481" s="8" t="s">
        <v>397</v>
      </c>
      <c r="E481" s="23" t="s">
        <v>340</v>
      </c>
      <c r="F481" s="8">
        <v>2012</v>
      </c>
      <c r="G481" s="8">
        <v>2014</v>
      </c>
      <c r="H481" s="5">
        <v>0.60209800000000002</v>
      </c>
      <c r="I481" s="5">
        <v>0.01</v>
      </c>
      <c r="J481" s="5">
        <f>R481</f>
        <v>0.01</v>
      </c>
      <c r="K481" s="23" t="s">
        <v>340</v>
      </c>
      <c r="L481" s="8"/>
      <c r="M481" s="8"/>
      <c r="N481" s="8"/>
      <c r="O481" s="8"/>
      <c r="P481" s="8"/>
      <c r="Q481" s="23" t="s">
        <v>340</v>
      </c>
      <c r="R481" s="113">
        <v>0.01</v>
      </c>
      <c r="S481" s="113"/>
      <c r="T481" s="113"/>
      <c r="U481" s="113"/>
      <c r="V481" s="113"/>
      <c r="W481" s="113"/>
      <c r="X481" s="5">
        <f t="shared" si="140"/>
        <v>0.01</v>
      </c>
      <c r="Y481" s="302">
        <f>H481-H482-H483</f>
        <v>0</v>
      </c>
      <c r="Z481" s="5">
        <f>I481-I482-I483</f>
        <v>0</v>
      </c>
      <c r="AA481" s="94">
        <f>J481-J482-J483</f>
        <v>0</v>
      </c>
      <c r="AB481" s="311">
        <f t="shared" si="149"/>
        <v>0</v>
      </c>
      <c r="AC481" s="296"/>
      <c r="AD481" s="113"/>
      <c r="AE481" s="5"/>
      <c r="AF481" s="5">
        <f>H481</f>
        <v>0.60209800000000002</v>
      </c>
      <c r="AG481" s="5"/>
      <c r="AH481" s="5"/>
      <c r="AI481" s="5"/>
      <c r="AJ481" s="5"/>
      <c r="AK481" s="141"/>
      <c r="AL481" s="94">
        <f>SUM(AF481:AK481)</f>
        <v>0.60209800000000002</v>
      </c>
      <c r="AM481" s="128">
        <v>0.2</v>
      </c>
      <c r="AN481" s="180">
        <v>0</v>
      </c>
      <c r="AO481" s="128"/>
      <c r="AP481" s="184"/>
      <c r="AQ481" s="128"/>
      <c r="AR481" s="184"/>
      <c r="AS481" s="128"/>
      <c r="AT481" s="184"/>
      <c r="AU481" s="128"/>
      <c r="AV481" s="184"/>
      <c r="AW481" s="128"/>
      <c r="AX481" s="184"/>
      <c r="AY481" s="111">
        <f>AM481+AO481+AQ481+AS481+AU481+AW481</f>
        <v>0.2</v>
      </c>
      <c r="AZ481" s="178">
        <f>AN481+AP481+AR481+AT481+AV481+AX481</f>
        <v>0</v>
      </c>
      <c r="BC481" s="216"/>
      <c r="BD481" s="47"/>
      <c r="BF481" s="113">
        <v>0.01</v>
      </c>
      <c r="BG481" s="113"/>
      <c r="BH481" s="113"/>
      <c r="BI481" s="113"/>
      <c r="BJ481" s="113"/>
      <c r="BK481" s="113"/>
      <c r="BL481" s="5">
        <f t="shared" si="152"/>
        <v>0.01</v>
      </c>
    </row>
    <row r="482" spans="1:64" s="2" customFormat="1" ht="15.75" customHeight="1" outlineLevel="1" x14ac:dyDescent="0.2">
      <c r="A482" s="594"/>
      <c r="B482" s="601"/>
      <c r="C482" s="7" t="s">
        <v>1553</v>
      </c>
      <c r="D482" s="8"/>
      <c r="E482" s="23"/>
      <c r="F482" s="8"/>
      <c r="G482" s="8"/>
      <c r="H482" s="5"/>
      <c r="I482" s="5"/>
      <c r="J482" s="5"/>
      <c r="K482" s="8"/>
      <c r="L482" s="23"/>
      <c r="M482" s="8"/>
      <c r="N482" s="8"/>
      <c r="O482" s="8"/>
      <c r="P482" s="8"/>
      <c r="Q482" s="23"/>
      <c r="R482" s="113"/>
      <c r="S482" s="113"/>
      <c r="T482" s="113"/>
      <c r="U482" s="113"/>
      <c r="V482" s="113"/>
      <c r="W482" s="113"/>
      <c r="X482" s="5">
        <f>SUM(R482:W482)</f>
        <v>0</v>
      </c>
      <c r="Y482" s="302"/>
      <c r="Z482" s="5"/>
      <c r="AA482" s="94"/>
      <c r="AB482" s="311">
        <f t="shared" si="149"/>
        <v>0</v>
      </c>
      <c r="AC482" s="296"/>
      <c r="AD482" s="113"/>
      <c r="AE482" s="5"/>
      <c r="AF482" s="5"/>
      <c r="AG482" s="5"/>
      <c r="AH482" s="5"/>
      <c r="AI482" s="5"/>
      <c r="AJ482" s="5"/>
      <c r="AK482" s="141"/>
      <c r="AL482" s="94"/>
      <c r="AM482" s="128"/>
      <c r="AN482" s="180"/>
      <c r="AO482" s="128"/>
      <c r="AP482" s="184"/>
      <c r="AQ482" s="128"/>
      <c r="AR482" s="184"/>
      <c r="AS482" s="128"/>
      <c r="AT482" s="184"/>
      <c r="AU482" s="128"/>
      <c r="AV482" s="184"/>
      <c r="AW482" s="128"/>
      <c r="AX482" s="184"/>
      <c r="AY482" s="111"/>
      <c r="AZ482" s="178"/>
      <c r="BC482" s="216"/>
      <c r="BD482" s="47"/>
      <c r="BF482" s="113"/>
      <c r="BG482" s="113"/>
      <c r="BH482" s="113"/>
      <c r="BI482" s="113"/>
      <c r="BJ482" s="113"/>
      <c r="BK482" s="113"/>
      <c r="BL482" s="5">
        <f t="shared" si="152"/>
        <v>0</v>
      </c>
    </row>
    <row r="483" spans="1:64" s="2" customFormat="1" ht="15.75" customHeight="1" outlineLevel="1" x14ac:dyDescent="0.2">
      <c r="A483" s="595"/>
      <c r="B483" s="602"/>
      <c r="C483" s="7" t="s">
        <v>1554</v>
      </c>
      <c r="D483" s="8"/>
      <c r="E483" s="23"/>
      <c r="F483" s="8"/>
      <c r="G483" s="8"/>
      <c r="H483" s="5">
        <v>0.60209800000000002</v>
      </c>
      <c r="I483" s="5">
        <v>0.01</v>
      </c>
      <c r="J483" s="5">
        <v>0.01</v>
      </c>
      <c r="K483" s="23"/>
      <c r="L483" s="8"/>
      <c r="M483" s="8"/>
      <c r="N483" s="8"/>
      <c r="O483" s="8"/>
      <c r="P483" s="8"/>
      <c r="Q483" s="23"/>
      <c r="R483" s="113"/>
      <c r="S483" s="113"/>
      <c r="T483" s="113"/>
      <c r="U483" s="113"/>
      <c r="V483" s="113"/>
      <c r="W483" s="113"/>
      <c r="X483" s="5">
        <f>SUM(R483:W483)</f>
        <v>0</v>
      </c>
      <c r="Y483" s="302"/>
      <c r="Z483" s="5"/>
      <c r="AA483" s="94"/>
      <c r="AB483" s="311">
        <f t="shared" si="149"/>
        <v>0.01</v>
      </c>
      <c r="AC483" s="296"/>
      <c r="AD483" s="113"/>
      <c r="AE483" s="5"/>
      <c r="AF483" s="5"/>
      <c r="AG483" s="5"/>
      <c r="AH483" s="5"/>
      <c r="AI483" s="5"/>
      <c r="AJ483" s="5"/>
      <c r="AK483" s="141"/>
      <c r="AL483" s="94"/>
      <c r="AM483" s="128"/>
      <c r="AN483" s="180"/>
      <c r="AO483" s="128"/>
      <c r="AP483" s="184"/>
      <c r="AQ483" s="128"/>
      <c r="AR483" s="184"/>
      <c r="AS483" s="128"/>
      <c r="AT483" s="184"/>
      <c r="AU483" s="128"/>
      <c r="AV483" s="184"/>
      <c r="AW483" s="128"/>
      <c r="AX483" s="184"/>
      <c r="AY483" s="111"/>
      <c r="AZ483" s="178"/>
      <c r="BC483" s="216"/>
      <c r="BD483" s="47"/>
      <c r="BF483" s="113"/>
      <c r="BG483" s="113"/>
      <c r="BH483" s="113"/>
      <c r="BI483" s="113"/>
      <c r="BJ483" s="113"/>
      <c r="BK483" s="113"/>
      <c r="BL483" s="5">
        <f t="shared" si="152"/>
        <v>0</v>
      </c>
    </row>
    <row r="484" spans="1:64" s="2" customFormat="1" ht="51" outlineLevel="1" x14ac:dyDescent="0.2">
      <c r="A484" s="593" t="s">
        <v>785</v>
      </c>
      <c r="B484" s="600" t="s">
        <v>1669</v>
      </c>
      <c r="C484" s="7" t="s">
        <v>524</v>
      </c>
      <c r="D484" s="8" t="s">
        <v>397</v>
      </c>
      <c r="E484" s="23" t="s">
        <v>16</v>
      </c>
      <c r="F484" s="8">
        <v>2012</v>
      </c>
      <c r="G484" s="8">
        <v>2014</v>
      </c>
      <c r="H484" s="5">
        <v>2.7524555199999998</v>
      </c>
      <c r="I484" s="5">
        <v>1.206372</v>
      </c>
      <c r="J484" s="5">
        <f>R484</f>
        <v>1.206372</v>
      </c>
      <c r="K484" s="23" t="s">
        <v>16</v>
      </c>
      <c r="L484" s="8"/>
      <c r="M484" s="8"/>
      <c r="N484" s="8"/>
      <c r="O484" s="8"/>
      <c r="P484" s="8"/>
      <c r="Q484" s="23" t="s">
        <v>16</v>
      </c>
      <c r="R484" s="113">
        <v>1.206372</v>
      </c>
      <c r="S484" s="113"/>
      <c r="T484" s="113"/>
      <c r="U484" s="113"/>
      <c r="V484" s="113"/>
      <c r="W484" s="113"/>
      <c r="X484" s="5">
        <f t="shared" si="140"/>
        <v>1.206372</v>
      </c>
      <c r="Y484" s="302">
        <f>H484-H485-H486</f>
        <v>0</v>
      </c>
      <c r="Z484" s="5">
        <f>I484-I485-I486</f>
        <v>0</v>
      </c>
      <c r="AA484" s="94">
        <f>J484-J485-J486</f>
        <v>0</v>
      </c>
      <c r="AB484" s="311">
        <f t="shared" si="149"/>
        <v>0</v>
      </c>
      <c r="AC484" s="296"/>
      <c r="AD484" s="113"/>
      <c r="AE484" s="5"/>
      <c r="AF484" s="5">
        <f>H484</f>
        <v>2.7524555199999998</v>
      </c>
      <c r="AG484" s="5"/>
      <c r="AH484" s="5"/>
      <c r="AI484" s="5"/>
      <c r="AJ484" s="5"/>
      <c r="AK484" s="141"/>
      <c r="AL484" s="94">
        <f>SUM(AF484:AK484)</f>
        <v>2.7524555199999998</v>
      </c>
      <c r="AM484" s="128">
        <v>0.3</v>
      </c>
      <c r="AN484" s="180">
        <v>0.1</v>
      </c>
      <c r="AO484" s="128"/>
      <c r="AP484" s="184"/>
      <c r="AQ484" s="128"/>
      <c r="AR484" s="184"/>
      <c r="AS484" s="128"/>
      <c r="AT484" s="184"/>
      <c r="AU484" s="128"/>
      <c r="AV484" s="184"/>
      <c r="AW484" s="128"/>
      <c r="AX484" s="184"/>
      <c r="AY484" s="111">
        <f>AM484+AO484+AQ484+AS484+AU484+AW484</f>
        <v>0.3</v>
      </c>
      <c r="AZ484" s="178">
        <f>AN484+AP484+AR484+AT484+AV484+AX484</f>
        <v>0.1</v>
      </c>
      <c r="BC484" s="216"/>
      <c r="BD484" s="47"/>
      <c r="BF484" s="113">
        <v>1.206372</v>
      </c>
      <c r="BG484" s="113"/>
      <c r="BH484" s="113"/>
      <c r="BI484" s="113"/>
      <c r="BJ484" s="113"/>
      <c r="BK484" s="113"/>
      <c r="BL484" s="5">
        <f t="shared" si="152"/>
        <v>1.206372</v>
      </c>
    </row>
    <row r="485" spans="1:64" s="2" customFormat="1" ht="15.75" customHeight="1" outlineLevel="1" x14ac:dyDescent="0.2">
      <c r="A485" s="594"/>
      <c r="B485" s="601"/>
      <c r="C485" s="7" t="s">
        <v>1553</v>
      </c>
      <c r="D485" s="8"/>
      <c r="E485" s="23"/>
      <c r="F485" s="8"/>
      <c r="G485" s="8"/>
      <c r="H485" s="5"/>
      <c r="I485" s="5"/>
      <c r="J485" s="5"/>
      <c r="K485" s="8"/>
      <c r="L485" s="23"/>
      <c r="M485" s="8"/>
      <c r="N485" s="8"/>
      <c r="O485" s="8"/>
      <c r="P485" s="8"/>
      <c r="Q485" s="23"/>
      <c r="R485" s="113"/>
      <c r="S485" s="113"/>
      <c r="T485" s="113"/>
      <c r="U485" s="113"/>
      <c r="V485" s="113"/>
      <c r="W485" s="113"/>
      <c r="X485" s="5">
        <f t="shared" si="140"/>
        <v>0</v>
      </c>
      <c r="Y485" s="302"/>
      <c r="Z485" s="5"/>
      <c r="AA485" s="94"/>
      <c r="AB485" s="311">
        <f t="shared" si="149"/>
        <v>0</v>
      </c>
      <c r="AC485" s="296"/>
      <c r="AD485" s="113"/>
      <c r="AE485" s="5"/>
      <c r="AF485" s="5"/>
      <c r="AG485" s="5"/>
      <c r="AH485" s="5"/>
      <c r="AI485" s="5"/>
      <c r="AJ485" s="5"/>
      <c r="AK485" s="141"/>
      <c r="AL485" s="94"/>
      <c r="AM485" s="128"/>
      <c r="AN485" s="180"/>
      <c r="AO485" s="128"/>
      <c r="AP485" s="184"/>
      <c r="AQ485" s="128"/>
      <c r="AR485" s="184"/>
      <c r="AS485" s="128"/>
      <c r="AT485" s="184"/>
      <c r="AU485" s="128"/>
      <c r="AV485" s="184"/>
      <c r="AW485" s="128"/>
      <c r="AX485" s="184"/>
      <c r="AY485" s="111"/>
      <c r="AZ485" s="178"/>
      <c r="BC485" s="216"/>
      <c r="BD485" s="47"/>
      <c r="BF485" s="113"/>
      <c r="BG485" s="113"/>
      <c r="BH485" s="113"/>
      <c r="BI485" s="113"/>
      <c r="BJ485" s="113"/>
      <c r="BK485" s="113"/>
      <c r="BL485" s="5">
        <f t="shared" si="152"/>
        <v>0</v>
      </c>
    </row>
    <row r="486" spans="1:64" s="2" customFormat="1" ht="15.75" customHeight="1" outlineLevel="1" x14ac:dyDescent="0.2">
      <c r="A486" s="595"/>
      <c r="B486" s="602"/>
      <c r="C486" s="7" t="s">
        <v>1554</v>
      </c>
      <c r="D486" s="8"/>
      <c r="E486" s="23"/>
      <c r="F486" s="8"/>
      <c r="G486" s="8"/>
      <c r="H486" s="5">
        <f>H484</f>
        <v>2.7524555199999998</v>
      </c>
      <c r="I486" s="5">
        <f>I484</f>
        <v>1.206372</v>
      </c>
      <c r="J486" s="5">
        <f>J484</f>
        <v>1.206372</v>
      </c>
      <c r="K486" s="23"/>
      <c r="L486" s="8"/>
      <c r="M486" s="8"/>
      <c r="N486" s="8"/>
      <c r="O486" s="8"/>
      <c r="P486" s="8"/>
      <c r="Q486" s="23"/>
      <c r="R486" s="113"/>
      <c r="S486" s="113"/>
      <c r="T486" s="113"/>
      <c r="U486" s="113"/>
      <c r="V486" s="113"/>
      <c r="W486" s="113"/>
      <c r="X486" s="5">
        <f t="shared" si="140"/>
        <v>0</v>
      </c>
      <c r="Y486" s="302"/>
      <c r="Z486" s="5"/>
      <c r="AA486" s="94"/>
      <c r="AB486" s="311">
        <f t="shared" si="149"/>
        <v>1.206372</v>
      </c>
      <c r="AC486" s="296"/>
      <c r="AD486" s="113"/>
      <c r="AE486" s="5"/>
      <c r="AF486" s="5"/>
      <c r="AG486" s="5"/>
      <c r="AH486" s="5"/>
      <c r="AI486" s="5"/>
      <c r="AJ486" s="5"/>
      <c r="AK486" s="141"/>
      <c r="AL486" s="94"/>
      <c r="AM486" s="128"/>
      <c r="AN486" s="180"/>
      <c r="AO486" s="128"/>
      <c r="AP486" s="184"/>
      <c r="AQ486" s="128"/>
      <c r="AR486" s="184"/>
      <c r="AS486" s="128"/>
      <c r="AT486" s="184"/>
      <c r="AU486" s="128"/>
      <c r="AV486" s="184"/>
      <c r="AW486" s="128"/>
      <c r="AX486" s="184"/>
      <c r="AY486" s="111"/>
      <c r="AZ486" s="178"/>
      <c r="BC486" s="216"/>
      <c r="BD486" s="47"/>
      <c r="BF486" s="113"/>
      <c r="BG486" s="113"/>
      <c r="BH486" s="113"/>
      <c r="BI486" s="113"/>
      <c r="BJ486" s="113"/>
      <c r="BK486" s="113"/>
      <c r="BL486" s="5">
        <f t="shared" si="152"/>
        <v>0</v>
      </c>
    </row>
    <row r="487" spans="1:64" s="2" customFormat="1" ht="51" outlineLevel="1" x14ac:dyDescent="0.2">
      <c r="A487" s="593" t="s">
        <v>786</v>
      </c>
      <c r="B487" s="600" t="s">
        <v>1670</v>
      </c>
      <c r="C487" s="7" t="s">
        <v>525</v>
      </c>
      <c r="D487" s="8" t="s">
        <v>397</v>
      </c>
      <c r="E487" s="23" t="s">
        <v>1241</v>
      </c>
      <c r="F487" s="8">
        <v>2012</v>
      </c>
      <c r="G487" s="8">
        <v>2014</v>
      </c>
      <c r="H487" s="5">
        <v>2.3769999999999999E-2</v>
      </c>
      <c r="I487" s="5">
        <v>0.01</v>
      </c>
      <c r="J487" s="5">
        <f>R487</f>
        <v>0.01</v>
      </c>
      <c r="K487" s="23" t="s">
        <v>1241</v>
      </c>
      <c r="L487" s="8"/>
      <c r="M487" s="8"/>
      <c r="N487" s="8"/>
      <c r="O487" s="8"/>
      <c r="P487" s="8"/>
      <c r="Q487" s="23" t="s">
        <v>1241</v>
      </c>
      <c r="R487" s="113">
        <v>0.01</v>
      </c>
      <c r="S487" s="113"/>
      <c r="T487" s="113"/>
      <c r="U487" s="113"/>
      <c r="V487" s="113"/>
      <c r="W487" s="113"/>
      <c r="X487" s="5">
        <f t="shared" si="140"/>
        <v>0.01</v>
      </c>
      <c r="Y487" s="302">
        <f>H487-H488-H489</f>
        <v>0</v>
      </c>
      <c r="Z487" s="5">
        <f>I487-I488-I489</f>
        <v>0</v>
      </c>
      <c r="AA487" s="94">
        <f>J487-J488-J489</f>
        <v>0</v>
      </c>
      <c r="AB487" s="311">
        <f t="shared" si="149"/>
        <v>0</v>
      </c>
      <c r="AC487" s="296"/>
      <c r="AD487" s="113"/>
      <c r="AE487" s="5"/>
      <c r="AF487" s="5">
        <f>H487</f>
        <v>2.3769999999999999E-2</v>
      </c>
      <c r="AG487" s="5"/>
      <c r="AH487" s="5"/>
      <c r="AI487" s="5"/>
      <c r="AJ487" s="5"/>
      <c r="AK487" s="141"/>
      <c r="AL487" s="94">
        <f>SUM(AF487:AK487)</f>
        <v>2.3769999999999999E-2</v>
      </c>
      <c r="AM487" s="128">
        <v>0</v>
      </c>
      <c r="AN487" s="180">
        <v>0</v>
      </c>
      <c r="AO487" s="128"/>
      <c r="AP487" s="184"/>
      <c r="AQ487" s="128"/>
      <c r="AR487" s="184"/>
      <c r="AS487" s="128"/>
      <c r="AT487" s="184"/>
      <c r="AU487" s="128"/>
      <c r="AV487" s="184"/>
      <c r="AW487" s="128"/>
      <c r="AX487" s="184"/>
      <c r="AY487" s="111">
        <f t="shared" ref="AY487:AZ490" si="153">AM487+AO487+AQ487+AS487+AU487+AW487</f>
        <v>0</v>
      </c>
      <c r="AZ487" s="178">
        <f t="shared" si="153"/>
        <v>0</v>
      </c>
      <c r="BC487" s="216"/>
      <c r="BD487" s="47"/>
      <c r="BF487" s="113">
        <v>0.01</v>
      </c>
      <c r="BG487" s="113"/>
      <c r="BH487" s="113"/>
      <c r="BI487" s="113"/>
      <c r="BJ487" s="113"/>
      <c r="BK487" s="113"/>
      <c r="BL487" s="5">
        <f t="shared" si="152"/>
        <v>0.01</v>
      </c>
    </row>
    <row r="488" spans="1:64" s="2" customFormat="1" ht="15.75" customHeight="1" outlineLevel="1" x14ac:dyDescent="0.2">
      <c r="A488" s="594"/>
      <c r="B488" s="601"/>
      <c r="C488" s="7" t="s">
        <v>1553</v>
      </c>
      <c r="D488" s="8"/>
      <c r="E488" s="23"/>
      <c r="F488" s="8"/>
      <c r="G488" s="8"/>
      <c r="H488" s="5">
        <v>2.3769999999999999E-2</v>
      </c>
      <c r="I488" s="5">
        <v>0.01</v>
      </c>
      <c r="J488" s="5">
        <v>0.01</v>
      </c>
      <c r="K488" s="8"/>
      <c r="L488" s="23"/>
      <c r="M488" s="8"/>
      <c r="N488" s="8"/>
      <c r="O488" s="8"/>
      <c r="P488" s="8"/>
      <c r="Q488" s="23"/>
      <c r="R488" s="113"/>
      <c r="S488" s="113"/>
      <c r="T488" s="113"/>
      <c r="U488" s="113"/>
      <c r="V488" s="113"/>
      <c r="W488" s="113"/>
      <c r="X488" s="5">
        <f>SUM(R488:W488)</f>
        <v>0</v>
      </c>
      <c r="Y488" s="302"/>
      <c r="Z488" s="5"/>
      <c r="AA488" s="94"/>
      <c r="AB488" s="311">
        <f t="shared" si="149"/>
        <v>0.01</v>
      </c>
      <c r="AC488" s="296"/>
      <c r="AD488" s="113"/>
      <c r="AE488" s="5"/>
      <c r="AF488" s="5"/>
      <c r="AG488" s="5"/>
      <c r="AH488" s="5"/>
      <c r="AI488" s="5"/>
      <c r="AJ488" s="5"/>
      <c r="AK488" s="141"/>
      <c r="AL488" s="94"/>
      <c r="AM488" s="128"/>
      <c r="AN488" s="180"/>
      <c r="AO488" s="128"/>
      <c r="AP488" s="184"/>
      <c r="AQ488" s="128"/>
      <c r="AR488" s="184"/>
      <c r="AS488" s="128"/>
      <c r="AT488" s="184"/>
      <c r="AU488" s="128"/>
      <c r="AV488" s="184"/>
      <c r="AW488" s="128"/>
      <c r="AX488" s="184"/>
      <c r="AY488" s="111"/>
      <c r="AZ488" s="178"/>
      <c r="BC488" s="216"/>
      <c r="BD488" s="47"/>
      <c r="BF488" s="113"/>
      <c r="BG488" s="113"/>
      <c r="BH488" s="113"/>
      <c r="BI488" s="113"/>
      <c r="BJ488" s="113"/>
      <c r="BK488" s="113"/>
      <c r="BL488" s="5">
        <f t="shared" si="152"/>
        <v>0</v>
      </c>
    </row>
    <row r="489" spans="1:64" s="2" customFormat="1" ht="15.75" customHeight="1" outlineLevel="1" x14ac:dyDescent="0.2">
      <c r="A489" s="595"/>
      <c r="B489" s="602"/>
      <c r="C489" s="7" t="s">
        <v>1554</v>
      </c>
      <c r="D489" s="8"/>
      <c r="E489" s="23"/>
      <c r="F489" s="8"/>
      <c r="G489" s="8"/>
      <c r="H489" s="5"/>
      <c r="I489" s="5"/>
      <c r="J489" s="5"/>
      <c r="K489" s="23"/>
      <c r="L489" s="8"/>
      <c r="M489" s="8"/>
      <c r="N489" s="8"/>
      <c r="O489" s="8"/>
      <c r="P489" s="8"/>
      <c r="Q489" s="23"/>
      <c r="R489" s="113"/>
      <c r="S489" s="113"/>
      <c r="T489" s="113"/>
      <c r="U489" s="113"/>
      <c r="V489" s="113"/>
      <c r="W489" s="113"/>
      <c r="X489" s="5">
        <f>SUM(R489:W489)</f>
        <v>0</v>
      </c>
      <c r="Y489" s="302"/>
      <c r="Z489" s="5"/>
      <c r="AA489" s="94"/>
      <c r="AB489" s="311">
        <f t="shared" si="149"/>
        <v>0</v>
      </c>
      <c r="AC489" s="296"/>
      <c r="AD489" s="113"/>
      <c r="AE489" s="5"/>
      <c r="AF489" s="5"/>
      <c r="AG489" s="5"/>
      <c r="AH489" s="5"/>
      <c r="AI489" s="5"/>
      <c r="AJ489" s="5"/>
      <c r="AK489" s="141"/>
      <c r="AL489" s="94"/>
      <c r="AM489" s="128"/>
      <c r="AN489" s="180"/>
      <c r="AO489" s="128"/>
      <c r="AP489" s="184"/>
      <c r="AQ489" s="128"/>
      <c r="AR489" s="184"/>
      <c r="AS489" s="128"/>
      <c r="AT489" s="184"/>
      <c r="AU489" s="128"/>
      <c r="AV489" s="184"/>
      <c r="AW489" s="128"/>
      <c r="AX489" s="184"/>
      <c r="AY489" s="111"/>
      <c r="AZ489" s="178"/>
      <c r="BC489" s="216"/>
      <c r="BD489" s="47"/>
      <c r="BF489" s="113"/>
      <c r="BG489" s="113"/>
      <c r="BH489" s="113"/>
      <c r="BI489" s="113"/>
      <c r="BJ489" s="113"/>
      <c r="BK489" s="113"/>
      <c r="BL489" s="5">
        <f t="shared" si="152"/>
        <v>0</v>
      </c>
    </row>
    <row r="490" spans="1:64" s="2" customFormat="1" ht="63.75" outlineLevel="1" x14ac:dyDescent="0.2">
      <c r="A490" s="593" t="s">
        <v>787</v>
      </c>
      <c r="B490" s="600" t="s">
        <v>1671</v>
      </c>
      <c r="C490" s="7" t="s">
        <v>1822</v>
      </c>
      <c r="D490" s="8" t="s">
        <v>397</v>
      </c>
      <c r="E490" s="23" t="s">
        <v>357</v>
      </c>
      <c r="F490" s="8">
        <v>2012</v>
      </c>
      <c r="G490" s="8">
        <v>2014</v>
      </c>
      <c r="H490" s="5">
        <v>1.5269900000000001</v>
      </c>
      <c r="I490" s="5">
        <v>1.324767</v>
      </c>
      <c r="J490" s="5">
        <f>R490</f>
        <v>1.324767</v>
      </c>
      <c r="K490" s="23" t="s">
        <v>357</v>
      </c>
      <c r="L490" s="8"/>
      <c r="M490" s="8"/>
      <c r="N490" s="8"/>
      <c r="O490" s="8"/>
      <c r="P490" s="8"/>
      <c r="Q490" s="23" t="s">
        <v>357</v>
      </c>
      <c r="R490" s="113">
        <v>1.324767</v>
      </c>
      <c r="S490" s="113"/>
      <c r="T490" s="113"/>
      <c r="U490" s="113"/>
      <c r="V490" s="113"/>
      <c r="W490" s="113"/>
      <c r="X490" s="5">
        <f t="shared" si="140"/>
        <v>1.324767</v>
      </c>
      <c r="Y490" s="302">
        <f>H490-H491-H492</f>
        <v>0</v>
      </c>
      <c r="Z490" s="5">
        <f>I490-I491-I492</f>
        <v>0</v>
      </c>
      <c r="AA490" s="94">
        <f>J490-J491-J492</f>
        <v>0</v>
      </c>
      <c r="AB490" s="311">
        <f t="shared" si="149"/>
        <v>0</v>
      </c>
      <c r="AC490" s="296"/>
      <c r="AD490" s="113"/>
      <c r="AE490" s="5"/>
      <c r="AF490" s="5">
        <f>H490</f>
        <v>1.5269900000000001</v>
      </c>
      <c r="AG490" s="5"/>
      <c r="AH490" s="5"/>
      <c r="AI490" s="5"/>
      <c r="AJ490" s="5"/>
      <c r="AK490" s="141"/>
      <c r="AL490" s="94">
        <f>SUM(AF490:AK490)</f>
        <v>1.5269900000000001</v>
      </c>
      <c r="AM490" s="128">
        <v>0.5</v>
      </c>
      <c r="AN490" s="180">
        <v>0.16</v>
      </c>
      <c r="AO490" s="128"/>
      <c r="AP490" s="184"/>
      <c r="AQ490" s="128"/>
      <c r="AR490" s="184"/>
      <c r="AS490" s="128"/>
      <c r="AT490" s="184"/>
      <c r="AU490" s="128"/>
      <c r="AV490" s="184"/>
      <c r="AW490" s="128"/>
      <c r="AX490" s="184"/>
      <c r="AY490" s="111">
        <f t="shared" si="153"/>
        <v>0.5</v>
      </c>
      <c r="AZ490" s="178">
        <f t="shared" si="153"/>
        <v>0.16</v>
      </c>
      <c r="BC490" s="216"/>
      <c r="BD490" s="47"/>
      <c r="BF490" s="113">
        <v>1.324767</v>
      </c>
      <c r="BG490" s="113"/>
      <c r="BH490" s="113"/>
      <c r="BI490" s="113"/>
      <c r="BJ490" s="113"/>
      <c r="BK490" s="113"/>
      <c r="BL490" s="5">
        <f t="shared" si="152"/>
        <v>1.324767</v>
      </c>
    </row>
    <row r="491" spans="1:64" s="2" customFormat="1" ht="15.75" customHeight="1" outlineLevel="1" x14ac:dyDescent="0.2">
      <c r="A491" s="594"/>
      <c r="B491" s="601"/>
      <c r="C491" s="7" t="s">
        <v>1553</v>
      </c>
      <c r="D491" s="8"/>
      <c r="E491" s="23"/>
      <c r="F491" s="8"/>
      <c r="G491" s="8"/>
      <c r="H491" s="5"/>
      <c r="I491" s="5"/>
      <c r="J491" s="5"/>
      <c r="K491" s="8"/>
      <c r="L491" s="23"/>
      <c r="M491" s="8"/>
      <c r="N491" s="8"/>
      <c r="O491" s="8"/>
      <c r="P491" s="8"/>
      <c r="Q491" s="23"/>
      <c r="R491" s="113"/>
      <c r="S491" s="113"/>
      <c r="T491" s="113"/>
      <c r="U491" s="113"/>
      <c r="V491" s="113"/>
      <c r="W491" s="113"/>
      <c r="X491" s="5">
        <f t="shared" si="140"/>
        <v>0</v>
      </c>
      <c r="Y491" s="302"/>
      <c r="Z491" s="5"/>
      <c r="AA491" s="94"/>
      <c r="AB491" s="311">
        <f t="shared" si="149"/>
        <v>0</v>
      </c>
      <c r="AC491" s="296"/>
      <c r="AD491" s="113"/>
      <c r="AE491" s="5"/>
      <c r="AF491" s="5"/>
      <c r="AG491" s="5"/>
      <c r="AH491" s="5"/>
      <c r="AI491" s="5"/>
      <c r="AJ491" s="5"/>
      <c r="AK491" s="141"/>
      <c r="AL491" s="94"/>
      <c r="AM491" s="128"/>
      <c r="AN491" s="180"/>
      <c r="AO491" s="128"/>
      <c r="AP491" s="184"/>
      <c r="AQ491" s="128"/>
      <c r="AR491" s="184"/>
      <c r="AS491" s="128"/>
      <c r="AT491" s="184"/>
      <c r="AU491" s="128"/>
      <c r="AV491" s="184"/>
      <c r="AW491" s="128"/>
      <c r="AX491" s="184"/>
      <c r="AY491" s="111"/>
      <c r="AZ491" s="178"/>
      <c r="BC491" s="216"/>
      <c r="BD491" s="47"/>
      <c r="BF491" s="113"/>
      <c r="BG491" s="113"/>
      <c r="BH491" s="113"/>
      <c r="BI491" s="113"/>
      <c r="BJ491" s="113"/>
      <c r="BK491" s="113"/>
      <c r="BL491" s="5">
        <f t="shared" si="152"/>
        <v>0</v>
      </c>
    </row>
    <row r="492" spans="1:64" s="2" customFormat="1" ht="15.75" customHeight="1" outlineLevel="1" x14ac:dyDescent="0.2">
      <c r="A492" s="595"/>
      <c r="B492" s="602"/>
      <c r="C492" s="7" t="s">
        <v>1554</v>
      </c>
      <c r="D492" s="8"/>
      <c r="E492" s="23"/>
      <c r="F492" s="8"/>
      <c r="G492" s="8"/>
      <c r="H492" s="5">
        <v>1.5269900000000001</v>
      </c>
      <c r="I492" s="5">
        <f>I490</f>
        <v>1.324767</v>
      </c>
      <c r="J492" s="5">
        <v>1.324767</v>
      </c>
      <c r="K492" s="23"/>
      <c r="L492" s="8"/>
      <c r="M492" s="8"/>
      <c r="N492" s="8"/>
      <c r="O492" s="8"/>
      <c r="P492" s="8"/>
      <c r="Q492" s="23"/>
      <c r="R492" s="113"/>
      <c r="S492" s="113"/>
      <c r="T492" s="113"/>
      <c r="U492" s="113"/>
      <c r="V492" s="113"/>
      <c r="W492" s="113"/>
      <c r="X492" s="5">
        <f t="shared" ref="X492:X555" si="154">SUM(R492:W492)</f>
        <v>0</v>
      </c>
      <c r="Y492" s="302"/>
      <c r="Z492" s="5"/>
      <c r="AA492" s="94"/>
      <c r="AB492" s="311">
        <f t="shared" si="149"/>
        <v>1.324767</v>
      </c>
      <c r="AC492" s="296"/>
      <c r="AD492" s="113"/>
      <c r="AE492" s="5"/>
      <c r="AF492" s="5"/>
      <c r="AG492" s="5"/>
      <c r="AH492" s="5"/>
      <c r="AI492" s="5"/>
      <c r="AJ492" s="5"/>
      <c r="AK492" s="141"/>
      <c r="AL492" s="94"/>
      <c r="AM492" s="128"/>
      <c r="AN492" s="180"/>
      <c r="AO492" s="128"/>
      <c r="AP492" s="184"/>
      <c r="AQ492" s="128"/>
      <c r="AR492" s="184"/>
      <c r="AS492" s="128"/>
      <c r="AT492" s="184"/>
      <c r="AU492" s="128"/>
      <c r="AV492" s="184"/>
      <c r="AW492" s="128"/>
      <c r="AX492" s="184"/>
      <c r="AY492" s="111"/>
      <c r="AZ492" s="178"/>
      <c r="BC492" s="216"/>
      <c r="BD492" s="47"/>
      <c r="BF492" s="113"/>
      <c r="BG492" s="113"/>
      <c r="BH492" s="113"/>
      <c r="BI492" s="113"/>
      <c r="BJ492" s="113"/>
      <c r="BK492" s="113"/>
      <c r="BL492" s="5">
        <f t="shared" ref="BL492:BL555" si="155">SUM(BF492:BK492)</f>
        <v>0</v>
      </c>
    </row>
    <row r="493" spans="1:64" s="2" customFormat="1" ht="53.25" customHeight="1" outlineLevel="1" x14ac:dyDescent="0.2">
      <c r="A493" s="593" t="s">
        <v>788</v>
      </c>
      <c r="B493" s="600" t="s">
        <v>1672</v>
      </c>
      <c r="C493" s="7" t="s">
        <v>1823</v>
      </c>
      <c r="D493" s="8" t="s">
        <v>397</v>
      </c>
      <c r="E493" s="23" t="s">
        <v>340</v>
      </c>
      <c r="F493" s="8">
        <v>2012</v>
      </c>
      <c r="G493" s="8">
        <v>2015</v>
      </c>
      <c r="H493" s="5">
        <v>0.41392000000000007</v>
      </c>
      <c r="I493" s="5">
        <v>0.39152000000000009</v>
      </c>
      <c r="J493" s="5">
        <f>R493</f>
        <v>0.33577600000000002</v>
      </c>
      <c r="K493" s="8"/>
      <c r="L493" s="23" t="s">
        <v>340</v>
      </c>
      <c r="M493" s="8"/>
      <c r="N493" s="8"/>
      <c r="O493" s="8"/>
      <c r="P493" s="8"/>
      <c r="Q493" s="23" t="s">
        <v>340</v>
      </c>
      <c r="R493" s="113">
        <v>0.33577600000000002</v>
      </c>
      <c r="S493" s="113"/>
      <c r="T493" s="113"/>
      <c r="U493" s="113"/>
      <c r="V493" s="113"/>
      <c r="W493" s="113"/>
      <c r="X493" s="5">
        <f t="shared" si="154"/>
        <v>0.33577600000000002</v>
      </c>
      <c r="Y493" s="302">
        <f>H493-H494-H495</f>
        <v>0</v>
      </c>
      <c r="Z493" s="5">
        <f>I493-I494-I495</f>
        <v>0</v>
      </c>
      <c r="AA493" s="94">
        <f>J493-J494-J495</f>
        <v>0</v>
      </c>
      <c r="AB493" s="311">
        <f t="shared" si="149"/>
        <v>5.5744000000000071E-2</v>
      </c>
      <c r="AC493" s="296"/>
      <c r="AD493" s="113"/>
      <c r="AE493" s="5"/>
      <c r="AF493" s="5"/>
      <c r="AG493" s="5">
        <f>H493</f>
        <v>0.41392000000000007</v>
      </c>
      <c r="AH493" s="5"/>
      <c r="AI493" s="5"/>
      <c r="AJ493" s="5"/>
      <c r="AK493" s="141"/>
      <c r="AL493" s="94">
        <f>SUM(AF493:AK493)</f>
        <v>0.41392000000000007</v>
      </c>
      <c r="AM493" s="128"/>
      <c r="AN493" s="180"/>
      <c r="AO493" s="128">
        <v>0.2</v>
      </c>
      <c r="AP493" s="184">
        <v>0</v>
      </c>
      <c r="AQ493" s="128"/>
      <c r="AR493" s="184"/>
      <c r="AS493" s="128"/>
      <c r="AT493" s="184"/>
      <c r="AU493" s="128"/>
      <c r="AV493" s="184"/>
      <c r="AW493" s="128"/>
      <c r="AX493" s="184"/>
      <c r="AY493" s="111">
        <f>AM493+AO493+AQ493+AS493+AU493+AW493</f>
        <v>0.2</v>
      </c>
      <c r="AZ493" s="178">
        <f>AN493+AP493+AR493+AT493+AV493+AX493</f>
        <v>0</v>
      </c>
      <c r="BC493" s="216"/>
      <c r="BD493" s="47"/>
      <c r="BF493" s="113">
        <v>0.33577600000000002</v>
      </c>
      <c r="BG493" s="113"/>
      <c r="BH493" s="113"/>
      <c r="BI493" s="113"/>
      <c r="BJ493" s="113"/>
      <c r="BK493" s="113"/>
      <c r="BL493" s="5">
        <f t="shared" si="155"/>
        <v>0.33577600000000002</v>
      </c>
    </row>
    <row r="494" spans="1:64" s="2" customFormat="1" ht="15.75" customHeight="1" outlineLevel="1" x14ac:dyDescent="0.2">
      <c r="A494" s="594"/>
      <c r="B494" s="601"/>
      <c r="C494" s="7" t="s">
        <v>1553</v>
      </c>
      <c r="D494" s="8"/>
      <c r="E494" s="23"/>
      <c r="F494" s="8"/>
      <c r="G494" s="8"/>
      <c r="H494" s="5"/>
      <c r="I494" s="5"/>
      <c r="J494" s="5"/>
      <c r="K494" s="8"/>
      <c r="L494" s="23"/>
      <c r="M494" s="8"/>
      <c r="N494" s="8"/>
      <c r="O494" s="8"/>
      <c r="P494" s="8"/>
      <c r="Q494" s="23"/>
      <c r="R494" s="113"/>
      <c r="S494" s="113"/>
      <c r="T494" s="113"/>
      <c r="U494" s="113"/>
      <c r="V494" s="113"/>
      <c r="W494" s="113"/>
      <c r="X494" s="5">
        <f t="shared" si="154"/>
        <v>0</v>
      </c>
      <c r="Y494" s="302"/>
      <c r="Z494" s="5"/>
      <c r="AA494" s="94"/>
      <c r="AB494" s="311">
        <f t="shared" si="149"/>
        <v>0</v>
      </c>
      <c r="AC494" s="296"/>
      <c r="AD494" s="113"/>
      <c r="AE494" s="5"/>
      <c r="AF494" s="5"/>
      <c r="AG494" s="5"/>
      <c r="AH494" s="5"/>
      <c r="AI494" s="5"/>
      <c r="AJ494" s="5"/>
      <c r="AK494" s="141"/>
      <c r="AL494" s="94"/>
      <c r="AM494" s="128"/>
      <c r="AN494" s="180"/>
      <c r="AO494" s="128"/>
      <c r="AP494" s="184"/>
      <c r="AQ494" s="128"/>
      <c r="AR494" s="184"/>
      <c r="AS494" s="128"/>
      <c r="AT494" s="184"/>
      <c r="AU494" s="128"/>
      <c r="AV494" s="184"/>
      <c r="AW494" s="128"/>
      <c r="AX494" s="184"/>
      <c r="AY494" s="111"/>
      <c r="AZ494" s="178"/>
      <c r="BC494" s="216"/>
      <c r="BD494" s="47"/>
      <c r="BF494" s="113"/>
      <c r="BG494" s="113"/>
      <c r="BH494" s="113"/>
      <c r="BI494" s="113"/>
      <c r="BJ494" s="113"/>
      <c r="BK494" s="113"/>
      <c r="BL494" s="5">
        <f t="shared" si="155"/>
        <v>0</v>
      </c>
    </row>
    <row r="495" spans="1:64" s="2" customFormat="1" ht="15.75" customHeight="1" outlineLevel="1" x14ac:dyDescent="0.2">
      <c r="A495" s="595"/>
      <c r="B495" s="602"/>
      <c r="C495" s="7" t="s">
        <v>1554</v>
      </c>
      <c r="D495" s="8"/>
      <c r="E495" s="23"/>
      <c r="F495" s="8"/>
      <c r="G495" s="8"/>
      <c r="H495" s="5">
        <v>0.41392000000000007</v>
      </c>
      <c r="I495" s="5">
        <v>0.39152000000000009</v>
      </c>
      <c r="J495" s="5">
        <v>0.33577600000000002</v>
      </c>
      <c r="K495" s="23"/>
      <c r="L495" s="8"/>
      <c r="M495" s="8"/>
      <c r="N495" s="8"/>
      <c r="O495" s="8"/>
      <c r="P495" s="8"/>
      <c r="Q495" s="23"/>
      <c r="R495" s="113"/>
      <c r="S495" s="113"/>
      <c r="T495" s="113"/>
      <c r="U495" s="113"/>
      <c r="V495" s="113"/>
      <c r="W495" s="113"/>
      <c r="X495" s="5">
        <f t="shared" si="154"/>
        <v>0</v>
      </c>
      <c r="Y495" s="302"/>
      <c r="Z495" s="5"/>
      <c r="AA495" s="94"/>
      <c r="AB495" s="311">
        <f t="shared" si="149"/>
        <v>0.39152000000000009</v>
      </c>
      <c r="AC495" s="296"/>
      <c r="AD495" s="113"/>
      <c r="AE495" s="5"/>
      <c r="AF495" s="5"/>
      <c r="AG495" s="5"/>
      <c r="AH495" s="5"/>
      <c r="AI495" s="5"/>
      <c r="AJ495" s="5"/>
      <c r="AK495" s="141"/>
      <c r="AL495" s="94"/>
      <c r="AM495" s="128"/>
      <c r="AN495" s="180"/>
      <c r="AO495" s="128"/>
      <c r="AP495" s="184"/>
      <c r="AQ495" s="128"/>
      <c r="AR495" s="184"/>
      <c r="AS495" s="128"/>
      <c r="AT495" s="184"/>
      <c r="AU495" s="128"/>
      <c r="AV495" s="184"/>
      <c r="AW495" s="128"/>
      <c r="AX495" s="184"/>
      <c r="AY495" s="111"/>
      <c r="AZ495" s="178"/>
      <c r="BC495" s="216"/>
      <c r="BD495" s="47"/>
      <c r="BF495" s="113"/>
      <c r="BG495" s="113"/>
      <c r="BH495" s="113"/>
      <c r="BI495" s="113"/>
      <c r="BJ495" s="113"/>
      <c r="BK495" s="113"/>
      <c r="BL495" s="5">
        <f t="shared" si="155"/>
        <v>0</v>
      </c>
    </row>
    <row r="496" spans="1:64" s="2" customFormat="1" ht="38.25" outlineLevel="1" x14ac:dyDescent="0.2">
      <c r="A496" s="593" t="s">
        <v>789</v>
      </c>
      <c r="B496" s="600" t="s">
        <v>1673</v>
      </c>
      <c r="C496" s="7" t="s">
        <v>1824</v>
      </c>
      <c r="D496" s="8" t="s">
        <v>397</v>
      </c>
      <c r="E496" s="23" t="s">
        <v>335</v>
      </c>
      <c r="F496" s="8">
        <v>2012</v>
      </c>
      <c r="G496" s="8">
        <v>2014</v>
      </c>
      <c r="H496" s="5">
        <v>0.14130999999999999</v>
      </c>
      <c r="I496" s="5">
        <v>0.17428299999999999</v>
      </c>
      <c r="J496" s="5">
        <f>R496</f>
        <v>0.17428299999999999</v>
      </c>
      <c r="K496" s="23" t="s">
        <v>335</v>
      </c>
      <c r="L496" s="8"/>
      <c r="M496" s="8"/>
      <c r="N496" s="8"/>
      <c r="O496" s="8"/>
      <c r="P496" s="8"/>
      <c r="Q496" s="23" t="s">
        <v>335</v>
      </c>
      <c r="R496" s="113">
        <v>0.17428299999999999</v>
      </c>
      <c r="S496" s="113"/>
      <c r="T496" s="113"/>
      <c r="U496" s="113"/>
      <c r="V496" s="113"/>
      <c r="W496" s="113"/>
      <c r="X496" s="5">
        <f t="shared" si="154"/>
        <v>0.17428299999999999</v>
      </c>
      <c r="Y496" s="302">
        <f>H496-H497-H498</f>
        <v>0</v>
      </c>
      <c r="Z496" s="5">
        <f>I496-I497-I498</f>
        <v>0</v>
      </c>
      <c r="AA496" s="94">
        <f>J496-J497-J498</f>
        <v>0</v>
      </c>
      <c r="AB496" s="311">
        <f t="shared" si="149"/>
        <v>0</v>
      </c>
      <c r="AC496" s="296"/>
      <c r="AD496" s="113"/>
      <c r="AE496" s="5"/>
      <c r="AF496" s="5">
        <f>H496</f>
        <v>0.14130999999999999</v>
      </c>
      <c r="AG496" s="5"/>
      <c r="AH496" s="5"/>
      <c r="AI496" s="5"/>
      <c r="AJ496" s="5"/>
      <c r="AK496" s="141"/>
      <c r="AL496" s="94">
        <f>SUM(AF496:AK496)</f>
        <v>0.14130999999999999</v>
      </c>
      <c r="AM496" s="128">
        <v>0.1</v>
      </c>
      <c r="AN496" s="180">
        <v>0</v>
      </c>
      <c r="AO496" s="128"/>
      <c r="AP496" s="184"/>
      <c r="AQ496" s="128"/>
      <c r="AR496" s="184"/>
      <c r="AS496" s="128"/>
      <c r="AT496" s="184"/>
      <c r="AU496" s="128"/>
      <c r="AV496" s="184"/>
      <c r="AW496" s="128"/>
      <c r="AX496" s="184"/>
      <c r="AY496" s="111">
        <f t="shared" ref="AY496:AZ499" si="156">AM496+AO496+AQ496+AS496+AU496+AW496</f>
        <v>0.1</v>
      </c>
      <c r="AZ496" s="178">
        <f t="shared" si="156"/>
        <v>0</v>
      </c>
      <c r="BC496" s="216"/>
      <c r="BD496" s="47"/>
      <c r="BF496" s="113">
        <v>0.17428299999999999</v>
      </c>
      <c r="BG496" s="113"/>
      <c r="BH496" s="113"/>
      <c r="BI496" s="113"/>
      <c r="BJ496" s="113"/>
      <c r="BK496" s="113"/>
      <c r="BL496" s="5">
        <f t="shared" si="155"/>
        <v>0.17428299999999999</v>
      </c>
    </row>
    <row r="497" spans="1:64" s="2" customFormat="1" ht="15.75" customHeight="1" outlineLevel="1" x14ac:dyDescent="0.2">
      <c r="A497" s="594"/>
      <c r="B497" s="601"/>
      <c r="C497" s="7" t="s">
        <v>1553</v>
      </c>
      <c r="D497" s="8"/>
      <c r="E497" s="23"/>
      <c r="F497" s="8"/>
      <c r="G497" s="8"/>
      <c r="H497" s="5"/>
      <c r="I497" s="5"/>
      <c r="J497" s="5"/>
      <c r="K497" s="8"/>
      <c r="L497" s="23"/>
      <c r="M497" s="8"/>
      <c r="N497" s="8"/>
      <c r="O497" s="8"/>
      <c r="P497" s="8"/>
      <c r="Q497" s="23"/>
      <c r="R497" s="113"/>
      <c r="S497" s="113"/>
      <c r="T497" s="113"/>
      <c r="U497" s="113"/>
      <c r="V497" s="113"/>
      <c r="W497" s="113"/>
      <c r="X497" s="5">
        <f t="shared" si="154"/>
        <v>0</v>
      </c>
      <c r="Y497" s="302"/>
      <c r="Z497" s="5"/>
      <c r="AA497" s="94"/>
      <c r="AB497" s="311">
        <f t="shared" si="149"/>
        <v>0</v>
      </c>
      <c r="AC497" s="296"/>
      <c r="AD497" s="113"/>
      <c r="AE497" s="5"/>
      <c r="AF497" s="5"/>
      <c r="AG497" s="5"/>
      <c r="AH497" s="5"/>
      <c r="AI497" s="5"/>
      <c r="AJ497" s="5"/>
      <c r="AK497" s="141"/>
      <c r="AL497" s="94"/>
      <c r="AM497" s="128"/>
      <c r="AN497" s="180"/>
      <c r="AO497" s="128"/>
      <c r="AP497" s="184"/>
      <c r="AQ497" s="128"/>
      <c r="AR497" s="184"/>
      <c r="AS497" s="128"/>
      <c r="AT497" s="184"/>
      <c r="AU497" s="128"/>
      <c r="AV497" s="184"/>
      <c r="AW497" s="128"/>
      <c r="AX497" s="184"/>
      <c r="AY497" s="111"/>
      <c r="AZ497" s="178"/>
      <c r="BC497" s="216"/>
      <c r="BD497" s="47"/>
      <c r="BF497" s="113"/>
      <c r="BG497" s="113"/>
      <c r="BH497" s="113"/>
      <c r="BI497" s="113"/>
      <c r="BJ497" s="113"/>
      <c r="BK497" s="113"/>
      <c r="BL497" s="5">
        <f t="shared" si="155"/>
        <v>0</v>
      </c>
    </row>
    <row r="498" spans="1:64" s="2" customFormat="1" ht="15.75" customHeight="1" outlineLevel="1" x14ac:dyDescent="0.2">
      <c r="A498" s="595"/>
      <c r="B498" s="602"/>
      <c r="C498" s="7" t="s">
        <v>1554</v>
      </c>
      <c r="D498" s="8"/>
      <c r="E498" s="23"/>
      <c r="F498" s="8"/>
      <c r="G498" s="8"/>
      <c r="H498" s="5">
        <v>0.14130999999999999</v>
      </c>
      <c r="I498" s="5">
        <f>I496</f>
        <v>0.17428299999999999</v>
      </c>
      <c r="J498" s="5">
        <v>0.17428299999999999</v>
      </c>
      <c r="K498" s="23"/>
      <c r="L498" s="8"/>
      <c r="M498" s="8"/>
      <c r="N498" s="8"/>
      <c r="O498" s="8"/>
      <c r="P498" s="8"/>
      <c r="Q498" s="23"/>
      <c r="R498" s="113"/>
      <c r="S498" s="113"/>
      <c r="T498" s="113"/>
      <c r="U498" s="113"/>
      <c r="V498" s="113"/>
      <c r="W498" s="113"/>
      <c r="X498" s="5">
        <f t="shared" si="154"/>
        <v>0</v>
      </c>
      <c r="Y498" s="302"/>
      <c r="Z498" s="5"/>
      <c r="AA498" s="94"/>
      <c r="AB498" s="311">
        <f t="shared" si="149"/>
        <v>0.17428299999999999</v>
      </c>
      <c r="AC498" s="296"/>
      <c r="AD498" s="113"/>
      <c r="AE498" s="5"/>
      <c r="AF498" s="5"/>
      <c r="AG498" s="5"/>
      <c r="AH498" s="5"/>
      <c r="AI498" s="5"/>
      <c r="AJ498" s="5"/>
      <c r="AK498" s="141"/>
      <c r="AL498" s="94"/>
      <c r="AM498" s="128"/>
      <c r="AN498" s="180"/>
      <c r="AO498" s="128"/>
      <c r="AP498" s="184"/>
      <c r="AQ498" s="128"/>
      <c r="AR498" s="184"/>
      <c r="AS498" s="128"/>
      <c r="AT498" s="184"/>
      <c r="AU498" s="128"/>
      <c r="AV498" s="184"/>
      <c r="AW498" s="128"/>
      <c r="AX498" s="184"/>
      <c r="AY498" s="111"/>
      <c r="AZ498" s="178"/>
      <c r="BC498" s="216"/>
      <c r="BD498" s="47"/>
      <c r="BF498" s="113"/>
      <c r="BG498" s="113"/>
      <c r="BH498" s="113"/>
      <c r="BI498" s="113"/>
      <c r="BJ498" s="113"/>
      <c r="BK498" s="113"/>
      <c r="BL498" s="5">
        <f t="shared" si="155"/>
        <v>0</v>
      </c>
    </row>
    <row r="499" spans="1:64" s="2" customFormat="1" ht="76.5" customHeight="1" outlineLevel="1" x14ac:dyDescent="0.2">
      <c r="A499" s="593" t="s">
        <v>790</v>
      </c>
      <c r="B499" s="600" t="s">
        <v>1674</v>
      </c>
      <c r="C499" s="7" t="s">
        <v>1825</v>
      </c>
      <c r="D499" s="8" t="s">
        <v>397</v>
      </c>
      <c r="E499" s="23" t="s">
        <v>347</v>
      </c>
      <c r="F499" s="8">
        <v>2012</v>
      </c>
      <c r="G499" s="8">
        <v>2015</v>
      </c>
      <c r="H499" s="5">
        <v>8.4140000000000006E-2</v>
      </c>
      <c r="I499" s="5">
        <v>6.1804000000000005E-2</v>
      </c>
      <c r="J499" s="5">
        <f>R499</f>
        <v>0.01</v>
      </c>
      <c r="K499" s="8"/>
      <c r="L499" s="23" t="s">
        <v>347</v>
      </c>
      <c r="M499" s="8"/>
      <c r="N499" s="8"/>
      <c r="O499" s="8"/>
      <c r="P499" s="8"/>
      <c r="Q499" s="23" t="s">
        <v>347</v>
      </c>
      <c r="R499" s="113">
        <v>0.01</v>
      </c>
      <c r="S499" s="113"/>
      <c r="T499" s="113"/>
      <c r="U499" s="113"/>
      <c r="V499" s="113"/>
      <c r="W499" s="113"/>
      <c r="X499" s="5">
        <f t="shared" si="154"/>
        <v>0.01</v>
      </c>
      <c r="Y499" s="302">
        <f>H499-H500-H501</f>
        <v>0</v>
      </c>
      <c r="Z499" s="5">
        <f>I499-I500-I501</f>
        <v>0</v>
      </c>
      <c r="AA499" s="94">
        <f>J499-J500-J501</f>
        <v>0</v>
      </c>
      <c r="AB499" s="311">
        <f t="shared" si="149"/>
        <v>5.1804000000000003E-2</v>
      </c>
      <c r="AC499" s="296"/>
      <c r="AD499" s="113"/>
      <c r="AE499" s="5"/>
      <c r="AF499" s="5"/>
      <c r="AG499" s="5">
        <f>H499</f>
        <v>8.4140000000000006E-2</v>
      </c>
      <c r="AH499" s="5"/>
      <c r="AI499" s="5"/>
      <c r="AJ499" s="5"/>
      <c r="AK499" s="141"/>
      <c r="AL499" s="94">
        <f>SUM(AF499:AK499)</f>
        <v>8.4140000000000006E-2</v>
      </c>
      <c r="AM499" s="128"/>
      <c r="AN499" s="180"/>
      <c r="AO499" s="128">
        <v>0.05</v>
      </c>
      <c r="AP499" s="184">
        <v>0</v>
      </c>
      <c r="AQ499" s="128"/>
      <c r="AR499" s="184"/>
      <c r="AS499" s="128"/>
      <c r="AT499" s="184"/>
      <c r="AU499" s="128"/>
      <c r="AV499" s="184"/>
      <c r="AW499" s="128"/>
      <c r="AX499" s="184"/>
      <c r="AY499" s="111">
        <f t="shared" si="156"/>
        <v>0.05</v>
      </c>
      <c r="AZ499" s="178">
        <f t="shared" si="156"/>
        <v>0</v>
      </c>
      <c r="BC499" s="216"/>
      <c r="BD499" s="47"/>
      <c r="BF499" s="113">
        <v>0.01</v>
      </c>
      <c r="BG499" s="113"/>
      <c r="BH499" s="113"/>
      <c r="BI499" s="113"/>
      <c r="BJ499" s="113"/>
      <c r="BK499" s="113"/>
      <c r="BL499" s="5">
        <f t="shared" si="155"/>
        <v>0.01</v>
      </c>
    </row>
    <row r="500" spans="1:64" s="2" customFormat="1" ht="15.75" customHeight="1" outlineLevel="1" x14ac:dyDescent="0.2">
      <c r="A500" s="594"/>
      <c r="B500" s="601"/>
      <c r="C500" s="7" t="s">
        <v>1553</v>
      </c>
      <c r="D500" s="8"/>
      <c r="E500" s="23"/>
      <c r="F500" s="8"/>
      <c r="G500" s="8"/>
      <c r="H500" s="5">
        <v>8.4140000000000006E-2</v>
      </c>
      <c r="I500" s="5">
        <v>6.1804000000000005E-2</v>
      </c>
      <c r="J500" s="5">
        <v>0.01</v>
      </c>
      <c r="K500" s="8"/>
      <c r="L500" s="23"/>
      <c r="M500" s="8"/>
      <c r="N500" s="8"/>
      <c r="O500" s="8"/>
      <c r="P500" s="8"/>
      <c r="Q500" s="23"/>
      <c r="R500" s="113"/>
      <c r="S500" s="113"/>
      <c r="T500" s="113"/>
      <c r="U500" s="113"/>
      <c r="V500" s="113"/>
      <c r="W500" s="113"/>
      <c r="X500" s="5">
        <f t="shared" si="154"/>
        <v>0</v>
      </c>
      <c r="Y500" s="302"/>
      <c r="Z500" s="5"/>
      <c r="AA500" s="94"/>
      <c r="AB500" s="311">
        <f t="shared" si="149"/>
        <v>6.1804000000000005E-2</v>
      </c>
      <c r="AC500" s="296"/>
      <c r="AD500" s="113"/>
      <c r="AE500" s="5"/>
      <c r="AF500" s="5"/>
      <c r="AG500" s="5"/>
      <c r="AH500" s="5"/>
      <c r="AI500" s="5"/>
      <c r="AJ500" s="5"/>
      <c r="AK500" s="141"/>
      <c r="AL500" s="94"/>
      <c r="AM500" s="128"/>
      <c r="AN500" s="180"/>
      <c r="AO500" s="128"/>
      <c r="AP500" s="184"/>
      <c r="AQ500" s="128"/>
      <c r="AR500" s="184"/>
      <c r="AS500" s="128"/>
      <c r="AT500" s="184"/>
      <c r="AU500" s="128"/>
      <c r="AV500" s="184"/>
      <c r="AW500" s="128"/>
      <c r="AX500" s="184"/>
      <c r="AY500" s="111"/>
      <c r="AZ500" s="178"/>
      <c r="BC500" s="216"/>
      <c r="BD500" s="47"/>
      <c r="BF500" s="113"/>
      <c r="BG500" s="113"/>
      <c r="BH500" s="113"/>
      <c r="BI500" s="113"/>
      <c r="BJ500" s="113"/>
      <c r="BK500" s="113"/>
      <c r="BL500" s="5">
        <f t="shared" si="155"/>
        <v>0</v>
      </c>
    </row>
    <row r="501" spans="1:64" s="2" customFormat="1" ht="15.75" customHeight="1" outlineLevel="1" x14ac:dyDescent="0.2">
      <c r="A501" s="595"/>
      <c r="B501" s="602"/>
      <c r="C501" s="7" t="s">
        <v>1554</v>
      </c>
      <c r="D501" s="8"/>
      <c r="E501" s="23"/>
      <c r="F501" s="8"/>
      <c r="G501" s="8"/>
      <c r="H501" s="5"/>
      <c r="I501" s="5"/>
      <c r="J501" s="5"/>
      <c r="K501" s="23"/>
      <c r="L501" s="8"/>
      <c r="M501" s="8"/>
      <c r="N501" s="8"/>
      <c r="O501" s="8"/>
      <c r="P501" s="8"/>
      <c r="Q501" s="23"/>
      <c r="R501" s="113"/>
      <c r="S501" s="113"/>
      <c r="T501" s="113"/>
      <c r="U501" s="113"/>
      <c r="V501" s="113"/>
      <c r="W501" s="113"/>
      <c r="X501" s="5">
        <f t="shared" si="154"/>
        <v>0</v>
      </c>
      <c r="Y501" s="302"/>
      <c r="Z501" s="5"/>
      <c r="AA501" s="94"/>
      <c r="AB501" s="311">
        <f t="shared" si="149"/>
        <v>0</v>
      </c>
      <c r="AC501" s="296"/>
      <c r="AD501" s="113"/>
      <c r="AE501" s="5"/>
      <c r="AF501" s="5"/>
      <c r="AG501" s="5"/>
      <c r="AH501" s="5"/>
      <c r="AI501" s="5"/>
      <c r="AJ501" s="5"/>
      <c r="AK501" s="141"/>
      <c r="AL501" s="94"/>
      <c r="AM501" s="128"/>
      <c r="AN501" s="180"/>
      <c r="AO501" s="128"/>
      <c r="AP501" s="184"/>
      <c r="AQ501" s="128"/>
      <c r="AR501" s="184"/>
      <c r="AS501" s="128"/>
      <c r="AT501" s="184"/>
      <c r="AU501" s="128"/>
      <c r="AV501" s="184"/>
      <c r="AW501" s="128"/>
      <c r="AX501" s="184"/>
      <c r="AY501" s="111"/>
      <c r="AZ501" s="178"/>
      <c r="BC501" s="216"/>
      <c r="BD501" s="47"/>
      <c r="BF501" s="113"/>
      <c r="BG501" s="113"/>
      <c r="BH501" s="113"/>
      <c r="BI501" s="113"/>
      <c r="BJ501" s="113"/>
      <c r="BK501" s="113"/>
      <c r="BL501" s="5">
        <f t="shared" si="155"/>
        <v>0</v>
      </c>
    </row>
    <row r="502" spans="1:64" s="2" customFormat="1" ht="102" customHeight="1" outlineLevel="1" x14ac:dyDescent="0.2">
      <c r="A502" s="593" t="s">
        <v>791</v>
      </c>
      <c r="B502" s="600" t="s">
        <v>1675</v>
      </c>
      <c r="C502" s="7" t="s">
        <v>606</v>
      </c>
      <c r="D502" s="8" t="s">
        <v>397</v>
      </c>
      <c r="E502" s="23" t="s">
        <v>347</v>
      </c>
      <c r="F502" s="8">
        <v>2012</v>
      </c>
      <c r="G502" s="8">
        <v>2015</v>
      </c>
      <c r="H502" s="5">
        <v>8.4140000000000006E-2</v>
      </c>
      <c r="I502" s="5">
        <v>3.8128000000000009E-2</v>
      </c>
      <c r="J502" s="5">
        <f>R502</f>
        <v>0.01</v>
      </c>
      <c r="K502" s="8"/>
      <c r="L502" s="23" t="s">
        <v>347</v>
      </c>
      <c r="M502" s="8"/>
      <c r="N502" s="8"/>
      <c r="O502" s="8"/>
      <c r="P502" s="8"/>
      <c r="Q502" s="23" t="s">
        <v>347</v>
      </c>
      <c r="R502" s="113">
        <v>0.01</v>
      </c>
      <c r="S502" s="113"/>
      <c r="T502" s="113"/>
      <c r="U502" s="113"/>
      <c r="V502" s="113"/>
      <c r="W502" s="113"/>
      <c r="X502" s="5">
        <f t="shared" si="154"/>
        <v>0.01</v>
      </c>
      <c r="Y502" s="302">
        <f>H502-H503-H504</f>
        <v>0</v>
      </c>
      <c r="Z502" s="5">
        <f>I502-I503-I504</f>
        <v>0</v>
      </c>
      <c r="AA502" s="94">
        <f>J502-J503-J504</f>
        <v>0</v>
      </c>
      <c r="AB502" s="311">
        <f t="shared" si="149"/>
        <v>2.8128000000000007E-2</v>
      </c>
      <c r="AC502" s="296"/>
      <c r="AD502" s="113"/>
      <c r="AE502" s="5"/>
      <c r="AF502" s="5"/>
      <c r="AG502" s="5">
        <f>H502</f>
        <v>8.4140000000000006E-2</v>
      </c>
      <c r="AH502" s="5"/>
      <c r="AI502" s="5"/>
      <c r="AJ502" s="5"/>
      <c r="AK502" s="141"/>
      <c r="AL502" s="94">
        <f>SUM(AF502:AK502)</f>
        <v>8.4140000000000006E-2</v>
      </c>
      <c r="AM502" s="128"/>
      <c r="AN502" s="180"/>
      <c r="AO502" s="128">
        <v>0.05</v>
      </c>
      <c r="AP502" s="184">
        <v>0</v>
      </c>
      <c r="AQ502" s="128"/>
      <c r="AR502" s="184"/>
      <c r="AS502" s="128"/>
      <c r="AT502" s="184"/>
      <c r="AU502" s="128"/>
      <c r="AV502" s="184"/>
      <c r="AW502" s="128"/>
      <c r="AX502" s="184"/>
      <c r="AY502" s="111">
        <f>AM502+AO502+AQ502+AS502+AU502+AW502</f>
        <v>0.05</v>
      </c>
      <c r="AZ502" s="178">
        <f>AN502+AP502+AR502+AT502+AV502+AX502</f>
        <v>0</v>
      </c>
      <c r="BC502" s="216"/>
      <c r="BD502" s="47"/>
      <c r="BF502" s="113">
        <v>0.01</v>
      </c>
      <c r="BG502" s="113"/>
      <c r="BH502" s="113"/>
      <c r="BI502" s="113"/>
      <c r="BJ502" s="113"/>
      <c r="BK502" s="113"/>
      <c r="BL502" s="5">
        <f t="shared" si="155"/>
        <v>0.01</v>
      </c>
    </row>
    <row r="503" spans="1:64" s="2" customFormat="1" ht="15.75" customHeight="1" outlineLevel="1" x14ac:dyDescent="0.2">
      <c r="A503" s="594"/>
      <c r="B503" s="601"/>
      <c r="C503" s="7" t="s">
        <v>1553</v>
      </c>
      <c r="D503" s="8"/>
      <c r="E503" s="23"/>
      <c r="F503" s="8"/>
      <c r="G503" s="8"/>
      <c r="H503" s="5">
        <v>8.4140000000000006E-2</v>
      </c>
      <c r="I503" s="5">
        <v>3.8128000000000009E-2</v>
      </c>
      <c r="J503" s="5">
        <v>0.01</v>
      </c>
      <c r="K503" s="8"/>
      <c r="L503" s="23"/>
      <c r="M503" s="8"/>
      <c r="N503" s="8"/>
      <c r="O503" s="8"/>
      <c r="P503" s="8"/>
      <c r="Q503" s="23"/>
      <c r="R503" s="113"/>
      <c r="S503" s="113"/>
      <c r="T503" s="113"/>
      <c r="U503" s="113"/>
      <c r="V503" s="113"/>
      <c r="W503" s="113"/>
      <c r="X503" s="5">
        <f t="shared" si="154"/>
        <v>0</v>
      </c>
      <c r="Y503" s="302"/>
      <c r="Z503" s="5"/>
      <c r="AA503" s="94"/>
      <c r="AB503" s="311">
        <f t="shared" si="149"/>
        <v>3.8128000000000009E-2</v>
      </c>
      <c r="AC503" s="296"/>
      <c r="AD503" s="113"/>
      <c r="AE503" s="5"/>
      <c r="AF503" s="5"/>
      <c r="AG503" s="5"/>
      <c r="AH503" s="5"/>
      <c r="AI503" s="5"/>
      <c r="AJ503" s="5"/>
      <c r="AK503" s="141"/>
      <c r="AL503" s="94"/>
      <c r="AM503" s="128"/>
      <c r="AN503" s="180"/>
      <c r="AO503" s="128"/>
      <c r="AP503" s="184"/>
      <c r="AQ503" s="128"/>
      <c r="AR503" s="184"/>
      <c r="AS503" s="128"/>
      <c r="AT503" s="184"/>
      <c r="AU503" s="128"/>
      <c r="AV503" s="184"/>
      <c r="AW503" s="128"/>
      <c r="AX503" s="184"/>
      <c r="AY503" s="111"/>
      <c r="AZ503" s="178"/>
      <c r="BC503" s="216"/>
      <c r="BD503" s="47"/>
      <c r="BF503" s="113"/>
      <c r="BG503" s="113"/>
      <c r="BH503" s="113"/>
      <c r="BI503" s="113"/>
      <c r="BJ503" s="113"/>
      <c r="BK503" s="113"/>
      <c r="BL503" s="5">
        <f t="shared" si="155"/>
        <v>0</v>
      </c>
    </row>
    <row r="504" spans="1:64" s="2" customFormat="1" ht="15.75" customHeight="1" outlineLevel="1" x14ac:dyDescent="0.2">
      <c r="A504" s="595"/>
      <c r="B504" s="602"/>
      <c r="C504" s="7" t="s">
        <v>1554</v>
      </c>
      <c r="D504" s="8"/>
      <c r="E504" s="23"/>
      <c r="F504" s="8"/>
      <c r="G504" s="8"/>
      <c r="H504" s="5"/>
      <c r="I504" s="5"/>
      <c r="J504" s="5"/>
      <c r="K504" s="23"/>
      <c r="L504" s="8"/>
      <c r="M504" s="8"/>
      <c r="N504" s="8"/>
      <c r="O504" s="8"/>
      <c r="P504" s="8"/>
      <c r="Q504" s="23"/>
      <c r="R504" s="113"/>
      <c r="S504" s="113"/>
      <c r="T504" s="113"/>
      <c r="U504" s="113"/>
      <c r="V504" s="113"/>
      <c r="W504" s="113"/>
      <c r="X504" s="5">
        <f t="shared" si="154"/>
        <v>0</v>
      </c>
      <c r="Y504" s="302"/>
      <c r="Z504" s="5"/>
      <c r="AA504" s="94"/>
      <c r="AB504" s="311">
        <f t="shared" si="149"/>
        <v>0</v>
      </c>
      <c r="AC504" s="296"/>
      <c r="AD504" s="113"/>
      <c r="AE504" s="5"/>
      <c r="AF504" s="5"/>
      <c r="AG504" s="5"/>
      <c r="AH504" s="5"/>
      <c r="AI504" s="5"/>
      <c r="AJ504" s="5"/>
      <c r="AK504" s="141"/>
      <c r="AL504" s="94"/>
      <c r="AM504" s="128"/>
      <c r="AN504" s="180"/>
      <c r="AO504" s="128"/>
      <c r="AP504" s="184"/>
      <c r="AQ504" s="128"/>
      <c r="AR504" s="184"/>
      <c r="AS504" s="128"/>
      <c r="AT504" s="184"/>
      <c r="AU504" s="128"/>
      <c r="AV504" s="184"/>
      <c r="AW504" s="128"/>
      <c r="AX504" s="184"/>
      <c r="AY504" s="111"/>
      <c r="AZ504" s="178"/>
      <c r="BC504" s="216"/>
      <c r="BD504" s="47"/>
      <c r="BF504" s="113"/>
      <c r="BG504" s="113"/>
      <c r="BH504" s="113"/>
      <c r="BI504" s="113"/>
      <c r="BJ504" s="113"/>
      <c r="BK504" s="113"/>
      <c r="BL504" s="5">
        <f t="shared" si="155"/>
        <v>0</v>
      </c>
    </row>
    <row r="505" spans="1:64" s="2" customFormat="1" ht="77.25" customHeight="1" outlineLevel="1" x14ac:dyDescent="0.2">
      <c r="A505" s="593" t="s">
        <v>792</v>
      </c>
      <c r="B505" s="600" t="s">
        <v>1676</v>
      </c>
      <c r="C505" s="7" t="s">
        <v>607</v>
      </c>
      <c r="D505" s="8" t="s">
        <v>397</v>
      </c>
      <c r="E505" s="23" t="s">
        <v>347</v>
      </c>
      <c r="F505" s="8">
        <v>2012</v>
      </c>
      <c r="G505" s="8">
        <v>2014</v>
      </c>
      <c r="H505" s="5">
        <v>0.13656000000000001</v>
      </c>
      <c r="I505" s="5">
        <v>4.3379000000000001E-2</v>
      </c>
      <c r="J505" s="5">
        <f>R505</f>
        <v>4.3379000000000001E-2</v>
      </c>
      <c r="K505" s="23" t="s">
        <v>347</v>
      </c>
      <c r="L505" s="8"/>
      <c r="M505" s="8"/>
      <c r="N505" s="8"/>
      <c r="O505" s="8"/>
      <c r="P505" s="8"/>
      <c r="Q505" s="23" t="s">
        <v>347</v>
      </c>
      <c r="R505" s="113">
        <v>4.3379000000000001E-2</v>
      </c>
      <c r="S505" s="113"/>
      <c r="T505" s="113"/>
      <c r="U505" s="113"/>
      <c r="V505" s="113"/>
      <c r="W505" s="113"/>
      <c r="X505" s="5">
        <f t="shared" si="154"/>
        <v>4.3379000000000001E-2</v>
      </c>
      <c r="Y505" s="302">
        <f>H505-H506-H507</f>
        <v>0</v>
      </c>
      <c r="Z505" s="5">
        <f>I505-I506-I507</f>
        <v>0</v>
      </c>
      <c r="AA505" s="94">
        <f>J505-J506-J507</f>
        <v>0</v>
      </c>
      <c r="AB505" s="311">
        <f t="shared" si="149"/>
        <v>0</v>
      </c>
      <c r="AC505" s="296"/>
      <c r="AD505" s="113"/>
      <c r="AE505" s="5"/>
      <c r="AF505" s="5">
        <f>H505</f>
        <v>0.13656000000000001</v>
      </c>
      <c r="AG505" s="5"/>
      <c r="AH505" s="5"/>
      <c r="AI505" s="5"/>
      <c r="AJ505" s="5"/>
      <c r="AK505" s="141"/>
      <c r="AL505" s="94">
        <f>SUM(AF505:AK505)</f>
        <v>0.13656000000000001</v>
      </c>
      <c r="AM505" s="128">
        <v>0.05</v>
      </c>
      <c r="AN505" s="180">
        <v>0</v>
      </c>
      <c r="AO505" s="128"/>
      <c r="AP505" s="184"/>
      <c r="AQ505" s="128"/>
      <c r="AR505" s="184"/>
      <c r="AS505" s="128"/>
      <c r="AT505" s="184"/>
      <c r="AU505" s="128"/>
      <c r="AV505" s="184"/>
      <c r="AW505" s="128"/>
      <c r="AX505" s="184"/>
      <c r="AY505" s="111">
        <f t="shared" ref="AY505:AZ508" si="157">AM505+AO505+AQ505+AS505+AU505+AW505</f>
        <v>0.05</v>
      </c>
      <c r="AZ505" s="178">
        <f t="shared" si="157"/>
        <v>0</v>
      </c>
      <c r="BC505" s="216"/>
      <c r="BD505" s="47"/>
      <c r="BF505" s="113">
        <v>4.3379000000000001E-2</v>
      </c>
      <c r="BG505" s="113"/>
      <c r="BH505" s="113"/>
      <c r="BI505" s="113"/>
      <c r="BJ505" s="113"/>
      <c r="BK505" s="113"/>
      <c r="BL505" s="5">
        <f t="shared" si="155"/>
        <v>4.3379000000000001E-2</v>
      </c>
    </row>
    <row r="506" spans="1:64" s="2" customFormat="1" ht="15.75" customHeight="1" outlineLevel="1" x14ac:dyDescent="0.2">
      <c r="A506" s="594"/>
      <c r="B506" s="601"/>
      <c r="C506" s="7" t="s">
        <v>1553</v>
      </c>
      <c r="D506" s="8"/>
      <c r="E506" s="23"/>
      <c r="F506" s="8"/>
      <c r="G506" s="8"/>
      <c r="H506" s="5"/>
      <c r="I506" s="5"/>
      <c r="J506" s="5"/>
      <c r="K506" s="8"/>
      <c r="L506" s="23"/>
      <c r="M506" s="8"/>
      <c r="N506" s="8"/>
      <c r="O506" s="8"/>
      <c r="P506" s="8"/>
      <c r="Q506" s="23"/>
      <c r="R506" s="113"/>
      <c r="S506" s="113"/>
      <c r="T506" s="113"/>
      <c r="U506" s="113"/>
      <c r="V506" s="113"/>
      <c r="W506" s="113"/>
      <c r="X506" s="5">
        <f t="shared" si="154"/>
        <v>0</v>
      </c>
      <c r="Y506" s="302"/>
      <c r="Z506" s="5"/>
      <c r="AA506" s="94"/>
      <c r="AB506" s="311">
        <f t="shared" si="149"/>
        <v>0</v>
      </c>
      <c r="AC506" s="296"/>
      <c r="AD506" s="113"/>
      <c r="AE506" s="5"/>
      <c r="AF506" s="5"/>
      <c r="AG506" s="5"/>
      <c r="AH506" s="5"/>
      <c r="AI506" s="5"/>
      <c r="AJ506" s="5"/>
      <c r="AK506" s="141"/>
      <c r="AL506" s="94"/>
      <c r="AM506" s="128"/>
      <c r="AN506" s="180"/>
      <c r="AO506" s="128"/>
      <c r="AP506" s="184"/>
      <c r="AQ506" s="128"/>
      <c r="AR506" s="184"/>
      <c r="AS506" s="128"/>
      <c r="AT506" s="184"/>
      <c r="AU506" s="128"/>
      <c r="AV506" s="184"/>
      <c r="AW506" s="128"/>
      <c r="AX506" s="184"/>
      <c r="AY506" s="111"/>
      <c r="AZ506" s="178"/>
      <c r="BC506" s="216"/>
      <c r="BD506" s="47"/>
      <c r="BF506" s="113"/>
      <c r="BG506" s="113"/>
      <c r="BH506" s="113"/>
      <c r="BI506" s="113"/>
      <c r="BJ506" s="113"/>
      <c r="BK506" s="113"/>
      <c r="BL506" s="5">
        <f t="shared" si="155"/>
        <v>0</v>
      </c>
    </row>
    <row r="507" spans="1:64" s="2" customFormat="1" ht="15.75" customHeight="1" outlineLevel="1" x14ac:dyDescent="0.2">
      <c r="A507" s="595"/>
      <c r="B507" s="602"/>
      <c r="C507" s="7" t="s">
        <v>1554</v>
      </c>
      <c r="D507" s="8"/>
      <c r="E507" s="23"/>
      <c r="F507" s="8"/>
      <c r="G507" s="8"/>
      <c r="H507" s="5">
        <v>0.13656000000000001</v>
      </c>
      <c r="I507" s="5">
        <f>I505</f>
        <v>4.3379000000000001E-2</v>
      </c>
      <c r="J507" s="5">
        <v>4.3379000000000001E-2</v>
      </c>
      <c r="K507" s="23"/>
      <c r="L507" s="8"/>
      <c r="M507" s="8"/>
      <c r="N507" s="8"/>
      <c r="O507" s="8"/>
      <c r="P507" s="8"/>
      <c r="Q507" s="23"/>
      <c r="R507" s="113"/>
      <c r="S507" s="113"/>
      <c r="T507" s="113"/>
      <c r="U507" s="113"/>
      <c r="V507" s="113"/>
      <c r="W507" s="113"/>
      <c r="X507" s="5">
        <f t="shared" si="154"/>
        <v>0</v>
      </c>
      <c r="Y507" s="302"/>
      <c r="Z507" s="5"/>
      <c r="AA507" s="94"/>
      <c r="AB507" s="311">
        <f t="shared" si="149"/>
        <v>4.3379000000000001E-2</v>
      </c>
      <c r="AC507" s="296"/>
      <c r="AD507" s="113"/>
      <c r="AE507" s="5"/>
      <c r="AF507" s="5"/>
      <c r="AG507" s="5"/>
      <c r="AH507" s="5"/>
      <c r="AI507" s="5"/>
      <c r="AJ507" s="5"/>
      <c r="AK507" s="141"/>
      <c r="AL507" s="94"/>
      <c r="AM507" s="128"/>
      <c r="AN507" s="180"/>
      <c r="AO507" s="128"/>
      <c r="AP507" s="184"/>
      <c r="AQ507" s="128"/>
      <c r="AR507" s="184"/>
      <c r="AS507" s="128"/>
      <c r="AT507" s="184"/>
      <c r="AU507" s="128"/>
      <c r="AV507" s="184"/>
      <c r="AW507" s="128"/>
      <c r="AX507" s="184"/>
      <c r="AY507" s="111"/>
      <c r="AZ507" s="178"/>
      <c r="BC507" s="216"/>
      <c r="BD507" s="47"/>
      <c r="BF507" s="113"/>
      <c r="BG507" s="113"/>
      <c r="BH507" s="113"/>
      <c r="BI507" s="113"/>
      <c r="BJ507" s="113"/>
      <c r="BK507" s="113"/>
      <c r="BL507" s="5">
        <f t="shared" si="155"/>
        <v>0</v>
      </c>
    </row>
    <row r="508" spans="1:64" s="2" customFormat="1" ht="38.25" customHeight="1" outlineLevel="1" x14ac:dyDescent="0.2">
      <c r="A508" s="593" t="s">
        <v>793</v>
      </c>
      <c r="B508" s="600" t="s">
        <v>1677</v>
      </c>
      <c r="C508" s="7" t="s">
        <v>603</v>
      </c>
      <c r="D508" s="8" t="s">
        <v>397</v>
      </c>
      <c r="E508" s="23" t="s">
        <v>17</v>
      </c>
      <c r="F508" s="8">
        <v>2012</v>
      </c>
      <c r="G508" s="8">
        <v>2015</v>
      </c>
      <c r="H508" s="5">
        <v>1.7425999999999999</v>
      </c>
      <c r="I508" s="5">
        <v>1.2</v>
      </c>
      <c r="J508" s="5">
        <f>R508</f>
        <v>1.2</v>
      </c>
      <c r="K508" s="8"/>
      <c r="L508" s="23" t="s">
        <v>17</v>
      </c>
      <c r="M508" s="8"/>
      <c r="N508" s="8"/>
      <c r="O508" s="8"/>
      <c r="P508" s="8"/>
      <c r="Q508" s="23" t="s">
        <v>17</v>
      </c>
      <c r="R508" s="113">
        <v>1.2</v>
      </c>
      <c r="S508" s="113"/>
      <c r="T508" s="113"/>
      <c r="U508" s="113"/>
      <c r="V508" s="113"/>
      <c r="W508" s="113"/>
      <c r="X508" s="5">
        <f t="shared" si="154"/>
        <v>1.2</v>
      </c>
      <c r="Y508" s="302">
        <f>H508-H509-H510</f>
        <v>0</v>
      </c>
      <c r="Z508" s="5">
        <f>I508-I509-I510</f>
        <v>0</v>
      </c>
      <c r="AA508" s="94">
        <f>J508-J509-J510</f>
        <v>0</v>
      </c>
      <c r="AB508" s="311">
        <f t="shared" si="149"/>
        <v>0</v>
      </c>
      <c r="AC508" s="296"/>
      <c r="AD508" s="113"/>
      <c r="AE508" s="5"/>
      <c r="AF508" s="5"/>
      <c r="AG508" s="5">
        <f>H508</f>
        <v>1.7425999999999999</v>
      </c>
      <c r="AH508" s="5"/>
      <c r="AI508" s="5"/>
      <c r="AJ508" s="5"/>
      <c r="AK508" s="141"/>
      <c r="AL508" s="94">
        <f>SUM(AF508:AK508)</f>
        <v>1.7425999999999999</v>
      </c>
      <c r="AM508" s="128"/>
      <c r="AN508" s="180"/>
      <c r="AO508" s="128">
        <v>0.5</v>
      </c>
      <c r="AP508" s="184">
        <v>0.4</v>
      </c>
      <c r="AQ508" s="128"/>
      <c r="AR508" s="184"/>
      <c r="AS508" s="128"/>
      <c r="AT508" s="184"/>
      <c r="AU508" s="128"/>
      <c r="AV508" s="184"/>
      <c r="AW508" s="128"/>
      <c r="AX508" s="184"/>
      <c r="AY508" s="111">
        <f t="shared" si="157"/>
        <v>0.5</v>
      </c>
      <c r="AZ508" s="178">
        <f t="shared" si="157"/>
        <v>0.4</v>
      </c>
      <c r="BC508" s="216"/>
      <c r="BD508" s="47"/>
      <c r="BF508" s="113">
        <v>1.2</v>
      </c>
      <c r="BG508" s="113"/>
      <c r="BH508" s="113"/>
      <c r="BI508" s="113"/>
      <c r="BJ508" s="113"/>
      <c r="BK508" s="113"/>
      <c r="BL508" s="5">
        <f t="shared" si="155"/>
        <v>1.2</v>
      </c>
    </row>
    <row r="509" spans="1:64" s="2" customFormat="1" ht="15.75" customHeight="1" outlineLevel="1" x14ac:dyDescent="0.2">
      <c r="A509" s="594"/>
      <c r="B509" s="601"/>
      <c r="C509" s="7" t="s">
        <v>1553</v>
      </c>
      <c r="D509" s="8"/>
      <c r="E509" s="23"/>
      <c r="F509" s="8"/>
      <c r="G509" s="8"/>
      <c r="H509" s="5"/>
      <c r="I509" s="5"/>
      <c r="J509" s="5"/>
      <c r="K509" s="8"/>
      <c r="L509" s="23"/>
      <c r="M509" s="8"/>
      <c r="N509" s="8"/>
      <c r="O509" s="8"/>
      <c r="P509" s="8"/>
      <c r="Q509" s="23"/>
      <c r="R509" s="113"/>
      <c r="S509" s="113"/>
      <c r="T509" s="113"/>
      <c r="U509" s="113"/>
      <c r="V509" s="113"/>
      <c r="W509" s="113"/>
      <c r="X509" s="5">
        <f t="shared" si="154"/>
        <v>0</v>
      </c>
      <c r="Y509" s="302"/>
      <c r="Z509" s="5"/>
      <c r="AA509" s="94"/>
      <c r="AB509" s="311">
        <f t="shared" si="149"/>
        <v>0</v>
      </c>
      <c r="AC509" s="296"/>
      <c r="AD509" s="113"/>
      <c r="AE509" s="5"/>
      <c r="AF509" s="5"/>
      <c r="AG509" s="5"/>
      <c r="AH509" s="5"/>
      <c r="AI509" s="5"/>
      <c r="AJ509" s="5"/>
      <c r="AK509" s="141"/>
      <c r="AL509" s="94"/>
      <c r="AM509" s="128"/>
      <c r="AN509" s="180"/>
      <c r="AO509" s="128"/>
      <c r="AP509" s="184"/>
      <c r="AQ509" s="128"/>
      <c r="AR509" s="184"/>
      <c r="AS509" s="128"/>
      <c r="AT509" s="184"/>
      <c r="AU509" s="128"/>
      <c r="AV509" s="184"/>
      <c r="AW509" s="128"/>
      <c r="AX509" s="184"/>
      <c r="AY509" s="111"/>
      <c r="AZ509" s="178"/>
      <c r="BC509" s="216"/>
      <c r="BD509" s="47"/>
      <c r="BF509" s="113"/>
      <c r="BG509" s="113"/>
      <c r="BH509" s="113"/>
      <c r="BI509" s="113"/>
      <c r="BJ509" s="113"/>
      <c r="BK509" s="113"/>
      <c r="BL509" s="5">
        <f t="shared" si="155"/>
        <v>0</v>
      </c>
    </row>
    <row r="510" spans="1:64" s="2" customFormat="1" ht="15.75" customHeight="1" outlineLevel="1" x14ac:dyDescent="0.2">
      <c r="A510" s="595"/>
      <c r="B510" s="602"/>
      <c r="C510" s="7" t="s">
        <v>1554</v>
      </c>
      <c r="D510" s="8"/>
      <c r="E510" s="23"/>
      <c r="F510" s="8"/>
      <c r="G510" s="8"/>
      <c r="H510" s="5">
        <v>1.7425999999999999</v>
      </c>
      <c r="I510" s="5">
        <f>I508</f>
        <v>1.2</v>
      </c>
      <c r="J510" s="5">
        <v>1.2</v>
      </c>
      <c r="K510" s="23"/>
      <c r="L510" s="8"/>
      <c r="M510" s="8"/>
      <c r="N510" s="8"/>
      <c r="O510" s="8"/>
      <c r="P510" s="8"/>
      <c r="Q510" s="23"/>
      <c r="R510" s="113"/>
      <c r="S510" s="113"/>
      <c r="T510" s="113"/>
      <c r="U510" s="113"/>
      <c r="V510" s="113"/>
      <c r="W510" s="113"/>
      <c r="X510" s="5">
        <f t="shared" si="154"/>
        <v>0</v>
      </c>
      <c r="Y510" s="302"/>
      <c r="Z510" s="5"/>
      <c r="AA510" s="94"/>
      <c r="AB510" s="311">
        <f t="shared" si="149"/>
        <v>1.2</v>
      </c>
      <c r="AC510" s="296"/>
      <c r="AD510" s="113"/>
      <c r="AE510" s="5"/>
      <c r="AF510" s="5"/>
      <c r="AG510" s="5"/>
      <c r="AH510" s="5"/>
      <c r="AI510" s="5"/>
      <c r="AJ510" s="5"/>
      <c r="AK510" s="141"/>
      <c r="AL510" s="94"/>
      <c r="AM510" s="128"/>
      <c r="AN510" s="180"/>
      <c r="AO510" s="128"/>
      <c r="AP510" s="184"/>
      <c r="AQ510" s="128"/>
      <c r="AR510" s="184"/>
      <c r="AS510" s="128"/>
      <c r="AT510" s="184"/>
      <c r="AU510" s="128"/>
      <c r="AV510" s="184"/>
      <c r="AW510" s="128"/>
      <c r="AX510" s="184"/>
      <c r="AY510" s="111"/>
      <c r="AZ510" s="178"/>
      <c r="BC510" s="216"/>
      <c r="BD510" s="47"/>
      <c r="BF510" s="113"/>
      <c r="BG510" s="113"/>
      <c r="BH510" s="113"/>
      <c r="BI510" s="113"/>
      <c r="BJ510" s="113"/>
      <c r="BK510" s="113"/>
      <c r="BL510" s="5">
        <f t="shared" si="155"/>
        <v>0</v>
      </c>
    </row>
    <row r="511" spans="1:64" s="2" customFormat="1" ht="89.25" outlineLevel="1" x14ac:dyDescent="0.2">
      <c r="A511" s="593" t="s">
        <v>794</v>
      </c>
      <c r="B511" s="600" t="s">
        <v>1678</v>
      </c>
      <c r="C511" s="7" t="s">
        <v>608</v>
      </c>
      <c r="D511" s="8" t="s">
        <v>397</v>
      </c>
      <c r="E511" s="23" t="s">
        <v>353</v>
      </c>
      <c r="F511" s="8">
        <v>2012</v>
      </c>
      <c r="G511" s="8">
        <v>2014</v>
      </c>
      <c r="H511" s="5">
        <v>0.13492899999999999</v>
      </c>
      <c r="I511" s="5">
        <v>0.01</v>
      </c>
      <c r="J511" s="5">
        <f>R511</f>
        <v>0.01</v>
      </c>
      <c r="K511" s="23" t="s">
        <v>353</v>
      </c>
      <c r="L511" s="8"/>
      <c r="M511" s="8"/>
      <c r="N511" s="8"/>
      <c r="O511" s="8"/>
      <c r="P511" s="8"/>
      <c r="Q511" s="23" t="s">
        <v>353</v>
      </c>
      <c r="R511" s="113">
        <v>0.01</v>
      </c>
      <c r="S511" s="113"/>
      <c r="T511" s="113"/>
      <c r="U511" s="113"/>
      <c r="V511" s="113"/>
      <c r="W511" s="113"/>
      <c r="X511" s="5">
        <f t="shared" si="154"/>
        <v>0.01</v>
      </c>
      <c r="Y511" s="302">
        <f>H511-H512-H513</f>
        <v>0</v>
      </c>
      <c r="Z511" s="5">
        <f>I511-I512-I513</f>
        <v>0</v>
      </c>
      <c r="AA511" s="94">
        <f>J511-J512-J513</f>
        <v>0</v>
      </c>
      <c r="AB511" s="311">
        <f t="shared" si="149"/>
        <v>0</v>
      </c>
      <c r="AC511" s="296"/>
      <c r="AD511" s="113"/>
      <c r="AE511" s="5"/>
      <c r="AF511" s="5">
        <f>H511</f>
        <v>0.13492899999999999</v>
      </c>
      <c r="AG511" s="5"/>
      <c r="AH511" s="5"/>
      <c r="AI511" s="5"/>
      <c r="AJ511" s="5"/>
      <c r="AK511" s="141"/>
      <c r="AL511" s="94">
        <f>SUM(AF511:AK511)</f>
        <v>0.13492899999999999</v>
      </c>
      <c r="AM511" s="128">
        <v>0.03</v>
      </c>
      <c r="AN511" s="180">
        <v>0</v>
      </c>
      <c r="AO511" s="128"/>
      <c r="AP511" s="184"/>
      <c r="AQ511" s="128"/>
      <c r="AR511" s="184"/>
      <c r="AS511" s="128"/>
      <c r="AT511" s="184"/>
      <c r="AU511" s="128"/>
      <c r="AV511" s="184"/>
      <c r="AW511" s="128"/>
      <c r="AX511" s="184"/>
      <c r="AY511" s="111">
        <f>AM511+AO511+AQ511+AS511+AU511+AW511</f>
        <v>0.03</v>
      </c>
      <c r="AZ511" s="178">
        <f>AN511+AP511+AR511+AT511+AV511+AX511</f>
        <v>0</v>
      </c>
      <c r="BC511" s="216"/>
      <c r="BD511" s="47"/>
      <c r="BF511" s="113">
        <v>0.01</v>
      </c>
      <c r="BG511" s="113"/>
      <c r="BH511" s="113"/>
      <c r="BI511" s="113"/>
      <c r="BJ511" s="113"/>
      <c r="BK511" s="113"/>
      <c r="BL511" s="5">
        <f t="shared" si="155"/>
        <v>0.01</v>
      </c>
    </row>
    <row r="512" spans="1:64" s="2" customFormat="1" ht="15.75" customHeight="1" outlineLevel="1" x14ac:dyDescent="0.2">
      <c r="A512" s="594"/>
      <c r="B512" s="601"/>
      <c r="C512" s="7" t="s">
        <v>1553</v>
      </c>
      <c r="D512" s="8"/>
      <c r="E512" s="23"/>
      <c r="F512" s="8"/>
      <c r="G512" s="8"/>
      <c r="H512" s="5">
        <v>0.13492899999999999</v>
      </c>
      <c r="I512" s="5">
        <v>0.01</v>
      </c>
      <c r="J512" s="5">
        <v>0.01</v>
      </c>
      <c r="K512" s="8"/>
      <c r="L512" s="23"/>
      <c r="M512" s="8"/>
      <c r="N512" s="8"/>
      <c r="O512" s="8"/>
      <c r="P512" s="8"/>
      <c r="Q512" s="23"/>
      <c r="R512" s="113"/>
      <c r="S512" s="113"/>
      <c r="T512" s="113"/>
      <c r="U512" s="113"/>
      <c r="V512" s="113"/>
      <c r="W512" s="113"/>
      <c r="X512" s="5">
        <f t="shared" si="154"/>
        <v>0</v>
      </c>
      <c r="Y512" s="302"/>
      <c r="Z512" s="5"/>
      <c r="AA512" s="94"/>
      <c r="AB512" s="311">
        <f t="shared" si="149"/>
        <v>0.01</v>
      </c>
      <c r="AC512" s="296"/>
      <c r="AD512" s="113"/>
      <c r="AE512" s="5"/>
      <c r="AF512" s="5"/>
      <c r="AG512" s="5"/>
      <c r="AH512" s="5"/>
      <c r="AI512" s="5"/>
      <c r="AJ512" s="5"/>
      <c r="AK512" s="141"/>
      <c r="AL512" s="94"/>
      <c r="AM512" s="128"/>
      <c r="AN512" s="180"/>
      <c r="AO512" s="128"/>
      <c r="AP512" s="184"/>
      <c r="AQ512" s="128"/>
      <c r="AR512" s="184"/>
      <c r="AS512" s="128"/>
      <c r="AT512" s="184"/>
      <c r="AU512" s="128"/>
      <c r="AV512" s="184"/>
      <c r="AW512" s="128"/>
      <c r="AX512" s="184"/>
      <c r="AY512" s="111"/>
      <c r="AZ512" s="178"/>
      <c r="BC512" s="216"/>
      <c r="BD512" s="47"/>
      <c r="BF512" s="113"/>
      <c r="BG512" s="113"/>
      <c r="BH512" s="113"/>
      <c r="BI512" s="113"/>
      <c r="BJ512" s="113"/>
      <c r="BK512" s="113"/>
      <c r="BL512" s="5">
        <f t="shared" si="155"/>
        <v>0</v>
      </c>
    </row>
    <row r="513" spans="1:64" s="2" customFormat="1" ht="15.75" customHeight="1" outlineLevel="1" x14ac:dyDescent="0.2">
      <c r="A513" s="595"/>
      <c r="B513" s="602"/>
      <c r="C513" s="7" t="s">
        <v>1554</v>
      </c>
      <c r="D513" s="8"/>
      <c r="E513" s="23"/>
      <c r="F513" s="8"/>
      <c r="G513" s="8"/>
      <c r="H513" s="5"/>
      <c r="I513" s="5"/>
      <c r="J513" s="5"/>
      <c r="K513" s="23"/>
      <c r="L513" s="8"/>
      <c r="M513" s="8"/>
      <c r="N513" s="8"/>
      <c r="O513" s="8"/>
      <c r="P513" s="8"/>
      <c r="Q513" s="23"/>
      <c r="R513" s="113"/>
      <c r="S513" s="113"/>
      <c r="T513" s="113"/>
      <c r="U513" s="113"/>
      <c r="V513" s="113"/>
      <c r="W513" s="113"/>
      <c r="X513" s="5">
        <f t="shared" si="154"/>
        <v>0</v>
      </c>
      <c r="Y513" s="302"/>
      <c r="Z513" s="5"/>
      <c r="AA513" s="94"/>
      <c r="AB513" s="311">
        <f t="shared" si="149"/>
        <v>0</v>
      </c>
      <c r="AC513" s="296"/>
      <c r="AD513" s="113"/>
      <c r="AE513" s="5"/>
      <c r="AF513" s="5"/>
      <c r="AG513" s="5"/>
      <c r="AH513" s="5"/>
      <c r="AI513" s="5"/>
      <c r="AJ513" s="5"/>
      <c r="AK513" s="141"/>
      <c r="AL513" s="94"/>
      <c r="AM513" s="128"/>
      <c r="AN513" s="180"/>
      <c r="AO513" s="128"/>
      <c r="AP513" s="184"/>
      <c r="AQ513" s="128"/>
      <c r="AR513" s="184"/>
      <c r="AS513" s="128"/>
      <c r="AT513" s="184"/>
      <c r="AU513" s="128"/>
      <c r="AV513" s="184"/>
      <c r="AW513" s="128"/>
      <c r="AX513" s="184"/>
      <c r="AY513" s="111"/>
      <c r="AZ513" s="178"/>
      <c r="BC513" s="216"/>
      <c r="BD513" s="47"/>
      <c r="BF513" s="113"/>
      <c r="BG513" s="113"/>
      <c r="BH513" s="113"/>
      <c r="BI513" s="113"/>
      <c r="BJ513" s="113"/>
      <c r="BK513" s="113"/>
      <c r="BL513" s="5">
        <f t="shared" si="155"/>
        <v>0</v>
      </c>
    </row>
    <row r="514" spans="1:64" s="2" customFormat="1" ht="51" customHeight="1" outlineLevel="1" x14ac:dyDescent="0.2">
      <c r="A514" s="593" t="s">
        <v>795</v>
      </c>
      <c r="B514" s="600" t="s">
        <v>1679</v>
      </c>
      <c r="C514" s="7" t="s">
        <v>609</v>
      </c>
      <c r="D514" s="8" t="s">
        <v>397</v>
      </c>
      <c r="E514" s="23" t="s">
        <v>347</v>
      </c>
      <c r="F514" s="8">
        <v>2012</v>
      </c>
      <c r="G514" s="8">
        <v>2015</v>
      </c>
      <c r="H514" s="5">
        <v>6.1799999999999994E-2</v>
      </c>
      <c r="I514" s="5">
        <v>3.3638999999999995E-2</v>
      </c>
      <c r="J514" s="5">
        <f>R514</f>
        <v>0.01</v>
      </c>
      <c r="K514" s="8"/>
      <c r="L514" s="23" t="s">
        <v>347</v>
      </c>
      <c r="M514" s="8"/>
      <c r="N514" s="8"/>
      <c r="O514" s="8"/>
      <c r="P514" s="8"/>
      <c r="Q514" s="23" t="s">
        <v>347</v>
      </c>
      <c r="R514" s="113">
        <v>0.01</v>
      </c>
      <c r="S514" s="113"/>
      <c r="T514" s="113"/>
      <c r="U514" s="113"/>
      <c r="V514" s="113"/>
      <c r="W514" s="113"/>
      <c r="X514" s="5">
        <f t="shared" si="154"/>
        <v>0.01</v>
      </c>
      <c r="Y514" s="302">
        <f>H514-H515-H516</f>
        <v>0</v>
      </c>
      <c r="Z514" s="5">
        <f>I514-I515-I516</f>
        <v>0</v>
      </c>
      <c r="AA514" s="94">
        <f>J514-J515-J516</f>
        <v>0</v>
      </c>
      <c r="AB514" s="311">
        <f t="shared" si="149"/>
        <v>2.3638999999999993E-2</v>
      </c>
      <c r="AC514" s="296"/>
      <c r="AD514" s="113"/>
      <c r="AE514" s="5"/>
      <c r="AF514" s="5"/>
      <c r="AG514" s="5">
        <f>H514</f>
        <v>6.1799999999999994E-2</v>
      </c>
      <c r="AH514" s="5"/>
      <c r="AI514" s="5"/>
      <c r="AJ514" s="5"/>
      <c r="AK514" s="141"/>
      <c r="AL514" s="94">
        <f>SUM(AF514:AK514)</f>
        <v>6.1799999999999994E-2</v>
      </c>
      <c r="AM514" s="128"/>
      <c r="AN514" s="180"/>
      <c r="AO514" s="128">
        <v>0.05</v>
      </c>
      <c r="AP514" s="184">
        <v>0</v>
      </c>
      <c r="AQ514" s="128"/>
      <c r="AR514" s="184"/>
      <c r="AS514" s="128"/>
      <c r="AT514" s="184"/>
      <c r="AU514" s="128"/>
      <c r="AV514" s="184"/>
      <c r="AW514" s="128"/>
      <c r="AX514" s="184"/>
      <c r="AY514" s="111">
        <f t="shared" ref="AY514:AZ517" si="158">AM514+AO514+AQ514+AS514+AU514+AW514</f>
        <v>0.05</v>
      </c>
      <c r="AZ514" s="178">
        <f t="shared" si="158"/>
        <v>0</v>
      </c>
      <c r="BC514" s="216"/>
      <c r="BD514" s="47"/>
      <c r="BF514" s="113">
        <v>0.01</v>
      </c>
      <c r="BG514" s="113"/>
      <c r="BH514" s="113"/>
      <c r="BI514" s="113"/>
      <c r="BJ514" s="113"/>
      <c r="BK514" s="113"/>
      <c r="BL514" s="5">
        <f t="shared" si="155"/>
        <v>0.01</v>
      </c>
    </row>
    <row r="515" spans="1:64" s="2" customFormat="1" ht="15.75" customHeight="1" outlineLevel="1" x14ac:dyDescent="0.2">
      <c r="A515" s="594"/>
      <c r="B515" s="601"/>
      <c r="C515" s="7" t="s">
        <v>1553</v>
      </c>
      <c r="D515" s="8"/>
      <c r="E515" s="23"/>
      <c r="F515" s="8"/>
      <c r="G515" s="8"/>
      <c r="H515" s="5"/>
      <c r="I515" s="5"/>
      <c r="J515" s="5"/>
      <c r="K515" s="8"/>
      <c r="L515" s="23"/>
      <c r="M515" s="8"/>
      <c r="N515" s="8"/>
      <c r="O515" s="8"/>
      <c r="P515" s="8"/>
      <c r="Q515" s="23"/>
      <c r="R515" s="113"/>
      <c r="S515" s="113"/>
      <c r="T515" s="113"/>
      <c r="U515" s="113"/>
      <c r="V515" s="113"/>
      <c r="W515" s="113"/>
      <c r="X515" s="5">
        <f t="shared" si="154"/>
        <v>0</v>
      </c>
      <c r="Y515" s="302"/>
      <c r="Z515" s="5"/>
      <c r="AA515" s="94"/>
      <c r="AB515" s="311">
        <f t="shared" si="149"/>
        <v>0</v>
      </c>
      <c r="AC515" s="296"/>
      <c r="AD515" s="113"/>
      <c r="AE515" s="5"/>
      <c r="AF515" s="5"/>
      <c r="AG515" s="5"/>
      <c r="AH515" s="5"/>
      <c r="AI515" s="5"/>
      <c r="AJ515" s="5"/>
      <c r="AK515" s="141"/>
      <c r="AL515" s="94"/>
      <c r="AM515" s="128"/>
      <c r="AN515" s="180"/>
      <c r="AO515" s="128"/>
      <c r="AP515" s="184"/>
      <c r="AQ515" s="128"/>
      <c r="AR515" s="184"/>
      <c r="AS515" s="128"/>
      <c r="AT515" s="184"/>
      <c r="AU515" s="128"/>
      <c r="AV515" s="184"/>
      <c r="AW515" s="128"/>
      <c r="AX515" s="184"/>
      <c r="AY515" s="111"/>
      <c r="AZ515" s="178"/>
      <c r="BC515" s="216"/>
      <c r="BD515" s="47"/>
      <c r="BF515" s="113"/>
      <c r="BG515" s="113"/>
      <c r="BH515" s="113"/>
      <c r="BI515" s="113"/>
      <c r="BJ515" s="113"/>
      <c r="BK515" s="113"/>
      <c r="BL515" s="5">
        <f t="shared" si="155"/>
        <v>0</v>
      </c>
    </row>
    <row r="516" spans="1:64" s="2" customFormat="1" ht="15.75" customHeight="1" outlineLevel="1" x14ac:dyDescent="0.2">
      <c r="A516" s="595"/>
      <c r="B516" s="602"/>
      <c r="C516" s="7" t="s">
        <v>1554</v>
      </c>
      <c r="D516" s="8"/>
      <c r="E516" s="23"/>
      <c r="F516" s="8"/>
      <c r="G516" s="8"/>
      <c r="H516" s="5">
        <v>6.1799999999999994E-2</v>
      </c>
      <c r="I516" s="5">
        <v>3.3638999999999995E-2</v>
      </c>
      <c r="J516" s="5">
        <v>0.01</v>
      </c>
      <c r="K516" s="23"/>
      <c r="L516" s="8"/>
      <c r="M516" s="8"/>
      <c r="N516" s="8"/>
      <c r="O516" s="8"/>
      <c r="P516" s="8"/>
      <c r="Q516" s="23"/>
      <c r="R516" s="113"/>
      <c r="S516" s="113"/>
      <c r="T516" s="113"/>
      <c r="U516" s="113"/>
      <c r="V516" s="113"/>
      <c r="W516" s="113"/>
      <c r="X516" s="5">
        <f t="shared" si="154"/>
        <v>0</v>
      </c>
      <c r="Y516" s="302"/>
      <c r="Z516" s="5"/>
      <c r="AA516" s="94"/>
      <c r="AB516" s="311">
        <f t="shared" si="149"/>
        <v>3.3638999999999995E-2</v>
      </c>
      <c r="AC516" s="296"/>
      <c r="AD516" s="113"/>
      <c r="AE516" s="5"/>
      <c r="AF516" s="5"/>
      <c r="AG516" s="5"/>
      <c r="AH516" s="5"/>
      <c r="AI516" s="5"/>
      <c r="AJ516" s="5"/>
      <c r="AK516" s="141"/>
      <c r="AL516" s="94"/>
      <c r="AM516" s="128"/>
      <c r="AN516" s="180"/>
      <c r="AO516" s="128"/>
      <c r="AP516" s="184"/>
      <c r="AQ516" s="128"/>
      <c r="AR516" s="184"/>
      <c r="AS516" s="128"/>
      <c r="AT516" s="184"/>
      <c r="AU516" s="128"/>
      <c r="AV516" s="184"/>
      <c r="AW516" s="128"/>
      <c r="AX516" s="184"/>
      <c r="AY516" s="111"/>
      <c r="AZ516" s="178"/>
      <c r="BC516" s="216"/>
      <c r="BD516" s="47"/>
      <c r="BF516" s="113"/>
      <c r="BG516" s="113"/>
      <c r="BH516" s="113"/>
      <c r="BI516" s="113"/>
      <c r="BJ516" s="113"/>
      <c r="BK516" s="113"/>
      <c r="BL516" s="5">
        <f t="shared" si="155"/>
        <v>0</v>
      </c>
    </row>
    <row r="517" spans="1:64" s="2" customFormat="1" ht="89.25" outlineLevel="1" x14ac:dyDescent="0.2">
      <c r="A517" s="593" t="s">
        <v>796</v>
      </c>
      <c r="B517" s="600" t="s">
        <v>1680</v>
      </c>
      <c r="C517" s="7" t="s">
        <v>1826</v>
      </c>
      <c r="D517" s="8" t="s">
        <v>397</v>
      </c>
      <c r="E517" s="23" t="s">
        <v>347</v>
      </c>
      <c r="F517" s="8">
        <v>2012</v>
      </c>
      <c r="G517" s="8">
        <v>2014</v>
      </c>
      <c r="H517" s="5">
        <v>0.101234</v>
      </c>
      <c r="I517" s="5">
        <v>0.01</v>
      </c>
      <c r="J517" s="5">
        <f>R517</f>
        <v>0.01</v>
      </c>
      <c r="K517" s="23" t="s">
        <v>347</v>
      </c>
      <c r="L517" s="8"/>
      <c r="M517" s="8"/>
      <c r="N517" s="8"/>
      <c r="O517" s="8"/>
      <c r="P517" s="8"/>
      <c r="Q517" s="23" t="s">
        <v>347</v>
      </c>
      <c r="R517" s="113">
        <v>0.01</v>
      </c>
      <c r="S517" s="113"/>
      <c r="T517" s="113"/>
      <c r="U517" s="113"/>
      <c r="V517" s="113"/>
      <c r="W517" s="113"/>
      <c r="X517" s="5">
        <f t="shared" si="154"/>
        <v>0.01</v>
      </c>
      <c r="Y517" s="302">
        <f>H517-H518-H519</f>
        <v>0</v>
      </c>
      <c r="Z517" s="5">
        <f>I517-I518-I519</f>
        <v>0</v>
      </c>
      <c r="AA517" s="94">
        <f>J517-J518-J519</f>
        <v>0</v>
      </c>
      <c r="AB517" s="311">
        <f t="shared" si="149"/>
        <v>0</v>
      </c>
      <c r="AC517" s="296"/>
      <c r="AD517" s="113"/>
      <c r="AE517" s="5"/>
      <c r="AF517" s="5">
        <f>H517</f>
        <v>0.101234</v>
      </c>
      <c r="AG517" s="5"/>
      <c r="AH517" s="5"/>
      <c r="AI517" s="5"/>
      <c r="AJ517" s="5"/>
      <c r="AK517" s="141"/>
      <c r="AL517" s="94">
        <f>SUM(AF517:AK517)</f>
        <v>0.101234</v>
      </c>
      <c r="AM517" s="128">
        <v>0.05</v>
      </c>
      <c r="AN517" s="180">
        <v>0</v>
      </c>
      <c r="AO517" s="128"/>
      <c r="AP517" s="184"/>
      <c r="AQ517" s="128"/>
      <c r="AR517" s="184"/>
      <c r="AS517" s="128"/>
      <c r="AT517" s="184"/>
      <c r="AU517" s="128"/>
      <c r="AV517" s="184"/>
      <c r="AW517" s="128"/>
      <c r="AX517" s="184"/>
      <c r="AY517" s="111">
        <f t="shared" si="158"/>
        <v>0.05</v>
      </c>
      <c r="AZ517" s="178">
        <f t="shared" si="158"/>
        <v>0</v>
      </c>
      <c r="BC517" s="216"/>
      <c r="BD517" s="47"/>
      <c r="BF517" s="113">
        <v>0.01</v>
      </c>
      <c r="BG517" s="113"/>
      <c r="BH517" s="113"/>
      <c r="BI517" s="113"/>
      <c r="BJ517" s="113"/>
      <c r="BK517" s="113"/>
      <c r="BL517" s="5">
        <f t="shared" si="155"/>
        <v>0.01</v>
      </c>
    </row>
    <row r="518" spans="1:64" s="2" customFormat="1" ht="15.75" customHeight="1" outlineLevel="1" x14ac:dyDescent="0.2">
      <c r="A518" s="594"/>
      <c r="B518" s="601"/>
      <c r="C518" s="7" t="s">
        <v>1553</v>
      </c>
      <c r="D518" s="8"/>
      <c r="E518" s="23"/>
      <c r="F518" s="8"/>
      <c r="G518" s="8"/>
      <c r="H518" s="5">
        <v>0.101234</v>
      </c>
      <c r="I518" s="5">
        <v>0.01</v>
      </c>
      <c r="J518" s="5">
        <v>0.01</v>
      </c>
      <c r="K518" s="8"/>
      <c r="L518" s="23"/>
      <c r="M518" s="8"/>
      <c r="N518" s="8"/>
      <c r="O518" s="8"/>
      <c r="P518" s="8"/>
      <c r="Q518" s="23"/>
      <c r="R518" s="113"/>
      <c r="S518" s="113"/>
      <c r="T518" s="113"/>
      <c r="U518" s="113"/>
      <c r="V518" s="113"/>
      <c r="W518" s="113"/>
      <c r="X518" s="5">
        <f t="shared" si="154"/>
        <v>0</v>
      </c>
      <c r="Y518" s="302"/>
      <c r="Z518" s="5"/>
      <c r="AA518" s="94"/>
      <c r="AB518" s="311">
        <f t="shared" si="149"/>
        <v>0.01</v>
      </c>
      <c r="AC518" s="296"/>
      <c r="AD518" s="113"/>
      <c r="AE518" s="5"/>
      <c r="AF518" s="5"/>
      <c r="AG518" s="5"/>
      <c r="AH518" s="5"/>
      <c r="AI518" s="5"/>
      <c r="AJ518" s="5"/>
      <c r="AK518" s="141"/>
      <c r="AL518" s="94"/>
      <c r="AM518" s="128"/>
      <c r="AN518" s="180"/>
      <c r="AO518" s="128"/>
      <c r="AP518" s="184"/>
      <c r="AQ518" s="128"/>
      <c r="AR518" s="184"/>
      <c r="AS518" s="128"/>
      <c r="AT518" s="184"/>
      <c r="AU518" s="128"/>
      <c r="AV518" s="184"/>
      <c r="AW518" s="128"/>
      <c r="AX518" s="184"/>
      <c r="AY518" s="111"/>
      <c r="AZ518" s="178"/>
      <c r="BC518" s="216"/>
      <c r="BD518" s="47"/>
      <c r="BF518" s="113"/>
      <c r="BG518" s="113"/>
      <c r="BH518" s="113"/>
      <c r="BI518" s="113"/>
      <c r="BJ518" s="113"/>
      <c r="BK518" s="113"/>
      <c r="BL518" s="5">
        <f t="shared" si="155"/>
        <v>0</v>
      </c>
    </row>
    <row r="519" spans="1:64" s="2" customFormat="1" ht="15.75" customHeight="1" outlineLevel="1" x14ac:dyDescent="0.2">
      <c r="A519" s="595"/>
      <c r="B519" s="602"/>
      <c r="C519" s="7" t="s">
        <v>1554</v>
      </c>
      <c r="D519" s="8"/>
      <c r="E519" s="23"/>
      <c r="F519" s="8"/>
      <c r="G519" s="8"/>
      <c r="H519" s="5"/>
      <c r="I519" s="5"/>
      <c r="J519" s="5"/>
      <c r="K519" s="23"/>
      <c r="L519" s="8"/>
      <c r="M519" s="8"/>
      <c r="N519" s="8"/>
      <c r="O519" s="8"/>
      <c r="P519" s="8"/>
      <c r="Q519" s="23"/>
      <c r="R519" s="113"/>
      <c r="S519" s="113"/>
      <c r="T519" s="113"/>
      <c r="U519" s="113"/>
      <c r="V519" s="113"/>
      <c r="W519" s="113"/>
      <c r="X519" s="5">
        <f t="shared" si="154"/>
        <v>0</v>
      </c>
      <c r="Y519" s="302"/>
      <c r="Z519" s="5"/>
      <c r="AA519" s="94"/>
      <c r="AB519" s="311">
        <f t="shared" si="149"/>
        <v>0</v>
      </c>
      <c r="AC519" s="296"/>
      <c r="AD519" s="113"/>
      <c r="AE519" s="5"/>
      <c r="AF519" s="5"/>
      <c r="AG519" s="5"/>
      <c r="AH519" s="5"/>
      <c r="AI519" s="5"/>
      <c r="AJ519" s="5"/>
      <c r="AK519" s="141"/>
      <c r="AL519" s="94"/>
      <c r="AM519" s="128"/>
      <c r="AN519" s="180"/>
      <c r="AO519" s="128"/>
      <c r="AP519" s="184"/>
      <c r="AQ519" s="128"/>
      <c r="AR519" s="184"/>
      <c r="AS519" s="128"/>
      <c r="AT519" s="184"/>
      <c r="AU519" s="128"/>
      <c r="AV519" s="184"/>
      <c r="AW519" s="128"/>
      <c r="AX519" s="184"/>
      <c r="AY519" s="111"/>
      <c r="AZ519" s="178"/>
      <c r="BC519" s="216"/>
      <c r="BD519" s="47"/>
      <c r="BF519" s="113"/>
      <c r="BG519" s="113"/>
      <c r="BH519" s="113"/>
      <c r="BI519" s="113"/>
      <c r="BJ519" s="113"/>
      <c r="BK519" s="113"/>
      <c r="BL519" s="5">
        <f t="shared" si="155"/>
        <v>0</v>
      </c>
    </row>
    <row r="520" spans="1:64" s="2" customFormat="1" ht="89.25" outlineLevel="1" x14ac:dyDescent="0.2">
      <c r="A520" s="593" t="s">
        <v>797</v>
      </c>
      <c r="B520" s="600" t="s">
        <v>1681</v>
      </c>
      <c r="C520" s="7" t="s">
        <v>1827</v>
      </c>
      <c r="D520" s="8" t="s">
        <v>397</v>
      </c>
      <c r="E520" s="23" t="s">
        <v>333</v>
      </c>
      <c r="F520" s="8">
        <v>2012</v>
      </c>
      <c r="G520" s="8">
        <v>2014</v>
      </c>
      <c r="H520" s="5">
        <v>0.28290300000000002</v>
      </c>
      <c r="I520" s="5">
        <v>0.01</v>
      </c>
      <c r="J520" s="5">
        <f>R520</f>
        <v>0.01</v>
      </c>
      <c r="K520" s="23" t="s">
        <v>333</v>
      </c>
      <c r="L520" s="8"/>
      <c r="M520" s="8"/>
      <c r="N520" s="8"/>
      <c r="O520" s="8"/>
      <c r="P520" s="8"/>
      <c r="Q520" s="23" t="s">
        <v>333</v>
      </c>
      <c r="R520" s="113">
        <v>0.01</v>
      </c>
      <c r="S520" s="113"/>
      <c r="T520" s="113"/>
      <c r="U520" s="113"/>
      <c r="V520" s="113"/>
      <c r="W520" s="113"/>
      <c r="X520" s="5">
        <f t="shared" si="154"/>
        <v>0.01</v>
      </c>
      <c r="Y520" s="302">
        <f>H520-H521-H522</f>
        <v>0</v>
      </c>
      <c r="Z520" s="5">
        <f>I520-I521-I522</f>
        <v>0</v>
      </c>
      <c r="AA520" s="94">
        <f>J520-J521-J522</f>
        <v>0</v>
      </c>
      <c r="AB520" s="311">
        <f t="shared" si="149"/>
        <v>0</v>
      </c>
      <c r="AC520" s="296"/>
      <c r="AD520" s="113"/>
      <c r="AE520" s="5"/>
      <c r="AF520" s="5">
        <f>H520</f>
        <v>0.28290300000000002</v>
      </c>
      <c r="AG520" s="5"/>
      <c r="AH520" s="5"/>
      <c r="AI520" s="5"/>
      <c r="AJ520" s="5"/>
      <c r="AK520" s="141"/>
      <c r="AL520" s="94">
        <f>SUM(AF520:AK520)</f>
        <v>0.28290300000000002</v>
      </c>
      <c r="AM520" s="128">
        <v>0.3</v>
      </c>
      <c r="AN520" s="180">
        <v>0</v>
      </c>
      <c r="AO520" s="128"/>
      <c r="AP520" s="184"/>
      <c r="AQ520" s="128"/>
      <c r="AR520" s="184"/>
      <c r="AS520" s="128"/>
      <c r="AT520" s="184"/>
      <c r="AU520" s="128"/>
      <c r="AV520" s="184"/>
      <c r="AW520" s="128"/>
      <c r="AX520" s="184"/>
      <c r="AY520" s="111">
        <f>AM520+AO520+AQ520+AS520+AU520+AW520</f>
        <v>0.3</v>
      </c>
      <c r="AZ520" s="178">
        <f>AN520+AP520+AR520+AT520+AV520+AX520</f>
        <v>0</v>
      </c>
      <c r="BC520" s="216"/>
      <c r="BD520" s="47"/>
      <c r="BF520" s="113">
        <v>0.01</v>
      </c>
      <c r="BG520" s="113"/>
      <c r="BH520" s="113"/>
      <c r="BI520" s="113"/>
      <c r="BJ520" s="113"/>
      <c r="BK520" s="113"/>
      <c r="BL520" s="5">
        <f t="shared" si="155"/>
        <v>0.01</v>
      </c>
    </row>
    <row r="521" spans="1:64" s="2" customFormat="1" ht="15.75" customHeight="1" outlineLevel="1" x14ac:dyDescent="0.2">
      <c r="A521" s="594"/>
      <c r="B521" s="601"/>
      <c r="C521" s="7" t="s">
        <v>1553</v>
      </c>
      <c r="D521" s="8"/>
      <c r="E521" s="23"/>
      <c r="F521" s="8"/>
      <c r="G521" s="8"/>
      <c r="H521" s="5"/>
      <c r="I521" s="5"/>
      <c r="J521" s="5"/>
      <c r="K521" s="8"/>
      <c r="L521" s="23"/>
      <c r="M521" s="8"/>
      <c r="N521" s="8"/>
      <c r="O521" s="8"/>
      <c r="P521" s="8"/>
      <c r="Q521" s="23"/>
      <c r="R521" s="113"/>
      <c r="S521" s="113"/>
      <c r="T521" s="113"/>
      <c r="U521" s="113"/>
      <c r="V521" s="113"/>
      <c r="W521" s="113"/>
      <c r="X521" s="5">
        <f t="shared" si="154"/>
        <v>0</v>
      </c>
      <c r="Y521" s="302"/>
      <c r="Z521" s="5"/>
      <c r="AA521" s="94"/>
      <c r="AB521" s="311">
        <f t="shared" si="149"/>
        <v>0</v>
      </c>
      <c r="AC521" s="296"/>
      <c r="AD521" s="113"/>
      <c r="AE521" s="5"/>
      <c r="AF521" s="5"/>
      <c r="AG521" s="5"/>
      <c r="AH521" s="5"/>
      <c r="AI521" s="5"/>
      <c r="AJ521" s="5"/>
      <c r="AK521" s="141"/>
      <c r="AL521" s="94"/>
      <c r="AM521" s="128"/>
      <c r="AN521" s="180"/>
      <c r="AO521" s="128"/>
      <c r="AP521" s="184"/>
      <c r="AQ521" s="128"/>
      <c r="AR521" s="184"/>
      <c r="AS521" s="128"/>
      <c r="AT521" s="184"/>
      <c r="AU521" s="128"/>
      <c r="AV521" s="184"/>
      <c r="AW521" s="128"/>
      <c r="AX521" s="184"/>
      <c r="AY521" s="111"/>
      <c r="AZ521" s="178"/>
      <c r="BC521" s="216"/>
      <c r="BD521" s="47"/>
      <c r="BF521" s="113"/>
      <c r="BG521" s="113"/>
      <c r="BH521" s="113"/>
      <c r="BI521" s="113"/>
      <c r="BJ521" s="113"/>
      <c r="BK521" s="113"/>
      <c r="BL521" s="5">
        <f t="shared" si="155"/>
        <v>0</v>
      </c>
    </row>
    <row r="522" spans="1:64" s="2" customFormat="1" ht="15.75" customHeight="1" outlineLevel="1" x14ac:dyDescent="0.2">
      <c r="A522" s="595"/>
      <c r="B522" s="602"/>
      <c r="C522" s="7" t="s">
        <v>1554</v>
      </c>
      <c r="D522" s="8"/>
      <c r="E522" s="23"/>
      <c r="F522" s="8"/>
      <c r="G522" s="8"/>
      <c r="H522" s="5">
        <v>0.28290300000000002</v>
      </c>
      <c r="I522" s="5">
        <v>0.01</v>
      </c>
      <c r="J522" s="5">
        <v>0.01</v>
      </c>
      <c r="K522" s="23"/>
      <c r="L522" s="8"/>
      <c r="M522" s="8"/>
      <c r="N522" s="8"/>
      <c r="O522" s="8"/>
      <c r="P522" s="8"/>
      <c r="Q522" s="23"/>
      <c r="R522" s="113"/>
      <c r="S522" s="113"/>
      <c r="T522" s="113"/>
      <c r="U522" s="113"/>
      <c r="V522" s="113"/>
      <c r="W522" s="113"/>
      <c r="X522" s="5">
        <f t="shared" si="154"/>
        <v>0</v>
      </c>
      <c r="Y522" s="302"/>
      <c r="Z522" s="5"/>
      <c r="AA522" s="94"/>
      <c r="AB522" s="311">
        <f t="shared" si="149"/>
        <v>0.01</v>
      </c>
      <c r="AC522" s="296"/>
      <c r="AD522" s="113"/>
      <c r="AE522" s="5"/>
      <c r="AF522" s="5"/>
      <c r="AG522" s="5"/>
      <c r="AH522" s="5"/>
      <c r="AI522" s="5"/>
      <c r="AJ522" s="5"/>
      <c r="AK522" s="141"/>
      <c r="AL522" s="94"/>
      <c r="AM522" s="128"/>
      <c r="AN522" s="180"/>
      <c r="AO522" s="128"/>
      <c r="AP522" s="184"/>
      <c r="AQ522" s="128"/>
      <c r="AR522" s="184"/>
      <c r="AS522" s="128"/>
      <c r="AT522" s="184"/>
      <c r="AU522" s="128"/>
      <c r="AV522" s="184"/>
      <c r="AW522" s="128"/>
      <c r="AX522" s="184"/>
      <c r="AY522" s="111"/>
      <c r="AZ522" s="178"/>
      <c r="BC522" s="216"/>
      <c r="BD522" s="47"/>
      <c r="BF522" s="113"/>
      <c r="BG522" s="113"/>
      <c r="BH522" s="113"/>
      <c r="BI522" s="113"/>
      <c r="BJ522" s="113"/>
      <c r="BK522" s="113"/>
      <c r="BL522" s="5">
        <f t="shared" si="155"/>
        <v>0</v>
      </c>
    </row>
    <row r="523" spans="1:64" s="2" customFormat="1" ht="89.25" outlineLevel="1" x14ac:dyDescent="0.2">
      <c r="A523" s="593" t="s">
        <v>798</v>
      </c>
      <c r="B523" s="600" t="s">
        <v>1682</v>
      </c>
      <c r="C523" s="7" t="s">
        <v>1516</v>
      </c>
      <c r="D523" s="8" t="s">
        <v>397</v>
      </c>
      <c r="E523" s="23" t="s">
        <v>353</v>
      </c>
      <c r="F523" s="8">
        <v>2012</v>
      </c>
      <c r="G523" s="8">
        <v>2014</v>
      </c>
      <c r="H523" s="5">
        <v>8.5462999999999997E-2</v>
      </c>
      <c r="I523" s="5">
        <v>0.01</v>
      </c>
      <c r="J523" s="5">
        <f>R523</f>
        <v>0.01</v>
      </c>
      <c r="K523" s="23" t="s">
        <v>353</v>
      </c>
      <c r="L523" s="8"/>
      <c r="M523" s="8"/>
      <c r="N523" s="8"/>
      <c r="O523" s="8"/>
      <c r="P523" s="8"/>
      <c r="Q523" s="23" t="s">
        <v>353</v>
      </c>
      <c r="R523" s="113">
        <v>0.01</v>
      </c>
      <c r="S523" s="113"/>
      <c r="T523" s="113"/>
      <c r="U523" s="113"/>
      <c r="V523" s="113"/>
      <c r="W523" s="113"/>
      <c r="X523" s="5">
        <f t="shared" si="154"/>
        <v>0.01</v>
      </c>
      <c r="Y523" s="302">
        <f>H523-H524-H525</f>
        <v>0</v>
      </c>
      <c r="Z523" s="5">
        <f>I523-I524-I525</f>
        <v>0</v>
      </c>
      <c r="AA523" s="94">
        <f>J523-J524-J525</f>
        <v>0</v>
      </c>
      <c r="AB523" s="311">
        <f t="shared" si="149"/>
        <v>0</v>
      </c>
      <c r="AC523" s="296"/>
      <c r="AD523" s="113"/>
      <c r="AE523" s="5"/>
      <c r="AF523" s="5">
        <f>H523</f>
        <v>8.5462999999999997E-2</v>
      </c>
      <c r="AG523" s="5"/>
      <c r="AH523" s="5"/>
      <c r="AI523" s="5"/>
      <c r="AJ523" s="5"/>
      <c r="AK523" s="141"/>
      <c r="AL523" s="94">
        <f>SUM(AF523:AK523)</f>
        <v>8.5462999999999997E-2</v>
      </c>
      <c r="AM523" s="128">
        <v>0.03</v>
      </c>
      <c r="AN523" s="180">
        <v>0</v>
      </c>
      <c r="AO523" s="128"/>
      <c r="AP523" s="184"/>
      <c r="AQ523" s="128"/>
      <c r="AR523" s="184"/>
      <c r="AS523" s="128"/>
      <c r="AT523" s="184"/>
      <c r="AU523" s="128"/>
      <c r="AV523" s="184"/>
      <c r="AW523" s="128"/>
      <c r="AX523" s="184"/>
      <c r="AY523" s="111">
        <f t="shared" ref="AY523:AZ526" si="159">AM523+AO523+AQ523+AS523+AU523+AW523</f>
        <v>0.03</v>
      </c>
      <c r="AZ523" s="178">
        <f t="shared" si="159"/>
        <v>0</v>
      </c>
      <c r="BC523" s="216"/>
      <c r="BD523" s="47"/>
      <c r="BF523" s="113">
        <v>0.01</v>
      </c>
      <c r="BG523" s="113"/>
      <c r="BH523" s="113"/>
      <c r="BI523" s="113"/>
      <c r="BJ523" s="113"/>
      <c r="BK523" s="113"/>
      <c r="BL523" s="5">
        <f t="shared" si="155"/>
        <v>0.01</v>
      </c>
    </row>
    <row r="524" spans="1:64" s="2" customFormat="1" ht="15.75" customHeight="1" outlineLevel="1" x14ac:dyDescent="0.2">
      <c r="A524" s="594"/>
      <c r="B524" s="601"/>
      <c r="C524" s="7" t="s">
        <v>1553</v>
      </c>
      <c r="D524" s="8"/>
      <c r="E524" s="23"/>
      <c r="F524" s="8"/>
      <c r="G524" s="8"/>
      <c r="H524" s="5"/>
      <c r="I524" s="5"/>
      <c r="J524" s="5"/>
      <c r="K524" s="8"/>
      <c r="L524" s="23"/>
      <c r="M524" s="8"/>
      <c r="N524" s="8"/>
      <c r="O524" s="8"/>
      <c r="P524" s="8"/>
      <c r="Q524" s="23"/>
      <c r="R524" s="113"/>
      <c r="S524" s="113"/>
      <c r="T524" s="113"/>
      <c r="U524" s="113"/>
      <c r="V524" s="113"/>
      <c r="W524" s="113"/>
      <c r="X524" s="5">
        <f t="shared" si="154"/>
        <v>0</v>
      </c>
      <c r="Y524" s="302"/>
      <c r="Z524" s="5"/>
      <c r="AA524" s="94"/>
      <c r="AB524" s="311">
        <f t="shared" si="149"/>
        <v>0</v>
      </c>
      <c r="AC524" s="296"/>
      <c r="AD524" s="113"/>
      <c r="AE524" s="5"/>
      <c r="AF524" s="5"/>
      <c r="AG524" s="5"/>
      <c r="AH524" s="5"/>
      <c r="AI524" s="5"/>
      <c r="AJ524" s="5"/>
      <c r="AK524" s="141"/>
      <c r="AL524" s="94"/>
      <c r="AM524" s="128"/>
      <c r="AN524" s="180"/>
      <c r="AO524" s="128"/>
      <c r="AP524" s="184"/>
      <c r="AQ524" s="128"/>
      <c r="AR524" s="184"/>
      <c r="AS524" s="128"/>
      <c r="AT524" s="184"/>
      <c r="AU524" s="128"/>
      <c r="AV524" s="184"/>
      <c r="AW524" s="128"/>
      <c r="AX524" s="184"/>
      <c r="AY524" s="111"/>
      <c r="AZ524" s="178"/>
      <c r="BC524" s="216"/>
      <c r="BD524" s="47"/>
      <c r="BF524" s="113"/>
      <c r="BG524" s="113"/>
      <c r="BH524" s="113"/>
      <c r="BI524" s="113"/>
      <c r="BJ524" s="113"/>
      <c r="BK524" s="113"/>
      <c r="BL524" s="5">
        <f t="shared" si="155"/>
        <v>0</v>
      </c>
    </row>
    <row r="525" spans="1:64" s="2" customFormat="1" ht="15.75" customHeight="1" outlineLevel="1" x14ac:dyDescent="0.2">
      <c r="A525" s="595"/>
      <c r="B525" s="602"/>
      <c r="C525" s="7" t="s">
        <v>1554</v>
      </c>
      <c r="D525" s="8"/>
      <c r="E525" s="23"/>
      <c r="F525" s="8"/>
      <c r="G525" s="8"/>
      <c r="H525" s="5">
        <v>8.5462999999999997E-2</v>
      </c>
      <c r="I525" s="5">
        <v>0.01</v>
      </c>
      <c r="J525" s="5">
        <v>0.01</v>
      </c>
      <c r="K525" s="23"/>
      <c r="L525" s="8"/>
      <c r="M525" s="8"/>
      <c r="N525" s="8"/>
      <c r="O525" s="8"/>
      <c r="P525" s="8"/>
      <c r="Q525" s="23"/>
      <c r="R525" s="113"/>
      <c r="S525" s="113"/>
      <c r="T525" s="113"/>
      <c r="U525" s="113"/>
      <c r="V525" s="113"/>
      <c r="W525" s="113"/>
      <c r="X525" s="5">
        <f t="shared" si="154"/>
        <v>0</v>
      </c>
      <c r="Y525" s="302"/>
      <c r="Z525" s="5"/>
      <c r="AA525" s="94"/>
      <c r="AB525" s="311">
        <f t="shared" si="149"/>
        <v>0.01</v>
      </c>
      <c r="AC525" s="296"/>
      <c r="AD525" s="113"/>
      <c r="AE525" s="5"/>
      <c r="AF525" s="5"/>
      <c r="AG525" s="5"/>
      <c r="AH525" s="5"/>
      <c r="AI525" s="5"/>
      <c r="AJ525" s="5"/>
      <c r="AK525" s="141"/>
      <c r="AL525" s="94"/>
      <c r="AM525" s="128"/>
      <c r="AN525" s="180"/>
      <c r="AO525" s="128"/>
      <c r="AP525" s="184"/>
      <c r="AQ525" s="128"/>
      <c r="AR525" s="184"/>
      <c r="AS525" s="128"/>
      <c r="AT525" s="184"/>
      <c r="AU525" s="128"/>
      <c r="AV525" s="184"/>
      <c r="AW525" s="128"/>
      <c r="AX525" s="184"/>
      <c r="AY525" s="111"/>
      <c r="AZ525" s="178"/>
      <c r="BC525" s="216"/>
      <c r="BD525" s="47"/>
      <c r="BF525" s="113"/>
      <c r="BG525" s="113"/>
      <c r="BH525" s="113"/>
      <c r="BI525" s="113"/>
      <c r="BJ525" s="113"/>
      <c r="BK525" s="113"/>
      <c r="BL525" s="5">
        <f t="shared" si="155"/>
        <v>0</v>
      </c>
    </row>
    <row r="526" spans="1:64" s="2" customFormat="1" ht="78" customHeight="1" outlineLevel="1" x14ac:dyDescent="0.2">
      <c r="A526" s="593" t="s">
        <v>799</v>
      </c>
      <c r="B526" s="600" t="s">
        <v>1683</v>
      </c>
      <c r="C526" s="7" t="s">
        <v>1517</v>
      </c>
      <c r="D526" s="8" t="s">
        <v>397</v>
      </c>
      <c r="E526" s="23" t="s">
        <v>1241</v>
      </c>
      <c r="F526" s="8">
        <v>2012</v>
      </c>
      <c r="G526" s="8">
        <v>2014</v>
      </c>
      <c r="H526" s="5">
        <v>5.8097000000000003E-2</v>
      </c>
      <c r="I526" s="5">
        <v>0.01</v>
      </c>
      <c r="J526" s="5">
        <f>R526</f>
        <v>0.01</v>
      </c>
      <c r="K526" s="23" t="s">
        <v>1241</v>
      </c>
      <c r="L526" s="8"/>
      <c r="M526" s="8"/>
      <c r="N526" s="8"/>
      <c r="O526" s="8"/>
      <c r="P526" s="8"/>
      <c r="Q526" s="23" t="s">
        <v>1241</v>
      </c>
      <c r="R526" s="113">
        <v>0.01</v>
      </c>
      <c r="S526" s="113"/>
      <c r="T526" s="113"/>
      <c r="U526" s="113"/>
      <c r="V526" s="113"/>
      <c r="W526" s="113"/>
      <c r="X526" s="5">
        <f t="shared" si="154"/>
        <v>0.01</v>
      </c>
      <c r="Y526" s="302">
        <f>H526-H527-H528</f>
        <v>0</v>
      </c>
      <c r="Z526" s="5">
        <f>I526-I527-I528</f>
        <v>0</v>
      </c>
      <c r="AA526" s="94">
        <f>J526-J527-J528</f>
        <v>0</v>
      </c>
      <c r="AB526" s="311">
        <f t="shared" si="149"/>
        <v>0</v>
      </c>
      <c r="AC526" s="296"/>
      <c r="AD526" s="113"/>
      <c r="AE526" s="5"/>
      <c r="AF526" s="5">
        <f>H526</f>
        <v>5.8097000000000003E-2</v>
      </c>
      <c r="AG526" s="5"/>
      <c r="AH526" s="5"/>
      <c r="AI526" s="5"/>
      <c r="AJ526" s="5"/>
      <c r="AK526" s="141"/>
      <c r="AL526" s="94">
        <f>SUM(AF526:AK526)</f>
        <v>5.8097000000000003E-2</v>
      </c>
      <c r="AM526" s="128">
        <v>0</v>
      </c>
      <c r="AN526" s="180">
        <v>0</v>
      </c>
      <c r="AO526" s="128"/>
      <c r="AP526" s="184"/>
      <c r="AQ526" s="128"/>
      <c r="AR526" s="184"/>
      <c r="AS526" s="128"/>
      <c r="AT526" s="184"/>
      <c r="AU526" s="128"/>
      <c r="AV526" s="184"/>
      <c r="AW526" s="128"/>
      <c r="AX526" s="184"/>
      <c r="AY526" s="111">
        <f t="shared" si="159"/>
        <v>0</v>
      </c>
      <c r="AZ526" s="178">
        <f t="shared" si="159"/>
        <v>0</v>
      </c>
      <c r="BC526" s="216"/>
      <c r="BD526" s="47"/>
      <c r="BF526" s="113">
        <v>0.01</v>
      </c>
      <c r="BG526" s="113"/>
      <c r="BH526" s="113"/>
      <c r="BI526" s="113"/>
      <c r="BJ526" s="113"/>
      <c r="BK526" s="113"/>
      <c r="BL526" s="5">
        <f t="shared" si="155"/>
        <v>0.01</v>
      </c>
    </row>
    <row r="527" spans="1:64" s="2" customFormat="1" ht="15.75" customHeight="1" outlineLevel="1" x14ac:dyDescent="0.2">
      <c r="A527" s="594"/>
      <c r="B527" s="601"/>
      <c r="C527" s="7" t="s">
        <v>1553</v>
      </c>
      <c r="D527" s="8"/>
      <c r="E527" s="23"/>
      <c r="F527" s="8"/>
      <c r="G527" s="8"/>
      <c r="H527" s="5"/>
      <c r="I527" s="5"/>
      <c r="J527" s="5"/>
      <c r="K527" s="8"/>
      <c r="L527" s="23"/>
      <c r="M527" s="8"/>
      <c r="N527" s="8"/>
      <c r="O527" s="8"/>
      <c r="P527" s="8"/>
      <c r="Q527" s="23"/>
      <c r="R527" s="113"/>
      <c r="S527" s="113"/>
      <c r="T527" s="113"/>
      <c r="U527" s="113"/>
      <c r="V527" s="113"/>
      <c r="W527" s="113"/>
      <c r="X527" s="5">
        <f t="shared" si="154"/>
        <v>0</v>
      </c>
      <c r="Y527" s="302"/>
      <c r="Z527" s="5"/>
      <c r="AA527" s="94"/>
      <c r="AB527" s="311">
        <f t="shared" si="149"/>
        <v>0</v>
      </c>
      <c r="AC527" s="296"/>
      <c r="AD527" s="113"/>
      <c r="AE527" s="5"/>
      <c r="AF527" s="5"/>
      <c r="AG527" s="5"/>
      <c r="AH527" s="5"/>
      <c r="AI527" s="5"/>
      <c r="AJ527" s="5"/>
      <c r="AK527" s="141"/>
      <c r="AL527" s="94"/>
      <c r="AM527" s="128"/>
      <c r="AN527" s="180"/>
      <c r="AO527" s="128"/>
      <c r="AP527" s="184"/>
      <c r="AQ527" s="128"/>
      <c r="AR527" s="184"/>
      <c r="AS527" s="128"/>
      <c r="AT527" s="184"/>
      <c r="AU527" s="128"/>
      <c r="AV527" s="184"/>
      <c r="AW527" s="128"/>
      <c r="AX527" s="184"/>
      <c r="AY527" s="111"/>
      <c r="AZ527" s="178"/>
      <c r="BC527" s="216"/>
      <c r="BD527" s="47"/>
      <c r="BF527" s="113"/>
      <c r="BG527" s="113"/>
      <c r="BH527" s="113"/>
      <c r="BI527" s="113"/>
      <c r="BJ527" s="113"/>
      <c r="BK527" s="113"/>
      <c r="BL527" s="5">
        <f t="shared" si="155"/>
        <v>0</v>
      </c>
    </row>
    <row r="528" spans="1:64" s="2" customFormat="1" ht="15.75" customHeight="1" outlineLevel="1" x14ac:dyDescent="0.2">
      <c r="A528" s="595"/>
      <c r="B528" s="602"/>
      <c r="C528" s="7" t="s">
        <v>1554</v>
      </c>
      <c r="D528" s="8"/>
      <c r="E528" s="23"/>
      <c r="F528" s="8"/>
      <c r="G528" s="8"/>
      <c r="H528" s="5">
        <v>5.8097000000000003E-2</v>
      </c>
      <c r="I528" s="5">
        <v>0.01</v>
      </c>
      <c r="J528" s="5">
        <v>0.01</v>
      </c>
      <c r="K528" s="23"/>
      <c r="L528" s="8"/>
      <c r="M528" s="8"/>
      <c r="N528" s="8"/>
      <c r="O528" s="8"/>
      <c r="P528" s="8"/>
      <c r="Q528" s="23"/>
      <c r="R528" s="113"/>
      <c r="S528" s="113"/>
      <c r="T528" s="113"/>
      <c r="U528" s="113"/>
      <c r="V528" s="113"/>
      <c r="W528" s="113"/>
      <c r="X528" s="5">
        <f t="shared" si="154"/>
        <v>0</v>
      </c>
      <c r="Y528" s="302"/>
      <c r="Z528" s="5"/>
      <c r="AA528" s="94"/>
      <c r="AB528" s="311">
        <f t="shared" si="149"/>
        <v>0.01</v>
      </c>
      <c r="AC528" s="296"/>
      <c r="AD528" s="113"/>
      <c r="AE528" s="5"/>
      <c r="AF528" s="5"/>
      <c r="AG528" s="5"/>
      <c r="AH528" s="5"/>
      <c r="AI528" s="5"/>
      <c r="AJ528" s="5"/>
      <c r="AK528" s="141"/>
      <c r="AL528" s="94"/>
      <c r="AM528" s="128"/>
      <c r="AN528" s="180"/>
      <c r="AO528" s="128"/>
      <c r="AP528" s="184"/>
      <c r="AQ528" s="128"/>
      <c r="AR528" s="184"/>
      <c r="AS528" s="128"/>
      <c r="AT528" s="184"/>
      <c r="AU528" s="128"/>
      <c r="AV528" s="184"/>
      <c r="AW528" s="128"/>
      <c r="AX528" s="184"/>
      <c r="AY528" s="111"/>
      <c r="AZ528" s="178"/>
      <c r="BC528" s="216"/>
      <c r="BD528" s="47"/>
      <c r="BF528" s="113"/>
      <c r="BG528" s="113"/>
      <c r="BH528" s="113"/>
      <c r="BI528" s="113"/>
      <c r="BJ528" s="113"/>
      <c r="BK528" s="113"/>
      <c r="BL528" s="5">
        <f t="shared" si="155"/>
        <v>0</v>
      </c>
    </row>
    <row r="529" spans="1:64" s="2" customFormat="1" ht="77.25" customHeight="1" outlineLevel="1" x14ac:dyDescent="0.2">
      <c r="A529" s="593" t="s">
        <v>800</v>
      </c>
      <c r="B529" s="600" t="s">
        <v>1684</v>
      </c>
      <c r="C529" s="7" t="s">
        <v>1518</v>
      </c>
      <c r="D529" s="8" t="s">
        <v>397</v>
      </c>
      <c r="E529" s="23" t="s">
        <v>353</v>
      </c>
      <c r="F529" s="8">
        <v>2012</v>
      </c>
      <c r="G529" s="8">
        <v>2014</v>
      </c>
      <c r="H529" s="5">
        <v>0.187029</v>
      </c>
      <c r="I529" s="5">
        <v>0.01</v>
      </c>
      <c r="J529" s="5">
        <f>R529</f>
        <v>0.01</v>
      </c>
      <c r="K529" s="23" t="s">
        <v>353</v>
      </c>
      <c r="L529" s="8"/>
      <c r="M529" s="8"/>
      <c r="N529" s="8"/>
      <c r="O529" s="8"/>
      <c r="P529" s="8"/>
      <c r="Q529" s="23" t="s">
        <v>353</v>
      </c>
      <c r="R529" s="113">
        <v>0.01</v>
      </c>
      <c r="S529" s="113"/>
      <c r="T529" s="113"/>
      <c r="U529" s="113"/>
      <c r="V529" s="113"/>
      <c r="W529" s="113"/>
      <c r="X529" s="5">
        <f t="shared" si="154"/>
        <v>0.01</v>
      </c>
      <c r="Y529" s="302">
        <f>H529-H530-H531</f>
        <v>0</v>
      </c>
      <c r="Z529" s="5">
        <f>I529-I530-I531</f>
        <v>0</v>
      </c>
      <c r="AA529" s="94">
        <f>J529-J530-J531</f>
        <v>0</v>
      </c>
      <c r="AB529" s="311">
        <f t="shared" si="149"/>
        <v>0</v>
      </c>
      <c r="AC529" s="296"/>
      <c r="AD529" s="113"/>
      <c r="AE529" s="5"/>
      <c r="AF529" s="5">
        <f>H529</f>
        <v>0.187029</v>
      </c>
      <c r="AG529" s="5"/>
      <c r="AH529" s="5"/>
      <c r="AI529" s="5"/>
      <c r="AJ529" s="5"/>
      <c r="AK529" s="141"/>
      <c r="AL529" s="94">
        <f>SUM(AF529:AK529)</f>
        <v>0.187029</v>
      </c>
      <c r="AM529" s="128">
        <v>0.03</v>
      </c>
      <c r="AN529" s="180">
        <v>0</v>
      </c>
      <c r="AO529" s="128"/>
      <c r="AP529" s="184"/>
      <c r="AQ529" s="128"/>
      <c r="AR529" s="184"/>
      <c r="AS529" s="128"/>
      <c r="AT529" s="184"/>
      <c r="AU529" s="128"/>
      <c r="AV529" s="184"/>
      <c r="AW529" s="128"/>
      <c r="AX529" s="184"/>
      <c r="AY529" s="111">
        <f>AM529+AO529+AQ529+AS529+AU529+AW529</f>
        <v>0.03</v>
      </c>
      <c r="AZ529" s="178">
        <f>AN529+AP529+AR529+AT529+AV529+AX529</f>
        <v>0</v>
      </c>
      <c r="BC529" s="216"/>
      <c r="BD529" s="47"/>
      <c r="BF529" s="113">
        <v>0.01</v>
      </c>
      <c r="BG529" s="113"/>
      <c r="BH529" s="113"/>
      <c r="BI529" s="113"/>
      <c r="BJ529" s="113"/>
      <c r="BK529" s="113"/>
      <c r="BL529" s="5">
        <f t="shared" si="155"/>
        <v>0.01</v>
      </c>
    </row>
    <row r="530" spans="1:64" s="2" customFormat="1" ht="15.75" customHeight="1" outlineLevel="1" x14ac:dyDescent="0.2">
      <c r="A530" s="594"/>
      <c r="B530" s="601"/>
      <c r="C530" s="7" t="s">
        <v>1553</v>
      </c>
      <c r="D530" s="8"/>
      <c r="E530" s="23"/>
      <c r="F530" s="8"/>
      <c r="G530" s="8"/>
      <c r="H530" s="5">
        <v>0.187029</v>
      </c>
      <c r="I530" s="5">
        <v>0.01</v>
      </c>
      <c r="J530" s="5">
        <v>0.01</v>
      </c>
      <c r="K530" s="8"/>
      <c r="L530" s="23"/>
      <c r="M530" s="8"/>
      <c r="N530" s="8"/>
      <c r="O530" s="8"/>
      <c r="P530" s="8"/>
      <c r="Q530" s="23"/>
      <c r="R530" s="113"/>
      <c r="S530" s="113"/>
      <c r="T530" s="113"/>
      <c r="U530" s="113"/>
      <c r="V530" s="113"/>
      <c r="W530" s="113"/>
      <c r="X530" s="5">
        <f t="shared" si="154"/>
        <v>0</v>
      </c>
      <c r="Y530" s="302"/>
      <c r="Z530" s="5"/>
      <c r="AA530" s="94"/>
      <c r="AB530" s="311">
        <f t="shared" si="149"/>
        <v>0.01</v>
      </c>
      <c r="AC530" s="296"/>
      <c r="AD530" s="113"/>
      <c r="AE530" s="5"/>
      <c r="AF530" s="5"/>
      <c r="AG530" s="5"/>
      <c r="AH530" s="5"/>
      <c r="AI530" s="5"/>
      <c r="AJ530" s="5"/>
      <c r="AK530" s="141"/>
      <c r="AL530" s="94"/>
      <c r="AM530" s="128"/>
      <c r="AN530" s="180"/>
      <c r="AO530" s="128"/>
      <c r="AP530" s="184"/>
      <c r="AQ530" s="128"/>
      <c r="AR530" s="184"/>
      <c r="AS530" s="128"/>
      <c r="AT530" s="184"/>
      <c r="AU530" s="128"/>
      <c r="AV530" s="184"/>
      <c r="AW530" s="128"/>
      <c r="AX530" s="184"/>
      <c r="AY530" s="111"/>
      <c r="AZ530" s="178"/>
      <c r="BC530" s="216"/>
      <c r="BD530" s="47"/>
      <c r="BF530" s="113"/>
      <c r="BG530" s="113"/>
      <c r="BH530" s="113"/>
      <c r="BI530" s="113"/>
      <c r="BJ530" s="113"/>
      <c r="BK530" s="113"/>
      <c r="BL530" s="5">
        <f t="shared" si="155"/>
        <v>0</v>
      </c>
    </row>
    <row r="531" spans="1:64" s="2" customFormat="1" ht="15.75" customHeight="1" outlineLevel="1" x14ac:dyDescent="0.2">
      <c r="A531" s="595"/>
      <c r="B531" s="602"/>
      <c r="C531" s="7" t="s">
        <v>1554</v>
      </c>
      <c r="D531" s="8"/>
      <c r="E531" s="23"/>
      <c r="F531" s="8"/>
      <c r="G531" s="8"/>
      <c r="H531" s="5"/>
      <c r="I531" s="5"/>
      <c r="J531" s="5"/>
      <c r="K531" s="23"/>
      <c r="L531" s="8"/>
      <c r="M531" s="8"/>
      <c r="N531" s="8"/>
      <c r="O531" s="8"/>
      <c r="P531" s="8"/>
      <c r="Q531" s="23"/>
      <c r="R531" s="113"/>
      <c r="S531" s="113"/>
      <c r="T531" s="113"/>
      <c r="U531" s="113"/>
      <c r="V531" s="113"/>
      <c r="W531" s="113"/>
      <c r="X531" s="5">
        <f t="shared" si="154"/>
        <v>0</v>
      </c>
      <c r="Y531" s="302"/>
      <c r="Z531" s="5"/>
      <c r="AA531" s="94"/>
      <c r="AB531" s="311">
        <f t="shared" si="149"/>
        <v>0</v>
      </c>
      <c r="AC531" s="296"/>
      <c r="AD531" s="113"/>
      <c r="AE531" s="5"/>
      <c r="AF531" s="5"/>
      <c r="AG531" s="5"/>
      <c r="AH531" s="5"/>
      <c r="AI531" s="5"/>
      <c r="AJ531" s="5"/>
      <c r="AK531" s="141"/>
      <c r="AL531" s="94"/>
      <c r="AM531" s="128"/>
      <c r="AN531" s="180"/>
      <c r="AO531" s="128"/>
      <c r="AP531" s="184"/>
      <c r="AQ531" s="128"/>
      <c r="AR531" s="184"/>
      <c r="AS531" s="128"/>
      <c r="AT531" s="184"/>
      <c r="AU531" s="128"/>
      <c r="AV531" s="184"/>
      <c r="AW531" s="128"/>
      <c r="AX531" s="184"/>
      <c r="AY531" s="111"/>
      <c r="AZ531" s="178"/>
      <c r="BC531" s="216"/>
      <c r="BD531" s="47"/>
      <c r="BF531" s="113"/>
      <c r="BG531" s="113"/>
      <c r="BH531" s="113"/>
      <c r="BI531" s="113"/>
      <c r="BJ531" s="113"/>
      <c r="BK531" s="113"/>
      <c r="BL531" s="5">
        <f t="shared" si="155"/>
        <v>0</v>
      </c>
    </row>
    <row r="532" spans="1:64" s="2" customFormat="1" ht="38.25" customHeight="1" outlineLevel="1" x14ac:dyDescent="0.2">
      <c r="A532" s="593" t="s">
        <v>801</v>
      </c>
      <c r="B532" s="600" t="s">
        <v>1685</v>
      </c>
      <c r="C532" s="7" t="s">
        <v>1519</v>
      </c>
      <c r="D532" s="8" t="s">
        <v>397</v>
      </c>
      <c r="E532" s="23" t="s">
        <v>354</v>
      </c>
      <c r="F532" s="8">
        <v>2012</v>
      </c>
      <c r="G532" s="8">
        <v>2015</v>
      </c>
      <c r="H532" s="5">
        <v>1.92517</v>
      </c>
      <c r="I532" s="5">
        <v>1.6487990000000001</v>
      </c>
      <c r="J532" s="5">
        <f>R532</f>
        <v>0.18528600000000001</v>
      </c>
      <c r="K532" s="8"/>
      <c r="L532" s="23" t="s">
        <v>354</v>
      </c>
      <c r="M532" s="8"/>
      <c r="N532" s="8"/>
      <c r="O532" s="8"/>
      <c r="P532" s="8"/>
      <c r="Q532" s="23" t="s">
        <v>354</v>
      </c>
      <c r="R532" s="113">
        <v>0.18528600000000001</v>
      </c>
      <c r="S532" s="113"/>
      <c r="T532" s="113"/>
      <c r="U532" s="113"/>
      <c r="V532" s="113"/>
      <c r="W532" s="113"/>
      <c r="X532" s="5">
        <f t="shared" si="154"/>
        <v>0.18528600000000001</v>
      </c>
      <c r="Y532" s="302">
        <f>H532-H533-H534</f>
        <v>0</v>
      </c>
      <c r="Z532" s="5">
        <f>I532-I533-I534</f>
        <v>0</v>
      </c>
      <c r="AA532" s="94">
        <f>J532-J533-J534</f>
        <v>0</v>
      </c>
      <c r="AB532" s="311">
        <f t="shared" si="149"/>
        <v>1.4635130000000001</v>
      </c>
      <c r="AC532" s="296"/>
      <c r="AD532" s="113"/>
      <c r="AE532" s="5"/>
      <c r="AF532" s="5"/>
      <c r="AG532" s="5">
        <f>H532</f>
        <v>1.92517</v>
      </c>
      <c r="AH532" s="5"/>
      <c r="AI532" s="5"/>
      <c r="AJ532" s="5"/>
      <c r="AK532" s="141"/>
      <c r="AL532" s="94">
        <f>SUM(AF532:AK532)</f>
        <v>1.92517</v>
      </c>
      <c r="AM532" s="128"/>
      <c r="AN532" s="180"/>
      <c r="AO532" s="128">
        <v>1</v>
      </c>
      <c r="AP532" s="184">
        <v>0.25</v>
      </c>
      <c r="AQ532" s="128"/>
      <c r="AR532" s="184"/>
      <c r="AS532" s="128"/>
      <c r="AT532" s="184"/>
      <c r="AU532" s="128"/>
      <c r="AV532" s="184"/>
      <c r="AW532" s="128"/>
      <c r="AX532" s="184"/>
      <c r="AY532" s="111">
        <f>AM532+AO532+AQ532+AS532+AU532+AW532</f>
        <v>1</v>
      </c>
      <c r="AZ532" s="178">
        <f>AN532+AP532+AR532+AT532+AV532+AX532</f>
        <v>0.25</v>
      </c>
      <c r="BC532" s="216"/>
      <c r="BD532" s="47"/>
      <c r="BF532" s="113">
        <v>0.18528600000000001</v>
      </c>
      <c r="BG532" s="113"/>
      <c r="BH532" s="113"/>
      <c r="BI532" s="113"/>
      <c r="BJ532" s="113"/>
      <c r="BK532" s="113"/>
      <c r="BL532" s="5">
        <f t="shared" si="155"/>
        <v>0.18528600000000001</v>
      </c>
    </row>
    <row r="533" spans="1:64" s="2" customFormat="1" ht="15.75" customHeight="1" outlineLevel="1" x14ac:dyDescent="0.2">
      <c r="A533" s="594"/>
      <c r="B533" s="601"/>
      <c r="C533" s="7" t="s">
        <v>1553</v>
      </c>
      <c r="D533" s="8"/>
      <c r="E533" s="23"/>
      <c r="F533" s="8"/>
      <c r="G533" s="8"/>
      <c r="H533" s="5"/>
      <c r="I533" s="5"/>
      <c r="J533" s="5"/>
      <c r="K533" s="8"/>
      <c r="L533" s="23"/>
      <c r="M533" s="8"/>
      <c r="N533" s="8"/>
      <c r="O533" s="8"/>
      <c r="P533" s="8"/>
      <c r="Q533" s="23"/>
      <c r="R533" s="113"/>
      <c r="S533" s="113"/>
      <c r="T533" s="113"/>
      <c r="U533" s="113"/>
      <c r="V533" s="113"/>
      <c r="W533" s="113"/>
      <c r="X533" s="5">
        <f t="shared" si="154"/>
        <v>0</v>
      </c>
      <c r="Y533" s="302"/>
      <c r="Z533" s="5"/>
      <c r="AA533" s="94"/>
      <c r="AB533" s="311">
        <f t="shared" ref="AB533:AB596" si="160">I533-X533</f>
        <v>0</v>
      </c>
      <c r="AC533" s="296"/>
      <c r="AD533" s="113"/>
      <c r="AE533" s="5"/>
      <c r="AF533" s="5"/>
      <c r="AG533" s="5"/>
      <c r="AH533" s="5"/>
      <c r="AI533" s="5"/>
      <c r="AJ533" s="5"/>
      <c r="AK533" s="141"/>
      <c r="AL533" s="94"/>
      <c r="AM533" s="128"/>
      <c r="AN533" s="180"/>
      <c r="AO533" s="128"/>
      <c r="AP533" s="184"/>
      <c r="AQ533" s="128"/>
      <c r="AR533" s="184"/>
      <c r="AS533" s="128"/>
      <c r="AT533" s="184"/>
      <c r="AU533" s="128"/>
      <c r="AV533" s="184"/>
      <c r="AW533" s="128"/>
      <c r="AX533" s="184"/>
      <c r="AY533" s="111"/>
      <c r="AZ533" s="178"/>
      <c r="BC533" s="216"/>
      <c r="BD533" s="47"/>
      <c r="BF533" s="113"/>
      <c r="BG533" s="113"/>
      <c r="BH533" s="113"/>
      <c r="BI533" s="113"/>
      <c r="BJ533" s="113"/>
      <c r="BK533" s="113"/>
      <c r="BL533" s="5">
        <f t="shared" si="155"/>
        <v>0</v>
      </c>
    </row>
    <row r="534" spans="1:64" s="2" customFormat="1" ht="15.75" customHeight="1" outlineLevel="1" x14ac:dyDescent="0.2">
      <c r="A534" s="595"/>
      <c r="B534" s="602"/>
      <c r="C534" s="7" t="s">
        <v>1554</v>
      </c>
      <c r="D534" s="8"/>
      <c r="E534" s="23"/>
      <c r="F534" s="8"/>
      <c r="G534" s="8"/>
      <c r="H534" s="5">
        <v>1.92517</v>
      </c>
      <c r="I534" s="5">
        <v>1.6487990000000001</v>
      </c>
      <c r="J534" s="5">
        <v>0.18528600000000001</v>
      </c>
      <c r="K534" s="23"/>
      <c r="L534" s="8"/>
      <c r="M534" s="8"/>
      <c r="N534" s="8"/>
      <c r="O534" s="8"/>
      <c r="P534" s="8"/>
      <c r="Q534" s="23"/>
      <c r="R534" s="113"/>
      <c r="S534" s="113"/>
      <c r="T534" s="113"/>
      <c r="U534" s="113"/>
      <c r="V534" s="113"/>
      <c r="W534" s="113"/>
      <c r="X534" s="5">
        <f t="shared" si="154"/>
        <v>0</v>
      </c>
      <c r="Y534" s="302"/>
      <c r="Z534" s="5"/>
      <c r="AA534" s="94"/>
      <c r="AB534" s="311">
        <f t="shared" si="160"/>
        <v>1.6487990000000001</v>
      </c>
      <c r="AC534" s="296"/>
      <c r="AD534" s="113"/>
      <c r="AE534" s="5"/>
      <c r="AF534" s="5"/>
      <c r="AG534" s="5"/>
      <c r="AH534" s="5"/>
      <c r="AI534" s="5"/>
      <c r="AJ534" s="5"/>
      <c r="AK534" s="141"/>
      <c r="AL534" s="94"/>
      <c r="AM534" s="128"/>
      <c r="AN534" s="180"/>
      <c r="AO534" s="128"/>
      <c r="AP534" s="184"/>
      <c r="AQ534" s="128"/>
      <c r="AR534" s="184"/>
      <c r="AS534" s="128"/>
      <c r="AT534" s="184"/>
      <c r="AU534" s="128"/>
      <c r="AV534" s="184"/>
      <c r="AW534" s="128"/>
      <c r="AX534" s="184"/>
      <c r="AY534" s="111"/>
      <c r="AZ534" s="178"/>
      <c r="BC534" s="216"/>
      <c r="BD534" s="47"/>
      <c r="BF534" s="113"/>
      <c r="BG534" s="113"/>
      <c r="BH534" s="113"/>
      <c r="BI534" s="113"/>
      <c r="BJ534" s="113"/>
      <c r="BK534" s="113"/>
      <c r="BL534" s="5">
        <f t="shared" si="155"/>
        <v>0</v>
      </c>
    </row>
    <row r="535" spans="1:64" s="2" customFormat="1" ht="90" customHeight="1" outlineLevel="1" x14ac:dyDescent="0.2">
      <c r="A535" s="593" t="s">
        <v>802</v>
      </c>
      <c r="B535" s="600" t="s">
        <v>1686</v>
      </c>
      <c r="C535" s="7" t="s">
        <v>1520</v>
      </c>
      <c r="D535" s="8" t="s">
        <v>397</v>
      </c>
      <c r="E535" s="23" t="s">
        <v>353</v>
      </c>
      <c r="F535" s="8">
        <v>2012</v>
      </c>
      <c r="G535" s="8">
        <v>2014</v>
      </c>
      <c r="H535" s="5">
        <v>2.8039999999999999E-2</v>
      </c>
      <c r="I535" s="5">
        <v>0.01</v>
      </c>
      <c r="J535" s="5">
        <f>R535</f>
        <v>0.01</v>
      </c>
      <c r="K535" s="23" t="s">
        <v>353</v>
      </c>
      <c r="L535" s="8"/>
      <c r="M535" s="8"/>
      <c r="N535" s="8"/>
      <c r="O535" s="8"/>
      <c r="P535" s="8"/>
      <c r="Q535" s="23" t="s">
        <v>353</v>
      </c>
      <c r="R535" s="113">
        <v>0.01</v>
      </c>
      <c r="S535" s="113"/>
      <c r="T535" s="113"/>
      <c r="U535" s="113"/>
      <c r="V535" s="113"/>
      <c r="W535" s="113"/>
      <c r="X535" s="5">
        <f t="shared" si="154"/>
        <v>0.01</v>
      </c>
      <c r="Y535" s="302">
        <f>H535-H536-H537</f>
        <v>0</v>
      </c>
      <c r="Z535" s="5">
        <f>I535-I536-I537</f>
        <v>0</v>
      </c>
      <c r="AA535" s="94">
        <f>J535-J536-J537</f>
        <v>0</v>
      </c>
      <c r="AB535" s="311">
        <f t="shared" si="160"/>
        <v>0</v>
      </c>
      <c r="AC535" s="296"/>
      <c r="AD535" s="113"/>
      <c r="AE535" s="5"/>
      <c r="AF535" s="5">
        <f>H535</f>
        <v>2.8039999999999999E-2</v>
      </c>
      <c r="AG535" s="5"/>
      <c r="AH535" s="5"/>
      <c r="AI535" s="5"/>
      <c r="AJ535" s="5"/>
      <c r="AK535" s="141"/>
      <c r="AL535" s="94">
        <f>SUM(AF535:AK535)</f>
        <v>2.8039999999999999E-2</v>
      </c>
      <c r="AM535" s="128">
        <v>0.03</v>
      </c>
      <c r="AN535" s="180">
        <v>0</v>
      </c>
      <c r="AO535" s="128"/>
      <c r="AP535" s="184"/>
      <c r="AQ535" s="128"/>
      <c r="AR535" s="184"/>
      <c r="AS535" s="128"/>
      <c r="AT535" s="184"/>
      <c r="AU535" s="128"/>
      <c r="AV535" s="184"/>
      <c r="AW535" s="128"/>
      <c r="AX535" s="184"/>
      <c r="AY535" s="111">
        <f>AM535+AO535+AQ535+AS535+AU535+AW535</f>
        <v>0.03</v>
      </c>
      <c r="AZ535" s="178">
        <f>AN535+AP535+AR535+AT535+AV535+AX535</f>
        <v>0</v>
      </c>
      <c r="BC535" s="216"/>
      <c r="BD535" s="47"/>
      <c r="BF535" s="113">
        <v>0.01</v>
      </c>
      <c r="BG535" s="113"/>
      <c r="BH535" s="113"/>
      <c r="BI535" s="113"/>
      <c r="BJ535" s="113"/>
      <c r="BK535" s="113"/>
      <c r="BL535" s="5">
        <f t="shared" si="155"/>
        <v>0.01</v>
      </c>
    </row>
    <row r="536" spans="1:64" s="2" customFormat="1" ht="15.75" customHeight="1" outlineLevel="1" x14ac:dyDescent="0.2">
      <c r="A536" s="594"/>
      <c r="B536" s="601"/>
      <c r="C536" s="7" t="s">
        <v>1553</v>
      </c>
      <c r="D536" s="8"/>
      <c r="E536" s="23"/>
      <c r="F536" s="8"/>
      <c r="G536" s="8"/>
      <c r="H536" s="5"/>
      <c r="I536" s="5"/>
      <c r="J536" s="5"/>
      <c r="K536" s="8"/>
      <c r="L536" s="23"/>
      <c r="M536" s="8"/>
      <c r="N536" s="8"/>
      <c r="O536" s="8"/>
      <c r="P536" s="8"/>
      <c r="Q536" s="23"/>
      <c r="R536" s="113"/>
      <c r="S536" s="113"/>
      <c r="T536" s="113"/>
      <c r="U536" s="113"/>
      <c r="V536" s="113"/>
      <c r="W536" s="113"/>
      <c r="X536" s="5">
        <f t="shared" si="154"/>
        <v>0</v>
      </c>
      <c r="Y536" s="302"/>
      <c r="Z536" s="5"/>
      <c r="AA536" s="94"/>
      <c r="AB536" s="311">
        <f t="shared" si="160"/>
        <v>0</v>
      </c>
      <c r="AC536" s="296"/>
      <c r="AD536" s="113"/>
      <c r="AE536" s="5"/>
      <c r="AF536" s="5"/>
      <c r="AG536" s="5"/>
      <c r="AH536" s="5"/>
      <c r="AI536" s="5"/>
      <c r="AJ536" s="5"/>
      <c r="AK536" s="141"/>
      <c r="AL536" s="94"/>
      <c r="AM536" s="128"/>
      <c r="AN536" s="180"/>
      <c r="AO536" s="128"/>
      <c r="AP536" s="184"/>
      <c r="AQ536" s="128"/>
      <c r="AR536" s="184"/>
      <c r="AS536" s="128"/>
      <c r="AT536" s="184"/>
      <c r="AU536" s="128"/>
      <c r="AV536" s="184"/>
      <c r="AW536" s="128"/>
      <c r="AX536" s="184"/>
      <c r="AY536" s="111"/>
      <c r="AZ536" s="178"/>
      <c r="BC536" s="216"/>
      <c r="BD536" s="47"/>
      <c r="BF536" s="113"/>
      <c r="BG536" s="113"/>
      <c r="BH536" s="113"/>
      <c r="BI536" s="113"/>
      <c r="BJ536" s="113"/>
      <c r="BK536" s="113"/>
      <c r="BL536" s="5">
        <f t="shared" si="155"/>
        <v>0</v>
      </c>
    </row>
    <row r="537" spans="1:64" s="2" customFormat="1" ht="15.75" customHeight="1" outlineLevel="1" x14ac:dyDescent="0.2">
      <c r="A537" s="595"/>
      <c r="B537" s="602"/>
      <c r="C537" s="7" t="s">
        <v>1554</v>
      </c>
      <c r="D537" s="8"/>
      <c r="E537" s="23"/>
      <c r="F537" s="8"/>
      <c r="G537" s="8"/>
      <c r="H537" s="5">
        <v>2.8039999999999999E-2</v>
      </c>
      <c r="I537" s="5">
        <v>0.01</v>
      </c>
      <c r="J537" s="5">
        <v>0.01</v>
      </c>
      <c r="K537" s="23"/>
      <c r="L537" s="8"/>
      <c r="M537" s="8"/>
      <c r="N537" s="8"/>
      <c r="O537" s="8"/>
      <c r="P537" s="8"/>
      <c r="Q537" s="23"/>
      <c r="R537" s="113"/>
      <c r="S537" s="113"/>
      <c r="T537" s="113"/>
      <c r="U537" s="113"/>
      <c r="V537" s="113"/>
      <c r="W537" s="113"/>
      <c r="X537" s="5">
        <f t="shared" si="154"/>
        <v>0</v>
      </c>
      <c r="Y537" s="302"/>
      <c r="Z537" s="5"/>
      <c r="AA537" s="94"/>
      <c r="AB537" s="311">
        <f t="shared" si="160"/>
        <v>0.01</v>
      </c>
      <c r="AC537" s="296"/>
      <c r="AD537" s="113"/>
      <c r="AE537" s="5"/>
      <c r="AF537" s="5"/>
      <c r="AG537" s="5"/>
      <c r="AH537" s="5"/>
      <c r="AI537" s="5"/>
      <c r="AJ537" s="5"/>
      <c r="AK537" s="141"/>
      <c r="AL537" s="94"/>
      <c r="AM537" s="128"/>
      <c r="AN537" s="180"/>
      <c r="AO537" s="128"/>
      <c r="AP537" s="184"/>
      <c r="AQ537" s="128"/>
      <c r="AR537" s="184"/>
      <c r="AS537" s="128"/>
      <c r="AT537" s="184"/>
      <c r="AU537" s="128"/>
      <c r="AV537" s="184"/>
      <c r="AW537" s="128"/>
      <c r="AX537" s="184"/>
      <c r="AY537" s="111"/>
      <c r="AZ537" s="178"/>
      <c r="BC537" s="216"/>
      <c r="BD537" s="47"/>
      <c r="BF537" s="113"/>
      <c r="BG537" s="113"/>
      <c r="BH537" s="113"/>
      <c r="BI537" s="113"/>
      <c r="BJ537" s="113"/>
      <c r="BK537" s="113"/>
      <c r="BL537" s="5">
        <f t="shared" si="155"/>
        <v>0</v>
      </c>
    </row>
    <row r="538" spans="1:64" s="2" customFormat="1" ht="76.5" customHeight="1" outlineLevel="1" x14ac:dyDescent="0.2">
      <c r="A538" s="593" t="s">
        <v>803</v>
      </c>
      <c r="B538" s="600" t="s">
        <v>1687</v>
      </c>
      <c r="C538" s="7" t="s">
        <v>1521</v>
      </c>
      <c r="D538" s="8" t="s">
        <v>397</v>
      </c>
      <c r="E538" s="23" t="s">
        <v>1241</v>
      </c>
      <c r="F538" s="8">
        <v>2012</v>
      </c>
      <c r="G538" s="8">
        <v>2015</v>
      </c>
      <c r="H538" s="5">
        <v>2.8039999999999999E-2</v>
      </c>
      <c r="I538" s="5">
        <v>1.9451999999999997E-2</v>
      </c>
      <c r="J538" s="5">
        <f>R538</f>
        <v>0.01</v>
      </c>
      <c r="K538" s="8"/>
      <c r="L538" s="23" t="s">
        <v>1241</v>
      </c>
      <c r="M538" s="8"/>
      <c r="N538" s="8"/>
      <c r="O538" s="8"/>
      <c r="P538" s="8"/>
      <c r="Q538" s="23" t="s">
        <v>1241</v>
      </c>
      <c r="R538" s="113">
        <v>0.01</v>
      </c>
      <c r="S538" s="113"/>
      <c r="T538" s="113"/>
      <c r="U538" s="113"/>
      <c r="V538" s="113"/>
      <c r="W538" s="113"/>
      <c r="X538" s="5">
        <f t="shared" si="154"/>
        <v>0.01</v>
      </c>
      <c r="Y538" s="302">
        <f>H538-H539-H540</f>
        <v>0</v>
      </c>
      <c r="Z538" s="5">
        <f>I538-I539-I540</f>
        <v>0</v>
      </c>
      <c r="AA538" s="94">
        <f>J538-J539-J540</f>
        <v>0</v>
      </c>
      <c r="AB538" s="311">
        <f t="shared" si="160"/>
        <v>9.4519999999999969E-3</v>
      </c>
      <c r="AC538" s="296"/>
      <c r="AD538" s="113"/>
      <c r="AE538" s="5"/>
      <c r="AF538" s="5"/>
      <c r="AG538" s="5">
        <f>H538</f>
        <v>2.8039999999999999E-2</v>
      </c>
      <c r="AH538" s="5"/>
      <c r="AI538" s="5"/>
      <c r="AJ538" s="5"/>
      <c r="AK538" s="141"/>
      <c r="AL538" s="94">
        <f>SUM(AF538:AK538)</f>
        <v>2.8039999999999999E-2</v>
      </c>
      <c r="AM538" s="128"/>
      <c r="AN538" s="180"/>
      <c r="AO538" s="128">
        <v>0</v>
      </c>
      <c r="AP538" s="184">
        <v>0</v>
      </c>
      <c r="AQ538" s="128"/>
      <c r="AR538" s="184"/>
      <c r="AS538" s="128"/>
      <c r="AT538" s="184"/>
      <c r="AU538" s="128"/>
      <c r="AV538" s="184"/>
      <c r="AW538" s="128"/>
      <c r="AX538" s="184"/>
      <c r="AY538" s="111">
        <f>AM538+AO538+AQ538+AS538+AU538+AW538</f>
        <v>0</v>
      </c>
      <c r="AZ538" s="178">
        <f>AN538+AP538+AR538+AT538+AV538+AX538</f>
        <v>0</v>
      </c>
      <c r="BC538" s="216"/>
      <c r="BD538" s="47"/>
      <c r="BF538" s="113">
        <v>0.01</v>
      </c>
      <c r="BG538" s="113"/>
      <c r="BH538" s="113"/>
      <c r="BI538" s="113"/>
      <c r="BJ538" s="113"/>
      <c r="BK538" s="113"/>
      <c r="BL538" s="5">
        <f t="shared" si="155"/>
        <v>0.01</v>
      </c>
    </row>
    <row r="539" spans="1:64" s="2" customFormat="1" ht="15.75" customHeight="1" outlineLevel="1" x14ac:dyDescent="0.2">
      <c r="A539" s="594"/>
      <c r="B539" s="601"/>
      <c r="C539" s="7" t="s">
        <v>1553</v>
      </c>
      <c r="D539" s="8"/>
      <c r="E539" s="23"/>
      <c r="F539" s="8"/>
      <c r="G539" s="8"/>
      <c r="H539" s="5">
        <v>2.8039999999999999E-2</v>
      </c>
      <c r="I539" s="5">
        <v>1.9451999999999997E-2</v>
      </c>
      <c r="J539" s="5">
        <v>0.01</v>
      </c>
      <c r="K539" s="8"/>
      <c r="L539" s="23"/>
      <c r="M539" s="8"/>
      <c r="N539" s="8"/>
      <c r="O539" s="8"/>
      <c r="P539" s="8"/>
      <c r="Q539" s="23"/>
      <c r="R539" s="113"/>
      <c r="S539" s="113"/>
      <c r="T539" s="113"/>
      <c r="U539" s="113"/>
      <c r="V539" s="113"/>
      <c r="W539" s="113"/>
      <c r="X539" s="5">
        <f t="shared" si="154"/>
        <v>0</v>
      </c>
      <c r="Y539" s="302"/>
      <c r="Z539" s="5"/>
      <c r="AA539" s="94"/>
      <c r="AB539" s="311">
        <f t="shared" si="160"/>
        <v>1.9451999999999997E-2</v>
      </c>
      <c r="AC539" s="296"/>
      <c r="AD539" s="113"/>
      <c r="AE539" s="5"/>
      <c r="AF539" s="5"/>
      <c r="AG539" s="5"/>
      <c r="AH539" s="5"/>
      <c r="AI539" s="5"/>
      <c r="AJ539" s="5"/>
      <c r="AK539" s="141"/>
      <c r="AL539" s="94"/>
      <c r="AM539" s="128"/>
      <c r="AN539" s="180"/>
      <c r="AO539" s="128"/>
      <c r="AP539" s="184"/>
      <c r="AQ539" s="128"/>
      <c r="AR539" s="184"/>
      <c r="AS539" s="128"/>
      <c r="AT539" s="184"/>
      <c r="AU539" s="128"/>
      <c r="AV539" s="184"/>
      <c r="AW539" s="128"/>
      <c r="AX539" s="184"/>
      <c r="AY539" s="111"/>
      <c r="AZ539" s="178"/>
      <c r="BC539" s="216"/>
      <c r="BD539" s="47"/>
      <c r="BF539" s="113"/>
      <c r="BG539" s="113"/>
      <c r="BH539" s="113"/>
      <c r="BI539" s="113"/>
      <c r="BJ539" s="113"/>
      <c r="BK539" s="113"/>
      <c r="BL539" s="5">
        <f t="shared" si="155"/>
        <v>0</v>
      </c>
    </row>
    <row r="540" spans="1:64" s="2" customFormat="1" ht="15.75" customHeight="1" outlineLevel="1" x14ac:dyDescent="0.2">
      <c r="A540" s="595"/>
      <c r="B540" s="602"/>
      <c r="C540" s="7" t="s">
        <v>1554</v>
      </c>
      <c r="D540" s="8"/>
      <c r="E540" s="23"/>
      <c r="F540" s="8"/>
      <c r="G540" s="8"/>
      <c r="H540" s="5"/>
      <c r="I540" s="5"/>
      <c r="J540" s="5"/>
      <c r="K540" s="23"/>
      <c r="L540" s="8"/>
      <c r="M540" s="8"/>
      <c r="N540" s="8"/>
      <c r="O540" s="8"/>
      <c r="P540" s="8"/>
      <c r="Q540" s="23"/>
      <c r="R540" s="113"/>
      <c r="S540" s="113"/>
      <c r="T540" s="113"/>
      <c r="U540" s="113"/>
      <c r="V540" s="113"/>
      <c r="W540" s="113"/>
      <c r="X540" s="5">
        <f t="shared" si="154"/>
        <v>0</v>
      </c>
      <c r="Y540" s="302"/>
      <c r="Z540" s="5"/>
      <c r="AA540" s="94"/>
      <c r="AB540" s="311">
        <f t="shared" si="160"/>
        <v>0</v>
      </c>
      <c r="AC540" s="296"/>
      <c r="AD540" s="113"/>
      <c r="AE540" s="5"/>
      <c r="AF540" s="5"/>
      <c r="AG540" s="5"/>
      <c r="AH540" s="5"/>
      <c r="AI540" s="5"/>
      <c r="AJ540" s="5"/>
      <c r="AK540" s="141"/>
      <c r="AL540" s="94"/>
      <c r="AM540" s="128"/>
      <c r="AN540" s="180"/>
      <c r="AO540" s="128"/>
      <c r="AP540" s="184"/>
      <c r="AQ540" s="128"/>
      <c r="AR540" s="184"/>
      <c r="AS540" s="128"/>
      <c r="AT540" s="184"/>
      <c r="AU540" s="128"/>
      <c r="AV540" s="184"/>
      <c r="AW540" s="128"/>
      <c r="AX540" s="184"/>
      <c r="AY540" s="111"/>
      <c r="AZ540" s="178"/>
      <c r="BC540" s="216"/>
      <c r="BD540" s="47"/>
      <c r="BF540" s="113"/>
      <c r="BG540" s="113"/>
      <c r="BH540" s="113"/>
      <c r="BI540" s="113"/>
      <c r="BJ540" s="113"/>
      <c r="BK540" s="113"/>
      <c r="BL540" s="5">
        <f t="shared" si="155"/>
        <v>0</v>
      </c>
    </row>
    <row r="541" spans="1:64" s="2" customFormat="1" ht="90.95" customHeight="1" outlineLevel="1" x14ac:dyDescent="0.2">
      <c r="A541" s="593" t="s">
        <v>804</v>
      </c>
      <c r="B541" s="600" t="s">
        <v>1688</v>
      </c>
      <c r="C541" s="7" t="s">
        <v>2650</v>
      </c>
      <c r="D541" s="8" t="s">
        <v>397</v>
      </c>
      <c r="E541" s="23" t="s">
        <v>355</v>
      </c>
      <c r="F541" s="8">
        <v>2012</v>
      </c>
      <c r="G541" s="8">
        <v>2014</v>
      </c>
      <c r="H541" s="5">
        <v>9.5880000000000007E-2</v>
      </c>
      <c r="I541" s="5">
        <v>0.01</v>
      </c>
      <c r="J541" s="5">
        <f>R541</f>
        <v>0.01</v>
      </c>
      <c r="K541" s="23" t="s">
        <v>355</v>
      </c>
      <c r="L541" s="8"/>
      <c r="M541" s="8"/>
      <c r="N541" s="8"/>
      <c r="O541" s="8"/>
      <c r="P541" s="8"/>
      <c r="Q541" s="23" t="s">
        <v>355</v>
      </c>
      <c r="R541" s="113">
        <v>0.01</v>
      </c>
      <c r="S541" s="113"/>
      <c r="T541" s="113"/>
      <c r="U541" s="113"/>
      <c r="V541" s="113"/>
      <c r="W541" s="113"/>
      <c r="X541" s="5">
        <f t="shared" si="154"/>
        <v>0.01</v>
      </c>
      <c r="Y541" s="302">
        <f>H541-H542-H543</f>
        <v>0</v>
      </c>
      <c r="Z541" s="5">
        <f>I541-I542-I543</f>
        <v>0</v>
      </c>
      <c r="AA541" s="94">
        <f>J541-J542-J543</f>
        <v>0</v>
      </c>
      <c r="AB541" s="311">
        <f t="shared" si="160"/>
        <v>0</v>
      </c>
      <c r="AC541" s="296"/>
      <c r="AD541" s="113"/>
      <c r="AE541" s="5"/>
      <c r="AF541" s="5">
        <f>H541</f>
        <v>9.5880000000000007E-2</v>
      </c>
      <c r="AG541" s="5"/>
      <c r="AH541" s="5"/>
      <c r="AI541" s="5"/>
      <c r="AJ541" s="5"/>
      <c r="AK541" s="141"/>
      <c r="AL541" s="94">
        <f>SUM(AF541:AK541)</f>
        <v>9.5880000000000007E-2</v>
      </c>
      <c r="AM541" s="128">
        <v>0.04</v>
      </c>
      <c r="AN541" s="180">
        <v>0</v>
      </c>
      <c r="AO541" s="128"/>
      <c r="AP541" s="184"/>
      <c r="AQ541" s="128"/>
      <c r="AR541" s="184"/>
      <c r="AS541" s="128"/>
      <c r="AT541" s="184"/>
      <c r="AU541" s="128"/>
      <c r="AV541" s="184"/>
      <c r="AW541" s="128"/>
      <c r="AX541" s="184"/>
      <c r="AY541" s="111">
        <f>AM541+AO541+AQ541+AS541+AU541+AW541</f>
        <v>0.04</v>
      </c>
      <c r="AZ541" s="178">
        <f>AN541+AP541+AR541+AT541+AV541+AX541</f>
        <v>0</v>
      </c>
      <c r="BC541" s="216"/>
      <c r="BD541" s="47"/>
      <c r="BF541" s="113">
        <v>0.01</v>
      </c>
      <c r="BG541" s="113"/>
      <c r="BH541" s="113"/>
      <c r="BI541" s="113"/>
      <c r="BJ541" s="113"/>
      <c r="BK541" s="113"/>
      <c r="BL541" s="5">
        <f t="shared" si="155"/>
        <v>0.01</v>
      </c>
    </row>
    <row r="542" spans="1:64" s="2" customFormat="1" ht="15.75" customHeight="1" outlineLevel="1" x14ac:dyDescent="0.2">
      <c r="A542" s="594"/>
      <c r="B542" s="601"/>
      <c r="C542" s="7" t="s">
        <v>1553</v>
      </c>
      <c r="D542" s="8"/>
      <c r="E542" s="23"/>
      <c r="F542" s="8"/>
      <c r="G542" s="8"/>
      <c r="H542" s="5">
        <v>9.5880000000000007E-2</v>
      </c>
      <c r="I542" s="5">
        <v>0.01</v>
      </c>
      <c r="J542" s="5">
        <v>0.01</v>
      </c>
      <c r="K542" s="8"/>
      <c r="L542" s="23"/>
      <c r="M542" s="8"/>
      <c r="N542" s="8"/>
      <c r="O542" s="8"/>
      <c r="P542" s="8"/>
      <c r="Q542" s="23"/>
      <c r="R542" s="113"/>
      <c r="S542" s="113"/>
      <c r="T542" s="113"/>
      <c r="U542" s="113"/>
      <c r="V542" s="113"/>
      <c r="W542" s="113"/>
      <c r="X542" s="5">
        <f t="shared" si="154"/>
        <v>0</v>
      </c>
      <c r="Y542" s="302"/>
      <c r="Z542" s="5"/>
      <c r="AA542" s="94"/>
      <c r="AB542" s="311">
        <f t="shared" si="160"/>
        <v>0.01</v>
      </c>
      <c r="AC542" s="296"/>
      <c r="AD542" s="113"/>
      <c r="AE542" s="5"/>
      <c r="AF542" s="5"/>
      <c r="AG542" s="5"/>
      <c r="AH542" s="5"/>
      <c r="AI542" s="5"/>
      <c r="AJ542" s="5"/>
      <c r="AK542" s="141"/>
      <c r="AL542" s="94"/>
      <c r="AM542" s="128"/>
      <c r="AN542" s="180"/>
      <c r="AO542" s="128"/>
      <c r="AP542" s="184"/>
      <c r="AQ542" s="128"/>
      <c r="AR542" s="184"/>
      <c r="AS542" s="128"/>
      <c r="AT542" s="184"/>
      <c r="AU542" s="128"/>
      <c r="AV542" s="184"/>
      <c r="AW542" s="128"/>
      <c r="AX542" s="184"/>
      <c r="AY542" s="111"/>
      <c r="AZ542" s="178"/>
      <c r="BC542" s="216"/>
      <c r="BD542" s="47"/>
      <c r="BF542" s="113"/>
      <c r="BG542" s="113"/>
      <c r="BH542" s="113"/>
      <c r="BI542" s="113"/>
      <c r="BJ542" s="113"/>
      <c r="BK542" s="113"/>
      <c r="BL542" s="5">
        <f t="shared" si="155"/>
        <v>0</v>
      </c>
    </row>
    <row r="543" spans="1:64" s="2" customFormat="1" ht="15.75" customHeight="1" outlineLevel="1" x14ac:dyDescent="0.2">
      <c r="A543" s="595"/>
      <c r="B543" s="602"/>
      <c r="C543" s="7" t="s">
        <v>1554</v>
      </c>
      <c r="D543" s="8"/>
      <c r="E543" s="23"/>
      <c r="F543" s="8"/>
      <c r="G543" s="8"/>
      <c r="H543" s="5"/>
      <c r="I543" s="5"/>
      <c r="J543" s="5"/>
      <c r="K543" s="23"/>
      <c r="L543" s="8"/>
      <c r="M543" s="8"/>
      <c r="N543" s="8"/>
      <c r="O543" s="8"/>
      <c r="P543" s="8"/>
      <c r="Q543" s="23"/>
      <c r="R543" s="113"/>
      <c r="S543" s="113"/>
      <c r="T543" s="113"/>
      <c r="U543" s="113"/>
      <c r="V543" s="113"/>
      <c r="W543" s="113"/>
      <c r="X543" s="5">
        <f t="shared" si="154"/>
        <v>0</v>
      </c>
      <c r="Y543" s="302"/>
      <c r="Z543" s="5"/>
      <c r="AA543" s="94"/>
      <c r="AB543" s="311">
        <f t="shared" si="160"/>
        <v>0</v>
      </c>
      <c r="AC543" s="296"/>
      <c r="AD543" s="113"/>
      <c r="AE543" s="5"/>
      <c r="AF543" s="5"/>
      <c r="AG543" s="5"/>
      <c r="AH543" s="5"/>
      <c r="AI543" s="5"/>
      <c r="AJ543" s="5"/>
      <c r="AK543" s="141"/>
      <c r="AL543" s="94"/>
      <c r="AM543" s="128"/>
      <c r="AN543" s="180"/>
      <c r="AO543" s="128"/>
      <c r="AP543" s="184"/>
      <c r="AQ543" s="128"/>
      <c r="AR543" s="184"/>
      <c r="AS543" s="128"/>
      <c r="AT543" s="184"/>
      <c r="AU543" s="128"/>
      <c r="AV543" s="184"/>
      <c r="AW543" s="128"/>
      <c r="AX543" s="184"/>
      <c r="AY543" s="111"/>
      <c r="AZ543" s="178"/>
      <c r="BC543" s="216"/>
      <c r="BD543" s="47"/>
      <c r="BF543" s="113"/>
      <c r="BG543" s="113"/>
      <c r="BH543" s="113"/>
      <c r="BI543" s="113"/>
      <c r="BJ543" s="113"/>
      <c r="BK543" s="113"/>
      <c r="BL543" s="5">
        <f t="shared" si="155"/>
        <v>0</v>
      </c>
    </row>
    <row r="544" spans="1:64" s="2" customFormat="1" ht="89.25" outlineLevel="1" x14ac:dyDescent="0.2">
      <c r="A544" s="593" t="s">
        <v>805</v>
      </c>
      <c r="B544" s="600" t="s">
        <v>1689</v>
      </c>
      <c r="C544" s="7" t="s">
        <v>1522</v>
      </c>
      <c r="D544" s="8" t="s">
        <v>397</v>
      </c>
      <c r="E544" s="23" t="s">
        <v>1241</v>
      </c>
      <c r="F544" s="8">
        <v>2012</v>
      </c>
      <c r="G544" s="8">
        <v>2014</v>
      </c>
      <c r="H544" s="5">
        <v>2.8039999999999999E-2</v>
      </c>
      <c r="I544" s="5">
        <v>0.01</v>
      </c>
      <c r="J544" s="5">
        <f>R544</f>
        <v>0.01</v>
      </c>
      <c r="K544" s="23" t="s">
        <v>1241</v>
      </c>
      <c r="L544" s="8"/>
      <c r="M544" s="8"/>
      <c r="N544" s="8"/>
      <c r="O544" s="8"/>
      <c r="P544" s="8"/>
      <c r="Q544" s="23" t="s">
        <v>1241</v>
      </c>
      <c r="R544" s="113">
        <v>0.01</v>
      </c>
      <c r="S544" s="113"/>
      <c r="T544" s="113"/>
      <c r="U544" s="113"/>
      <c r="V544" s="113"/>
      <c r="W544" s="113"/>
      <c r="X544" s="5">
        <f t="shared" si="154"/>
        <v>0.01</v>
      </c>
      <c r="Y544" s="302">
        <f>H544-H545-H546</f>
        <v>0</v>
      </c>
      <c r="Z544" s="5">
        <f>I544-I545-I546</f>
        <v>0</v>
      </c>
      <c r="AA544" s="94">
        <f>J544-J545-J546</f>
        <v>0</v>
      </c>
      <c r="AB544" s="311">
        <f t="shared" si="160"/>
        <v>0</v>
      </c>
      <c r="AC544" s="296"/>
      <c r="AD544" s="113"/>
      <c r="AE544" s="5"/>
      <c r="AF544" s="5">
        <f>H544</f>
        <v>2.8039999999999999E-2</v>
      </c>
      <c r="AG544" s="5"/>
      <c r="AH544" s="5"/>
      <c r="AI544" s="5"/>
      <c r="AJ544" s="5"/>
      <c r="AK544" s="141"/>
      <c r="AL544" s="94">
        <f>SUM(AF544:AK544)</f>
        <v>2.8039999999999999E-2</v>
      </c>
      <c r="AM544" s="128">
        <v>0</v>
      </c>
      <c r="AN544" s="180">
        <v>0</v>
      </c>
      <c r="AO544" s="128"/>
      <c r="AP544" s="184"/>
      <c r="AQ544" s="128"/>
      <c r="AR544" s="184"/>
      <c r="AS544" s="128"/>
      <c r="AT544" s="184"/>
      <c r="AU544" s="128"/>
      <c r="AV544" s="184"/>
      <c r="AW544" s="128"/>
      <c r="AX544" s="184"/>
      <c r="AY544" s="111">
        <f>AM544+AO544+AQ544+AS544+AU544+AW544</f>
        <v>0</v>
      </c>
      <c r="AZ544" s="178">
        <f>AN544+AP544+AR544+AT544+AV544+AX544</f>
        <v>0</v>
      </c>
      <c r="BC544" s="216"/>
      <c r="BD544" s="47"/>
      <c r="BF544" s="113">
        <v>0.01</v>
      </c>
      <c r="BG544" s="113"/>
      <c r="BH544" s="113"/>
      <c r="BI544" s="113"/>
      <c r="BJ544" s="113"/>
      <c r="BK544" s="113"/>
      <c r="BL544" s="5">
        <f t="shared" si="155"/>
        <v>0.01</v>
      </c>
    </row>
    <row r="545" spans="1:64" s="2" customFormat="1" ht="15.75" customHeight="1" outlineLevel="1" x14ac:dyDescent="0.2">
      <c r="A545" s="594"/>
      <c r="B545" s="601"/>
      <c r="C545" s="7" t="s">
        <v>1553</v>
      </c>
      <c r="D545" s="8"/>
      <c r="E545" s="23"/>
      <c r="F545" s="8"/>
      <c r="G545" s="8"/>
      <c r="H545" s="5"/>
      <c r="I545" s="5"/>
      <c r="J545" s="5"/>
      <c r="K545" s="8"/>
      <c r="L545" s="23"/>
      <c r="M545" s="8"/>
      <c r="N545" s="8"/>
      <c r="O545" s="8"/>
      <c r="P545" s="8"/>
      <c r="Q545" s="23"/>
      <c r="R545" s="113"/>
      <c r="S545" s="113"/>
      <c r="T545" s="113"/>
      <c r="U545" s="113"/>
      <c r="V545" s="113"/>
      <c r="W545" s="113"/>
      <c r="X545" s="5">
        <f t="shared" si="154"/>
        <v>0</v>
      </c>
      <c r="Y545" s="302"/>
      <c r="Z545" s="5"/>
      <c r="AA545" s="94"/>
      <c r="AB545" s="311">
        <f t="shared" si="160"/>
        <v>0</v>
      </c>
      <c r="AC545" s="296"/>
      <c r="AD545" s="113"/>
      <c r="AE545" s="5"/>
      <c r="AF545" s="5"/>
      <c r="AG545" s="5"/>
      <c r="AH545" s="5"/>
      <c r="AI545" s="5"/>
      <c r="AJ545" s="5"/>
      <c r="AK545" s="141"/>
      <c r="AL545" s="94"/>
      <c r="AM545" s="128"/>
      <c r="AN545" s="180"/>
      <c r="AO545" s="128"/>
      <c r="AP545" s="184"/>
      <c r="AQ545" s="128"/>
      <c r="AR545" s="184"/>
      <c r="AS545" s="128"/>
      <c r="AT545" s="184"/>
      <c r="AU545" s="128"/>
      <c r="AV545" s="184"/>
      <c r="AW545" s="128"/>
      <c r="AX545" s="184"/>
      <c r="AY545" s="111"/>
      <c r="AZ545" s="178"/>
      <c r="BC545" s="216"/>
      <c r="BD545" s="47"/>
      <c r="BF545" s="113"/>
      <c r="BG545" s="113"/>
      <c r="BH545" s="113"/>
      <c r="BI545" s="113"/>
      <c r="BJ545" s="113"/>
      <c r="BK545" s="113"/>
      <c r="BL545" s="5">
        <f t="shared" si="155"/>
        <v>0</v>
      </c>
    </row>
    <row r="546" spans="1:64" s="2" customFormat="1" ht="15.75" customHeight="1" outlineLevel="1" x14ac:dyDescent="0.2">
      <c r="A546" s="595"/>
      <c r="B546" s="602"/>
      <c r="C546" s="7" t="s">
        <v>1554</v>
      </c>
      <c r="D546" s="8"/>
      <c r="E546" s="23"/>
      <c r="F546" s="8"/>
      <c r="G546" s="8"/>
      <c r="H546" s="5">
        <v>2.8039999999999999E-2</v>
      </c>
      <c r="I546" s="5">
        <v>0.01</v>
      </c>
      <c r="J546" s="5">
        <v>0.01</v>
      </c>
      <c r="K546" s="23"/>
      <c r="L546" s="8"/>
      <c r="M546" s="8"/>
      <c r="N546" s="8"/>
      <c r="O546" s="8"/>
      <c r="P546" s="8"/>
      <c r="Q546" s="23"/>
      <c r="R546" s="113"/>
      <c r="S546" s="113"/>
      <c r="T546" s="113"/>
      <c r="U546" s="113"/>
      <c r="V546" s="113"/>
      <c r="W546" s="113"/>
      <c r="X546" s="5">
        <f t="shared" si="154"/>
        <v>0</v>
      </c>
      <c r="Y546" s="302"/>
      <c r="Z546" s="5"/>
      <c r="AA546" s="94"/>
      <c r="AB546" s="311">
        <f t="shared" si="160"/>
        <v>0.01</v>
      </c>
      <c r="AC546" s="296"/>
      <c r="AD546" s="113"/>
      <c r="AE546" s="5"/>
      <c r="AF546" s="5"/>
      <c r="AG546" s="5"/>
      <c r="AH546" s="5"/>
      <c r="AI546" s="5"/>
      <c r="AJ546" s="5"/>
      <c r="AK546" s="141"/>
      <c r="AL546" s="94"/>
      <c r="AM546" s="128"/>
      <c r="AN546" s="180"/>
      <c r="AO546" s="128"/>
      <c r="AP546" s="184"/>
      <c r="AQ546" s="128"/>
      <c r="AR546" s="184"/>
      <c r="AS546" s="128"/>
      <c r="AT546" s="184"/>
      <c r="AU546" s="128"/>
      <c r="AV546" s="184"/>
      <c r="AW546" s="128"/>
      <c r="AX546" s="184"/>
      <c r="AY546" s="111"/>
      <c r="AZ546" s="178"/>
      <c r="BC546" s="216"/>
      <c r="BD546" s="47"/>
      <c r="BF546" s="113"/>
      <c r="BG546" s="113"/>
      <c r="BH546" s="113"/>
      <c r="BI546" s="113"/>
      <c r="BJ546" s="113"/>
      <c r="BK546" s="113"/>
      <c r="BL546" s="5">
        <f t="shared" si="155"/>
        <v>0</v>
      </c>
    </row>
    <row r="547" spans="1:64" s="2" customFormat="1" ht="27.2" customHeight="1" outlineLevel="1" x14ac:dyDescent="0.2">
      <c r="A547" s="593" t="s">
        <v>806</v>
      </c>
      <c r="B547" s="600" t="s">
        <v>1690</v>
      </c>
      <c r="C547" s="7" t="s">
        <v>1523</v>
      </c>
      <c r="D547" s="8" t="s">
        <v>397</v>
      </c>
      <c r="E547" s="23" t="s">
        <v>335</v>
      </c>
      <c r="F547" s="8">
        <v>2012</v>
      </c>
      <c r="G547" s="8">
        <v>2015</v>
      </c>
      <c r="H547" s="5">
        <v>0.24023</v>
      </c>
      <c r="I547" s="5">
        <v>0.22817699999999999</v>
      </c>
      <c r="J547" s="5">
        <f>R547</f>
        <v>0</v>
      </c>
      <c r="K547" s="8"/>
      <c r="L547" s="23" t="s">
        <v>335</v>
      </c>
      <c r="M547" s="8"/>
      <c r="N547" s="8"/>
      <c r="O547" s="8"/>
      <c r="P547" s="8"/>
      <c r="Q547" s="23" t="s">
        <v>335</v>
      </c>
      <c r="R547" s="113">
        <v>0</v>
      </c>
      <c r="S547" s="113"/>
      <c r="T547" s="113"/>
      <c r="U547" s="113"/>
      <c r="V547" s="113"/>
      <c r="W547" s="113"/>
      <c r="X547" s="5">
        <f t="shared" si="154"/>
        <v>0</v>
      </c>
      <c r="Y547" s="302">
        <f>H547-H548-H549</f>
        <v>0</v>
      </c>
      <c r="Z547" s="5">
        <f>I547-I548-I549</f>
        <v>0</v>
      </c>
      <c r="AA547" s="94">
        <f>J547-J548-J549</f>
        <v>0</v>
      </c>
      <c r="AB547" s="311">
        <f t="shared" si="160"/>
        <v>0.22817699999999999</v>
      </c>
      <c r="AC547" s="296"/>
      <c r="AD547" s="113"/>
      <c r="AE547" s="5"/>
      <c r="AF547" s="5"/>
      <c r="AG547" s="5">
        <f>H547</f>
        <v>0.24023</v>
      </c>
      <c r="AH547" s="5"/>
      <c r="AI547" s="5"/>
      <c r="AJ547" s="5"/>
      <c r="AK547" s="141"/>
      <c r="AL547" s="94">
        <f>SUM(AF547:AK547)</f>
        <v>0.24023</v>
      </c>
      <c r="AM547" s="128"/>
      <c r="AN547" s="180"/>
      <c r="AO547" s="128">
        <v>0.1</v>
      </c>
      <c r="AP547" s="184">
        <v>0</v>
      </c>
      <c r="AQ547" s="128"/>
      <c r="AR547" s="184"/>
      <c r="AS547" s="128"/>
      <c r="AT547" s="184"/>
      <c r="AU547" s="128"/>
      <c r="AV547" s="184"/>
      <c r="AW547" s="128"/>
      <c r="AX547" s="184"/>
      <c r="AY547" s="111">
        <f>AM547+AO547+AQ547+AS547+AU547+AW547</f>
        <v>0.1</v>
      </c>
      <c r="AZ547" s="178">
        <f>AN547+AP547+AR547+AT547+AV547+AX547</f>
        <v>0</v>
      </c>
      <c r="BC547" s="216"/>
      <c r="BD547" s="47"/>
      <c r="BF547" s="113">
        <v>0</v>
      </c>
      <c r="BG547" s="113"/>
      <c r="BH547" s="113"/>
      <c r="BI547" s="113"/>
      <c r="BJ547" s="113"/>
      <c r="BK547" s="113"/>
      <c r="BL547" s="5">
        <f t="shared" si="155"/>
        <v>0</v>
      </c>
    </row>
    <row r="548" spans="1:64" s="2" customFormat="1" ht="15.75" customHeight="1" outlineLevel="1" x14ac:dyDescent="0.2">
      <c r="A548" s="594"/>
      <c r="B548" s="601"/>
      <c r="C548" s="7" t="s">
        <v>1553</v>
      </c>
      <c r="D548" s="8"/>
      <c r="E548" s="23"/>
      <c r="F548" s="8"/>
      <c r="G548" s="8"/>
      <c r="H548" s="5"/>
      <c r="I548" s="5"/>
      <c r="J548" s="5"/>
      <c r="K548" s="8"/>
      <c r="L548" s="23"/>
      <c r="M548" s="8"/>
      <c r="N548" s="8"/>
      <c r="O548" s="8"/>
      <c r="P548" s="8"/>
      <c r="Q548" s="23"/>
      <c r="R548" s="113"/>
      <c r="S548" s="113"/>
      <c r="T548" s="113"/>
      <c r="U548" s="113"/>
      <c r="V548" s="113"/>
      <c r="W548" s="113"/>
      <c r="X548" s="5">
        <f t="shared" si="154"/>
        <v>0</v>
      </c>
      <c r="Y548" s="302"/>
      <c r="Z548" s="5"/>
      <c r="AA548" s="94"/>
      <c r="AB548" s="311">
        <f t="shared" si="160"/>
        <v>0</v>
      </c>
      <c r="AC548" s="296"/>
      <c r="AD548" s="113"/>
      <c r="AE548" s="5"/>
      <c r="AF548" s="5"/>
      <c r="AG548" s="5"/>
      <c r="AH548" s="5"/>
      <c r="AI548" s="5"/>
      <c r="AJ548" s="5"/>
      <c r="AK548" s="141"/>
      <c r="AL548" s="94"/>
      <c r="AM548" s="128"/>
      <c r="AN548" s="180"/>
      <c r="AO548" s="128"/>
      <c r="AP548" s="184"/>
      <c r="AQ548" s="128"/>
      <c r="AR548" s="184"/>
      <c r="AS548" s="128"/>
      <c r="AT548" s="184"/>
      <c r="AU548" s="128"/>
      <c r="AV548" s="184"/>
      <c r="AW548" s="128"/>
      <c r="AX548" s="184"/>
      <c r="AY548" s="111"/>
      <c r="AZ548" s="178"/>
      <c r="BC548" s="216"/>
      <c r="BD548" s="47"/>
      <c r="BF548" s="113"/>
      <c r="BG548" s="113"/>
      <c r="BH548" s="113"/>
      <c r="BI548" s="113"/>
      <c r="BJ548" s="113"/>
      <c r="BK548" s="113"/>
      <c r="BL548" s="5">
        <f t="shared" si="155"/>
        <v>0</v>
      </c>
    </row>
    <row r="549" spans="1:64" s="2" customFormat="1" ht="15.75" customHeight="1" outlineLevel="1" x14ac:dyDescent="0.2">
      <c r="A549" s="595"/>
      <c r="B549" s="602"/>
      <c r="C549" s="7" t="s">
        <v>1554</v>
      </c>
      <c r="D549" s="8"/>
      <c r="E549" s="23"/>
      <c r="F549" s="8"/>
      <c r="G549" s="8"/>
      <c r="H549" s="5">
        <v>0.24023</v>
      </c>
      <c r="I549" s="5">
        <v>0.22817699999999999</v>
      </c>
      <c r="J549" s="5">
        <f>R549</f>
        <v>0</v>
      </c>
      <c r="K549" s="23"/>
      <c r="L549" s="8"/>
      <c r="M549" s="8"/>
      <c r="N549" s="8"/>
      <c r="O549" s="8"/>
      <c r="P549" s="8"/>
      <c r="Q549" s="23"/>
      <c r="R549" s="113"/>
      <c r="S549" s="113"/>
      <c r="T549" s="113"/>
      <c r="U549" s="113"/>
      <c r="V549" s="113"/>
      <c r="W549" s="113"/>
      <c r="X549" s="5">
        <f t="shared" si="154"/>
        <v>0</v>
      </c>
      <c r="Y549" s="302"/>
      <c r="Z549" s="5"/>
      <c r="AA549" s="94"/>
      <c r="AB549" s="311">
        <f t="shared" si="160"/>
        <v>0.22817699999999999</v>
      </c>
      <c r="AC549" s="296"/>
      <c r="AD549" s="113"/>
      <c r="AE549" s="5"/>
      <c r="AF549" s="5"/>
      <c r="AG549" s="5"/>
      <c r="AH549" s="5"/>
      <c r="AI549" s="5"/>
      <c r="AJ549" s="5"/>
      <c r="AK549" s="141"/>
      <c r="AL549" s="94"/>
      <c r="AM549" s="128"/>
      <c r="AN549" s="180"/>
      <c r="AO549" s="128"/>
      <c r="AP549" s="184"/>
      <c r="AQ549" s="128"/>
      <c r="AR549" s="184"/>
      <c r="AS549" s="128"/>
      <c r="AT549" s="184"/>
      <c r="AU549" s="128"/>
      <c r="AV549" s="184"/>
      <c r="AW549" s="128"/>
      <c r="AX549" s="184"/>
      <c r="AY549" s="111"/>
      <c r="AZ549" s="178"/>
      <c r="BC549" s="216"/>
      <c r="BD549" s="47"/>
      <c r="BF549" s="113"/>
      <c r="BG549" s="113"/>
      <c r="BH549" s="113"/>
      <c r="BI549" s="113"/>
      <c r="BJ549" s="113"/>
      <c r="BK549" s="113"/>
      <c r="BL549" s="5">
        <f t="shared" si="155"/>
        <v>0</v>
      </c>
    </row>
    <row r="550" spans="1:64" s="2" customFormat="1" ht="25.5" customHeight="1" outlineLevel="1" x14ac:dyDescent="0.2">
      <c r="A550" s="593" t="s">
        <v>807</v>
      </c>
      <c r="B550" s="600" t="s">
        <v>1691</v>
      </c>
      <c r="C550" s="7" t="s">
        <v>1524</v>
      </c>
      <c r="D550" s="8" t="s">
        <v>397</v>
      </c>
      <c r="E550" s="23" t="s">
        <v>963</v>
      </c>
      <c r="F550" s="8">
        <v>2012</v>
      </c>
      <c r="G550" s="8">
        <v>2015</v>
      </c>
      <c r="H550" s="5">
        <v>4.9685291999999999</v>
      </c>
      <c r="I550" s="5">
        <v>0.62</v>
      </c>
      <c r="J550" s="5">
        <f>R550</f>
        <v>0.61662099999999997</v>
      </c>
      <c r="K550" s="8"/>
      <c r="L550" s="23" t="s">
        <v>963</v>
      </c>
      <c r="M550" s="8"/>
      <c r="N550" s="8"/>
      <c r="O550" s="8"/>
      <c r="P550" s="8"/>
      <c r="Q550" s="23" t="s">
        <v>963</v>
      </c>
      <c r="R550" s="113">
        <v>0.61662099999999997</v>
      </c>
      <c r="S550" s="113"/>
      <c r="T550" s="113"/>
      <c r="U550" s="113"/>
      <c r="V550" s="113"/>
      <c r="W550" s="113"/>
      <c r="X550" s="5">
        <f t="shared" si="154"/>
        <v>0.61662099999999997</v>
      </c>
      <c r="Y550" s="302">
        <f>H550-H551-H552</f>
        <v>0</v>
      </c>
      <c r="Z550" s="5">
        <f>I550-I551-I552</f>
        <v>0</v>
      </c>
      <c r="AA550" s="94">
        <f>J550-J551-J552</f>
        <v>0</v>
      </c>
      <c r="AB550" s="311">
        <f t="shared" si="160"/>
        <v>3.3790000000000209E-3</v>
      </c>
      <c r="AC550" s="296"/>
      <c r="AD550" s="113"/>
      <c r="AE550" s="5"/>
      <c r="AF550" s="5"/>
      <c r="AG550" s="5">
        <f>H550</f>
        <v>4.9685291999999999</v>
      </c>
      <c r="AH550" s="5"/>
      <c r="AI550" s="5"/>
      <c r="AJ550" s="5"/>
      <c r="AK550" s="141"/>
      <c r="AL550" s="94">
        <f>SUM(AF550:AK550)</f>
        <v>4.9685291999999999</v>
      </c>
      <c r="AM550" s="128"/>
      <c r="AN550" s="180"/>
      <c r="AO550" s="128">
        <v>1</v>
      </c>
      <c r="AP550" s="184">
        <v>0</v>
      </c>
      <c r="AQ550" s="128"/>
      <c r="AR550" s="184"/>
      <c r="AS550" s="128"/>
      <c r="AT550" s="184"/>
      <c r="AU550" s="128"/>
      <c r="AV550" s="184"/>
      <c r="AW550" s="128"/>
      <c r="AX550" s="184"/>
      <c r="AY550" s="111">
        <f>AM550+AO550+AQ550+AS550+AU550+AW550</f>
        <v>1</v>
      </c>
      <c r="AZ550" s="178">
        <f>AN550+AP550+AR550+AT550+AV550+AX550</f>
        <v>0</v>
      </c>
      <c r="BC550" s="216"/>
      <c r="BD550" s="47"/>
      <c r="BF550" s="113">
        <v>0.61662099999999997</v>
      </c>
      <c r="BG550" s="113"/>
      <c r="BH550" s="113"/>
      <c r="BI550" s="113"/>
      <c r="BJ550" s="113"/>
      <c r="BK550" s="113"/>
      <c r="BL550" s="5">
        <f t="shared" si="155"/>
        <v>0.61662099999999997</v>
      </c>
    </row>
    <row r="551" spans="1:64" s="2" customFormat="1" ht="14.1" customHeight="1" outlineLevel="1" x14ac:dyDescent="0.2">
      <c r="A551" s="594"/>
      <c r="B551" s="601"/>
      <c r="C551" s="7" t="s">
        <v>1553</v>
      </c>
      <c r="D551" s="8"/>
      <c r="E551" s="23"/>
      <c r="F551" s="8"/>
      <c r="G551" s="8"/>
      <c r="H551" s="5"/>
      <c r="I551" s="5"/>
      <c r="J551" s="5"/>
      <c r="K551" s="8"/>
      <c r="L551" s="23"/>
      <c r="M551" s="8"/>
      <c r="N551" s="8"/>
      <c r="O551" s="8"/>
      <c r="P551" s="8"/>
      <c r="Q551" s="23"/>
      <c r="R551" s="113"/>
      <c r="S551" s="113"/>
      <c r="T551" s="113"/>
      <c r="U551" s="113"/>
      <c r="V551" s="113"/>
      <c r="W551" s="113"/>
      <c r="X551" s="5">
        <f t="shared" si="154"/>
        <v>0</v>
      </c>
      <c r="Y551" s="302"/>
      <c r="Z551" s="5"/>
      <c r="AA551" s="94"/>
      <c r="AB551" s="311">
        <f t="shared" si="160"/>
        <v>0</v>
      </c>
      <c r="AC551" s="296"/>
      <c r="AD551" s="113"/>
      <c r="AE551" s="5"/>
      <c r="AF551" s="5"/>
      <c r="AG551" s="5"/>
      <c r="AH551" s="5"/>
      <c r="AI551" s="5"/>
      <c r="AJ551" s="5"/>
      <c r="AK551" s="141"/>
      <c r="AL551" s="94"/>
      <c r="AM551" s="128"/>
      <c r="AN551" s="180"/>
      <c r="AO551" s="128"/>
      <c r="AP551" s="184"/>
      <c r="AQ551" s="128"/>
      <c r="AR551" s="184"/>
      <c r="AS551" s="128"/>
      <c r="AT551" s="184"/>
      <c r="AU551" s="128"/>
      <c r="AV551" s="184"/>
      <c r="AW551" s="128"/>
      <c r="AX551" s="184"/>
      <c r="AY551" s="111"/>
      <c r="AZ551" s="178"/>
      <c r="BC551" s="216"/>
      <c r="BD551" s="47"/>
      <c r="BF551" s="113"/>
      <c r="BG551" s="113"/>
      <c r="BH551" s="113"/>
      <c r="BI551" s="113"/>
      <c r="BJ551" s="113"/>
      <c r="BK551" s="113"/>
      <c r="BL551" s="5">
        <f t="shared" si="155"/>
        <v>0</v>
      </c>
    </row>
    <row r="552" spans="1:64" s="2" customFormat="1" ht="14.1" customHeight="1" outlineLevel="1" x14ac:dyDescent="0.2">
      <c r="A552" s="595"/>
      <c r="B552" s="602"/>
      <c r="C552" s="7" t="s">
        <v>1554</v>
      </c>
      <c r="D552" s="8"/>
      <c r="E552" s="23"/>
      <c r="F552" s="8"/>
      <c r="G552" s="8"/>
      <c r="H552" s="5">
        <f>H550</f>
        <v>4.9685291999999999</v>
      </c>
      <c r="I552" s="5">
        <f>I550</f>
        <v>0.62</v>
      </c>
      <c r="J552" s="5">
        <f>J550</f>
        <v>0.61662099999999997</v>
      </c>
      <c r="K552" s="23"/>
      <c r="L552" s="8"/>
      <c r="M552" s="8"/>
      <c r="N552" s="8"/>
      <c r="O552" s="8"/>
      <c r="P552" s="8"/>
      <c r="Q552" s="23"/>
      <c r="R552" s="113"/>
      <c r="S552" s="113"/>
      <c r="T552" s="113"/>
      <c r="U552" s="113"/>
      <c r="V552" s="113"/>
      <c r="W552" s="113"/>
      <c r="X552" s="5">
        <f t="shared" si="154"/>
        <v>0</v>
      </c>
      <c r="Y552" s="302"/>
      <c r="Z552" s="5"/>
      <c r="AA552" s="94"/>
      <c r="AB552" s="311">
        <f t="shared" si="160"/>
        <v>0.62</v>
      </c>
      <c r="AC552" s="296"/>
      <c r="AD552" s="113"/>
      <c r="AE552" s="5"/>
      <c r="AF552" s="5"/>
      <c r="AG552" s="5"/>
      <c r="AH552" s="5"/>
      <c r="AI552" s="5"/>
      <c r="AJ552" s="5"/>
      <c r="AK552" s="141"/>
      <c r="AL552" s="94"/>
      <c r="AM552" s="128"/>
      <c r="AN552" s="180"/>
      <c r="AO552" s="128"/>
      <c r="AP552" s="184"/>
      <c r="AQ552" s="128"/>
      <c r="AR552" s="184"/>
      <c r="AS552" s="128"/>
      <c r="AT552" s="184"/>
      <c r="AU552" s="128"/>
      <c r="AV552" s="184"/>
      <c r="AW552" s="128"/>
      <c r="AX552" s="184"/>
      <c r="AY552" s="111"/>
      <c r="AZ552" s="178"/>
      <c r="BC552" s="216"/>
      <c r="BD552" s="47"/>
      <c r="BF552" s="113"/>
      <c r="BG552" s="113"/>
      <c r="BH552" s="113"/>
      <c r="BI552" s="113"/>
      <c r="BJ552" s="113"/>
      <c r="BK552" s="113"/>
      <c r="BL552" s="5">
        <f t="shared" si="155"/>
        <v>0</v>
      </c>
    </row>
    <row r="553" spans="1:64" s="2" customFormat="1" ht="89.25" outlineLevel="1" x14ac:dyDescent="0.2">
      <c r="A553" s="593" t="s">
        <v>808</v>
      </c>
      <c r="B553" s="600" t="s">
        <v>1692</v>
      </c>
      <c r="C553" s="7" t="s">
        <v>1525</v>
      </c>
      <c r="D553" s="8" t="s">
        <v>397</v>
      </c>
      <c r="E553" s="23" t="s">
        <v>1241</v>
      </c>
      <c r="F553" s="8">
        <v>2012</v>
      </c>
      <c r="G553" s="8">
        <v>2014</v>
      </c>
      <c r="H553" s="5">
        <v>2.8039999999999999E-2</v>
      </c>
      <c r="I553" s="5">
        <v>0.01</v>
      </c>
      <c r="J553" s="5">
        <f>R553</f>
        <v>0.01</v>
      </c>
      <c r="K553" s="23" t="s">
        <v>1241</v>
      </c>
      <c r="L553" s="8"/>
      <c r="M553" s="8"/>
      <c r="N553" s="8"/>
      <c r="O553" s="8"/>
      <c r="P553" s="8"/>
      <c r="Q553" s="23" t="s">
        <v>1241</v>
      </c>
      <c r="R553" s="113">
        <v>0.01</v>
      </c>
      <c r="S553" s="113"/>
      <c r="T553" s="113"/>
      <c r="U553" s="113"/>
      <c r="V553" s="113"/>
      <c r="W553" s="113"/>
      <c r="X553" s="5">
        <f t="shared" si="154"/>
        <v>0.01</v>
      </c>
      <c r="Y553" s="302">
        <f>H553-H554-H555</f>
        <v>0</v>
      </c>
      <c r="Z553" s="5">
        <f>I553-I554-I555</f>
        <v>0</v>
      </c>
      <c r="AA553" s="94">
        <f>J553-J554-J555</f>
        <v>0</v>
      </c>
      <c r="AB553" s="311">
        <f t="shared" si="160"/>
        <v>0</v>
      </c>
      <c r="AC553" s="296"/>
      <c r="AD553" s="113"/>
      <c r="AE553" s="5"/>
      <c r="AF553" s="5">
        <f>H553</f>
        <v>2.8039999999999999E-2</v>
      </c>
      <c r="AG553" s="5"/>
      <c r="AH553" s="5"/>
      <c r="AI553" s="5"/>
      <c r="AJ553" s="5"/>
      <c r="AK553" s="141"/>
      <c r="AL553" s="94">
        <f>SUM(AF553:AK553)</f>
        <v>2.8039999999999999E-2</v>
      </c>
      <c r="AM553" s="128">
        <v>0</v>
      </c>
      <c r="AN553" s="180">
        <v>0</v>
      </c>
      <c r="AO553" s="128"/>
      <c r="AP553" s="184"/>
      <c r="AQ553" s="128"/>
      <c r="AR553" s="184"/>
      <c r="AS553" s="128"/>
      <c r="AT553" s="184"/>
      <c r="AU553" s="128"/>
      <c r="AV553" s="184"/>
      <c r="AW553" s="128"/>
      <c r="AX553" s="184"/>
      <c r="AY553" s="111">
        <f>AM553+AO553+AQ553+AS553+AU553+AW553</f>
        <v>0</v>
      </c>
      <c r="AZ553" s="178">
        <f>AN553+AP553+AR553+AT553+AV553+AX553</f>
        <v>0</v>
      </c>
      <c r="BC553" s="216"/>
      <c r="BD553" s="47"/>
      <c r="BF553" s="113">
        <v>0.01</v>
      </c>
      <c r="BG553" s="113"/>
      <c r="BH553" s="113"/>
      <c r="BI553" s="113"/>
      <c r="BJ553" s="113"/>
      <c r="BK553" s="113"/>
      <c r="BL553" s="5">
        <f t="shared" si="155"/>
        <v>0.01</v>
      </c>
    </row>
    <row r="554" spans="1:64" s="2" customFormat="1" ht="14.1" customHeight="1" outlineLevel="1" x14ac:dyDescent="0.2">
      <c r="A554" s="594"/>
      <c r="B554" s="601"/>
      <c r="C554" s="7" t="s">
        <v>1553</v>
      </c>
      <c r="D554" s="8"/>
      <c r="E554" s="23"/>
      <c r="F554" s="8"/>
      <c r="G554" s="8"/>
      <c r="H554" s="5"/>
      <c r="I554" s="5"/>
      <c r="J554" s="5"/>
      <c r="K554" s="8"/>
      <c r="L554" s="23"/>
      <c r="M554" s="8"/>
      <c r="N554" s="8"/>
      <c r="O554" s="8"/>
      <c r="P554" s="8"/>
      <c r="Q554" s="23"/>
      <c r="R554" s="113"/>
      <c r="S554" s="113"/>
      <c r="T554" s="113"/>
      <c r="U554" s="113"/>
      <c r="V554" s="113"/>
      <c r="W554" s="113"/>
      <c r="X554" s="5">
        <f t="shared" si="154"/>
        <v>0</v>
      </c>
      <c r="Y554" s="302"/>
      <c r="Z554" s="5"/>
      <c r="AA554" s="94"/>
      <c r="AB554" s="311">
        <f t="shared" si="160"/>
        <v>0</v>
      </c>
      <c r="AC554" s="296"/>
      <c r="AD554" s="113"/>
      <c r="AE554" s="5"/>
      <c r="AF554" s="5"/>
      <c r="AG554" s="5"/>
      <c r="AH554" s="5"/>
      <c r="AI554" s="5"/>
      <c r="AJ554" s="5"/>
      <c r="AK554" s="141"/>
      <c r="AL554" s="94"/>
      <c r="AM554" s="128"/>
      <c r="AN554" s="180"/>
      <c r="AO554" s="128"/>
      <c r="AP554" s="184"/>
      <c r="AQ554" s="128"/>
      <c r="AR554" s="184"/>
      <c r="AS554" s="128"/>
      <c r="AT554" s="184"/>
      <c r="AU554" s="128"/>
      <c r="AV554" s="184"/>
      <c r="AW554" s="128"/>
      <c r="AX554" s="184"/>
      <c r="AY554" s="111"/>
      <c r="AZ554" s="178"/>
      <c r="BC554" s="216"/>
      <c r="BD554" s="47"/>
      <c r="BF554" s="113"/>
      <c r="BG554" s="113"/>
      <c r="BH554" s="113"/>
      <c r="BI554" s="113"/>
      <c r="BJ554" s="113"/>
      <c r="BK554" s="113"/>
      <c r="BL554" s="5">
        <f t="shared" si="155"/>
        <v>0</v>
      </c>
    </row>
    <row r="555" spans="1:64" s="2" customFormat="1" ht="14.1" customHeight="1" outlineLevel="1" x14ac:dyDescent="0.2">
      <c r="A555" s="595"/>
      <c r="B555" s="602"/>
      <c r="C555" s="7" t="s">
        <v>1554</v>
      </c>
      <c r="D555" s="8"/>
      <c r="E555" s="23"/>
      <c r="F555" s="8"/>
      <c r="G555" s="8"/>
      <c r="H555" s="5">
        <v>2.8039999999999999E-2</v>
      </c>
      <c r="I555" s="5">
        <v>0.01</v>
      </c>
      <c r="J555" s="5">
        <v>0.01</v>
      </c>
      <c r="K555" s="23"/>
      <c r="L555" s="8"/>
      <c r="M555" s="8"/>
      <c r="N555" s="8"/>
      <c r="O555" s="8"/>
      <c r="P555" s="8"/>
      <c r="Q555" s="23"/>
      <c r="R555" s="113"/>
      <c r="S555" s="113"/>
      <c r="T555" s="113"/>
      <c r="U555" s="113"/>
      <c r="V555" s="113"/>
      <c r="W555" s="113"/>
      <c r="X555" s="5">
        <f t="shared" si="154"/>
        <v>0</v>
      </c>
      <c r="Y555" s="302"/>
      <c r="Z555" s="5"/>
      <c r="AA555" s="94"/>
      <c r="AB555" s="311">
        <f t="shared" si="160"/>
        <v>0.01</v>
      </c>
      <c r="AC555" s="296"/>
      <c r="AD555" s="113"/>
      <c r="AE555" s="5"/>
      <c r="AF555" s="5"/>
      <c r="AG555" s="5"/>
      <c r="AH555" s="5"/>
      <c r="AI555" s="5"/>
      <c r="AJ555" s="5"/>
      <c r="AK555" s="141"/>
      <c r="AL555" s="94"/>
      <c r="AM555" s="128"/>
      <c r="AN555" s="180"/>
      <c r="AO555" s="128"/>
      <c r="AP555" s="184"/>
      <c r="AQ555" s="128"/>
      <c r="AR555" s="184"/>
      <c r="AS555" s="128"/>
      <c r="AT555" s="184"/>
      <c r="AU555" s="128"/>
      <c r="AV555" s="184"/>
      <c r="AW555" s="128"/>
      <c r="AX555" s="184"/>
      <c r="AY555" s="111"/>
      <c r="AZ555" s="178"/>
      <c r="BC555" s="216"/>
      <c r="BD555" s="47"/>
      <c r="BF555" s="113"/>
      <c r="BG555" s="113"/>
      <c r="BH555" s="113"/>
      <c r="BI555" s="113"/>
      <c r="BJ555" s="113"/>
      <c r="BK555" s="113"/>
      <c r="BL555" s="5">
        <f t="shared" si="155"/>
        <v>0</v>
      </c>
    </row>
    <row r="556" spans="1:64" s="2" customFormat="1" ht="76.5" customHeight="1" outlineLevel="1" x14ac:dyDescent="0.2">
      <c r="A556" s="593" t="s">
        <v>809</v>
      </c>
      <c r="B556" s="600" t="s">
        <v>1693</v>
      </c>
      <c r="C556" s="7" t="s">
        <v>1526</v>
      </c>
      <c r="D556" s="8" t="s">
        <v>397</v>
      </c>
      <c r="E556" s="23" t="s">
        <v>1241</v>
      </c>
      <c r="F556" s="8">
        <v>2012</v>
      </c>
      <c r="G556" s="8">
        <v>2015</v>
      </c>
      <c r="H556" s="5">
        <v>2.8039999999999999E-2</v>
      </c>
      <c r="I556" s="5">
        <v>2.3764E-2</v>
      </c>
      <c r="J556" s="5">
        <f>R556</f>
        <v>0.01</v>
      </c>
      <c r="K556" s="8"/>
      <c r="L556" s="23" t="s">
        <v>1241</v>
      </c>
      <c r="M556" s="8"/>
      <c r="N556" s="8"/>
      <c r="O556" s="8"/>
      <c r="P556" s="8"/>
      <c r="Q556" s="23" t="s">
        <v>1241</v>
      </c>
      <c r="R556" s="113">
        <v>0.01</v>
      </c>
      <c r="S556" s="113"/>
      <c r="T556" s="113"/>
      <c r="U556" s="113"/>
      <c r="V556" s="113"/>
      <c r="W556" s="113"/>
      <c r="X556" s="5">
        <f t="shared" ref="X556:X619" si="161">SUM(R556:W556)</f>
        <v>0.01</v>
      </c>
      <c r="Y556" s="302">
        <f>H556-H557-H558</f>
        <v>0</v>
      </c>
      <c r="Z556" s="5">
        <f>I556-I557-I558</f>
        <v>0</v>
      </c>
      <c r="AA556" s="94">
        <f>J556-J557-J558</f>
        <v>0</v>
      </c>
      <c r="AB556" s="311">
        <f t="shared" si="160"/>
        <v>1.3764E-2</v>
      </c>
      <c r="AC556" s="296"/>
      <c r="AD556" s="113"/>
      <c r="AE556" s="5"/>
      <c r="AF556" s="5"/>
      <c r="AG556" s="5">
        <f>H556</f>
        <v>2.8039999999999999E-2</v>
      </c>
      <c r="AH556" s="5"/>
      <c r="AI556" s="5"/>
      <c r="AJ556" s="5"/>
      <c r="AK556" s="141"/>
      <c r="AL556" s="94">
        <f>SUM(AF556:AK556)</f>
        <v>2.8039999999999999E-2</v>
      </c>
      <c r="AM556" s="128"/>
      <c r="AN556" s="180"/>
      <c r="AO556" s="128">
        <v>0</v>
      </c>
      <c r="AP556" s="184">
        <v>0</v>
      </c>
      <c r="AQ556" s="128"/>
      <c r="AR556" s="184"/>
      <c r="AS556" s="128"/>
      <c r="AT556" s="184"/>
      <c r="AU556" s="128"/>
      <c r="AV556" s="184"/>
      <c r="AW556" s="128"/>
      <c r="AX556" s="184"/>
      <c r="AY556" s="111">
        <f>AM556+AO556+AQ556+AS556+AU556+AW556</f>
        <v>0</v>
      </c>
      <c r="AZ556" s="178">
        <f>AN556+AP556+AR556+AT556+AV556+AX556</f>
        <v>0</v>
      </c>
      <c r="BC556" s="216"/>
      <c r="BD556" s="47"/>
      <c r="BF556" s="113">
        <v>0.01</v>
      </c>
      <c r="BG556" s="113"/>
      <c r="BH556" s="113"/>
      <c r="BI556" s="113"/>
      <c r="BJ556" s="113"/>
      <c r="BK556" s="113"/>
      <c r="BL556" s="5">
        <f t="shared" ref="BL556:BL619" si="162">SUM(BF556:BK556)</f>
        <v>0.01</v>
      </c>
    </row>
    <row r="557" spans="1:64" s="2" customFormat="1" ht="14.1" customHeight="1" outlineLevel="1" x14ac:dyDescent="0.2">
      <c r="A557" s="594"/>
      <c r="B557" s="601"/>
      <c r="C557" s="7" t="s">
        <v>1553</v>
      </c>
      <c r="D557" s="8"/>
      <c r="E557" s="23"/>
      <c r="F557" s="8"/>
      <c r="G557" s="8"/>
      <c r="H557" s="5"/>
      <c r="I557" s="5"/>
      <c r="J557" s="5"/>
      <c r="K557" s="8"/>
      <c r="L557" s="23"/>
      <c r="M557" s="8"/>
      <c r="N557" s="8"/>
      <c r="O557" s="8"/>
      <c r="P557" s="8"/>
      <c r="Q557" s="23"/>
      <c r="R557" s="113"/>
      <c r="S557" s="113"/>
      <c r="T557" s="113"/>
      <c r="U557" s="113"/>
      <c r="V557" s="113"/>
      <c r="W557" s="113"/>
      <c r="X557" s="5">
        <f t="shared" si="161"/>
        <v>0</v>
      </c>
      <c r="Y557" s="302"/>
      <c r="Z557" s="5"/>
      <c r="AA557" s="94"/>
      <c r="AB557" s="311">
        <f t="shared" si="160"/>
        <v>0</v>
      </c>
      <c r="AC557" s="296"/>
      <c r="AD557" s="113"/>
      <c r="AE557" s="5"/>
      <c r="AF557" s="5"/>
      <c r="AG557" s="5"/>
      <c r="AH557" s="5"/>
      <c r="AI557" s="5"/>
      <c r="AJ557" s="5"/>
      <c r="AK557" s="141"/>
      <c r="AL557" s="94"/>
      <c r="AM557" s="128"/>
      <c r="AN557" s="180"/>
      <c r="AO557" s="128"/>
      <c r="AP557" s="184"/>
      <c r="AQ557" s="128"/>
      <c r="AR557" s="184"/>
      <c r="AS557" s="128"/>
      <c r="AT557" s="184"/>
      <c r="AU557" s="128"/>
      <c r="AV557" s="184"/>
      <c r="AW557" s="128"/>
      <c r="AX557" s="184"/>
      <c r="AY557" s="111"/>
      <c r="AZ557" s="178"/>
      <c r="BC557" s="216"/>
      <c r="BD557" s="47"/>
      <c r="BF557" s="113"/>
      <c r="BG557" s="113"/>
      <c r="BH557" s="113"/>
      <c r="BI557" s="113"/>
      <c r="BJ557" s="113"/>
      <c r="BK557" s="113"/>
      <c r="BL557" s="5">
        <f t="shared" si="162"/>
        <v>0</v>
      </c>
    </row>
    <row r="558" spans="1:64" s="2" customFormat="1" ht="14.1" customHeight="1" outlineLevel="1" x14ac:dyDescent="0.2">
      <c r="A558" s="595"/>
      <c r="B558" s="602"/>
      <c r="C558" s="7" t="s">
        <v>1554</v>
      </c>
      <c r="D558" s="8"/>
      <c r="E558" s="23"/>
      <c r="F558" s="8"/>
      <c r="G558" s="8"/>
      <c r="H558" s="5">
        <v>2.8039999999999999E-2</v>
      </c>
      <c r="I558" s="5">
        <v>2.3764E-2</v>
      </c>
      <c r="J558" s="5">
        <v>0.01</v>
      </c>
      <c r="K558" s="23"/>
      <c r="L558" s="8"/>
      <c r="M558" s="8"/>
      <c r="N558" s="8"/>
      <c r="O558" s="8"/>
      <c r="P558" s="8"/>
      <c r="Q558" s="23"/>
      <c r="R558" s="113"/>
      <c r="S558" s="113"/>
      <c r="T558" s="113"/>
      <c r="U558" s="113"/>
      <c r="V558" s="113"/>
      <c r="W558" s="113"/>
      <c r="X558" s="5">
        <f t="shared" si="161"/>
        <v>0</v>
      </c>
      <c r="Y558" s="302"/>
      <c r="Z558" s="5"/>
      <c r="AA558" s="94"/>
      <c r="AB558" s="311">
        <f t="shared" si="160"/>
        <v>2.3764E-2</v>
      </c>
      <c r="AC558" s="296"/>
      <c r="AD558" s="113"/>
      <c r="AE558" s="5"/>
      <c r="AF558" s="5"/>
      <c r="AG558" s="5"/>
      <c r="AH558" s="5"/>
      <c r="AI558" s="5"/>
      <c r="AJ558" s="5"/>
      <c r="AK558" s="141"/>
      <c r="AL558" s="94"/>
      <c r="AM558" s="128"/>
      <c r="AN558" s="180"/>
      <c r="AO558" s="128"/>
      <c r="AP558" s="184"/>
      <c r="AQ558" s="128"/>
      <c r="AR558" s="184"/>
      <c r="AS558" s="128"/>
      <c r="AT558" s="184"/>
      <c r="AU558" s="128"/>
      <c r="AV558" s="184"/>
      <c r="AW558" s="128"/>
      <c r="AX558" s="184"/>
      <c r="AY558" s="111"/>
      <c r="AZ558" s="178"/>
      <c r="BC558" s="216"/>
      <c r="BD558" s="47"/>
      <c r="BF558" s="113"/>
      <c r="BG558" s="113"/>
      <c r="BH558" s="113"/>
      <c r="BI558" s="113"/>
      <c r="BJ558" s="113"/>
      <c r="BK558" s="113"/>
      <c r="BL558" s="5">
        <f t="shared" si="162"/>
        <v>0</v>
      </c>
    </row>
    <row r="559" spans="1:64" s="2" customFormat="1" ht="51" customHeight="1" outlineLevel="1" x14ac:dyDescent="0.2">
      <c r="A559" s="593" t="s">
        <v>810</v>
      </c>
      <c r="B559" s="600" t="s">
        <v>1694</v>
      </c>
      <c r="C559" s="7" t="s">
        <v>1828</v>
      </c>
      <c r="D559" s="8" t="s">
        <v>397</v>
      </c>
      <c r="E559" s="23" t="s">
        <v>356</v>
      </c>
      <c r="F559" s="8">
        <v>2012</v>
      </c>
      <c r="G559" s="8">
        <v>2015</v>
      </c>
      <c r="H559" s="5">
        <v>8.4140000000000006E-2</v>
      </c>
      <c r="I559" s="5">
        <v>7.9020000000000007E-2</v>
      </c>
      <c r="J559" s="5">
        <f>R559</f>
        <v>0.01</v>
      </c>
      <c r="K559" s="8"/>
      <c r="L559" s="23" t="s">
        <v>356</v>
      </c>
      <c r="M559" s="8"/>
      <c r="N559" s="8"/>
      <c r="O559" s="8"/>
      <c r="P559" s="8"/>
      <c r="Q559" s="23" t="s">
        <v>356</v>
      </c>
      <c r="R559" s="113">
        <v>0.01</v>
      </c>
      <c r="S559" s="113"/>
      <c r="T559" s="113"/>
      <c r="U559" s="113"/>
      <c r="V559" s="113"/>
      <c r="W559" s="113"/>
      <c r="X559" s="5">
        <f t="shared" si="161"/>
        <v>0.01</v>
      </c>
      <c r="Y559" s="302">
        <f>H559-H560-H561</f>
        <v>0</v>
      </c>
      <c r="Z559" s="5">
        <f>I559-I560-I561</f>
        <v>0</v>
      </c>
      <c r="AA559" s="94">
        <f>J559-J560-J561</f>
        <v>0</v>
      </c>
      <c r="AB559" s="311">
        <f t="shared" si="160"/>
        <v>6.9020000000000012E-2</v>
      </c>
      <c r="AC559" s="296"/>
      <c r="AD559" s="113"/>
      <c r="AE559" s="5"/>
      <c r="AF559" s="5"/>
      <c r="AG559" s="5">
        <f>H559</f>
        <v>8.4140000000000006E-2</v>
      </c>
      <c r="AH559" s="5"/>
      <c r="AI559" s="5"/>
      <c r="AJ559" s="5"/>
      <c r="AK559" s="141"/>
      <c r="AL559" s="94">
        <f>SUM(AF559:AK559)</f>
        <v>8.4140000000000006E-2</v>
      </c>
      <c r="AM559" s="128"/>
      <c r="AN559" s="180"/>
      <c r="AO559" s="128">
        <v>0.08</v>
      </c>
      <c r="AP559" s="184">
        <v>0</v>
      </c>
      <c r="AQ559" s="128"/>
      <c r="AR559" s="184"/>
      <c r="AS559" s="128"/>
      <c r="AT559" s="184"/>
      <c r="AU559" s="128"/>
      <c r="AV559" s="184"/>
      <c r="AW559" s="128"/>
      <c r="AX559" s="184"/>
      <c r="AY559" s="111">
        <f>AM559+AO559+AQ559+AS559+AU559+AW559</f>
        <v>0.08</v>
      </c>
      <c r="AZ559" s="178">
        <f>AN559+AP559+AR559+AT559+AV559+AX559</f>
        <v>0</v>
      </c>
      <c r="BC559" s="216"/>
      <c r="BD559" s="47"/>
      <c r="BF559" s="113">
        <v>0.01</v>
      </c>
      <c r="BG559" s="113"/>
      <c r="BH559" s="113"/>
      <c r="BI559" s="113"/>
      <c r="BJ559" s="113"/>
      <c r="BK559" s="113"/>
      <c r="BL559" s="5">
        <f t="shared" si="162"/>
        <v>0.01</v>
      </c>
    </row>
    <row r="560" spans="1:64" s="2" customFormat="1" ht="14.1" customHeight="1" outlineLevel="1" x14ac:dyDescent="0.2">
      <c r="A560" s="594"/>
      <c r="B560" s="601"/>
      <c r="C560" s="7" t="s">
        <v>1553</v>
      </c>
      <c r="D560" s="8"/>
      <c r="E560" s="23"/>
      <c r="F560" s="8"/>
      <c r="G560" s="8"/>
      <c r="H560" s="5"/>
      <c r="I560" s="5"/>
      <c r="J560" s="5"/>
      <c r="K560" s="8"/>
      <c r="L560" s="23"/>
      <c r="M560" s="8"/>
      <c r="N560" s="8"/>
      <c r="O560" s="8"/>
      <c r="P560" s="8"/>
      <c r="Q560" s="23"/>
      <c r="R560" s="113"/>
      <c r="S560" s="113"/>
      <c r="T560" s="113"/>
      <c r="U560" s="113"/>
      <c r="V560" s="113"/>
      <c r="W560" s="113"/>
      <c r="X560" s="5">
        <f t="shared" si="161"/>
        <v>0</v>
      </c>
      <c r="Y560" s="302"/>
      <c r="Z560" s="5"/>
      <c r="AA560" s="94"/>
      <c r="AB560" s="311">
        <f t="shared" si="160"/>
        <v>0</v>
      </c>
      <c r="AC560" s="296"/>
      <c r="AD560" s="113"/>
      <c r="AE560" s="5"/>
      <c r="AF560" s="5"/>
      <c r="AG560" s="5"/>
      <c r="AH560" s="5"/>
      <c r="AI560" s="5"/>
      <c r="AJ560" s="5"/>
      <c r="AK560" s="141"/>
      <c r="AL560" s="94"/>
      <c r="AM560" s="128"/>
      <c r="AN560" s="180"/>
      <c r="AO560" s="128"/>
      <c r="AP560" s="184"/>
      <c r="AQ560" s="128"/>
      <c r="AR560" s="184"/>
      <c r="AS560" s="128"/>
      <c r="AT560" s="184"/>
      <c r="AU560" s="128"/>
      <c r="AV560" s="184"/>
      <c r="AW560" s="128"/>
      <c r="AX560" s="184"/>
      <c r="AY560" s="111"/>
      <c r="AZ560" s="178"/>
      <c r="BC560" s="216"/>
      <c r="BD560" s="47"/>
      <c r="BF560" s="113"/>
      <c r="BG560" s="113"/>
      <c r="BH560" s="113"/>
      <c r="BI560" s="113"/>
      <c r="BJ560" s="113"/>
      <c r="BK560" s="113"/>
      <c r="BL560" s="5">
        <f t="shared" si="162"/>
        <v>0</v>
      </c>
    </row>
    <row r="561" spans="1:64" s="2" customFormat="1" ht="14.1" customHeight="1" outlineLevel="1" x14ac:dyDescent="0.2">
      <c r="A561" s="595"/>
      <c r="B561" s="602"/>
      <c r="C561" s="7" t="s">
        <v>1554</v>
      </c>
      <c r="D561" s="8"/>
      <c r="E561" s="23"/>
      <c r="F561" s="8"/>
      <c r="G561" s="8"/>
      <c r="H561" s="5">
        <v>8.4140000000000006E-2</v>
      </c>
      <c r="I561" s="5">
        <v>7.9020000000000007E-2</v>
      </c>
      <c r="J561" s="5">
        <v>0.01</v>
      </c>
      <c r="K561" s="23"/>
      <c r="L561" s="8"/>
      <c r="M561" s="8"/>
      <c r="N561" s="8"/>
      <c r="O561" s="8"/>
      <c r="P561" s="8"/>
      <c r="Q561" s="23"/>
      <c r="R561" s="113"/>
      <c r="S561" s="113"/>
      <c r="T561" s="113"/>
      <c r="U561" s="113"/>
      <c r="V561" s="113"/>
      <c r="W561" s="113"/>
      <c r="X561" s="5">
        <f t="shared" si="161"/>
        <v>0</v>
      </c>
      <c r="Y561" s="302"/>
      <c r="Z561" s="5"/>
      <c r="AA561" s="94"/>
      <c r="AB561" s="311">
        <f t="shared" si="160"/>
        <v>7.9020000000000007E-2</v>
      </c>
      <c r="AC561" s="296"/>
      <c r="AD561" s="113"/>
      <c r="AE561" s="5"/>
      <c r="AF561" s="5"/>
      <c r="AG561" s="5"/>
      <c r="AH561" s="5"/>
      <c r="AI561" s="5"/>
      <c r="AJ561" s="5"/>
      <c r="AK561" s="141"/>
      <c r="AL561" s="94"/>
      <c r="AM561" s="128"/>
      <c r="AN561" s="180"/>
      <c r="AO561" s="128"/>
      <c r="AP561" s="184"/>
      <c r="AQ561" s="128"/>
      <c r="AR561" s="184"/>
      <c r="AS561" s="128"/>
      <c r="AT561" s="184"/>
      <c r="AU561" s="128"/>
      <c r="AV561" s="184"/>
      <c r="AW561" s="128"/>
      <c r="AX561" s="184"/>
      <c r="AY561" s="111"/>
      <c r="AZ561" s="178"/>
      <c r="BC561" s="216"/>
      <c r="BD561" s="47"/>
      <c r="BF561" s="113"/>
      <c r="BG561" s="113"/>
      <c r="BH561" s="113"/>
      <c r="BI561" s="113"/>
      <c r="BJ561" s="113"/>
      <c r="BK561" s="113"/>
      <c r="BL561" s="5">
        <f t="shared" si="162"/>
        <v>0</v>
      </c>
    </row>
    <row r="562" spans="1:64" s="2" customFormat="1" ht="63.75" customHeight="1" outlineLevel="1" x14ac:dyDescent="0.2">
      <c r="A562" s="593" t="s">
        <v>811</v>
      </c>
      <c r="B562" s="600" t="s">
        <v>1695</v>
      </c>
      <c r="C562" s="7" t="s">
        <v>1829</v>
      </c>
      <c r="D562" s="8" t="s">
        <v>397</v>
      </c>
      <c r="E562" s="23" t="s">
        <v>347</v>
      </c>
      <c r="F562" s="8">
        <v>2012</v>
      </c>
      <c r="G562" s="8">
        <v>2015</v>
      </c>
      <c r="H562" s="5">
        <v>0.13060193</v>
      </c>
      <c r="I562" s="5">
        <v>2.6439000000000004E-2</v>
      </c>
      <c r="J562" s="5">
        <f>R562</f>
        <v>0.01</v>
      </c>
      <c r="K562" s="8"/>
      <c r="L562" s="23" t="s">
        <v>347</v>
      </c>
      <c r="M562" s="8"/>
      <c r="N562" s="8"/>
      <c r="O562" s="8"/>
      <c r="P562" s="8"/>
      <c r="Q562" s="23" t="s">
        <v>347</v>
      </c>
      <c r="R562" s="113">
        <v>0.01</v>
      </c>
      <c r="S562" s="113"/>
      <c r="T562" s="113"/>
      <c r="U562" s="113"/>
      <c r="V562" s="113"/>
      <c r="W562" s="113"/>
      <c r="X562" s="5">
        <f t="shared" si="161"/>
        <v>0.01</v>
      </c>
      <c r="Y562" s="302">
        <f>H562-H563-H564</f>
        <v>0</v>
      </c>
      <c r="Z562" s="5">
        <f>I562-I563-I564</f>
        <v>0</v>
      </c>
      <c r="AA562" s="94">
        <f>J562-J563-J564</f>
        <v>0</v>
      </c>
      <c r="AB562" s="311">
        <f t="shared" si="160"/>
        <v>1.6439000000000002E-2</v>
      </c>
      <c r="AC562" s="296"/>
      <c r="AD562" s="113"/>
      <c r="AE562" s="5"/>
      <c r="AF562" s="5"/>
      <c r="AG562" s="5">
        <f>H562</f>
        <v>0.13060193</v>
      </c>
      <c r="AH562" s="5"/>
      <c r="AI562" s="5"/>
      <c r="AJ562" s="5"/>
      <c r="AK562" s="141"/>
      <c r="AL562" s="94">
        <f>SUM(AF562:AK562)</f>
        <v>0.13060193</v>
      </c>
      <c r="AM562" s="128"/>
      <c r="AN562" s="180"/>
      <c r="AO562" s="128">
        <v>0.05</v>
      </c>
      <c r="AP562" s="184">
        <v>0</v>
      </c>
      <c r="AQ562" s="128"/>
      <c r="AR562" s="184"/>
      <c r="AS562" s="128"/>
      <c r="AT562" s="184"/>
      <c r="AU562" s="128"/>
      <c r="AV562" s="184"/>
      <c r="AW562" s="128"/>
      <c r="AX562" s="184"/>
      <c r="AY562" s="111">
        <f>AM562+AO562+AQ562+AS562+AU562+AW562</f>
        <v>0.05</v>
      </c>
      <c r="AZ562" s="178">
        <f>AN562+AP562+AR562+AT562+AV562+AX562</f>
        <v>0</v>
      </c>
      <c r="BC562" s="216"/>
      <c r="BD562" s="47"/>
      <c r="BF562" s="113">
        <v>0.01</v>
      </c>
      <c r="BG562" s="113"/>
      <c r="BH562" s="113"/>
      <c r="BI562" s="113"/>
      <c r="BJ562" s="113"/>
      <c r="BK562" s="113"/>
      <c r="BL562" s="5">
        <f t="shared" si="162"/>
        <v>0.01</v>
      </c>
    </row>
    <row r="563" spans="1:64" s="2" customFormat="1" ht="14.1" customHeight="1" outlineLevel="1" x14ac:dyDescent="0.2">
      <c r="A563" s="594"/>
      <c r="B563" s="601"/>
      <c r="C563" s="7" t="s">
        <v>1553</v>
      </c>
      <c r="D563" s="8"/>
      <c r="E563" s="23"/>
      <c r="F563" s="8"/>
      <c r="G563" s="8"/>
      <c r="H563" s="5">
        <f>H562</f>
        <v>0.13060193</v>
      </c>
      <c r="I563" s="5">
        <f>I562</f>
        <v>2.6439000000000004E-2</v>
      </c>
      <c r="J563" s="5">
        <f>J562</f>
        <v>0.01</v>
      </c>
      <c r="K563" s="8"/>
      <c r="L563" s="23"/>
      <c r="M563" s="8"/>
      <c r="N563" s="8"/>
      <c r="O563" s="8"/>
      <c r="P563" s="8"/>
      <c r="Q563" s="23"/>
      <c r="R563" s="113"/>
      <c r="S563" s="113"/>
      <c r="T563" s="113"/>
      <c r="U563" s="113"/>
      <c r="V563" s="113"/>
      <c r="W563" s="113"/>
      <c r="X563" s="5">
        <f t="shared" si="161"/>
        <v>0</v>
      </c>
      <c r="Y563" s="302"/>
      <c r="Z563" s="5"/>
      <c r="AA563" s="94"/>
      <c r="AB563" s="311">
        <f t="shared" si="160"/>
        <v>2.6439000000000004E-2</v>
      </c>
      <c r="AC563" s="296"/>
      <c r="AD563" s="113"/>
      <c r="AE563" s="5"/>
      <c r="AF563" s="5"/>
      <c r="AG563" s="5"/>
      <c r="AH563" s="5"/>
      <c r="AI563" s="5"/>
      <c r="AJ563" s="5"/>
      <c r="AK563" s="141"/>
      <c r="AL563" s="94"/>
      <c r="AM563" s="128"/>
      <c r="AN563" s="180"/>
      <c r="AO563" s="128"/>
      <c r="AP563" s="184"/>
      <c r="AQ563" s="128"/>
      <c r="AR563" s="184"/>
      <c r="AS563" s="128"/>
      <c r="AT563" s="184"/>
      <c r="AU563" s="128"/>
      <c r="AV563" s="184"/>
      <c r="AW563" s="128"/>
      <c r="AX563" s="184"/>
      <c r="AY563" s="111"/>
      <c r="AZ563" s="178"/>
      <c r="BC563" s="216"/>
      <c r="BD563" s="47"/>
      <c r="BF563" s="113"/>
      <c r="BG563" s="113"/>
      <c r="BH563" s="113"/>
      <c r="BI563" s="113"/>
      <c r="BJ563" s="113"/>
      <c r="BK563" s="113"/>
      <c r="BL563" s="5">
        <f t="shared" si="162"/>
        <v>0</v>
      </c>
    </row>
    <row r="564" spans="1:64" s="2" customFormat="1" ht="14.1" customHeight="1" outlineLevel="1" x14ac:dyDescent="0.2">
      <c r="A564" s="595"/>
      <c r="B564" s="602"/>
      <c r="C564" s="7" t="s">
        <v>1554</v>
      </c>
      <c r="D564" s="8"/>
      <c r="E564" s="23"/>
      <c r="F564" s="8"/>
      <c r="G564" s="8"/>
      <c r="H564" s="5"/>
      <c r="I564" s="5"/>
      <c r="J564" s="5"/>
      <c r="K564" s="23"/>
      <c r="L564" s="8"/>
      <c r="M564" s="8"/>
      <c r="N564" s="8"/>
      <c r="O564" s="8"/>
      <c r="P564" s="8"/>
      <c r="Q564" s="23"/>
      <c r="R564" s="113"/>
      <c r="S564" s="113"/>
      <c r="T564" s="113"/>
      <c r="U564" s="113"/>
      <c r="V564" s="113"/>
      <c r="W564" s="113"/>
      <c r="X564" s="5">
        <f t="shared" si="161"/>
        <v>0</v>
      </c>
      <c r="Y564" s="302"/>
      <c r="Z564" s="5"/>
      <c r="AA564" s="94"/>
      <c r="AB564" s="311">
        <f t="shared" si="160"/>
        <v>0</v>
      </c>
      <c r="AC564" s="296"/>
      <c r="AD564" s="113"/>
      <c r="AE564" s="5"/>
      <c r="AF564" s="5"/>
      <c r="AG564" s="5"/>
      <c r="AH564" s="5"/>
      <c r="AI564" s="5"/>
      <c r="AJ564" s="5"/>
      <c r="AK564" s="141"/>
      <c r="AL564" s="94"/>
      <c r="AM564" s="128"/>
      <c r="AN564" s="180"/>
      <c r="AO564" s="128"/>
      <c r="AP564" s="184"/>
      <c r="AQ564" s="128"/>
      <c r="AR564" s="184"/>
      <c r="AS564" s="128"/>
      <c r="AT564" s="184"/>
      <c r="AU564" s="128"/>
      <c r="AV564" s="184"/>
      <c r="AW564" s="128"/>
      <c r="AX564" s="184"/>
      <c r="AY564" s="111"/>
      <c r="AZ564" s="178"/>
      <c r="BC564" s="216"/>
      <c r="BD564" s="47"/>
      <c r="BF564" s="113"/>
      <c r="BG564" s="113"/>
      <c r="BH564" s="113"/>
      <c r="BI564" s="113"/>
      <c r="BJ564" s="113"/>
      <c r="BK564" s="113"/>
      <c r="BL564" s="5">
        <f t="shared" si="162"/>
        <v>0</v>
      </c>
    </row>
    <row r="565" spans="1:64" s="2" customFormat="1" ht="25.5" customHeight="1" outlineLevel="1" x14ac:dyDescent="0.2">
      <c r="A565" s="593" t="s">
        <v>812</v>
      </c>
      <c r="B565" s="600" t="s">
        <v>1696</v>
      </c>
      <c r="C565" s="7" t="s">
        <v>1527</v>
      </c>
      <c r="D565" s="8" t="s">
        <v>397</v>
      </c>
      <c r="E565" s="23" t="s">
        <v>357</v>
      </c>
      <c r="F565" s="8">
        <v>2012</v>
      </c>
      <c r="G565" s="8">
        <v>2015</v>
      </c>
      <c r="H565" s="5">
        <v>1.3292299999999999</v>
      </c>
      <c r="I565" s="5">
        <v>1.1904969999999999</v>
      </c>
      <c r="J565" s="5">
        <f>R565</f>
        <v>1.0780430000000001</v>
      </c>
      <c r="K565" s="8"/>
      <c r="L565" s="23" t="s">
        <v>357</v>
      </c>
      <c r="M565" s="8"/>
      <c r="N565" s="8"/>
      <c r="O565" s="8"/>
      <c r="P565" s="8"/>
      <c r="Q565" s="23" t="s">
        <v>357</v>
      </c>
      <c r="R565" s="113">
        <v>1.0780430000000001</v>
      </c>
      <c r="S565" s="113"/>
      <c r="T565" s="113"/>
      <c r="U565" s="113"/>
      <c r="V565" s="113"/>
      <c r="W565" s="113"/>
      <c r="X565" s="5">
        <f t="shared" si="161"/>
        <v>1.0780430000000001</v>
      </c>
      <c r="Y565" s="302">
        <f>H565-H566-H567</f>
        <v>0</v>
      </c>
      <c r="Z565" s="5">
        <f>I565-I566-I567</f>
        <v>0</v>
      </c>
      <c r="AA565" s="94">
        <f>J565-J566-J567</f>
        <v>0</v>
      </c>
      <c r="AB565" s="311">
        <f t="shared" si="160"/>
        <v>0.11245399999999983</v>
      </c>
      <c r="AC565" s="296"/>
      <c r="AD565" s="113"/>
      <c r="AE565" s="5"/>
      <c r="AF565" s="5"/>
      <c r="AG565" s="5">
        <f>H565</f>
        <v>1.3292299999999999</v>
      </c>
      <c r="AH565" s="5"/>
      <c r="AI565" s="5"/>
      <c r="AJ565" s="5"/>
      <c r="AK565" s="141"/>
      <c r="AL565" s="94">
        <f>SUM(AF565:AK565)</f>
        <v>1.3292299999999999</v>
      </c>
      <c r="AM565" s="128"/>
      <c r="AN565" s="180"/>
      <c r="AO565" s="128">
        <v>0.5</v>
      </c>
      <c r="AP565" s="184">
        <v>0.16</v>
      </c>
      <c r="AQ565" s="128"/>
      <c r="AR565" s="184"/>
      <c r="AS565" s="128"/>
      <c r="AT565" s="184"/>
      <c r="AU565" s="128"/>
      <c r="AV565" s="184"/>
      <c r="AW565" s="128"/>
      <c r="AX565" s="184"/>
      <c r="AY565" s="111">
        <f>AM565+AO565+AQ565+AS565+AU565+AW565</f>
        <v>0.5</v>
      </c>
      <c r="AZ565" s="178">
        <f>AN565+AP565+AR565+AT565+AV565+AX565</f>
        <v>0.16</v>
      </c>
      <c r="BC565" s="216"/>
      <c r="BD565" s="47"/>
      <c r="BF565" s="113">
        <v>1.0780430000000001</v>
      </c>
      <c r="BG565" s="113"/>
      <c r="BH565" s="113"/>
      <c r="BI565" s="113"/>
      <c r="BJ565" s="113"/>
      <c r="BK565" s="113"/>
      <c r="BL565" s="5">
        <f t="shared" si="162"/>
        <v>1.0780430000000001</v>
      </c>
    </row>
    <row r="566" spans="1:64" s="2" customFormat="1" ht="14.1" customHeight="1" outlineLevel="1" x14ac:dyDescent="0.2">
      <c r="A566" s="594"/>
      <c r="B566" s="601"/>
      <c r="C566" s="7" t="s">
        <v>1553</v>
      </c>
      <c r="D566" s="8"/>
      <c r="E566" s="23"/>
      <c r="F566" s="8"/>
      <c r="G566" s="8"/>
      <c r="H566" s="5">
        <v>1.3292299999999999</v>
      </c>
      <c r="I566" s="5">
        <v>1.1904969999999999</v>
      </c>
      <c r="J566" s="5">
        <v>1.0780430000000001</v>
      </c>
      <c r="K566" s="8"/>
      <c r="L566" s="23"/>
      <c r="M566" s="8"/>
      <c r="N566" s="8"/>
      <c r="O566" s="8"/>
      <c r="P566" s="8"/>
      <c r="Q566" s="23"/>
      <c r="R566" s="113"/>
      <c r="S566" s="113"/>
      <c r="T566" s="113"/>
      <c r="U566" s="113"/>
      <c r="V566" s="113"/>
      <c r="W566" s="113"/>
      <c r="X566" s="5">
        <f t="shared" si="161"/>
        <v>0</v>
      </c>
      <c r="Y566" s="302"/>
      <c r="Z566" s="5"/>
      <c r="AA566" s="94"/>
      <c r="AB566" s="311">
        <f t="shared" si="160"/>
        <v>1.1904969999999999</v>
      </c>
      <c r="AC566" s="296"/>
      <c r="AD566" s="113"/>
      <c r="AE566" s="5"/>
      <c r="AF566" s="5"/>
      <c r="AG566" s="5"/>
      <c r="AH566" s="5"/>
      <c r="AI566" s="5"/>
      <c r="AJ566" s="5"/>
      <c r="AK566" s="141"/>
      <c r="AL566" s="94"/>
      <c r="AM566" s="128"/>
      <c r="AN566" s="180"/>
      <c r="AO566" s="128"/>
      <c r="AP566" s="184"/>
      <c r="AQ566" s="128"/>
      <c r="AR566" s="184"/>
      <c r="AS566" s="128"/>
      <c r="AT566" s="184"/>
      <c r="AU566" s="128"/>
      <c r="AV566" s="184"/>
      <c r="AW566" s="128"/>
      <c r="AX566" s="184"/>
      <c r="AY566" s="111"/>
      <c r="AZ566" s="178"/>
      <c r="BC566" s="216"/>
      <c r="BD566" s="47"/>
      <c r="BF566" s="113"/>
      <c r="BG566" s="113"/>
      <c r="BH566" s="113"/>
      <c r="BI566" s="113"/>
      <c r="BJ566" s="113"/>
      <c r="BK566" s="113"/>
      <c r="BL566" s="5">
        <f t="shared" si="162"/>
        <v>0</v>
      </c>
    </row>
    <row r="567" spans="1:64" s="2" customFormat="1" ht="14.1" customHeight="1" outlineLevel="1" x14ac:dyDescent="0.2">
      <c r="A567" s="595"/>
      <c r="B567" s="602"/>
      <c r="C567" s="7" t="s">
        <v>1554</v>
      </c>
      <c r="D567" s="8"/>
      <c r="E567" s="23"/>
      <c r="F567" s="8"/>
      <c r="G567" s="8"/>
      <c r="H567" s="5"/>
      <c r="I567" s="5"/>
      <c r="J567" s="5"/>
      <c r="K567" s="23"/>
      <c r="L567" s="8"/>
      <c r="M567" s="8"/>
      <c r="N567" s="8"/>
      <c r="O567" s="8"/>
      <c r="P567" s="8"/>
      <c r="Q567" s="23"/>
      <c r="R567" s="113"/>
      <c r="S567" s="113"/>
      <c r="T567" s="113"/>
      <c r="U567" s="113"/>
      <c r="V567" s="113"/>
      <c r="W567" s="113"/>
      <c r="X567" s="5">
        <f t="shared" si="161"/>
        <v>0</v>
      </c>
      <c r="Y567" s="302"/>
      <c r="Z567" s="5"/>
      <c r="AA567" s="94"/>
      <c r="AB567" s="311">
        <f t="shared" si="160"/>
        <v>0</v>
      </c>
      <c r="AC567" s="296"/>
      <c r="AD567" s="113"/>
      <c r="AE567" s="5"/>
      <c r="AF567" s="5"/>
      <c r="AG567" s="5"/>
      <c r="AH567" s="5"/>
      <c r="AI567" s="5"/>
      <c r="AJ567" s="5"/>
      <c r="AK567" s="141"/>
      <c r="AL567" s="94"/>
      <c r="AM567" s="128"/>
      <c r="AN567" s="180"/>
      <c r="AO567" s="128"/>
      <c r="AP567" s="184"/>
      <c r="AQ567" s="128"/>
      <c r="AR567" s="184"/>
      <c r="AS567" s="128"/>
      <c r="AT567" s="184"/>
      <c r="AU567" s="128"/>
      <c r="AV567" s="184"/>
      <c r="AW567" s="128"/>
      <c r="AX567" s="184"/>
      <c r="AY567" s="111"/>
      <c r="AZ567" s="178"/>
      <c r="BC567" s="216"/>
      <c r="BD567" s="47"/>
      <c r="BF567" s="113"/>
      <c r="BG567" s="113"/>
      <c r="BH567" s="113"/>
      <c r="BI567" s="113"/>
      <c r="BJ567" s="113"/>
      <c r="BK567" s="113"/>
      <c r="BL567" s="5">
        <f t="shared" si="162"/>
        <v>0</v>
      </c>
    </row>
    <row r="568" spans="1:64" s="2" customFormat="1" ht="63.75" customHeight="1" outlineLevel="1" x14ac:dyDescent="0.2">
      <c r="A568" s="593" t="s">
        <v>813</v>
      </c>
      <c r="B568" s="600" t="s">
        <v>1697</v>
      </c>
      <c r="C568" s="7" t="s">
        <v>538</v>
      </c>
      <c r="D568" s="8" t="s">
        <v>397</v>
      </c>
      <c r="E568" s="23" t="s">
        <v>1241</v>
      </c>
      <c r="F568" s="8">
        <v>2012</v>
      </c>
      <c r="G568" s="8">
        <v>2015</v>
      </c>
      <c r="H568" s="5">
        <v>4.2421E-2</v>
      </c>
      <c r="I568" s="5">
        <v>2.7039999999999998E-2</v>
      </c>
      <c r="J568" s="5">
        <f>R568</f>
        <v>0.01</v>
      </c>
      <c r="K568" s="8"/>
      <c r="L568" s="23" t="s">
        <v>1241</v>
      </c>
      <c r="M568" s="8"/>
      <c r="N568" s="8"/>
      <c r="O568" s="8"/>
      <c r="P568" s="8"/>
      <c r="Q568" s="23" t="s">
        <v>1241</v>
      </c>
      <c r="R568" s="113">
        <v>0.01</v>
      </c>
      <c r="S568" s="113"/>
      <c r="T568" s="113"/>
      <c r="U568" s="113"/>
      <c r="V568" s="113"/>
      <c r="W568" s="113"/>
      <c r="X568" s="5">
        <f t="shared" si="161"/>
        <v>0.01</v>
      </c>
      <c r="Y568" s="302">
        <f>H568-H569-H570</f>
        <v>0</v>
      </c>
      <c r="Z568" s="5">
        <f>I568-I569-I570</f>
        <v>0</v>
      </c>
      <c r="AA568" s="94">
        <f>J568-J569-J570</f>
        <v>0</v>
      </c>
      <c r="AB568" s="311">
        <f t="shared" si="160"/>
        <v>1.704E-2</v>
      </c>
      <c r="AC568" s="296"/>
      <c r="AD568" s="113"/>
      <c r="AE568" s="5"/>
      <c r="AF568" s="5"/>
      <c r="AG568" s="5">
        <f>H568</f>
        <v>4.2421E-2</v>
      </c>
      <c r="AH568" s="5"/>
      <c r="AI568" s="5"/>
      <c r="AJ568" s="5"/>
      <c r="AK568" s="141"/>
      <c r="AL568" s="94">
        <f>SUM(AF568:AK568)</f>
        <v>4.2421E-2</v>
      </c>
      <c r="AM568" s="128"/>
      <c r="AN568" s="180"/>
      <c r="AO568" s="128">
        <v>0</v>
      </c>
      <c r="AP568" s="184">
        <v>0</v>
      </c>
      <c r="AQ568" s="128"/>
      <c r="AR568" s="184"/>
      <c r="AS568" s="128"/>
      <c r="AT568" s="184"/>
      <c r="AU568" s="128"/>
      <c r="AV568" s="184"/>
      <c r="AW568" s="128"/>
      <c r="AX568" s="184"/>
      <c r="AY568" s="111">
        <f>AM568+AO568+AQ568+AS568+AU568+AW568</f>
        <v>0</v>
      </c>
      <c r="AZ568" s="178">
        <f>AN568+AP568+AR568+AT568+AV568+AX568</f>
        <v>0</v>
      </c>
      <c r="BC568" s="216"/>
      <c r="BD568" s="47"/>
      <c r="BF568" s="113">
        <v>0.01</v>
      </c>
      <c r="BG568" s="113"/>
      <c r="BH568" s="113"/>
      <c r="BI568" s="113"/>
      <c r="BJ568" s="113"/>
      <c r="BK568" s="113"/>
      <c r="BL568" s="5">
        <f t="shared" si="162"/>
        <v>0.01</v>
      </c>
    </row>
    <row r="569" spans="1:64" s="2" customFormat="1" ht="14.1" customHeight="1" outlineLevel="1" x14ac:dyDescent="0.2">
      <c r="A569" s="594"/>
      <c r="B569" s="601"/>
      <c r="C569" s="7" t="s">
        <v>1553</v>
      </c>
      <c r="D569" s="8"/>
      <c r="E569" s="23"/>
      <c r="F569" s="8"/>
      <c r="G569" s="8"/>
      <c r="H569" s="5"/>
      <c r="I569" s="5"/>
      <c r="J569" s="5"/>
      <c r="K569" s="8"/>
      <c r="L569" s="23"/>
      <c r="M569" s="8"/>
      <c r="N569" s="8"/>
      <c r="O569" s="8"/>
      <c r="P569" s="8"/>
      <c r="Q569" s="23"/>
      <c r="R569" s="113"/>
      <c r="S569" s="113"/>
      <c r="T569" s="113"/>
      <c r="U569" s="113"/>
      <c r="V569" s="113"/>
      <c r="W569" s="113"/>
      <c r="X569" s="5">
        <f t="shared" si="161"/>
        <v>0</v>
      </c>
      <c r="Y569" s="302"/>
      <c r="Z569" s="5"/>
      <c r="AA569" s="94"/>
      <c r="AB569" s="311">
        <f t="shared" si="160"/>
        <v>0</v>
      </c>
      <c r="AC569" s="296"/>
      <c r="AD569" s="113"/>
      <c r="AE569" s="5"/>
      <c r="AF569" s="5"/>
      <c r="AG569" s="5"/>
      <c r="AH569" s="5"/>
      <c r="AI569" s="5"/>
      <c r="AJ569" s="5"/>
      <c r="AK569" s="141"/>
      <c r="AL569" s="94"/>
      <c r="AM569" s="128"/>
      <c r="AN569" s="180"/>
      <c r="AO569" s="128"/>
      <c r="AP569" s="184"/>
      <c r="AQ569" s="128"/>
      <c r="AR569" s="184"/>
      <c r="AS569" s="128"/>
      <c r="AT569" s="184"/>
      <c r="AU569" s="128"/>
      <c r="AV569" s="184"/>
      <c r="AW569" s="128"/>
      <c r="AX569" s="184"/>
      <c r="AY569" s="111"/>
      <c r="AZ569" s="178"/>
      <c r="BC569" s="216"/>
      <c r="BD569" s="47"/>
      <c r="BF569" s="113"/>
      <c r="BG569" s="113"/>
      <c r="BH569" s="113"/>
      <c r="BI569" s="113"/>
      <c r="BJ569" s="113"/>
      <c r="BK569" s="113"/>
      <c r="BL569" s="5">
        <f t="shared" si="162"/>
        <v>0</v>
      </c>
    </row>
    <row r="570" spans="1:64" s="2" customFormat="1" ht="14.1" customHeight="1" outlineLevel="1" x14ac:dyDescent="0.2">
      <c r="A570" s="595"/>
      <c r="B570" s="602"/>
      <c r="C570" s="7" t="s">
        <v>1554</v>
      </c>
      <c r="D570" s="8"/>
      <c r="E570" s="23"/>
      <c r="F570" s="8"/>
      <c r="G570" s="8"/>
      <c r="H570" s="5">
        <f>H568</f>
        <v>4.2421E-2</v>
      </c>
      <c r="I570" s="5">
        <f>I568</f>
        <v>2.7039999999999998E-2</v>
      </c>
      <c r="J570" s="5">
        <f>J568</f>
        <v>0.01</v>
      </c>
      <c r="K570" s="23"/>
      <c r="L570" s="8"/>
      <c r="M570" s="8"/>
      <c r="N570" s="8"/>
      <c r="O570" s="8"/>
      <c r="P570" s="8"/>
      <c r="Q570" s="23"/>
      <c r="R570" s="113"/>
      <c r="S570" s="113"/>
      <c r="T570" s="113"/>
      <c r="U570" s="113"/>
      <c r="V570" s="113"/>
      <c r="W570" s="113"/>
      <c r="X570" s="5">
        <f t="shared" si="161"/>
        <v>0</v>
      </c>
      <c r="Y570" s="302"/>
      <c r="Z570" s="5"/>
      <c r="AA570" s="94"/>
      <c r="AB570" s="311">
        <f t="shared" si="160"/>
        <v>2.7039999999999998E-2</v>
      </c>
      <c r="AC570" s="296"/>
      <c r="AD570" s="113"/>
      <c r="AE570" s="5"/>
      <c r="AF570" s="5"/>
      <c r="AG570" s="5"/>
      <c r="AH570" s="5"/>
      <c r="AI570" s="5"/>
      <c r="AJ570" s="5"/>
      <c r="AK570" s="141"/>
      <c r="AL570" s="94"/>
      <c r="AM570" s="128"/>
      <c r="AN570" s="180"/>
      <c r="AO570" s="128"/>
      <c r="AP570" s="184"/>
      <c r="AQ570" s="128"/>
      <c r="AR570" s="184"/>
      <c r="AS570" s="128"/>
      <c r="AT570" s="184"/>
      <c r="AU570" s="128"/>
      <c r="AV570" s="184"/>
      <c r="AW570" s="128"/>
      <c r="AX570" s="184"/>
      <c r="AY570" s="111"/>
      <c r="AZ570" s="178"/>
      <c r="BC570" s="216"/>
      <c r="BD570" s="47"/>
      <c r="BF570" s="113"/>
      <c r="BG570" s="113"/>
      <c r="BH570" s="113"/>
      <c r="BI570" s="113"/>
      <c r="BJ570" s="113"/>
      <c r="BK570" s="113"/>
      <c r="BL570" s="5">
        <f t="shared" si="162"/>
        <v>0</v>
      </c>
    </row>
    <row r="571" spans="1:64" s="2" customFormat="1" ht="77.25" customHeight="1" outlineLevel="1" x14ac:dyDescent="0.2">
      <c r="A571" s="593" t="s">
        <v>814</v>
      </c>
      <c r="B571" s="600" t="s">
        <v>1698</v>
      </c>
      <c r="C571" s="7" t="s">
        <v>1528</v>
      </c>
      <c r="D571" s="8" t="s">
        <v>397</v>
      </c>
      <c r="E571" s="23" t="s">
        <v>1241</v>
      </c>
      <c r="F571" s="8">
        <v>2012</v>
      </c>
      <c r="G571" s="8">
        <v>2015</v>
      </c>
      <c r="H571" s="5">
        <v>0.10077999999999999</v>
      </c>
      <c r="I571" s="5">
        <v>9.1107999999999995E-2</v>
      </c>
      <c r="J571" s="5">
        <f>R571</f>
        <v>0.01</v>
      </c>
      <c r="K571" s="8"/>
      <c r="L571" s="23" t="s">
        <v>1241</v>
      </c>
      <c r="M571" s="8"/>
      <c r="N571" s="8"/>
      <c r="O571" s="8"/>
      <c r="P571" s="8"/>
      <c r="Q571" s="23" t="s">
        <v>1241</v>
      </c>
      <c r="R571" s="113">
        <v>0.01</v>
      </c>
      <c r="S571" s="113"/>
      <c r="T571" s="113"/>
      <c r="U571" s="113"/>
      <c r="V571" s="113"/>
      <c r="W571" s="113"/>
      <c r="X571" s="5">
        <f t="shared" si="161"/>
        <v>0.01</v>
      </c>
      <c r="Y571" s="302">
        <f>H571-H572-H573</f>
        <v>0</v>
      </c>
      <c r="Z571" s="5">
        <f>I571-I572-I573</f>
        <v>0</v>
      </c>
      <c r="AA571" s="94">
        <f>J571-J572-J573</f>
        <v>0</v>
      </c>
      <c r="AB571" s="311">
        <f t="shared" si="160"/>
        <v>8.1108E-2</v>
      </c>
      <c r="AC571" s="296"/>
      <c r="AD571" s="113"/>
      <c r="AE571" s="5"/>
      <c r="AF571" s="5"/>
      <c r="AG571" s="5">
        <f>H571</f>
        <v>0.10077999999999999</v>
      </c>
      <c r="AH571" s="5"/>
      <c r="AI571" s="5"/>
      <c r="AJ571" s="5"/>
      <c r="AK571" s="141"/>
      <c r="AL571" s="94">
        <f>SUM(AF571:AK571)</f>
        <v>0.10077999999999999</v>
      </c>
      <c r="AM571" s="128"/>
      <c r="AN571" s="180"/>
      <c r="AO571" s="128">
        <v>0</v>
      </c>
      <c r="AP571" s="184">
        <v>0</v>
      </c>
      <c r="AQ571" s="128"/>
      <c r="AR571" s="184"/>
      <c r="AS571" s="128"/>
      <c r="AT571" s="184"/>
      <c r="AU571" s="128"/>
      <c r="AV571" s="184"/>
      <c r="AW571" s="128"/>
      <c r="AX571" s="184"/>
      <c r="AY571" s="111">
        <f>AM571+AO571+AQ571+AS571+AU571+AW571</f>
        <v>0</v>
      </c>
      <c r="AZ571" s="178">
        <f>AN571+AP571+AR571+AT571+AV571+AX571</f>
        <v>0</v>
      </c>
      <c r="BC571" s="216"/>
      <c r="BD571" s="47"/>
      <c r="BF571" s="113">
        <v>0.01</v>
      </c>
      <c r="BG571" s="113"/>
      <c r="BH571" s="113"/>
      <c r="BI571" s="113"/>
      <c r="BJ571" s="113"/>
      <c r="BK571" s="113"/>
      <c r="BL571" s="5">
        <f t="shared" si="162"/>
        <v>0.01</v>
      </c>
    </row>
    <row r="572" spans="1:64" s="2" customFormat="1" ht="14.1" customHeight="1" outlineLevel="1" x14ac:dyDescent="0.2">
      <c r="A572" s="594"/>
      <c r="B572" s="601"/>
      <c r="C572" s="7" t="s">
        <v>1553</v>
      </c>
      <c r="D572" s="8"/>
      <c r="E572" s="23"/>
      <c r="F572" s="8"/>
      <c r="G572" s="8"/>
      <c r="H572" s="5"/>
      <c r="I572" s="5"/>
      <c r="J572" s="5"/>
      <c r="K572" s="8"/>
      <c r="L572" s="23"/>
      <c r="M572" s="8"/>
      <c r="N572" s="8"/>
      <c r="O572" s="8"/>
      <c r="P572" s="8"/>
      <c r="Q572" s="23"/>
      <c r="R572" s="113"/>
      <c r="S572" s="113"/>
      <c r="T572" s="113"/>
      <c r="U572" s="113"/>
      <c r="V572" s="113"/>
      <c r="W572" s="113"/>
      <c r="X572" s="5">
        <f t="shared" si="161"/>
        <v>0</v>
      </c>
      <c r="Y572" s="302"/>
      <c r="Z572" s="5"/>
      <c r="AA572" s="94"/>
      <c r="AB572" s="311">
        <f t="shared" si="160"/>
        <v>0</v>
      </c>
      <c r="AC572" s="296"/>
      <c r="AD572" s="113"/>
      <c r="AE572" s="5"/>
      <c r="AF572" s="5"/>
      <c r="AG572" s="5"/>
      <c r="AH572" s="5"/>
      <c r="AI572" s="5"/>
      <c r="AJ572" s="5"/>
      <c r="AK572" s="141"/>
      <c r="AL572" s="94"/>
      <c r="AM572" s="128"/>
      <c r="AN572" s="180"/>
      <c r="AO572" s="128"/>
      <c r="AP572" s="184"/>
      <c r="AQ572" s="128"/>
      <c r="AR572" s="184"/>
      <c r="AS572" s="128"/>
      <c r="AT572" s="184"/>
      <c r="AU572" s="128"/>
      <c r="AV572" s="184"/>
      <c r="AW572" s="128"/>
      <c r="AX572" s="184"/>
      <c r="AY572" s="111"/>
      <c r="AZ572" s="178"/>
      <c r="BC572" s="216"/>
      <c r="BD572" s="47"/>
      <c r="BF572" s="113"/>
      <c r="BG572" s="113"/>
      <c r="BH572" s="113"/>
      <c r="BI572" s="113"/>
      <c r="BJ572" s="113"/>
      <c r="BK572" s="113"/>
      <c r="BL572" s="5">
        <f t="shared" si="162"/>
        <v>0</v>
      </c>
    </row>
    <row r="573" spans="1:64" s="2" customFormat="1" ht="14.1" customHeight="1" outlineLevel="1" x14ac:dyDescent="0.2">
      <c r="A573" s="595"/>
      <c r="B573" s="602"/>
      <c r="C573" s="7" t="s">
        <v>1554</v>
      </c>
      <c r="D573" s="8"/>
      <c r="E573" s="23"/>
      <c r="F573" s="8"/>
      <c r="G573" s="8"/>
      <c r="H573" s="5">
        <v>0.10077999999999999</v>
      </c>
      <c r="I573" s="5">
        <v>9.1107999999999995E-2</v>
      </c>
      <c r="J573" s="5">
        <v>0.01</v>
      </c>
      <c r="K573" s="23"/>
      <c r="L573" s="8"/>
      <c r="M573" s="8"/>
      <c r="N573" s="8"/>
      <c r="O573" s="8"/>
      <c r="P573" s="8"/>
      <c r="Q573" s="23"/>
      <c r="R573" s="113"/>
      <c r="S573" s="113"/>
      <c r="T573" s="113"/>
      <c r="U573" s="113"/>
      <c r="V573" s="113"/>
      <c r="W573" s="113"/>
      <c r="X573" s="5">
        <f t="shared" si="161"/>
        <v>0</v>
      </c>
      <c r="Y573" s="302"/>
      <c r="Z573" s="5"/>
      <c r="AA573" s="94"/>
      <c r="AB573" s="311">
        <f t="shared" si="160"/>
        <v>9.1107999999999995E-2</v>
      </c>
      <c r="AC573" s="296"/>
      <c r="AD573" s="113"/>
      <c r="AE573" s="5"/>
      <c r="AF573" s="5"/>
      <c r="AG573" s="5"/>
      <c r="AH573" s="5"/>
      <c r="AI573" s="5"/>
      <c r="AJ573" s="5"/>
      <c r="AK573" s="141"/>
      <c r="AL573" s="94"/>
      <c r="AM573" s="128"/>
      <c r="AN573" s="180"/>
      <c r="AO573" s="128"/>
      <c r="AP573" s="184"/>
      <c r="AQ573" s="128"/>
      <c r="AR573" s="184"/>
      <c r="AS573" s="128"/>
      <c r="AT573" s="184"/>
      <c r="AU573" s="128"/>
      <c r="AV573" s="184"/>
      <c r="AW573" s="128"/>
      <c r="AX573" s="184"/>
      <c r="AY573" s="111"/>
      <c r="AZ573" s="178"/>
      <c r="BC573" s="216"/>
      <c r="BD573" s="47"/>
      <c r="BF573" s="113"/>
      <c r="BG573" s="113"/>
      <c r="BH573" s="113"/>
      <c r="BI573" s="113"/>
      <c r="BJ573" s="113"/>
      <c r="BK573" s="113"/>
      <c r="BL573" s="5">
        <f t="shared" si="162"/>
        <v>0</v>
      </c>
    </row>
    <row r="574" spans="1:64" s="2" customFormat="1" ht="51" customHeight="1" outlineLevel="1" x14ac:dyDescent="0.2">
      <c r="A574" s="593" t="s">
        <v>815</v>
      </c>
      <c r="B574" s="600" t="s">
        <v>1699</v>
      </c>
      <c r="C574" s="7" t="s">
        <v>1529</v>
      </c>
      <c r="D574" s="8" t="s">
        <v>397</v>
      </c>
      <c r="E574" s="23" t="s">
        <v>1227</v>
      </c>
      <c r="F574" s="8">
        <v>2012</v>
      </c>
      <c r="G574" s="8">
        <v>2015</v>
      </c>
      <c r="H574" s="5">
        <v>2.8039999999999999E-2</v>
      </c>
      <c r="I574" s="5">
        <v>2.8039999999999999E-2</v>
      </c>
      <c r="J574" s="5">
        <f>R574</f>
        <v>0.01</v>
      </c>
      <c r="K574" s="8"/>
      <c r="L574" s="23" t="s">
        <v>1227</v>
      </c>
      <c r="M574" s="8"/>
      <c r="N574" s="8"/>
      <c r="O574" s="8"/>
      <c r="P574" s="8"/>
      <c r="Q574" s="23" t="s">
        <v>1227</v>
      </c>
      <c r="R574" s="113">
        <v>0.01</v>
      </c>
      <c r="S574" s="113"/>
      <c r="T574" s="113"/>
      <c r="U574" s="113"/>
      <c r="V574" s="113"/>
      <c r="W574" s="113"/>
      <c r="X574" s="5">
        <f t="shared" si="161"/>
        <v>0.01</v>
      </c>
      <c r="Y574" s="302">
        <f>H574-H575-H576</f>
        <v>0</v>
      </c>
      <c r="Z574" s="5">
        <f>I574-I575-I576</f>
        <v>0</v>
      </c>
      <c r="AA574" s="94">
        <f>J574-J575-J576</f>
        <v>0</v>
      </c>
      <c r="AB574" s="311">
        <f t="shared" si="160"/>
        <v>1.804E-2</v>
      </c>
      <c r="AC574" s="296"/>
      <c r="AD574" s="113"/>
      <c r="AE574" s="5"/>
      <c r="AF574" s="5"/>
      <c r="AG574" s="5">
        <f>H574</f>
        <v>2.8039999999999999E-2</v>
      </c>
      <c r="AH574" s="5"/>
      <c r="AI574" s="5"/>
      <c r="AJ574" s="5"/>
      <c r="AK574" s="141"/>
      <c r="AL574" s="94">
        <f>SUM(AF574:AK574)</f>
        <v>2.8039999999999999E-2</v>
      </c>
      <c r="AM574" s="128"/>
      <c r="AN574" s="180"/>
      <c r="AO574" s="128">
        <v>0</v>
      </c>
      <c r="AP574" s="184">
        <v>0</v>
      </c>
      <c r="AQ574" s="128"/>
      <c r="AR574" s="184"/>
      <c r="AS574" s="128"/>
      <c r="AT574" s="184"/>
      <c r="AU574" s="128"/>
      <c r="AV574" s="184"/>
      <c r="AW574" s="128"/>
      <c r="AX574" s="184"/>
      <c r="AY574" s="111">
        <f>AM574+AO574+AQ574+AS574+AU574+AW574</f>
        <v>0</v>
      </c>
      <c r="AZ574" s="178">
        <f>AN574+AP574+AR574+AT574+AV574+AX574</f>
        <v>0</v>
      </c>
      <c r="BC574" s="216"/>
      <c r="BD574" s="47"/>
      <c r="BF574" s="113">
        <v>0.01</v>
      </c>
      <c r="BG574" s="113"/>
      <c r="BH574" s="113"/>
      <c r="BI574" s="113"/>
      <c r="BJ574" s="113"/>
      <c r="BK574" s="113"/>
      <c r="BL574" s="5">
        <f t="shared" si="162"/>
        <v>0.01</v>
      </c>
    </row>
    <row r="575" spans="1:64" s="2" customFormat="1" ht="14.1" customHeight="1" outlineLevel="1" x14ac:dyDescent="0.2">
      <c r="A575" s="594"/>
      <c r="B575" s="601"/>
      <c r="C575" s="7" t="s">
        <v>1553</v>
      </c>
      <c r="D575" s="8"/>
      <c r="E575" s="23"/>
      <c r="F575" s="8"/>
      <c r="G575" s="8"/>
      <c r="H575" s="5"/>
      <c r="I575" s="5"/>
      <c r="J575" s="5"/>
      <c r="K575" s="8"/>
      <c r="L575" s="23"/>
      <c r="M575" s="8"/>
      <c r="N575" s="8"/>
      <c r="O575" s="8"/>
      <c r="P575" s="8"/>
      <c r="Q575" s="23"/>
      <c r="R575" s="113"/>
      <c r="S575" s="113"/>
      <c r="T575" s="113"/>
      <c r="U575" s="113"/>
      <c r="V575" s="113"/>
      <c r="W575" s="113"/>
      <c r="X575" s="5">
        <f t="shared" si="161"/>
        <v>0</v>
      </c>
      <c r="Y575" s="302"/>
      <c r="Z575" s="5"/>
      <c r="AA575" s="94"/>
      <c r="AB575" s="311">
        <f t="shared" si="160"/>
        <v>0</v>
      </c>
      <c r="AC575" s="296"/>
      <c r="AD575" s="113"/>
      <c r="AE575" s="5"/>
      <c r="AF575" s="5"/>
      <c r="AG575" s="5"/>
      <c r="AH575" s="5"/>
      <c r="AI575" s="5"/>
      <c r="AJ575" s="5"/>
      <c r="AK575" s="141"/>
      <c r="AL575" s="94"/>
      <c r="AM575" s="128"/>
      <c r="AN575" s="180"/>
      <c r="AO575" s="128"/>
      <c r="AP575" s="184"/>
      <c r="AQ575" s="128"/>
      <c r="AR575" s="184"/>
      <c r="AS575" s="128"/>
      <c r="AT575" s="184"/>
      <c r="AU575" s="128"/>
      <c r="AV575" s="184"/>
      <c r="AW575" s="128"/>
      <c r="AX575" s="184"/>
      <c r="AY575" s="111"/>
      <c r="AZ575" s="178"/>
      <c r="BC575" s="216"/>
      <c r="BD575" s="47"/>
      <c r="BF575" s="113"/>
      <c r="BG575" s="113"/>
      <c r="BH575" s="113"/>
      <c r="BI575" s="113"/>
      <c r="BJ575" s="113"/>
      <c r="BK575" s="113"/>
      <c r="BL575" s="5">
        <f t="shared" si="162"/>
        <v>0</v>
      </c>
    </row>
    <row r="576" spans="1:64" s="2" customFormat="1" ht="14.1" customHeight="1" outlineLevel="1" x14ac:dyDescent="0.2">
      <c r="A576" s="595"/>
      <c r="B576" s="602"/>
      <c r="C576" s="7" t="s">
        <v>1554</v>
      </c>
      <c r="D576" s="8"/>
      <c r="E576" s="23"/>
      <c r="F576" s="8"/>
      <c r="G576" s="8"/>
      <c r="H576" s="5">
        <v>2.8039999999999999E-2</v>
      </c>
      <c r="I576" s="5">
        <v>2.8039999999999999E-2</v>
      </c>
      <c r="J576" s="5">
        <v>0.01</v>
      </c>
      <c r="K576" s="23"/>
      <c r="L576" s="8"/>
      <c r="M576" s="8"/>
      <c r="N576" s="8"/>
      <c r="O576" s="8"/>
      <c r="P576" s="8"/>
      <c r="Q576" s="23"/>
      <c r="R576" s="113"/>
      <c r="S576" s="113"/>
      <c r="T576" s="113"/>
      <c r="U576" s="113"/>
      <c r="V576" s="113"/>
      <c r="W576" s="113"/>
      <c r="X576" s="5">
        <f t="shared" si="161"/>
        <v>0</v>
      </c>
      <c r="Y576" s="302"/>
      <c r="Z576" s="5"/>
      <c r="AA576" s="94"/>
      <c r="AB576" s="311">
        <f t="shared" si="160"/>
        <v>2.8039999999999999E-2</v>
      </c>
      <c r="AC576" s="296"/>
      <c r="AD576" s="113"/>
      <c r="AE576" s="5"/>
      <c r="AF576" s="5"/>
      <c r="AG576" s="5"/>
      <c r="AH576" s="5"/>
      <c r="AI576" s="5"/>
      <c r="AJ576" s="5"/>
      <c r="AK576" s="141"/>
      <c r="AL576" s="94"/>
      <c r="AM576" s="128"/>
      <c r="AN576" s="180"/>
      <c r="AO576" s="128"/>
      <c r="AP576" s="184"/>
      <c r="AQ576" s="128"/>
      <c r="AR576" s="184"/>
      <c r="AS576" s="128"/>
      <c r="AT576" s="184"/>
      <c r="AU576" s="128"/>
      <c r="AV576" s="184"/>
      <c r="AW576" s="128"/>
      <c r="AX576" s="184"/>
      <c r="AY576" s="111"/>
      <c r="AZ576" s="178"/>
      <c r="BC576" s="216"/>
      <c r="BD576" s="47"/>
      <c r="BF576" s="113"/>
      <c r="BG576" s="113"/>
      <c r="BH576" s="113"/>
      <c r="BI576" s="113"/>
      <c r="BJ576" s="113"/>
      <c r="BK576" s="113"/>
      <c r="BL576" s="5">
        <f t="shared" si="162"/>
        <v>0</v>
      </c>
    </row>
    <row r="577" spans="1:64" s="2" customFormat="1" ht="90" customHeight="1" outlineLevel="1" x14ac:dyDescent="0.2">
      <c r="A577" s="593" t="s">
        <v>816</v>
      </c>
      <c r="B577" s="600" t="s">
        <v>1700</v>
      </c>
      <c r="C577" s="7" t="s">
        <v>1530</v>
      </c>
      <c r="D577" s="8" t="s">
        <v>397</v>
      </c>
      <c r="E577" s="23" t="s">
        <v>347</v>
      </c>
      <c r="F577" s="8">
        <v>2012</v>
      </c>
      <c r="G577" s="8">
        <v>2014</v>
      </c>
      <c r="H577" s="5">
        <v>0.10839500000000001</v>
      </c>
      <c r="I577" s="5">
        <v>0.01</v>
      </c>
      <c r="J577" s="5">
        <f>R577</f>
        <v>0.01</v>
      </c>
      <c r="K577" s="23" t="s">
        <v>347</v>
      </c>
      <c r="L577" s="8"/>
      <c r="M577" s="8"/>
      <c r="N577" s="8"/>
      <c r="O577" s="8"/>
      <c r="P577" s="8"/>
      <c r="Q577" s="23" t="s">
        <v>347</v>
      </c>
      <c r="R577" s="113">
        <v>0.01</v>
      </c>
      <c r="S577" s="113"/>
      <c r="T577" s="113"/>
      <c r="U577" s="113"/>
      <c r="V577" s="113"/>
      <c r="W577" s="113"/>
      <c r="X577" s="5">
        <f t="shared" si="161"/>
        <v>0.01</v>
      </c>
      <c r="Y577" s="302">
        <f>H577-H578-H579</f>
        <v>0</v>
      </c>
      <c r="Z577" s="5">
        <f>I577-I578-I579</f>
        <v>0</v>
      </c>
      <c r="AA577" s="94">
        <f>J577-J578-J579</f>
        <v>0</v>
      </c>
      <c r="AB577" s="311">
        <f t="shared" si="160"/>
        <v>0</v>
      </c>
      <c r="AC577" s="296"/>
      <c r="AD577" s="113"/>
      <c r="AE577" s="5"/>
      <c r="AF577" s="5">
        <f>H577</f>
        <v>0.10839500000000001</v>
      </c>
      <c r="AG577" s="5"/>
      <c r="AH577" s="5"/>
      <c r="AI577" s="5"/>
      <c r="AJ577" s="5"/>
      <c r="AK577" s="141"/>
      <c r="AL577" s="94">
        <f>SUM(AF577:AK577)</f>
        <v>0.10839500000000001</v>
      </c>
      <c r="AM577" s="128">
        <v>0.05</v>
      </c>
      <c r="AN577" s="180">
        <v>0</v>
      </c>
      <c r="AO577" s="128"/>
      <c r="AP577" s="184"/>
      <c r="AQ577" s="128"/>
      <c r="AR577" s="184"/>
      <c r="AS577" s="128"/>
      <c r="AT577" s="184"/>
      <c r="AU577" s="128"/>
      <c r="AV577" s="184"/>
      <c r="AW577" s="128"/>
      <c r="AX577" s="184"/>
      <c r="AY577" s="111">
        <f>AM577+AO577+AQ577+AS577+AU577+AW577</f>
        <v>0.05</v>
      </c>
      <c r="AZ577" s="178">
        <f>AN577+AP577+AR577+AT577+AV577+AX577</f>
        <v>0</v>
      </c>
      <c r="BC577" s="216"/>
      <c r="BD577" s="47"/>
      <c r="BF577" s="113">
        <v>0.01</v>
      </c>
      <c r="BG577" s="113"/>
      <c r="BH577" s="113"/>
      <c r="BI577" s="113"/>
      <c r="BJ577" s="113"/>
      <c r="BK577" s="113"/>
      <c r="BL577" s="5">
        <f t="shared" si="162"/>
        <v>0.01</v>
      </c>
    </row>
    <row r="578" spans="1:64" s="2" customFormat="1" ht="14.1" customHeight="1" outlineLevel="1" x14ac:dyDescent="0.2">
      <c r="A578" s="594"/>
      <c r="B578" s="601"/>
      <c r="C578" s="7" t="s">
        <v>1553</v>
      </c>
      <c r="D578" s="8"/>
      <c r="E578" s="23"/>
      <c r="F578" s="8"/>
      <c r="G578" s="8"/>
      <c r="H578" s="5">
        <v>0.10839500000000001</v>
      </c>
      <c r="I578" s="5">
        <v>0.01</v>
      </c>
      <c r="J578" s="5">
        <v>0.01</v>
      </c>
      <c r="K578" s="8"/>
      <c r="L578" s="23"/>
      <c r="M578" s="8"/>
      <c r="N578" s="8"/>
      <c r="O578" s="8"/>
      <c r="P578" s="8"/>
      <c r="Q578" s="23"/>
      <c r="R578" s="113"/>
      <c r="S578" s="113"/>
      <c r="T578" s="113"/>
      <c r="U578" s="113"/>
      <c r="V578" s="113"/>
      <c r="W578" s="113"/>
      <c r="X578" s="5">
        <f t="shared" si="161"/>
        <v>0</v>
      </c>
      <c r="Y578" s="302"/>
      <c r="Z578" s="5"/>
      <c r="AA578" s="94"/>
      <c r="AB578" s="311">
        <f t="shared" si="160"/>
        <v>0.01</v>
      </c>
      <c r="AC578" s="296"/>
      <c r="AD578" s="113"/>
      <c r="AE578" s="5"/>
      <c r="AF578" s="5"/>
      <c r="AG578" s="5"/>
      <c r="AH578" s="5"/>
      <c r="AI578" s="5"/>
      <c r="AJ578" s="5"/>
      <c r="AK578" s="141"/>
      <c r="AL578" s="94"/>
      <c r="AM578" s="128"/>
      <c r="AN578" s="180"/>
      <c r="AO578" s="128"/>
      <c r="AP578" s="184"/>
      <c r="AQ578" s="128"/>
      <c r="AR578" s="184"/>
      <c r="AS578" s="128"/>
      <c r="AT578" s="184"/>
      <c r="AU578" s="128"/>
      <c r="AV578" s="184"/>
      <c r="AW578" s="128"/>
      <c r="AX578" s="184"/>
      <c r="AY578" s="111"/>
      <c r="AZ578" s="178"/>
      <c r="BC578" s="216"/>
      <c r="BD578" s="47"/>
      <c r="BF578" s="113"/>
      <c r="BG578" s="113"/>
      <c r="BH578" s="113"/>
      <c r="BI578" s="113"/>
      <c r="BJ578" s="113"/>
      <c r="BK578" s="113"/>
      <c r="BL578" s="5">
        <f t="shared" si="162"/>
        <v>0</v>
      </c>
    </row>
    <row r="579" spans="1:64" s="2" customFormat="1" ht="14.1" customHeight="1" outlineLevel="1" x14ac:dyDescent="0.2">
      <c r="A579" s="595"/>
      <c r="B579" s="602"/>
      <c r="C579" s="7" t="s">
        <v>1554</v>
      </c>
      <c r="D579" s="8"/>
      <c r="E579" s="23"/>
      <c r="F579" s="8"/>
      <c r="G579" s="8"/>
      <c r="H579" s="5"/>
      <c r="I579" s="5"/>
      <c r="J579" s="5"/>
      <c r="K579" s="23"/>
      <c r="L579" s="8"/>
      <c r="M579" s="8"/>
      <c r="N579" s="8"/>
      <c r="O579" s="8"/>
      <c r="P579" s="8"/>
      <c r="Q579" s="23"/>
      <c r="R579" s="113"/>
      <c r="S579" s="113"/>
      <c r="T579" s="113"/>
      <c r="U579" s="113"/>
      <c r="V579" s="113"/>
      <c r="W579" s="113"/>
      <c r="X579" s="5">
        <f t="shared" si="161"/>
        <v>0</v>
      </c>
      <c r="Y579" s="302"/>
      <c r="Z579" s="5"/>
      <c r="AA579" s="94"/>
      <c r="AB579" s="311">
        <f t="shared" si="160"/>
        <v>0</v>
      </c>
      <c r="AC579" s="296"/>
      <c r="AD579" s="113"/>
      <c r="AE579" s="5"/>
      <c r="AF579" s="5"/>
      <c r="AG579" s="5"/>
      <c r="AH579" s="5"/>
      <c r="AI579" s="5"/>
      <c r="AJ579" s="5"/>
      <c r="AK579" s="141"/>
      <c r="AL579" s="94"/>
      <c r="AM579" s="128"/>
      <c r="AN579" s="180"/>
      <c r="AO579" s="128"/>
      <c r="AP579" s="184"/>
      <c r="AQ579" s="128"/>
      <c r="AR579" s="184"/>
      <c r="AS579" s="128"/>
      <c r="AT579" s="184"/>
      <c r="AU579" s="128"/>
      <c r="AV579" s="184"/>
      <c r="AW579" s="128"/>
      <c r="AX579" s="184"/>
      <c r="AY579" s="111"/>
      <c r="AZ579" s="178"/>
      <c r="BC579" s="216"/>
      <c r="BD579" s="47"/>
      <c r="BF579" s="113"/>
      <c r="BG579" s="113"/>
      <c r="BH579" s="113"/>
      <c r="BI579" s="113"/>
      <c r="BJ579" s="113"/>
      <c r="BK579" s="113"/>
      <c r="BL579" s="5">
        <f t="shared" si="162"/>
        <v>0</v>
      </c>
    </row>
    <row r="580" spans="1:64" s="2" customFormat="1" ht="38.25" customHeight="1" outlineLevel="1" x14ac:dyDescent="0.2">
      <c r="A580" s="593" t="s">
        <v>817</v>
      </c>
      <c r="B580" s="600" t="s">
        <v>1701</v>
      </c>
      <c r="C580" s="7" t="s">
        <v>1531</v>
      </c>
      <c r="D580" s="8" t="s">
        <v>397</v>
      </c>
      <c r="E580" s="23" t="s">
        <v>18</v>
      </c>
      <c r="F580" s="8">
        <v>2012</v>
      </c>
      <c r="G580" s="8">
        <v>2015</v>
      </c>
      <c r="H580" s="5">
        <v>1.06094</v>
      </c>
      <c r="I580" s="5">
        <v>0.96132700000000004</v>
      </c>
      <c r="J580" s="5">
        <f>R580</f>
        <v>0.96132700000000004</v>
      </c>
      <c r="K580" s="8"/>
      <c r="L580" s="23" t="s">
        <v>18</v>
      </c>
      <c r="M580" s="8"/>
      <c r="N580" s="8"/>
      <c r="O580" s="8"/>
      <c r="P580" s="8"/>
      <c r="Q580" s="23" t="s">
        <v>18</v>
      </c>
      <c r="R580" s="113">
        <v>0.96132700000000004</v>
      </c>
      <c r="S580" s="113"/>
      <c r="T580" s="113"/>
      <c r="U580" s="113"/>
      <c r="V580" s="113"/>
      <c r="W580" s="113"/>
      <c r="X580" s="5">
        <f t="shared" si="161"/>
        <v>0.96132700000000004</v>
      </c>
      <c r="Y580" s="302">
        <f>H580-H581-H582</f>
        <v>0</v>
      </c>
      <c r="Z580" s="5">
        <f>I580-I581-I582</f>
        <v>1.5050000000000896E-3</v>
      </c>
      <c r="AA580" s="94">
        <f>J580-J581-J582</f>
        <v>0</v>
      </c>
      <c r="AB580" s="311">
        <f t="shared" si="160"/>
        <v>0</v>
      </c>
      <c r="AC580" s="296"/>
      <c r="AD580" s="113"/>
      <c r="AE580" s="5"/>
      <c r="AF580" s="5"/>
      <c r="AG580" s="5">
        <f>H580</f>
        <v>1.06094</v>
      </c>
      <c r="AH580" s="5"/>
      <c r="AI580" s="5"/>
      <c r="AJ580" s="5"/>
      <c r="AK580" s="141"/>
      <c r="AL580" s="94">
        <f>SUM(AF580:AK580)</f>
        <v>1.06094</v>
      </c>
      <c r="AM580" s="128"/>
      <c r="AN580" s="180"/>
      <c r="AO580" s="128">
        <v>0.5</v>
      </c>
      <c r="AP580" s="184">
        <v>0.1</v>
      </c>
      <c r="AQ580" s="128"/>
      <c r="AR580" s="184"/>
      <c r="AS580" s="128"/>
      <c r="AT580" s="184"/>
      <c r="AU580" s="128"/>
      <c r="AV580" s="184"/>
      <c r="AW580" s="128"/>
      <c r="AX580" s="184"/>
      <c r="AY580" s="111">
        <f>AM580+AO580+AQ580+AS580+AU580+AW580</f>
        <v>0.5</v>
      </c>
      <c r="AZ580" s="178">
        <f>AN580+AP580+AR580+AT580+AV580+AX580</f>
        <v>0.1</v>
      </c>
      <c r="BC580" s="216"/>
      <c r="BD580" s="47"/>
      <c r="BF580" s="113">
        <v>0.96132700000000004</v>
      </c>
      <c r="BG580" s="113"/>
      <c r="BH580" s="113"/>
      <c r="BI580" s="113"/>
      <c r="BJ580" s="113"/>
      <c r="BK580" s="113"/>
      <c r="BL580" s="5">
        <f t="shared" si="162"/>
        <v>0.96132700000000004</v>
      </c>
    </row>
    <row r="581" spans="1:64" s="2" customFormat="1" ht="14.1" customHeight="1" outlineLevel="1" x14ac:dyDescent="0.2">
      <c r="A581" s="594"/>
      <c r="B581" s="601"/>
      <c r="C581" s="7" t="s">
        <v>1553</v>
      </c>
      <c r="D581" s="8"/>
      <c r="E581" s="23"/>
      <c r="F581" s="8"/>
      <c r="G581" s="8"/>
      <c r="H581" s="5"/>
      <c r="I581" s="5"/>
      <c r="J581" s="5"/>
      <c r="K581" s="8"/>
      <c r="L581" s="23"/>
      <c r="M581" s="8"/>
      <c r="N581" s="8"/>
      <c r="O581" s="8"/>
      <c r="P581" s="8"/>
      <c r="Q581" s="23"/>
      <c r="R581" s="113"/>
      <c r="S581" s="113"/>
      <c r="T581" s="113"/>
      <c r="U581" s="113"/>
      <c r="V581" s="113"/>
      <c r="W581" s="113"/>
      <c r="X581" s="5">
        <f t="shared" si="161"/>
        <v>0</v>
      </c>
      <c r="Y581" s="302"/>
      <c r="Z581" s="5"/>
      <c r="AA581" s="94"/>
      <c r="AB581" s="311">
        <f t="shared" si="160"/>
        <v>0</v>
      </c>
      <c r="AC581" s="296"/>
      <c r="AD581" s="113"/>
      <c r="AE581" s="5"/>
      <c r="AF581" s="5"/>
      <c r="AG581" s="5"/>
      <c r="AH581" s="5"/>
      <c r="AI581" s="5"/>
      <c r="AJ581" s="5"/>
      <c r="AK581" s="141"/>
      <c r="AL581" s="94"/>
      <c r="AM581" s="128"/>
      <c r="AN581" s="180"/>
      <c r="AO581" s="128"/>
      <c r="AP581" s="184"/>
      <c r="AQ581" s="128"/>
      <c r="AR581" s="184"/>
      <c r="AS581" s="128"/>
      <c r="AT581" s="184"/>
      <c r="AU581" s="128"/>
      <c r="AV581" s="184"/>
      <c r="AW581" s="128"/>
      <c r="AX581" s="184"/>
      <c r="AY581" s="111"/>
      <c r="AZ581" s="178"/>
      <c r="BC581" s="216"/>
      <c r="BD581" s="47"/>
      <c r="BF581" s="113"/>
      <c r="BG581" s="113"/>
      <c r="BH581" s="113"/>
      <c r="BI581" s="113"/>
      <c r="BJ581" s="113"/>
      <c r="BK581" s="113"/>
      <c r="BL581" s="5">
        <f t="shared" si="162"/>
        <v>0</v>
      </c>
    </row>
    <row r="582" spans="1:64" s="2" customFormat="1" ht="14.1" customHeight="1" outlineLevel="1" x14ac:dyDescent="0.2">
      <c r="A582" s="595"/>
      <c r="B582" s="602"/>
      <c r="C582" s="7" t="s">
        <v>1554</v>
      </c>
      <c r="D582" s="8"/>
      <c r="E582" s="23"/>
      <c r="F582" s="8"/>
      <c r="G582" s="8"/>
      <c r="H582" s="5">
        <v>1.06094</v>
      </c>
      <c r="I582" s="5">
        <v>0.95982199999999995</v>
      </c>
      <c r="J582" s="5">
        <v>0.96132700000000004</v>
      </c>
      <c r="K582" s="23"/>
      <c r="L582" s="8"/>
      <c r="M582" s="8"/>
      <c r="N582" s="8"/>
      <c r="O582" s="8"/>
      <c r="P582" s="8"/>
      <c r="Q582" s="23"/>
      <c r="R582" s="113"/>
      <c r="S582" s="113"/>
      <c r="T582" s="113"/>
      <c r="U582" s="113"/>
      <c r="V582" s="113"/>
      <c r="W582" s="113"/>
      <c r="X582" s="5">
        <f t="shared" si="161"/>
        <v>0</v>
      </c>
      <c r="Y582" s="302"/>
      <c r="Z582" s="5"/>
      <c r="AA582" s="94"/>
      <c r="AB582" s="311">
        <f t="shared" si="160"/>
        <v>0.95982199999999995</v>
      </c>
      <c r="AC582" s="296"/>
      <c r="AD582" s="113"/>
      <c r="AE582" s="5"/>
      <c r="AF582" s="5"/>
      <c r="AG582" s="5"/>
      <c r="AH582" s="5"/>
      <c r="AI582" s="5"/>
      <c r="AJ582" s="5"/>
      <c r="AK582" s="141"/>
      <c r="AL582" s="94"/>
      <c r="AM582" s="128"/>
      <c r="AN582" s="180"/>
      <c r="AO582" s="128"/>
      <c r="AP582" s="184"/>
      <c r="AQ582" s="128"/>
      <c r="AR582" s="184"/>
      <c r="AS582" s="128"/>
      <c r="AT582" s="184"/>
      <c r="AU582" s="128"/>
      <c r="AV582" s="184"/>
      <c r="AW582" s="128"/>
      <c r="AX582" s="184"/>
      <c r="AY582" s="111"/>
      <c r="AZ582" s="178"/>
      <c r="BC582" s="216"/>
      <c r="BD582" s="47"/>
      <c r="BF582" s="113"/>
      <c r="BG582" s="113"/>
      <c r="BH582" s="113"/>
      <c r="BI582" s="113"/>
      <c r="BJ582" s="113"/>
      <c r="BK582" s="113"/>
      <c r="BL582" s="5">
        <f t="shared" si="162"/>
        <v>0</v>
      </c>
    </row>
    <row r="583" spans="1:64" s="2" customFormat="1" ht="78" customHeight="1" outlineLevel="1" x14ac:dyDescent="0.2">
      <c r="A583" s="593" t="s">
        <v>818</v>
      </c>
      <c r="B583" s="600" t="s">
        <v>1702</v>
      </c>
      <c r="C583" s="7" t="s">
        <v>539</v>
      </c>
      <c r="D583" s="8" t="s">
        <v>397</v>
      </c>
      <c r="E583" s="23" t="s">
        <v>1241</v>
      </c>
      <c r="F583" s="8">
        <v>2012</v>
      </c>
      <c r="G583" s="8">
        <v>2015</v>
      </c>
      <c r="H583" s="5">
        <v>2.8039999999999999E-2</v>
      </c>
      <c r="I583" s="5">
        <v>2.5738E-2</v>
      </c>
      <c r="J583" s="5">
        <f>R583</f>
        <v>0.01</v>
      </c>
      <c r="K583" s="8"/>
      <c r="L583" s="23" t="s">
        <v>1241</v>
      </c>
      <c r="M583" s="8"/>
      <c r="N583" s="8"/>
      <c r="O583" s="8"/>
      <c r="P583" s="8"/>
      <c r="Q583" s="23" t="s">
        <v>1241</v>
      </c>
      <c r="R583" s="113">
        <v>0.01</v>
      </c>
      <c r="S583" s="113"/>
      <c r="T583" s="113"/>
      <c r="U583" s="113"/>
      <c r="V583" s="113"/>
      <c r="W583" s="113"/>
      <c r="X583" s="5">
        <f t="shared" si="161"/>
        <v>0.01</v>
      </c>
      <c r="Y583" s="302">
        <f>H583-H584-H585</f>
        <v>0</v>
      </c>
      <c r="Z583" s="5">
        <f>I583-I584-I585</f>
        <v>-1.3019999999999976E-3</v>
      </c>
      <c r="AA583" s="94">
        <f>J583-J584-J585</f>
        <v>0</v>
      </c>
      <c r="AB583" s="311">
        <f t="shared" si="160"/>
        <v>1.5738000000000002E-2</v>
      </c>
      <c r="AC583" s="296"/>
      <c r="AD583" s="113"/>
      <c r="AE583" s="5"/>
      <c r="AF583" s="5"/>
      <c r="AG583" s="5">
        <f>H583</f>
        <v>2.8039999999999999E-2</v>
      </c>
      <c r="AH583" s="5"/>
      <c r="AI583" s="5"/>
      <c r="AJ583" s="5"/>
      <c r="AK583" s="141"/>
      <c r="AL583" s="94">
        <f>SUM(AF583:AK583)</f>
        <v>2.8039999999999999E-2</v>
      </c>
      <c r="AM583" s="128"/>
      <c r="AN583" s="180"/>
      <c r="AO583" s="128">
        <v>0</v>
      </c>
      <c r="AP583" s="184">
        <v>0</v>
      </c>
      <c r="AQ583" s="128"/>
      <c r="AR583" s="184"/>
      <c r="AS583" s="128"/>
      <c r="AT583" s="184"/>
      <c r="AU583" s="128"/>
      <c r="AV583" s="184"/>
      <c r="AW583" s="128"/>
      <c r="AX583" s="184"/>
      <c r="AY583" s="111">
        <f>AM583+AO583+AQ583+AS583+AU583+AW583</f>
        <v>0</v>
      </c>
      <c r="AZ583" s="178">
        <f>AN583+AP583+AR583+AT583+AV583+AX583</f>
        <v>0</v>
      </c>
      <c r="BC583" s="216"/>
      <c r="BD583" s="47"/>
      <c r="BF583" s="113">
        <v>0.01</v>
      </c>
      <c r="BG583" s="113"/>
      <c r="BH583" s="113"/>
      <c r="BI583" s="113"/>
      <c r="BJ583" s="113"/>
      <c r="BK583" s="113"/>
      <c r="BL583" s="5">
        <f t="shared" si="162"/>
        <v>0.01</v>
      </c>
    </row>
    <row r="584" spans="1:64" s="2" customFormat="1" ht="15.75" customHeight="1" outlineLevel="1" x14ac:dyDescent="0.2">
      <c r="A584" s="594"/>
      <c r="B584" s="601"/>
      <c r="C584" s="7" t="s">
        <v>1553</v>
      </c>
      <c r="D584" s="8"/>
      <c r="E584" s="23"/>
      <c r="F584" s="8"/>
      <c r="G584" s="8"/>
      <c r="H584" s="5"/>
      <c r="I584" s="5"/>
      <c r="J584" s="5"/>
      <c r="K584" s="8"/>
      <c r="L584" s="23"/>
      <c r="M584" s="8"/>
      <c r="N584" s="8"/>
      <c r="O584" s="8"/>
      <c r="P584" s="8"/>
      <c r="Q584" s="23"/>
      <c r="R584" s="113"/>
      <c r="S584" s="113"/>
      <c r="T584" s="113"/>
      <c r="U584" s="113"/>
      <c r="V584" s="113"/>
      <c r="W584" s="113"/>
      <c r="X584" s="5">
        <f t="shared" si="161"/>
        <v>0</v>
      </c>
      <c r="Y584" s="302"/>
      <c r="Z584" s="5"/>
      <c r="AA584" s="94"/>
      <c r="AB584" s="311">
        <f t="shared" si="160"/>
        <v>0</v>
      </c>
      <c r="AC584" s="296"/>
      <c r="AD584" s="113"/>
      <c r="AE584" s="5"/>
      <c r="AF584" s="5"/>
      <c r="AG584" s="5"/>
      <c r="AH584" s="5"/>
      <c r="AI584" s="5"/>
      <c r="AJ584" s="5"/>
      <c r="AK584" s="141"/>
      <c r="AL584" s="94"/>
      <c r="AM584" s="128"/>
      <c r="AN584" s="180"/>
      <c r="AO584" s="128"/>
      <c r="AP584" s="184"/>
      <c r="AQ584" s="128"/>
      <c r="AR584" s="184"/>
      <c r="AS584" s="128"/>
      <c r="AT584" s="184"/>
      <c r="AU584" s="128"/>
      <c r="AV584" s="184"/>
      <c r="AW584" s="128"/>
      <c r="AX584" s="184"/>
      <c r="AY584" s="111"/>
      <c r="AZ584" s="178"/>
      <c r="BC584" s="216"/>
      <c r="BD584" s="47"/>
      <c r="BF584" s="113"/>
      <c r="BG584" s="113"/>
      <c r="BH584" s="113"/>
      <c r="BI584" s="113"/>
      <c r="BJ584" s="113"/>
      <c r="BK584" s="113"/>
      <c r="BL584" s="5">
        <f t="shared" si="162"/>
        <v>0</v>
      </c>
    </row>
    <row r="585" spans="1:64" s="2" customFormat="1" ht="15.75" customHeight="1" outlineLevel="1" x14ac:dyDescent="0.2">
      <c r="A585" s="595"/>
      <c r="B585" s="602"/>
      <c r="C585" s="7" t="s">
        <v>1554</v>
      </c>
      <c r="D585" s="8"/>
      <c r="E585" s="23"/>
      <c r="F585" s="8"/>
      <c r="G585" s="8"/>
      <c r="H585" s="5">
        <v>2.8039999999999999E-2</v>
      </c>
      <c r="I585" s="5">
        <v>2.7039999999999998E-2</v>
      </c>
      <c r="J585" s="5">
        <v>0.01</v>
      </c>
      <c r="K585" s="23"/>
      <c r="L585" s="8"/>
      <c r="M585" s="8"/>
      <c r="N585" s="8"/>
      <c r="O585" s="8"/>
      <c r="P585" s="8"/>
      <c r="Q585" s="23"/>
      <c r="R585" s="113"/>
      <c r="S585" s="113"/>
      <c r="T585" s="113"/>
      <c r="U585" s="113"/>
      <c r="V585" s="113"/>
      <c r="W585" s="113"/>
      <c r="X585" s="5">
        <f t="shared" si="161"/>
        <v>0</v>
      </c>
      <c r="Y585" s="302"/>
      <c r="Z585" s="5"/>
      <c r="AA585" s="94"/>
      <c r="AB585" s="311">
        <f t="shared" si="160"/>
        <v>2.7039999999999998E-2</v>
      </c>
      <c r="AC585" s="296"/>
      <c r="AD585" s="113"/>
      <c r="AE585" s="5"/>
      <c r="AF585" s="5"/>
      <c r="AG585" s="5"/>
      <c r="AH585" s="5"/>
      <c r="AI585" s="5"/>
      <c r="AJ585" s="5"/>
      <c r="AK585" s="141"/>
      <c r="AL585" s="94"/>
      <c r="AM585" s="128"/>
      <c r="AN585" s="180"/>
      <c r="AO585" s="128"/>
      <c r="AP585" s="184"/>
      <c r="AQ585" s="128"/>
      <c r="AR585" s="184"/>
      <c r="AS585" s="128"/>
      <c r="AT585" s="184"/>
      <c r="AU585" s="128"/>
      <c r="AV585" s="184"/>
      <c r="AW585" s="128"/>
      <c r="AX585" s="184"/>
      <c r="AY585" s="111"/>
      <c r="AZ585" s="178"/>
      <c r="BC585" s="216"/>
      <c r="BD585" s="47"/>
      <c r="BF585" s="113"/>
      <c r="BG585" s="113"/>
      <c r="BH585" s="113"/>
      <c r="BI585" s="113"/>
      <c r="BJ585" s="113"/>
      <c r="BK585" s="113"/>
      <c r="BL585" s="5">
        <f t="shared" si="162"/>
        <v>0</v>
      </c>
    </row>
    <row r="586" spans="1:64" s="2" customFormat="1" ht="51" outlineLevel="1" x14ac:dyDescent="0.2">
      <c r="A586" s="593" t="s">
        <v>819</v>
      </c>
      <c r="B586" s="600" t="s">
        <v>1703</v>
      </c>
      <c r="C586" s="7" t="s">
        <v>1532</v>
      </c>
      <c r="D586" s="8" t="s">
        <v>397</v>
      </c>
      <c r="E586" s="23" t="s">
        <v>1241</v>
      </c>
      <c r="F586" s="8">
        <v>2012</v>
      </c>
      <c r="G586" s="8">
        <v>2014</v>
      </c>
      <c r="H586" s="5">
        <v>8.1166000000000002E-2</v>
      </c>
      <c r="I586" s="5">
        <v>0.01</v>
      </c>
      <c r="J586" s="5">
        <f>R586</f>
        <v>0.01</v>
      </c>
      <c r="K586" s="23" t="s">
        <v>1241</v>
      </c>
      <c r="L586" s="8"/>
      <c r="M586" s="8"/>
      <c r="N586" s="8"/>
      <c r="O586" s="8"/>
      <c r="P586" s="8"/>
      <c r="Q586" s="23" t="s">
        <v>1241</v>
      </c>
      <c r="R586" s="113">
        <v>0.01</v>
      </c>
      <c r="S586" s="113"/>
      <c r="T586" s="113"/>
      <c r="U586" s="113"/>
      <c r="V586" s="113"/>
      <c r="W586" s="113"/>
      <c r="X586" s="5">
        <f t="shared" si="161"/>
        <v>0.01</v>
      </c>
      <c r="Y586" s="302">
        <f>H586-H587-H588</f>
        <v>0</v>
      </c>
      <c r="Z586" s="5">
        <f>I586-I587-I588</f>
        <v>0</v>
      </c>
      <c r="AA586" s="94">
        <f>J586-J587-J588</f>
        <v>0</v>
      </c>
      <c r="AB586" s="311">
        <f t="shared" si="160"/>
        <v>0</v>
      </c>
      <c r="AC586" s="296"/>
      <c r="AD586" s="113"/>
      <c r="AE586" s="5"/>
      <c r="AF586" s="5">
        <f>H586</f>
        <v>8.1166000000000002E-2</v>
      </c>
      <c r="AG586" s="5"/>
      <c r="AH586" s="5"/>
      <c r="AI586" s="5"/>
      <c r="AJ586" s="5"/>
      <c r="AK586" s="141"/>
      <c r="AL586" s="94">
        <f>SUM(AF586:AK586)</f>
        <v>8.1166000000000002E-2</v>
      </c>
      <c r="AM586" s="128">
        <v>0</v>
      </c>
      <c r="AN586" s="180">
        <v>0</v>
      </c>
      <c r="AO586" s="128"/>
      <c r="AP586" s="184"/>
      <c r="AQ586" s="128"/>
      <c r="AR586" s="184"/>
      <c r="AS586" s="128"/>
      <c r="AT586" s="184"/>
      <c r="AU586" s="128"/>
      <c r="AV586" s="184"/>
      <c r="AW586" s="128"/>
      <c r="AX586" s="184"/>
      <c r="AY586" s="111">
        <f>AM586+AO586+AQ586+AS586+AU586+AW586</f>
        <v>0</v>
      </c>
      <c r="AZ586" s="178">
        <f>AN586+AP586+AR586+AT586+AV586+AX586</f>
        <v>0</v>
      </c>
      <c r="BC586" s="216"/>
      <c r="BD586" s="47"/>
      <c r="BF586" s="113">
        <v>0.01</v>
      </c>
      <c r="BG586" s="113"/>
      <c r="BH586" s="113"/>
      <c r="BI586" s="113"/>
      <c r="BJ586" s="113"/>
      <c r="BK586" s="113"/>
      <c r="BL586" s="5">
        <f t="shared" si="162"/>
        <v>0.01</v>
      </c>
    </row>
    <row r="587" spans="1:64" s="2" customFormat="1" ht="15.75" customHeight="1" outlineLevel="1" x14ac:dyDescent="0.2">
      <c r="A587" s="594"/>
      <c r="B587" s="601"/>
      <c r="C587" s="7" t="s">
        <v>1553</v>
      </c>
      <c r="D587" s="8"/>
      <c r="E587" s="23"/>
      <c r="F587" s="8"/>
      <c r="G587" s="8"/>
      <c r="H587" s="5">
        <v>8.1166000000000002E-2</v>
      </c>
      <c r="I587" s="5">
        <v>0.01</v>
      </c>
      <c r="J587" s="5">
        <v>0.01</v>
      </c>
      <c r="K587" s="8"/>
      <c r="L587" s="23"/>
      <c r="M587" s="8"/>
      <c r="N587" s="8"/>
      <c r="O587" s="8"/>
      <c r="P587" s="8"/>
      <c r="Q587" s="23"/>
      <c r="R587" s="113"/>
      <c r="S587" s="113"/>
      <c r="T587" s="113"/>
      <c r="U587" s="113"/>
      <c r="V587" s="113"/>
      <c r="W587" s="113"/>
      <c r="X587" s="5">
        <f t="shared" si="161"/>
        <v>0</v>
      </c>
      <c r="Y587" s="302"/>
      <c r="Z587" s="5"/>
      <c r="AA587" s="94"/>
      <c r="AB587" s="311">
        <f t="shared" si="160"/>
        <v>0.01</v>
      </c>
      <c r="AC587" s="296"/>
      <c r="AD587" s="113"/>
      <c r="AE587" s="5"/>
      <c r="AF587" s="5"/>
      <c r="AG587" s="5"/>
      <c r="AH587" s="5"/>
      <c r="AI587" s="5"/>
      <c r="AJ587" s="5"/>
      <c r="AK587" s="141"/>
      <c r="AL587" s="94"/>
      <c r="AM587" s="128"/>
      <c r="AN587" s="180"/>
      <c r="AO587" s="128"/>
      <c r="AP587" s="184"/>
      <c r="AQ587" s="128"/>
      <c r="AR587" s="184"/>
      <c r="AS587" s="128"/>
      <c r="AT587" s="184"/>
      <c r="AU587" s="128"/>
      <c r="AV587" s="184"/>
      <c r="AW587" s="128"/>
      <c r="AX587" s="184"/>
      <c r="AY587" s="111"/>
      <c r="AZ587" s="178"/>
      <c r="BC587" s="216"/>
      <c r="BD587" s="47"/>
      <c r="BF587" s="113"/>
      <c r="BG587" s="113"/>
      <c r="BH587" s="113"/>
      <c r="BI587" s="113"/>
      <c r="BJ587" s="113"/>
      <c r="BK587" s="113"/>
      <c r="BL587" s="5">
        <f t="shared" si="162"/>
        <v>0</v>
      </c>
    </row>
    <row r="588" spans="1:64" s="2" customFormat="1" ht="15.75" customHeight="1" outlineLevel="1" x14ac:dyDescent="0.2">
      <c r="A588" s="595"/>
      <c r="B588" s="602"/>
      <c r="C588" s="7" t="s">
        <v>1554</v>
      </c>
      <c r="D588" s="8"/>
      <c r="E588" s="23"/>
      <c r="F588" s="8"/>
      <c r="G588" s="8"/>
      <c r="H588" s="5"/>
      <c r="I588" s="5"/>
      <c r="J588" s="5"/>
      <c r="K588" s="23"/>
      <c r="L588" s="8"/>
      <c r="M588" s="8"/>
      <c r="N588" s="8"/>
      <c r="O588" s="8"/>
      <c r="P588" s="8"/>
      <c r="Q588" s="23"/>
      <c r="R588" s="113"/>
      <c r="S588" s="113"/>
      <c r="T588" s="113"/>
      <c r="U588" s="113"/>
      <c r="V588" s="113"/>
      <c r="W588" s="113"/>
      <c r="X588" s="5">
        <f t="shared" si="161"/>
        <v>0</v>
      </c>
      <c r="Y588" s="302"/>
      <c r="Z588" s="5"/>
      <c r="AA588" s="94"/>
      <c r="AB588" s="311">
        <f t="shared" si="160"/>
        <v>0</v>
      </c>
      <c r="AC588" s="296"/>
      <c r="AD588" s="113"/>
      <c r="AE588" s="5"/>
      <c r="AF588" s="5"/>
      <c r="AG588" s="5"/>
      <c r="AH588" s="5"/>
      <c r="AI588" s="5"/>
      <c r="AJ588" s="5"/>
      <c r="AK588" s="141"/>
      <c r="AL588" s="94"/>
      <c r="AM588" s="128"/>
      <c r="AN588" s="180"/>
      <c r="AO588" s="128"/>
      <c r="AP588" s="184"/>
      <c r="AQ588" s="128"/>
      <c r="AR588" s="184"/>
      <c r="AS588" s="128"/>
      <c r="AT588" s="184"/>
      <c r="AU588" s="128"/>
      <c r="AV588" s="184"/>
      <c r="AW588" s="128"/>
      <c r="AX588" s="184"/>
      <c r="AY588" s="111"/>
      <c r="AZ588" s="178"/>
      <c r="BC588" s="216"/>
      <c r="BD588" s="47"/>
      <c r="BF588" s="113"/>
      <c r="BG588" s="113"/>
      <c r="BH588" s="113"/>
      <c r="BI588" s="113"/>
      <c r="BJ588" s="113"/>
      <c r="BK588" s="113"/>
      <c r="BL588" s="5">
        <f t="shared" si="162"/>
        <v>0</v>
      </c>
    </row>
    <row r="589" spans="1:64" s="2" customFormat="1" ht="38.25" customHeight="1" outlineLevel="1" x14ac:dyDescent="0.2">
      <c r="A589" s="593" t="s">
        <v>820</v>
      </c>
      <c r="B589" s="600" t="s">
        <v>1704</v>
      </c>
      <c r="C589" s="7" t="s">
        <v>540</v>
      </c>
      <c r="D589" s="8" t="s">
        <v>397</v>
      </c>
      <c r="E589" s="23" t="s">
        <v>335</v>
      </c>
      <c r="F589" s="8">
        <v>2012</v>
      </c>
      <c r="G589" s="8">
        <v>2015</v>
      </c>
      <c r="H589" s="5">
        <v>0.21218999999999999</v>
      </c>
      <c r="I589" s="5">
        <v>0.18018999999999999</v>
      </c>
      <c r="J589" s="5">
        <f>R589</f>
        <v>0.10843999999999999</v>
      </c>
      <c r="K589" s="8"/>
      <c r="L589" s="23" t="s">
        <v>335</v>
      </c>
      <c r="M589" s="8"/>
      <c r="N589" s="8"/>
      <c r="O589" s="8"/>
      <c r="P589" s="8"/>
      <c r="Q589" s="23" t="s">
        <v>335</v>
      </c>
      <c r="R589" s="113">
        <v>0.10843999999999999</v>
      </c>
      <c r="S589" s="113"/>
      <c r="T589" s="113"/>
      <c r="U589" s="113"/>
      <c r="V589" s="113"/>
      <c r="W589" s="113"/>
      <c r="X589" s="5">
        <f t="shared" si="161"/>
        <v>0.10843999999999999</v>
      </c>
      <c r="Y589" s="302">
        <f>H589-H590-H591</f>
        <v>0</v>
      </c>
      <c r="Z589" s="5">
        <f>I589-I590-I591</f>
        <v>0</v>
      </c>
      <c r="AA589" s="94">
        <f>J589-J590-J591</f>
        <v>0</v>
      </c>
      <c r="AB589" s="311">
        <f t="shared" si="160"/>
        <v>7.1749999999999994E-2</v>
      </c>
      <c r="AC589" s="296"/>
      <c r="AD589" s="113"/>
      <c r="AE589" s="5"/>
      <c r="AF589" s="5"/>
      <c r="AG589" s="5">
        <f>H589</f>
        <v>0.21218999999999999</v>
      </c>
      <c r="AH589" s="5"/>
      <c r="AI589" s="5"/>
      <c r="AJ589" s="5"/>
      <c r="AK589" s="141"/>
      <c r="AL589" s="94">
        <f>SUM(AF589:AK589)</f>
        <v>0.21218999999999999</v>
      </c>
      <c r="AM589" s="128"/>
      <c r="AN589" s="180"/>
      <c r="AO589" s="128">
        <v>0.1</v>
      </c>
      <c r="AP589" s="184">
        <v>0</v>
      </c>
      <c r="AQ589" s="128"/>
      <c r="AR589" s="184"/>
      <c r="AS589" s="128"/>
      <c r="AT589" s="184"/>
      <c r="AU589" s="128"/>
      <c r="AV589" s="184"/>
      <c r="AW589" s="128"/>
      <c r="AX589" s="184"/>
      <c r="AY589" s="111">
        <f>AM589+AO589+AQ589+AS589+AU589+AW589</f>
        <v>0.1</v>
      </c>
      <c r="AZ589" s="178">
        <f>AN589+AP589+AR589+AT589+AV589+AX589</f>
        <v>0</v>
      </c>
      <c r="BC589" s="216"/>
      <c r="BD589" s="47"/>
      <c r="BF589" s="113">
        <v>0.10843999999999999</v>
      </c>
      <c r="BG589" s="113"/>
      <c r="BH589" s="113"/>
      <c r="BI589" s="113"/>
      <c r="BJ589" s="113"/>
      <c r="BK589" s="113"/>
      <c r="BL589" s="5">
        <f t="shared" si="162"/>
        <v>0.10843999999999999</v>
      </c>
    </row>
    <row r="590" spans="1:64" s="2" customFormat="1" ht="15.75" customHeight="1" outlineLevel="1" x14ac:dyDescent="0.2">
      <c r="A590" s="594"/>
      <c r="B590" s="601"/>
      <c r="C590" s="7" t="s">
        <v>1553</v>
      </c>
      <c r="D590" s="8"/>
      <c r="E590" s="23"/>
      <c r="F590" s="8"/>
      <c r="G590" s="8"/>
      <c r="H590" s="5"/>
      <c r="I590" s="5"/>
      <c r="J590" s="5"/>
      <c r="K590" s="8"/>
      <c r="L590" s="23"/>
      <c r="M590" s="8"/>
      <c r="N590" s="8"/>
      <c r="O590" s="8"/>
      <c r="P590" s="8"/>
      <c r="Q590" s="23"/>
      <c r="R590" s="113"/>
      <c r="S590" s="113"/>
      <c r="T590" s="113"/>
      <c r="U590" s="113"/>
      <c r="V590" s="113"/>
      <c r="W590" s="113"/>
      <c r="X590" s="5">
        <f t="shared" si="161"/>
        <v>0</v>
      </c>
      <c r="Y590" s="302"/>
      <c r="Z590" s="5"/>
      <c r="AA590" s="94"/>
      <c r="AB590" s="311">
        <f t="shared" si="160"/>
        <v>0</v>
      </c>
      <c r="AC590" s="296"/>
      <c r="AD590" s="113"/>
      <c r="AE590" s="5"/>
      <c r="AF590" s="5"/>
      <c r="AG590" s="5"/>
      <c r="AH590" s="5"/>
      <c r="AI590" s="5"/>
      <c r="AJ590" s="5"/>
      <c r="AK590" s="141"/>
      <c r="AL590" s="94"/>
      <c r="AM590" s="128"/>
      <c r="AN590" s="180"/>
      <c r="AO590" s="128"/>
      <c r="AP590" s="184"/>
      <c r="AQ590" s="128"/>
      <c r="AR590" s="184"/>
      <c r="AS590" s="128"/>
      <c r="AT590" s="184"/>
      <c r="AU590" s="128"/>
      <c r="AV590" s="184"/>
      <c r="AW590" s="128"/>
      <c r="AX590" s="184"/>
      <c r="AY590" s="111"/>
      <c r="AZ590" s="178"/>
      <c r="BC590" s="216"/>
      <c r="BD590" s="47"/>
      <c r="BF590" s="113"/>
      <c r="BG590" s="113"/>
      <c r="BH590" s="113"/>
      <c r="BI590" s="113"/>
      <c r="BJ590" s="113"/>
      <c r="BK590" s="113"/>
      <c r="BL590" s="5">
        <f t="shared" si="162"/>
        <v>0</v>
      </c>
    </row>
    <row r="591" spans="1:64" s="2" customFormat="1" ht="15.75" customHeight="1" outlineLevel="1" x14ac:dyDescent="0.2">
      <c r="A591" s="595"/>
      <c r="B591" s="602"/>
      <c r="C591" s="7" t="s">
        <v>1554</v>
      </c>
      <c r="D591" s="8"/>
      <c r="E591" s="23"/>
      <c r="F591" s="8"/>
      <c r="G591" s="8"/>
      <c r="H591" s="5">
        <f>H589</f>
        <v>0.21218999999999999</v>
      </c>
      <c r="I591" s="5">
        <f>I589</f>
        <v>0.18018999999999999</v>
      </c>
      <c r="J591" s="5">
        <f>J589</f>
        <v>0.10843999999999999</v>
      </c>
      <c r="K591" s="23"/>
      <c r="L591" s="8"/>
      <c r="M591" s="8"/>
      <c r="N591" s="8"/>
      <c r="O591" s="8"/>
      <c r="P591" s="8"/>
      <c r="Q591" s="23"/>
      <c r="R591" s="113"/>
      <c r="S591" s="113"/>
      <c r="T591" s="113"/>
      <c r="U591" s="113"/>
      <c r="V591" s="113"/>
      <c r="W591" s="113"/>
      <c r="X591" s="5">
        <f t="shared" si="161"/>
        <v>0</v>
      </c>
      <c r="Y591" s="302"/>
      <c r="Z591" s="5"/>
      <c r="AA591" s="94"/>
      <c r="AB591" s="311">
        <f t="shared" si="160"/>
        <v>0.18018999999999999</v>
      </c>
      <c r="AC591" s="296"/>
      <c r="AD591" s="113"/>
      <c r="AE591" s="5"/>
      <c r="AF591" s="5"/>
      <c r="AG591" s="5"/>
      <c r="AH591" s="5"/>
      <c r="AI591" s="5"/>
      <c r="AJ591" s="5"/>
      <c r="AK591" s="141"/>
      <c r="AL591" s="94"/>
      <c r="AM591" s="128"/>
      <c r="AN591" s="180"/>
      <c r="AO591" s="128"/>
      <c r="AP591" s="184"/>
      <c r="AQ591" s="128"/>
      <c r="AR591" s="184"/>
      <c r="AS591" s="128"/>
      <c r="AT591" s="184"/>
      <c r="AU591" s="128"/>
      <c r="AV591" s="184"/>
      <c r="AW591" s="128"/>
      <c r="AX591" s="184"/>
      <c r="AY591" s="111"/>
      <c r="AZ591" s="178"/>
      <c r="BC591" s="216"/>
      <c r="BD591" s="47"/>
      <c r="BF591" s="113"/>
      <c r="BG591" s="113"/>
      <c r="BH591" s="113"/>
      <c r="BI591" s="113"/>
      <c r="BJ591" s="113"/>
      <c r="BK591" s="113"/>
      <c r="BL591" s="5">
        <f t="shared" si="162"/>
        <v>0</v>
      </c>
    </row>
    <row r="592" spans="1:64" s="2" customFormat="1" ht="38.25" customHeight="1" outlineLevel="1" x14ac:dyDescent="0.2">
      <c r="A592" s="593" t="s">
        <v>821</v>
      </c>
      <c r="B592" s="600" t="s">
        <v>1705</v>
      </c>
      <c r="C592" s="7" t="s">
        <v>1533</v>
      </c>
      <c r="D592" s="8" t="s">
        <v>397</v>
      </c>
      <c r="E592" s="23" t="s">
        <v>335</v>
      </c>
      <c r="F592" s="8">
        <v>2012</v>
      </c>
      <c r="G592" s="8">
        <v>2015</v>
      </c>
      <c r="H592" s="5">
        <v>0.24023</v>
      </c>
      <c r="I592" s="5">
        <v>0.19533700000000001</v>
      </c>
      <c r="J592" s="5">
        <f>R592</f>
        <v>4.2567000000000001E-2</v>
      </c>
      <c r="K592" s="8"/>
      <c r="L592" s="23" t="s">
        <v>335</v>
      </c>
      <c r="M592" s="8"/>
      <c r="N592" s="8"/>
      <c r="O592" s="8"/>
      <c r="P592" s="8"/>
      <c r="Q592" s="23" t="s">
        <v>335</v>
      </c>
      <c r="R592" s="113">
        <v>4.2567000000000001E-2</v>
      </c>
      <c r="S592" s="113"/>
      <c r="T592" s="113"/>
      <c r="U592" s="113"/>
      <c r="V592" s="113"/>
      <c r="W592" s="113"/>
      <c r="X592" s="5">
        <f t="shared" si="161"/>
        <v>4.2567000000000001E-2</v>
      </c>
      <c r="Y592" s="302">
        <f>H592-H593-H594</f>
        <v>0</v>
      </c>
      <c r="Z592" s="5">
        <f>I592-I593-I594</f>
        <v>0</v>
      </c>
      <c r="AA592" s="94">
        <f>J592-J593-J594</f>
        <v>0</v>
      </c>
      <c r="AB592" s="311">
        <f t="shared" si="160"/>
        <v>0.15277000000000002</v>
      </c>
      <c r="AC592" s="296"/>
      <c r="AD592" s="113"/>
      <c r="AE592" s="5"/>
      <c r="AF592" s="5"/>
      <c r="AG592" s="5">
        <f>H592</f>
        <v>0.24023</v>
      </c>
      <c r="AH592" s="5"/>
      <c r="AI592" s="5"/>
      <c r="AJ592" s="5"/>
      <c r="AK592" s="141"/>
      <c r="AL592" s="94">
        <f>SUM(AF592:AK592)</f>
        <v>0.24023</v>
      </c>
      <c r="AM592" s="128"/>
      <c r="AN592" s="180"/>
      <c r="AO592" s="128">
        <v>0.1</v>
      </c>
      <c r="AP592" s="184">
        <v>0</v>
      </c>
      <c r="AQ592" s="128"/>
      <c r="AR592" s="184"/>
      <c r="AS592" s="128"/>
      <c r="AT592" s="184"/>
      <c r="AU592" s="128"/>
      <c r="AV592" s="184"/>
      <c r="AW592" s="128"/>
      <c r="AX592" s="184"/>
      <c r="AY592" s="111">
        <f>AM592+AO592+AQ592+AS592+AU592+AW592</f>
        <v>0.1</v>
      </c>
      <c r="AZ592" s="178">
        <f>AN592+AP592+AR592+AT592+AV592+AX592</f>
        <v>0</v>
      </c>
      <c r="BC592" s="216"/>
      <c r="BD592" s="47"/>
      <c r="BF592" s="113">
        <v>4.2567000000000001E-2</v>
      </c>
      <c r="BG592" s="113"/>
      <c r="BH592" s="113"/>
      <c r="BI592" s="113"/>
      <c r="BJ592" s="113"/>
      <c r="BK592" s="113"/>
      <c r="BL592" s="5">
        <f t="shared" si="162"/>
        <v>4.2567000000000001E-2</v>
      </c>
    </row>
    <row r="593" spans="1:64" s="2" customFormat="1" ht="15.75" customHeight="1" outlineLevel="1" x14ac:dyDescent="0.2">
      <c r="A593" s="594"/>
      <c r="B593" s="601"/>
      <c r="C593" s="7" t="s">
        <v>1553</v>
      </c>
      <c r="D593" s="8"/>
      <c r="E593" s="23"/>
      <c r="F593" s="8"/>
      <c r="G593" s="8"/>
      <c r="H593" s="5"/>
      <c r="I593" s="5"/>
      <c r="J593" s="5"/>
      <c r="K593" s="8"/>
      <c r="L593" s="23"/>
      <c r="M593" s="8"/>
      <c r="N593" s="8"/>
      <c r="O593" s="8"/>
      <c r="P593" s="8"/>
      <c r="Q593" s="23"/>
      <c r="R593" s="113"/>
      <c r="S593" s="113"/>
      <c r="T593" s="113"/>
      <c r="U593" s="113"/>
      <c r="V593" s="113"/>
      <c r="W593" s="113"/>
      <c r="X593" s="5">
        <f t="shared" si="161"/>
        <v>0</v>
      </c>
      <c r="Y593" s="302"/>
      <c r="Z593" s="5"/>
      <c r="AA593" s="94"/>
      <c r="AB593" s="311">
        <f t="shared" si="160"/>
        <v>0</v>
      </c>
      <c r="AC593" s="296"/>
      <c r="AD593" s="113"/>
      <c r="AE593" s="5"/>
      <c r="AF593" s="5"/>
      <c r="AG593" s="5"/>
      <c r="AH593" s="5"/>
      <c r="AI593" s="5"/>
      <c r="AJ593" s="5"/>
      <c r="AK593" s="141"/>
      <c r="AL593" s="94"/>
      <c r="AM593" s="128"/>
      <c r="AN593" s="180"/>
      <c r="AO593" s="128"/>
      <c r="AP593" s="184"/>
      <c r="AQ593" s="128"/>
      <c r="AR593" s="184"/>
      <c r="AS593" s="128"/>
      <c r="AT593" s="184"/>
      <c r="AU593" s="128"/>
      <c r="AV593" s="184"/>
      <c r="AW593" s="128"/>
      <c r="AX593" s="184"/>
      <c r="AY593" s="111"/>
      <c r="AZ593" s="178"/>
      <c r="BC593" s="216"/>
      <c r="BD593" s="47"/>
      <c r="BF593" s="113"/>
      <c r="BG593" s="113"/>
      <c r="BH593" s="113"/>
      <c r="BI593" s="113"/>
      <c r="BJ593" s="113"/>
      <c r="BK593" s="113"/>
      <c r="BL593" s="5">
        <f t="shared" si="162"/>
        <v>0</v>
      </c>
    </row>
    <row r="594" spans="1:64" s="2" customFormat="1" ht="15.75" customHeight="1" outlineLevel="1" x14ac:dyDescent="0.2">
      <c r="A594" s="595"/>
      <c r="B594" s="602"/>
      <c r="C594" s="7" t="s">
        <v>1554</v>
      </c>
      <c r="D594" s="8"/>
      <c r="E594" s="23"/>
      <c r="F594" s="8"/>
      <c r="G594" s="8"/>
      <c r="H594" s="5">
        <v>0.24023</v>
      </c>
      <c r="I594" s="5">
        <v>0.19533700000000001</v>
      </c>
      <c r="J594" s="5">
        <v>4.2567000000000001E-2</v>
      </c>
      <c r="K594" s="23"/>
      <c r="L594" s="8"/>
      <c r="M594" s="8"/>
      <c r="N594" s="8"/>
      <c r="O594" s="8"/>
      <c r="P594" s="8"/>
      <c r="Q594" s="23"/>
      <c r="R594" s="113"/>
      <c r="S594" s="113"/>
      <c r="T594" s="113"/>
      <c r="U594" s="113"/>
      <c r="V594" s="113"/>
      <c r="W594" s="113"/>
      <c r="X594" s="5">
        <f t="shared" si="161"/>
        <v>0</v>
      </c>
      <c r="Y594" s="302"/>
      <c r="Z594" s="5"/>
      <c r="AA594" s="94"/>
      <c r="AB594" s="311">
        <f t="shared" si="160"/>
        <v>0.19533700000000001</v>
      </c>
      <c r="AC594" s="296"/>
      <c r="AD594" s="113"/>
      <c r="AE594" s="5"/>
      <c r="AF594" s="5"/>
      <c r="AG594" s="5"/>
      <c r="AH594" s="5"/>
      <c r="AI594" s="5"/>
      <c r="AJ594" s="5"/>
      <c r="AK594" s="141"/>
      <c r="AL594" s="94"/>
      <c r="AM594" s="128"/>
      <c r="AN594" s="180"/>
      <c r="AO594" s="128"/>
      <c r="AP594" s="184"/>
      <c r="AQ594" s="128"/>
      <c r="AR594" s="184"/>
      <c r="AS594" s="128"/>
      <c r="AT594" s="184"/>
      <c r="AU594" s="128"/>
      <c r="AV594" s="184"/>
      <c r="AW594" s="128"/>
      <c r="AX594" s="184"/>
      <c r="AY594" s="111"/>
      <c r="AZ594" s="178"/>
      <c r="BC594" s="216"/>
      <c r="BD594" s="47"/>
      <c r="BF594" s="113"/>
      <c r="BG594" s="113"/>
      <c r="BH594" s="113"/>
      <c r="BI594" s="113"/>
      <c r="BJ594" s="113"/>
      <c r="BK594" s="113"/>
      <c r="BL594" s="5">
        <f t="shared" si="162"/>
        <v>0</v>
      </c>
    </row>
    <row r="595" spans="1:64" s="2" customFormat="1" ht="51" customHeight="1" outlineLevel="1" x14ac:dyDescent="0.2">
      <c r="A595" s="593" t="s">
        <v>822</v>
      </c>
      <c r="B595" s="600" t="s">
        <v>1706</v>
      </c>
      <c r="C595" s="7" t="s">
        <v>1534</v>
      </c>
      <c r="D595" s="8" t="s">
        <v>397</v>
      </c>
      <c r="E595" s="23" t="s">
        <v>333</v>
      </c>
      <c r="F595" s="8">
        <v>2012</v>
      </c>
      <c r="G595" s="8">
        <v>2015</v>
      </c>
      <c r="H595" s="5">
        <v>0.63657000000000008</v>
      </c>
      <c r="I595" s="5">
        <v>0.61882400000000004</v>
      </c>
      <c r="J595" s="5">
        <f>R595</f>
        <v>0</v>
      </c>
      <c r="K595" s="8"/>
      <c r="L595" s="23" t="s">
        <v>333</v>
      </c>
      <c r="M595" s="8"/>
      <c r="N595" s="8"/>
      <c r="O595" s="8"/>
      <c r="P595" s="8"/>
      <c r="Q595" s="23" t="s">
        <v>333</v>
      </c>
      <c r="R595" s="113">
        <v>0</v>
      </c>
      <c r="S595" s="113"/>
      <c r="T595" s="113"/>
      <c r="U595" s="113"/>
      <c r="V595" s="113"/>
      <c r="W595" s="113"/>
      <c r="X595" s="5">
        <f t="shared" si="161"/>
        <v>0</v>
      </c>
      <c r="Y595" s="302">
        <f>H595-H596-H597</f>
        <v>0</v>
      </c>
      <c r="Z595" s="5">
        <f>I595-I596-I597</f>
        <v>0</v>
      </c>
      <c r="AA595" s="94">
        <f>J595-J596-J597</f>
        <v>0</v>
      </c>
      <c r="AB595" s="311">
        <f t="shared" si="160"/>
        <v>0.61882400000000004</v>
      </c>
      <c r="AC595" s="296"/>
      <c r="AD595" s="113"/>
      <c r="AE595" s="5"/>
      <c r="AF595" s="5"/>
      <c r="AG595" s="5">
        <f>H595</f>
        <v>0.63657000000000008</v>
      </c>
      <c r="AH595" s="5"/>
      <c r="AI595" s="5"/>
      <c r="AJ595" s="5"/>
      <c r="AK595" s="141"/>
      <c r="AL595" s="94">
        <f>SUM(AF595:AK595)</f>
        <v>0.63657000000000008</v>
      </c>
      <c r="AM595" s="128"/>
      <c r="AN595" s="180"/>
      <c r="AO595" s="128">
        <v>0.3</v>
      </c>
      <c r="AP595" s="184">
        <v>0</v>
      </c>
      <c r="AQ595" s="128"/>
      <c r="AR595" s="184"/>
      <c r="AS595" s="128"/>
      <c r="AT595" s="184"/>
      <c r="AU595" s="128"/>
      <c r="AV595" s="184"/>
      <c r="AW595" s="128"/>
      <c r="AX595" s="184"/>
      <c r="AY595" s="111">
        <f>AM595+AO595+AQ595+AS595+AU595+AW595</f>
        <v>0.3</v>
      </c>
      <c r="AZ595" s="178">
        <f>AN595+AP595+AR595+AT595+AV595+AX595</f>
        <v>0</v>
      </c>
      <c r="BC595" s="216"/>
      <c r="BD595" s="47"/>
      <c r="BF595" s="113">
        <v>0</v>
      </c>
      <c r="BG595" s="113"/>
      <c r="BH595" s="113"/>
      <c r="BI595" s="113"/>
      <c r="BJ595" s="113"/>
      <c r="BK595" s="113"/>
      <c r="BL595" s="5">
        <f t="shared" si="162"/>
        <v>0</v>
      </c>
    </row>
    <row r="596" spans="1:64" s="2" customFormat="1" ht="15.75" customHeight="1" outlineLevel="1" x14ac:dyDescent="0.2">
      <c r="A596" s="594"/>
      <c r="B596" s="601"/>
      <c r="C596" s="7" t="s">
        <v>1553</v>
      </c>
      <c r="D596" s="8"/>
      <c r="E596" s="23"/>
      <c r="F596" s="8"/>
      <c r="G596" s="8"/>
      <c r="H596" s="5">
        <v>0.63657000000000008</v>
      </c>
      <c r="I596" s="5">
        <v>0.61882400000000004</v>
      </c>
      <c r="J596" s="5">
        <f>R596</f>
        <v>0</v>
      </c>
      <c r="K596" s="8"/>
      <c r="L596" s="23"/>
      <c r="M596" s="8"/>
      <c r="N596" s="8"/>
      <c r="O596" s="8"/>
      <c r="P596" s="8"/>
      <c r="Q596" s="23"/>
      <c r="R596" s="113"/>
      <c r="S596" s="113"/>
      <c r="T596" s="113"/>
      <c r="U596" s="113"/>
      <c r="V596" s="113"/>
      <c r="W596" s="113"/>
      <c r="X596" s="5">
        <f t="shared" si="161"/>
        <v>0</v>
      </c>
      <c r="Y596" s="302"/>
      <c r="Z596" s="5"/>
      <c r="AA596" s="94"/>
      <c r="AB596" s="311">
        <f t="shared" si="160"/>
        <v>0.61882400000000004</v>
      </c>
      <c r="AC596" s="296"/>
      <c r="AD596" s="113"/>
      <c r="AE596" s="5"/>
      <c r="AF596" s="5"/>
      <c r="AG596" s="5"/>
      <c r="AH596" s="5"/>
      <c r="AI596" s="5"/>
      <c r="AJ596" s="5"/>
      <c r="AK596" s="141"/>
      <c r="AL596" s="94"/>
      <c r="AM596" s="128"/>
      <c r="AN596" s="180"/>
      <c r="AO596" s="128"/>
      <c r="AP596" s="184"/>
      <c r="AQ596" s="128"/>
      <c r="AR596" s="184"/>
      <c r="AS596" s="128"/>
      <c r="AT596" s="184"/>
      <c r="AU596" s="128"/>
      <c r="AV596" s="184"/>
      <c r="AW596" s="128"/>
      <c r="AX596" s="184"/>
      <c r="AY596" s="111"/>
      <c r="AZ596" s="178"/>
      <c r="BC596" s="216"/>
      <c r="BD596" s="47"/>
      <c r="BF596" s="113"/>
      <c r="BG596" s="113"/>
      <c r="BH596" s="113"/>
      <c r="BI596" s="113"/>
      <c r="BJ596" s="113"/>
      <c r="BK596" s="113"/>
      <c r="BL596" s="5">
        <f t="shared" si="162"/>
        <v>0</v>
      </c>
    </row>
    <row r="597" spans="1:64" s="2" customFormat="1" ht="15.75" customHeight="1" outlineLevel="1" x14ac:dyDescent="0.2">
      <c r="A597" s="595"/>
      <c r="B597" s="602"/>
      <c r="C597" s="7" t="s">
        <v>1554</v>
      </c>
      <c r="D597" s="8"/>
      <c r="E597" s="23"/>
      <c r="F597" s="8"/>
      <c r="G597" s="8"/>
      <c r="H597" s="5"/>
      <c r="I597" s="5"/>
      <c r="J597" s="5"/>
      <c r="K597" s="23"/>
      <c r="L597" s="8"/>
      <c r="M597" s="8"/>
      <c r="N597" s="8"/>
      <c r="O597" s="8"/>
      <c r="P597" s="8"/>
      <c r="Q597" s="23"/>
      <c r="R597" s="113"/>
      <c r="S597" s="113"/>
      <c r="T597" s="113"/>
      <c r="U597" s="113"/>
      <c r="V597" s="113"/>
      <c r="W597" s="113"/>
      <c r="X597" s="5">
        <f t="shared" si="161"/>
        <v>0</v>
      </c>
      <c r="Y597" s="302"/>
      <c r="Z597" s="5"/>
      <c r="AA597" s="94"/>
      <c r="AB597" s="311">
        <f t="shared" ref="AB597:AB660" si="163">I597-X597</f>
        <v>0</v>
      </c>
      <c r="AC597" s="296"/>
      <c r="AD597" s="113"/>
      <c r="AE597" s="5"/>
      <c r="AF597" s="5"/>
      <c r="AG597" s="5"/>
      <c r="AH597" s="5"/>
      <c r="AI597" s="5"/>
      <c r="AJ597" s="5"/>
      <c r="AK597" s="141"/>
      <c r="AL597" s="94"/>
      <c r="AM597" s="128"/>
      <c r="AN597" s="180"/>
      <c r="AO597" s="128"/>
      <c r="AP597" s="184"/>
      <c r="AQ597" s="128"/>
      <c r="AR597" s="184"/>
      <c r="AS597" s="128"/>
      <c r="AT597" s="184"/>
      <c r="AU597" s="128"/>
      <c r="AV597" s="184"/>
      <c r="AW597" s="128"/>
      <c r="AX597" s="184"/>
      <c r="AY597" s="111"/>
      <c r="AZ597" s="178"/>
      <c r="BC597" s="216"/>
      <c r="BD597" s="47"/>
      <c r="BF597" s="113"/>
      <c r="BG597" s="113"/>
      <c r="BH597" s="113"/>
      <c r="BI597" s="113"/>
      <c r="BJ597" s="113"/>
      <c r="BK597" s="113"/>
      <c r="BL597" s="5">
        <f t="shared" si="162"/>
        <v>0</v>
      </c>
    </row>
    <row r="598" spans="1:64" s="2" customFormat="1" ht="63.75" customHeight="1" outlineLevel="1" x14ac:dyDescent="0.2">
      <c r="A598" s="593" t="s">
        <v>823</v>
      </c>
      <c r="B598" s="600" t="s">
        <v>1707</v>
      </c>
      <c r="C598" s="7" t="s">
        <v>1535</v>
      </c>
      <c r="D598" s="8" t="s">
        <v>397</v>
      </c>
      <c r="E598" s="23" t="s">
        <v>343</v>
      </c>
      <c r="F598" s="8">
        <v>2012</v>
      </c>
      <c r="G598" s="8">
        <v>2015</v>
      </c>
      <c r="H598" s="5">
        <v>0.42437999999999998</v>
      </c>
      <c r="I598" s="5">
        <v>0.372338</v>
      </c>
      <c r="J598" s="5">
        <f>R598</f>
        <v>0.17401</v>
      </c>
      <c r="K598" s="8"/>
      <c r="L598" s="23" t="s">
        <v>343</v>
      </c>
      <c r="M598" s="8"/>
      <c r="N598" s="8"/>
      <c r="O598" s="8"/>
      <c r="P598" s="8"/>
      <c r="Q598" s="23" t="s">
        <v>343</v>
      </c>
      <c r="R598" s="113">
        <v>0.17401</v>
      </c>
      <c r="S598" s="113"/>
      <c r="T598" s="113"/>
      <c r="U598" s="113"/>
      <c r="V598" s="113"/>
      <c r="W598" s="113"/>
      <c r="X598" s="5">
        <f t="shared" si="161"/>
        <v>0.17401</v>
      </c>
      <c r="Y598" s="302">
        <f>H598-H599-H600</f>
        <v>0</v>
      </c>
      <c r="Z598" s="5">
        <f>I598-I599-I600</f>
        <v>0</v>
      </c>
      <c r="AA598" s="94">
        <f>J598-J599-J600</f>
        <v>0</v>
      </c>
      <c r="AB598" s="311">
        <f t="shared" si="163"/>
        <v>0.198328</v>
      </c>
      <c r="AC598" s="296"/>
      <c r="AD598" s="113"/>
      <c r="AE598" s="5"/>
      <c r="AF598" s="5"/>
      <c r="AG598" s="5">
        <f>H598</f>
        <v>0.42437999999999998</v>
      </c>
      <c r="AH598" s="5"/>
      <c r="AI598" s="5"/>
      <c r="AJ598" s="5"/>
      <c r="AK598" s="141"/>
      <c r="AL598" s="94">
        <f>SUM(AF598:AK598)</f>
        <v>0.42437999999999998</v>
      </c>
      <c r="AM598" s="128"/>
      <c r="AN598" s="180"/>
      <c r="AO598" s="128">
        <v>0.4</v>
      </c>
      <c r="AP598" s="184">
        <v>0</v>
      </c>
      <c r="AQ598" s="128"/>
      <c r="AR598" s="184"/>
      <c r="AS598" s="128"/>
      <c r="AT598" s="184"/>
      <c r="AU598" s="128"/>
      <c r="AV598" s="184"/>
      <c r="AW598" s="128"/>
      <c r="AX598" s="184"/>
      <c r="AY598" s="111">
        <f>AM598+AO598+AQ598+AS598+AU598+AW598</f>
        <v>0.4</v>
      </c>
      <c r="AZ598" s="178">
        <f>AN598+AP598+AR598+AT598+AV598+AX598</f>
        <v>0</v>
      </c>
      <c r="BC598" s="216"/>
      <c r="BD598" s="47"/>
      <c r="BF598" s="113">
        <v>0.17401</v>
      </c>
      <c r="BG598" s="113"/>
      <c r="BH598" s="113"/>
      <c r="BI598" s="113"/>
      <c r="BJ598" s="113"/>
      <c r="BK598" s="113"/>
      <c r="BL598" s="5">
        <f t="shared" si="162"/>
        <v>0.17401</v>
      </c>
    </row>
    <row r="599" spans="1:64" s="2" customFormat="1" ht="15.75" customHeight="1" outlineLevel="1" x14ac:dyDescent="0.2">
      <c r="A599" s="594"/>
      <c r="B599" s="601"/>
      <c r="C599" s="7" t="s">
        <v>1553</v>
      </c>
      <c r="D599" s="8"/>
      <c r="E599" s="23"/>
      <c r="F599" s="8"/>
      <c r="G599" s="8"/>
      <c r="H599" s="5"/>
      <c r="I599" s="5"/>
      <c r="J599" s="5"/>
      <c r="K599" s="8"/>
      <c r="L599" s="23"/>
      <c r="M599" s="8"/>
      <c r="N599" s="8"/>
      <c r="O599" s="8"/>
      <c r="P599" s="8"/>
      <c r="Q599" s="23"/>
      <c r="R599" s="113"/>
      <c r="S599" s="113"/>
      <c r="T599" s="113"/>
      <c r="U599" s="113"/>
      <c r="V599" s="113"/>
      <c r="W599" s="113"/>
      <c r="X599" s="5">
        <f t="shared" si="161"/>
        <v>0</v>
      </c>
      <c r="Y599" s="302"/>
      <c r="Z599" s="5"/>
      <c r="AA599" s="94"/>
      <c r="AB599" s="311">
        <f t="shared" si="163"/>
        <v>0</v>
      </c>
      <c r="AC599" s="296"/>
      <c r="AD599" s="113"/>
      <c r="AE599" s="5"/>
      <c r="AF599" s="5"/>
      <c r="AG599" s="5"/>
      <c r="AH599" s="5"/>
      <c r="AI599" s="5"/>
      <c r="AJ599" s="5"/>
      <c r="AK599" s="141"/>
      <c r="AL599" s="94"/>
      <c r="AM599" s="128"/>
      <c r="AN599" s="180"/>
      <c r="AO599" s="128"/>
      <c r="AP599" s="184"/>
      <c r="AQ599" s="128"/>
      <c r="AR599" s="184"/>
      <c r="AS599" s="128"/>
      <c r="AT599" s="184"/>
      <c r="AU599" s="128"/>
      <c r="AV599" s="184"/>
      <c r="AW599" s="128"/>
      <c r="AX599" s="184"/>
      <c r="AY599" s="111"/>
      <c r="AZ599" s="178"/>
      <c r="BC599" s="216"/>
      <c r="BD599" s="47"/>
      <c r="BF599" s="113"/>
      <c r="BG599" s="113"/>
      <c r="BH599" s="113"/>
      <c r="BI599" s="113"/>
      <c r="BJ599" s="113"/>
      <c r="BK599" s="113"/>
      <c r="BL599" s="5">
        <f t="shared" si="162"/>
        <v>0</v>
      </c>
    </row>
    <row r="600" spans="1:64" s="2" customFormat="1" ht="15.75" customHeight="1" outlineLevel="1" x14ac:dyDescent="0.2">
      <c r="A600" s="595"/>
      <c r="B600" s="602"/>
      <c r="C600" s="7" t="s">
        <v>1554</v>
      </c>
      <c r="D600" s="8"/>
      <c r="E600" s="23"/>
      <c r="F600" s="8"/>
      <c r="G600" s="8"/>
      <c r="H600" s="5">
        <v>0.42437999999999998</v>
      </c>
      <c r="I600" s="5">
        <v>0.372338</v>
      </c>
      <c r="J600" s="5">
        <v>0.17401</v>
      </c>
      <c r="K600" s="23"/>
      <c r="L600" s="8"/>
      <c r="M600" s="8"/>
      <c r="N600" s="8"/>
      <c r="O600" s="8"/>
      <c r="P600" s="8"/>
      <c r="Q600" s="23"/>
      <c r="R600" s="113"/>
      <c r="S600" s="113"/>
      <c r="T600" s="113"/>
      <c r="U600" s="113"/>
      <c r="V600" s="113"/>
      <c r="W600" s="113"/>
      <c r="X600" s="5">
        <f t="shared" si="161"/>
        <v>0</v>
      </c>
      <c r="Y600" s="302"/>
      <c r="Z600" s="5"/>
      <c r="AA600" s="94"/>
      <c r="AB600" s="311">
        <f t="shared" si="163"/>
        <v>0.372338</v>
      </c>
      <c r="AC600" s="296"/>
      <c r="AD600" s="113"/>
      <c r="AE600" s="5"/>
      <c r="AF600" s="5"/>
      <c r="AG600" s="5"/>
      <c r="AH600" s="5"/>
      <c r="AI600" s="5"/>
      <c r="AJ600" s="5"/>
      <c r="AK600" s="141"/>
      <c r="AL600" s="94"/>
      <c r="AM600" s="128"/>
      <c r="AN600" s="180"/>
      <c r="AO600" s="128"/>
      <c r="AP600" s="184"/>
      <c r="AQ600" s="128"/>
      <c r="AR600" s="184"/>
      <c r="AS600" s="128"/>
      <c r="AT600" s="184"/>
      <c r="AU600" s="128"/>
      <c r="AV600" s="184"/>
      <c r="AW600" s="128"/>
      <c r="AX600" s="184"/>
      <c r="AY600" s="111"/>
      <c r="AZ600" s="178"/>
      <c r="BC600" s="216"/>
      <c r="BD600" s="47"/>
      <c r="BF600" s="113"/>
      <c r="BG600" s="113"/>
      <c r="BH600" s="113"/>
      <c r="BI600" s="113"/>
      <c r="BJ600" s="113"/>
      <c r="BK600" s="113"/>
      <c r="BL600" s="5">
        <f t="shared" si="162"/>
        <v>0</v>
      </c>
    </row>
    <row r="601" spans="1:64" s="2" customFormat="1" ht="63.75" customHeight="1" outlineLevel="1" x14ac:dyDescent="0.2">
      <c r="A601" s="593" t="s">
        <v>824</v>
      </c>
      <c r="B601" s="600" t="s">
        <v>1708</v>
      </c>
      <c r="C601" s="7" t="s">
        <v>467</v>
      </c>
      <c r="D601" s="8" t="s">
        <v>397</v>
      </c>
      <c r="E601" s="23" t="s">
        <v>19</v>
      </c>
      <c r="F601" s="8">
        <v>2012</v>
      </c>
      <c r="G601" s="8">
        <v>2015</v>
      </c>
      <c r="H601" s="5">
        <v>2.8706499999999999</v>
      </c>
      <c r="I601" s="5">
        <v>2.2999999999999998</v>
      </c>
      <c r="J601" s="5">
        <f>R601</f>
        <v>2.2999999999999998</v>
      </c>
      <c r="K601" s="8"/>
      <c r="L601" s="23" t="s">
        <v>19</v>
      </c>
      <c r="M601" s="8"/>
      <c r="N601" s="8"/>
      <c r="O601" s="8"/>
      <c r="P601" s="8"/>
      <c r="Q601" s="23" t="s">
        <v>19</v>
      </c>
      <c r="R601" s="113">
        <v>2.2999999999999998</v>
      </c>
      <c r="S601" s="113"/>
      <c r="T601" s="113"/>
      <c r="U601" s="113"/>
      <c r="V601" s="113"/>
      <c r="W601" s="113"/>
      <c r="X601" s="5">
        <f t="shared" si="161"/>
        <v>2.2999999999999998</v>
      </c>
      <c r="Y601" s="302">
        <f>H601-H602-H603</f>
        <v>0</v>
      </c>
      <c r="Z601" s="5">
        <f>I601-I602-I603</f>
        <v>0</v>
      </c>
      <c r="AA601" s="94">
        <f>J601-J602-J603</f>
        <v>0</v>
      </c>
      <c r="AB601" s="311">
        <f t="shared" si="163"/>
        <v>0</v>
      </c>
      <c r="AC601" s="296"/>
      <c r="AD601" s="113"/>
      <c r="AE601" s="5"/>
      <c r="AF601" s="5"/>
      <c r="AG601" s="5">
        <f>H601</f>
        <v>2.8706499999999999</v>
      </c>
      <c r="AH601" s="5"/>
      <c r="AI601" s="5"/>
      <c r="AJ601" s="5"/>
      <c r="AK601" s="141"/>
      <c r="AL601" s="94">
        <f>SUM(AF601:AK601)</f>
        <v>2.8706499999999999</v>
      </c>
      <c r="AM601" s="128"/>
      <c r="AN601" s="180"/>
      <c r="AO601" s="128">
        <v>2</v>
      </c>
      <c r="AP601" s="184">
        <v>0</v>
      </c>
      <c r="AQ601" s="128"/>
      <c r="AR601" s="184"/>
      <c r="AS601" s="128"/>
      <c r="AT601" s="184"/>
      <c r="AU601" s="128"/>
      <c r="AV601" s="184"/>
      <c r="AW601" s="128"/>
      <c r="AX601" s="184"/>
      <c r="AY601" s="111">
        <f>AM601+AO601+AQ601+AS601+AU601+AW601</f>
        <v>2</v>
      </c>
      <c r="AZ601" s="178">
        <f>AN601+AP601+AR601+AT601+AV601+AX601</f>
        <v>0</v>
      </c>
      <c r="BC601" s="216"/>
      <c r="BD601" s="47"/>
      <c r="BF601" s="113">
        <v>2.2999999999999998</v>
      </c>
      <c r="BG601" s="113"/>
      <c r="BH601" s="113"/>
      <c r="BI601" s="113"/>
      <c r="BJ601" s="113"/>
      <c r="BK601" s="113"/>
      <c r="BL601" s="5">
        <f t="shared" si="162"/>
        <v>2.2999999999999998</v>
      </c>
    </row>
    <row r="602" spans="1:64" s="2" customFormat="1" ht="15.75" customHeight="1" outlineLevel="1" x14ac:dyDescent="0.2">
      <c r="A602" s="594"/>
      <c r="B602" s="601"/>
      <c r="C602" s="7" t="s">
        <v>1553</v>
      </c>
      <c r="D602" s="8"/>
      <c r="E602" s="23"/>
      <c r="F602" s="8"/>
      <c r="G602" s="8"/>
      <c r="H602" s="5">
        <f>H601</f>
        <v>2.8706499999999999</v>
      </c>
      <c r="I602" s="5">
        <f>I601</f>
        <v>2.2999999999999998</v>
      </c>
      <c r="J602" s="5">
        <f>J601</f>
        <v>2.2999999999999998</v>
      </c>
      <c r="K602" s="8"/>
      <c r="L602" s="23"/>
      <c r="M602" s="8"/>
      <c r="N602" s="8"/>
      <c r="O602" s="8"/>
      <c r="P602" s="8"/>
      <c r="Q602" s="23"/>
      <c r="R602" s="113"/>
      <c r="S602" s="113"/>
      <c r="T602" s="113"/>
      <c r="U602" s="113"/>
      <c r="V602" s="113"/>
      <c r="W602" s="113"/>
      <c r="X602" s="5">
        <f t="shared" si="161"/>
        <v>0</v>
      </c>
      <c r="Y602" s="302"/>
      <c r="Z602" s="5"/>
      <c r="AA602" s="94"/>
      <c r="AB602" s="311">
        <f t="shared" si="163"/>
        <v>2.2999999999999998</v>
      </c>
      <c r="AC602" s="296"/>
      <c r="AD602" s="113"/>
      <c r="AE602" s="5"/>
      <c r="AF602" s="5"/>
      <c r="AG602" s="5"/>
      <c r="AH602" s="5"/>
      <c r="AI602" s="5"/>
      <c r="AJ602" s="5"/>
      <c r="AK602" s="141"/>
      <c r="AL602" s="94"/>
      <c r="AM602" s="128"/>
      <c r="AN602" s="180"/>
      <c r="AO602" s="128"/>
      <c r="AP602" s="184"/>
      <c r="AQ602" s="128"/>
      <c r="AR602" s="184"/>
      <c r="AS602" s="128"/>
      <c r="AT602" s="184"/>
      <c r="AU602" s="128"/>
      <c r="AV602" s="184"/>
      <c r="AW602" s="128"/>
      <c r="AX602" s="184"/>
      <c r="AY602" s="111"/>
      <c r="AZ602" s="178"/>
      <c r="BC602" s="216"/>
      <c r="BD602" s="47"/>
      <c r="BF602" s="113"/>
      <c r="BG602" s="113"/>
      <c r="BH602" s="113"/>
      <c r="BI602" s="113"/>
      <c r="BJ602" s="113"/>
      <c r="BK602" s="113"/>
      <c r="BL602" s="5">
        <f t="shared" si="162"/>
        <v>0</v>
      </c>
    </row>
    <row r="603" spans="1:64" s="2" customFormat="1" ht="15.75" customHeight="1" outlineLevel="1" x14ac:dyDescent="0.2">
      <c r="A603" s="595"/>
      <c r="B603" s="602"/>
      <c r="C603" s="7" t="s">
        <v>1554</v>
      </c>
      <c r="D603" s="8"/>
      <c r="E603" s="23"/>
      <c r="F603" s="8"/>
      <c r="G603" s="8"/>
      <c r="H603" s="5"/>
      <c r="I603" s="5"/>
      <c r="J603" s="5"/>
      <c r="K603" s="23"/>
      <c r="L603" s="8"/>
      <c r="M603" s="8"/>
      <c r="N603" s="8"/>
      <c r="O603" s="8"/>
      <c r="P603" s="8"/>
      <c r="Q603" s="23"/>
      <c r="R603" s="113"/>
      <c r="S603" s="113"/>
      <c r="T603" s="113"/>
      <c r="U603" s="113"/>
      <c r="V603" s="113"/>
      <c r="W603" s="113"/>
      <c r="X603" s="5">
        <f t="shared" si="161"/>
        <v>0</v>
      </c>
      <c r="Y603" s="302"/>
      <c r="Z603" s="5"/>
      <c r="AA603" s="94"/>
      <c r="AB603" s="311">
        <f t="shared" si="163"/>
        <v>0</v>
      </c>
      <c r="AC603" s="296"/>
      <c r="AD603" s="113"/>
      <c r="AE603" s="5"/>
      <c r="AF603" s="5"/>
      <c r="AG603" s="5"/>
      <c r="AH603" s="5"/>
      <c r="AI603" s="5"/>
      <c r="AJ603" s="5"/>
      <c r="AK603" s="141"/>
      <c r="AL603" s="94"/>
      <c r="AM603" s="128"/>
      <c r="AN603" s="180"/>
      <c r="AO603" s="128"/>
      <c r="AP603" s="184"/>
      <c r="AQ603" s="128"/>
      <c r="AR603" s="184"/>
      <c r="AS603" s="128"/>
      <c r="AT603" s="184"/>
      <c r="AU603" s="128"/>
      <c r="AV603" s="184"/>
      <c r="AW603" s="128"/>
      <c r="AX603" s="184"/>
      <c r="AY603" s="111"/>
      <c r="AZ603" s="178"/>
      <c r="BC603" s="216"/>
      <c r="BD603" s="47"/>
      <c r="BF603" s="113"/>
      <c r="BG603" s="113"/>
      <c r="BH603" s="113"/>
      <c r="BI603" s="113"/>
      <c r="BJ603" s="113"/>
      <c r="BK603" s="113"/>
      <c r="BL603" s="5">
        <f t="shared" si="162"/>
        <v>0</v>
      </c>
    </row>
    <row r="604" spans="1:64" s="2" customFormat="1" ht="76.5" customHeight="1" outlineLevel="1" x14ac:dyDescent="0.2">
      <c r="A604" s="593" t="s">
        <v>825</v>
      </c>
      <c r="B604" s="600" t="s">
        <v>1709</v>
      </c>
      <c r="C604" s="7" t="s">
        <v>468</v>
      </c>
      <c r="D604" s="8" t="s">
        <v>397</v>
      </c>
      <c r="E604" s="23" t="s">
        <v>1241</v>
      </c>
      <c r="F604" s="8">
        <v>2012</v>
      </c>
      <c r="G604" s="8">
        <v>2015</v>
      </c>
      <c r="H604" s="5">
        <v>5.0860240000000001E-2</v>
      </c>
      <c r="I604" s="5">
        <v>1.9740999999999998E-2</v>
      </c>
      <c r="J604" s="5">
        <f>R604</f>
        <v>0.01</v>
      </c>
      <c r="K604" s="8"/>
      <c r="L604" s="23" t="s">
        <v>1241</v>
      </c>
      <c r="M604" s="8"/>
      <c r="N604" s="8"/>
      <c r="O604" s="8"/>
      <c r="P604" s="8"/>
      <c r="Q604" s="23" t="s">
        <v>1241</v>
      </c>
      <c r="R604" s="113">
        <v>0.01</v>
      </c>
      <c r="S604" s="113"/>
      <c r="T604" s="113"/>
      <c r="U604" s="113"/>
      <c r="V604" s="113"/>
      <c r="W604" s="113"/>
      <c r="X604" s="5">
        <f t="shared" si="161"/>
        <v>0.01</v>
      </c>
      <c r="Y604" s="302">
        <f>H604-H605-H606</f>
        <v>0</v>
      </c>
      <c r="Z604" s="5">
        <f>I604-I605-I606</f>
        <v>0</v>
      </c>
      <c r="AA604" s="94">
        <f>J604-J605-J606</f>
        <v>0</v>
      </c>
      <c r="AB604" s="311">
        <f t="shared" si="163"/>
        <v>9.7409999999999979E-3</v>
      </c>
      <c r="AC604" s="296"/>
      <c r="AD604" s="113"/>
      <c r="AE604" s="5"/>
      <c r="AF604" s="5"/>
      <c r="AG604" s="5">
        <f>H604</f>
        <v>5.0860240000000001E-2</v>
      </c>
      <c r="AH604" s="5"/>
      <c r="AI604" s="5"/>
      <c r="AJ604" s="5"/>
      <c r="AK604" s="141"/>
      <c r="AL604" s="94">
        <f>SUM(AF604:AK604)</f>
        <v>5.0860240000000001E-2</v>
      </c>
      <c r="AM604" s="128"/>
      <c r="AN604" s="180"/>
      <c r="AO604" s="128">
        <v>0</v>
      </c>
      <c r="AP604" s="184">
        <v>0</v>
      </c>
      <c r="AQ604" s="128"/>
      <c r="AR604" s="184"/>
      <c r="AS604" s="128"/>
      <c r="AT604" s="184"/>
      <c r="AU604" s="128"/>
      <c r="AV604" s="184"/>
      <c r="AW604" s="128"/>
      <c r="AX604" s="184"/>
      <c r="AY604" s="111">
        <f>AM604+AO604+AQ604+AS604+AU604+AW604</f>
        <v>0</v>
      </c>
      <c r="AZ604" s="178">
        <f>AN604+AP604+AR604+AT604+AV604+AX604</f>
        <v>0</v>
      </c>
      <c r="BC604" s="216"/>
      <c r="BD604" s="47"/>
      <c r="BF604" s="113">
        <v>0.01</v>
      </c>
      <c r="BG604" s="113"/>
      <c r="BH604" s="113"/>
      <c r="BI604" s="113"/>
      <c r="BJ604" s="113"/>
      <c r="BK604" s="113"/>
      <c r="BL604" s="5">
        <f t="shared" si="162"/>
        <v>0.01</v>
      </c>
    </row>
    <row r="605" spans="1:64" s="2" customFormat="1" ht="15.75" customHeight="1" outlineLevel="1" x14ac:dyDescent="0.2">
      <c r="A605" s="594"/>
      <c r="B605" s="601"/>
      <c r="C605" s="7" t="s">
        <v>1553</v>
      </c>
      <c r="D605" s="8"/>
      <c r="E605" s="23"/>
      <c r="F605" s="8"/>
      <c r="G605" s="8"/>
      <c r="H605" s="5"/>
      <c r="I605" s="5"/>
      <c r="J605" s="5"/>
      <c r="K605" s="8"/>
      <c r="L605" s="23"/>
      <c r="M605" s="8"/>
      <c r="N605" s="8"/>
      <c r="O605" s="8"/>
      <c r="P605" s="8"/>
      <c r="Q605" s="23"/>
      <c r="R605" s="113"/>
      <c r="S605" s="113"/>
      <c r="T605" s="113"/>
      <c r="U605" s="113"/>
      <c r="V605" s="113"/>
      <c r="W605" s="113"/>
      <c r="X605" s="5">
        <f t="shared" si="161"/>
        <v>0</v>
      </c>
      <c r="Y605" s="302"/>
      <c r="Z605" s="5"/>
      <c r="AA605" s="94"/>
      <c r="AB605" s="311">
        <f t="shared" si="163"/>
        <v>0</v>
      </c>
      <c r="AC605" s="296"/>
      <c r="AD605" s="113"/>
      <c r="AE605" s="5"/>
      <c r="AF605" s="5"/>
      <c r="AG605" s="5"/>
      <c r="AH605" s="5"/>
      <c r="AI605" s="5"/>
      <c r="AJ605" s="5"/>
      <c r="AK605" s="141"/>
      <c r="AL605" s="94"/>
      <c r="AM605" s="128"/>
      <c r="AN605" s="180"/>
      <c r="AO605" s="128"/>
      <c r="AP605" s="184"/>
      <c r="AQ605" s="128"/>
      <c r="AR605" s="184"/>
      <c r="AS605" s="128"/>
      <c r="AT605" s="184"/>
      <c r="AU605" s="128"/>
      <c r="AV605" s="184"/>
      <c r="AW605" s="128"/>
      <c r="AX605" s="184"/>
      <c r="AY605" s="111"/>
      <c r="AZ605" s="178"/>
      <c r="BC605" s="216"/>
      <c r="BD605" s="47"/>
      <c r="BF605" s="113"/>
      <c r="BG605" s="113"/>
      <c r="BH605" s="113"/>
      <c r="BI605" s="113"/>
      <c r="BJ605" s="113"/>
      <c r="BK605" s="113"/>
      <c r="BL605" s="5">
        <f t="shared" si="162"/>
        <v>0</v>
      </c>
    </row>
    <row r="606" spans="1:64" s="2" customFormat="1" ht="15.75" customHeight="1" outlineLevel="1" x14ac:dyDescent="0.2">
      <c r="A606" s="595"/>
      <c r="B606" s="602"/>
      <c r="C606" s="7" t="s">
        <v>1554</v>
      </c>
      <c r="D606" s="8"/>
      <c r="E606" s="23"/>
      <c r="F606" s="8"/>
      <c r="G606" s="8"/>
      <c r="H606" s="5">
        <f>H604</f>
        <v>5.0860240000000001E-2</v>
      </c>
      <c r="I606" s="5">
        <f>I604</f>
        <v>1.9740999999999998E-2</v>
      </c>
      <c r="J606" s="5">
        <f>J604</f>
        <v>0.01</v>
      </c>
      <c r="K606" s="23"/>
      <c r="L606" s="8"/>
      <c r="M606" s="8"/>
      <c r="N606" s="8"/>
      <c r="O606" s="8"/>
      <c r="P606" s="8"/>
      <c r="Q606" s="23"/>
      <c r="R606" s="113"/>
      <c r="S606" s="113"/>
      <c r="T606" s="113"/>
      <c r="U606" s="113"/>
      <c r="V606" s="113"/>
      <c r="W606" s="113"/>
      <c r="X606" s="5">
        <f t="shared" si="161"/>
        <v>0</v>
      </c>
      <c r="Y606" s="302"/>
      <c r="Z606" s="5"/>
      <c r="AA606" s="94"/>
      <c r="AB606" s="311">
        <f t="shared" si="163"/>
        <v>1.9740999999999998E-2</v>
      </c>
      <c r="AC606" s="296"/>
      <c r="AD606" s="113"/>
      <c r="AE606" s="5"/>
      <c r="AF606" s="5"/>
      <c r="AG606" s="5"/>
      <c r="AH606" s="5"/>
      <c r="AI606" s="5"/>
      <c r="AJ606" s="5"/>
      <c r="AK606" s="141"/>
      <c r="AL606" s="94"/>
      <c r="AM606" s="128"/>
      <c r="AN606" s="180"/>
      <c r="AO606" s="128"/>
      <c r="AP606" s="184"/>
      <c r="AQ606" s="128"/>
      <c r="AR606" s="184"/>
      <c r="AS606" s="128"/>
      <c r="AT606" s="184"/>
      <c r="AU606" s="128"/>
      <c r="AV606" s="184"/>
      <c r="AW606" s="128"/>
      <c r="AX606" s="184"/>
      <c r="AY606" s="111"/>
      <c r="AZ606" s="178"/>
      <c r="BC606" s="216"/>
      <c r="BD606" s="47"/>
      <c r="BF606" s="113"/>
      <c r="BG606" s="113"/>
      <c r="BH606" s="113"/>
      <c r="BI606" s="113"/>
      <c r="BJ606" s="113"/>
      <c r="BK606" s="113"/>
      <c r="BL606" s="5">
        <f t="shared" si="162"/>
        <v>0</v>
      </c>
    </row>
    <row r="607" spans="1:64" s="2" customFormat="1" ht="38.25" customHeight="1" outlineLevel="1" x14ac:dyDescent="0.2">
      <c r="A607" s="593" t="s">
        <v>826</v>
      </c>
      <c r="B607" s="600" t="s">
        <v>1710</v>
      </c>
      <c r="C607" s="7" t="s">
        <v>541</v>
      </c>
      <c r="D607" s="8" t="s">
        <v>397</v>
      </c>
      <c r="E607" s="23" t="s">
        <v>1387</v>
      </c>
      <c r="F607" s="8">
        <v>2012</v>
      </c>
      <c r="G607" s="8">
        <v>2015</v>
      </c>
      <c r="H607" s="5">
        <v>1.06094</v>
      </c>
      <c r="I607" s="5">
        <v>0.96582100000000004</v>
      </c>
      <c r="J607" s="5">
        <f>R607</f>
        <v>0.66702600000000001</v>
      </c>
      <c r="K607" s="8"/>
      <c r="L607" s="23" t="s">
        <v>1387</v>
      </c>
      <c r="M607" s="8"/>
      <c r="N607" s="8"/>
      <c r="O607" s="8"/>
      <c r="P607" s="8"/>
      <c r="Q607" s="23" t="s">
        <v>1387</v>
      </c>
      <c r="R607" s="113">
        <v>0.66702600000000001</v>
      </c>
      <c r="S607" s="113"/>
      <c r="T607" s="113"/>
      <c r="U607" s="113"/>
      <c r="V607" s="113"/>
      <c r="W607" s="113"/>
      <c r="X607" s="5">
        <f t="shared" si="161"/>
        <v>0.66702600000000001</v>
      </c>
      <c r="Y607" s="302">
        <f>H607-H608-H609</f>
        <v>0</v>
      </c>
      <c r="Z607" s="5">
        <f>I607-I608-I609</f>
        <v>0</v>
      </c>
      <c r="AA607" s="94">
        <f>J607-J608-J609</f>
        <v>-2.9740000000000322E-3</v>
      </c>
      <c r="AB607" s="311">
        <f t="shared" si="163"/>
        <v>0.29879500000000003</v>
      </c>
      <c r="AC607" s="296"/>
      <c r="AD607" s="113"/>
      <c r="AE607" s="5"/>
      <c r="AF607" s="5"/>
      <c r="AG607" s="5">
        <f>H607</f>
        <v>1.06094</v>
      </c>
      <c r="AH607" s="5"/>
      <c r="AI607" s="5"/>
      <c r="AJ607" s="5"/>
      <c r="AK607" s="141"/>
      <c r="AL607" s="94">
        <f>SUM(AF607:AK607)</f>
        <v>1.06094</v>
      </c>
      <c r="AM607" s="128"/>
      <c r="AN607" s="180"/>
      <c r="AO607" s="128">
        <v>0.5</v>
      </c>
      <c r="AP607" s="184">
        <v>0</v>
      </c>
      <c r="AQ607" s="128"/>
      <c r="AR607" s="184"/>
      <c r="AS607" s="128"/>
      <c r="AT607" s="184"/>
      <c r="AU607" s="128"/>
      <c r="AV607" s="184"/>
      <c r="AW607" s="128"/>
      <c r="AX607" s="184"/>
      <c r="AY607" s="111">
        <f>AM607+AO607+AQ607+AS607+AU607+AW607</f>
        <v>0.5</v>
      </c>
      <c r="AZ607" s="178">
        <f>AN607+AP607+AR607+AT607+AV607+AX607</f>
        <v>0</v>
      </c>
      <c r="BC607" s="216"/>
      <c r="BD607" s="47"/>
      <c r="BF607" s="113">
        <v>0.66702600000000001</v>
      </c>
      <c r="BG607" s="113"/>
      <c r="BH607" s="113"/>
      <c r="BI607" s="113"/>
      <c r="BJ607" s="113"/>
      <c r="BK607" s="113"/>
      <c r="BL607" s="5">
        <f t="shared" si="162"/>
        <v>0.66702600000000001</v>
      </c>
    </row>
    <row r="608" spans="1:64" s="2" customFormat="1" ht="15.75" customHeight="1" outlineLevel="1" x14ac:dyDescent="0.2">
      <c r="A608" s="594"/>
      <c r="B608" s="601"/>
      <c r="C608" s="7" t="s">
        <v>1553</v>
      </c>
      <c r="D608" s="8"/>
      <c r="E608" s="23"/>
      <c r="F608" s="8"/>
      <c r="G608" s="8"/>
      <c r="H608" s="5">
        <v>1.06094</v>
      </c>
      <c r="I608" s="5">
        <v>0.96582100000000004</v>
      </c>
      <c r="J608" s="5">
        <v>0.67</v>
      </c>
      <c r="K608" s="8"/>
      <c r="L608" s="23"/>
      <c r="M608" s="8"/>
      <c r="N608" s="8"/>
      <c r="O608" s="8"/>
      <c r="P608" s="8"/>
      <c r="Q608" s="23"/>
      <c r="R608" s="113"/>
      <c r="S608" s="113"/>
      <c r="T608" s="113"/>
      <c r="U608" s="113"/>
      <c r="V608" s="113"/>
      <c r="W608" s="113"/>
      <c r="X608" s="5">
        <f t="shared" si="161"/>
        <v>0</v>
      </c>
      <c r="Y608" s="302"/>
      <c r="Z608" s="5"/>
      <c r="AA608" s="94"/>
      <c r="AB608" s="311">
        <f t="shared" si="163"/>
        <v>0.96582100000000004</v>
      </c>
      <c r="AC608" s="296"/>
      <c r="AD608" s="113"/>
      <c r="AE608" s="5"/>
      <c r="AF608" s="5"/>
      <c r="AG608" s="5"/>
      <c r="AH608" s="5"/>
      <c r="AI608" s="5"/>
      <c r="AJ608" s="5"/>
      <c r="AK608" s="141"/>
      <c r="AL608" s="94"/>
      <c r="AM608" s="128"/>
      <c r="AN608" s="180"/>
      <c r="AO608" s="128"/>
      <c r="AP608" s="184"/>
      <c r="AQ608" s="128"/>
      <c r="AR608" s="184"/>
      <c r="AS608" s="128"/>
      <c r="AT608" s="184"/>
      <c r="AU608" s="128"/>
      <c r="AV608" s="184"/>
      <c r="AW608" s="128"/>
      <c r="AX608" s="184"/>
      <c r="AY608" s="111"/>
      <c r="AZ608" s="178"/>
      <c r="BC608" s="216"/>
      <c r="BD608" s="47"/>
      <c r="BF608" s="113"/>
      <c r="BG608" s="113"/>
      <c r="BH608" s="113"/>
      <c r="BI608" s="113"/>
      <c r="BJ608" s="113"/>
      <c r="BK608" s="113"/>
      <c r="BL608" s="5">
        <f t="shared" si="162"/>
        <v>0</v>
      </c>
    </row>
    <row r="609" spans="1:64" s="2" customFormat="1" ht="15.75" customHeight="1" outlineLevel="1" x14ac:dyDescent="0.2">
      <c r="A609" s="595"/>
      <c r="B609" s="602"/>
      <c r="C609" s="7" t="s">
        <v>1554</v>
      </c>
      <c r="D609" s="8"/>
      <c r="E609" s="23"/>
      <c r="F609" s="8"/>
      <c r="G609" s="8"/>
      <c r="H609" s="5"/>
      <c r="I609" s="5"/>
      <c r="J609" s="5"/>
      <c r="K609" s="23"/>
      <c r="L609" s="8"/>
      <c r="M609" s="8"/>
      <c r="N609" s="8"/>
      <c r="O609" s="8"/>
      <c r="P609" s="8"/>
      <c r="Q609" s="23"/>
      <c r="R609" s="113"/>
      <c r="S609" s="113"/>
      <c r="T609" s="113"/>
      <c r="U609" s="113"/>
      <c r="V609" s="113"/>
      <c r="W609" s="113"/>
      <c r="X609" s="5">
        <f t="shared" si="161"/>
        <v>0</v>
      </c>
      <c r="Y609" s="302"/>
      <c r="Z609" s="5"/>
      <c r="AA609" s="94"/>
      <c r="AB609" s="311">
        <f t="shared" si="163"/>
        <v>0</v>
      </c>
      <c r="AC609" s="296"/>
      <c r="AD609" s="113"/>
      <c r="AE609" s="5"/>
      <c r="AF609" s="5"/>
      <c r="AG609" s="5"/>
      <c r="AH609" s="5"/>
      <c r="AI609" s="5"/>
      <c r="AJ609" s="5"/>
      <c r="AK609" s="141"/>
      <c r="AL609" s="94"/>
      <c r="AM609" s="128"/>
      <c r="AN609" s="180"/>
      <c r="AO609" s="128"/>
      <c r="AP609" s="184"/>
      <c r="AQ609" s="128"/>
      <c r="AR609" s="184"/>
      <c r="AS609" s="128"/>
      <c r="AT609" s="184"/>
      <c r="AU609" s="128"/>
      <c r="AV609" s="184"/>
      <c r="AW609" s="128"/>
      <c r="AX609" s="184"/>
      <c r="AY609" s="111"/>
      <c r="AZ609" s="178"/>
      <c r="BC609" s="216"/>
      <c r="BD609" s="47"/>
      <c r="BF609" s="113"/>
      <c r="BG609" s="113"/>
      <c r="BH609" s="113"/>
      <c r="BI609" s="113"/>
      <c r="BJ609" s="113"/>
      <c r="BK609" s="113"/>
      <c r="BL609" s="5">
        <f t="shared" si="162"/>
        <v>0</v>
      </c>
    </row>
    <row r="610" spans="1:64" s="2" customFormat="1" ht="51" customHeight="1" outlineLevel="1" x14ac:dyDescent="0.2">
      <c r="A610" s="593" t="s">
        <v>827</v>
      </c>
      <c r="B610" s="600" t="s">
        <v>1711</v>
      </c>
      <c r="C610" s="7" t="s">
        <v>469</v>
      </c>
      <c r="D610" s="8" t="s">
        <v>397</v>
      </c>
      <c r="E610" s="23" t="s">
        <v>335</v>
      </c>
      <c r="F610" s="8">
        <v>2012</v>
      </c>
      <c r="G610" s="8">
        <v>2015</v>
      </c>
      <c r="H610" s="5">
        <v>0.21218999999999999</v>
      </c>
      <c r="I610" s="5">
        <v>0.19154599999999999</v>
      </c>
      <c r="J610" s="5">
        <f>R610</f>
        <v>1.0607E-2</v>
      </c>
      <c r="K610" s="8"/>
      <c r="L610" s="23" t="s">
        <v>335</v>
      </c>
      <c r="M610" s="8"/>
      <c r="N610" s="8"/>
      <c r="O610" s="8"/>
      <c r="P610" s="8"/>
      <c r="Q610" s="23" t="s">
        <v>335</v>
      </c>
      <c r="R610" s="113">
        <v>1.0607E-2</v>
      </c>
      <c r="S610" s="113"/>
      <c r="T610" s="113"/>
      <c r="U610" s="113"/>
      <c r="V610" s="113"/>
      <c r="W610" s="113"/>
      <c r="X610" s="5">
        <f t="shared" si="161"/>
        <v>1.0607E-2</v>
      </c>
      <c r="Y610" s="302">
        <f>H610-H611-H612</f>
        <v>0</v>
      </c>
      <c r="Z610" s="5">
        <f>I610-I611-I612</f>
        <v>0</v>
      </c>
      <c r="AA610" s="94">
        <f>J610-J611-J612</f>
        <v>0</v>
      </c>
      <c r="AB610" s="311">
        <f t="shared" si="163"/>
        <v>0.18093899999999999</v>
      </c>
      <c r="AC610" s="296"/>
      <c r="AD610" s="113"/>
      <c r="AE610" s="5"/>
      <c r="AF610" s="5"/>
      <c r="AG610" s="5">
        <f>H610</f>
        <v>0.21218999999999999</v>
      </c>
      <c r="AH610" s="5"/>
      <c r="AI610" s="5"/>
      <c r="AJ610" s="5"/>
      <c r="AK610" s="141"/>
      <c r="AL610" s="94">
        <f>SUM(AF610:AK610)</f>
        <v>0.21218999999999999</v>
      </c>
      <c r="AM610" s="128"/>
      <c r="AN610" s="180"/>
      <c r="AO610" s="128">
        <v>0.1</v>
      </c>
      <c r="AP610" s="184">
        <v>0</v>
      </c>
      <c r="AQ610" s="128"/>
      <c r="AR610" s="184"/>
      <c r="AS610" s="128"/>
      <c r="AT610" s="184"/>
      <c r="AU610" s="128"/>
      <c r="AV610" s="184"/>
      <c r="AW610" s="128"/>
      <c r="AX610" s="184"/>
      <c r="AY610" s="111">
        <f>AM610+AO610+AQ610+AS610+AU610+AW610</f>
        <v>0.1</v>
      </c>
      <c r="AZ610" s="178">
        <f>AN610+AP610+AR610+AT610+AV610+AX610</f>
        <v>0</v>
      </c>
      <c r="BC610" s="216"/>
      <c r="BD610" s="47"/>
      <c r="BF610" s="113">
        <v>1.0607E-2</v>
      </c>
      <c r="BG610" s="113"/>
      <c r="BH610" s="113"/>
      <c r="BI610" s="113"/>
      <c r="BJ610" s="113"/>
      <c r="BK610" s="113"/>
      <c r="BL610" s="5">
        <f t="shared" si="162"/>
        <v>1.0607E-2</v>
      </c>
    </row>
    <row r="611" spans="1:64" s="2" customFormat="1" ht="15.75" customHeight="1" outlineLevel="1" x14ac:dyDescent="0.2">
      <c r="A611" s="594"/>
      <c r="B611" s="601"/>
      <c r="C611" s="7" t="s">
        <v>1553</v>
      </c>
      <c r="D611" s="8"/>
      <c r="E611" s="23"/>
      <c r="F611" s="8"/>
      <c r="G611" s="8"/>
      <c r="H611" s="5"/>
      <c r="I611" s="5"/>
      <c r="J611" s="5"/>
      <c r="K611" s="8"/>
      <c r="L611" s="23"/>
      <c r="M611" s="8"/>
      <c r="N611" s="8"/>
      <c r="O611" s="8"/>
      <c r="P611" s="8"/>
      <c r="Q611" s="23"/>
      <c r="R611" s="113"/>
      <c r="S611" s="113"/>
      <c r="T611" s="113"/>
      <c r="U611" s="113"/>
      <c r="V611" s="113"/>
      <c r="W611" s="113"/>
      <c r="X611" s="5">
        <f t="shared" si="161"/>
        <v>0</v>
      </c>
      <c r="Y611" s="302"/>
      <c r="Z611" s="5"/>
      <c r="AA611" s="94"/>
      <c r="AB611" s="311">
        <f t="shared" si="163"/>
        <v>0</v>
      </c>
      <c r="AC611" s="296"/>
      <c r="AD611" s="113"/>
      <c r="AE611" s="5"/>
      <c r="AF611" s="5"/>
      <c r="AG611" s="5"/>
      <c r="AH611" s="5"/>
      <c r="AI611" s="5"/>
      <c r="AJ611" s="5"/>
      <c r="AK611" s="141"/>
      <c r="AL611" s="94"/>
      <c r="AM611" s="128"/>
      <c r="AN611" s="180"/>
      <c r="AO611" s="128"/>
      <c r="AP611" s="184"/>
      <c r="AQ611" s="128"/>
      <c r="AR611" s="184"/>
      <c r="AS611" s="128"/>
      <c r="AT611" s="184"/>
      <c r="AU611" s="128"/>
      <c r="AV611" s="184"/>
      <c r="AW611" s="128"/>
      <c r="AX611" s="184"/>
      <c r="AY611" s="111"/>
      <c r="AZ611" s="178"/>
      <c r="BC611" s="216"/>
      <c r="BD611" s="47"/>
      <c r="BF611" s="113"/>
      <c r="BG611" s="113"/>
      <c r="BH611" s="113"/>
      <c r="BI611" s="113"/>
      <c r="BJ611" s="113"/>
      <c r="BK611" s="113"/>
      <c r="BL611" s="5">
        <f t="shared" si="162"/>
        <v>0</v>
      </c>
    </row>
    <row r="612" spans="1:64" s="2" customFormat="1" ht="15.75" customHeight="1" outlineLevel="1" x14ac:dyDescent="0.2">
      <c r="A612" s="595"/>
      <c r="B612" s="602"/>
      <c r="C612" s="7" t="s">
        <v>1554</v>
      </c>
      <c r="D612" s="8"/>
      <c r="E612" s="23"/>
      <c r="F612" s="8"/>
      <c r="G612" s="8"/>
      <c r="H612" s="5">
        <v>0.21218999999999999</v>
      </c>
      <c r="I612" s="5">
        <v>0.19154599999999999</v>
      </c>
      <c r="J612" s="5">
        <v>1.0607E-2</v>
      </c>
      <c r="K612" s="23"/>
      <c r="L612" s="8"/>
      <c r="M612" s="8"/>
      <c r="N612" s="8"/>
      <c r="O612" s="8"/>
      <c r="P612" s="8"/>
      <c r="Q612" s="23"/>
      <c r="R612" s="113"/>
      <c r="S612" s="113"/>
      <c r="T612" s="113"/>
      <c r="U612" s="113"/>
      <c r="V612" s="113"/>
      <c r="W612" s="113"/>
      <c r="X612" s="5">
        <f t="shared" si="161"/>
        <v>0</v>
      </c>
      <c r="Y612" s="302"/>
      <c r="Z612" s="5"/>
      <c r="AA612" s="94"/>
      <c r="AB612" s="311">
        <f t="shared" si="163"/>
        <v>0.19154599999999999</v>
      </c>
      <c r="AC612" s="296"/>
      <c r="AD612" s="113"/>
      <c r="AE612" s="5"/>
      <c r="AF612" s="5"/>
      <c r="AG612" s="5"/>
      <c r="AH612" s="5"/>
      <c r="AI612" s="5"/>
      <c r="AJ612" s="5"/>
      <c r="AK612" s="141"/>
      <c r="AL612" s="94"/>
      <c r="AM612" s="128"/>
      <c r="AN612" s="180"/>
      <c r="AO612" s="128"/>
      <c r="AP612" s="184"/>
      <c r="AQ612" s="128"/>
      <c r="AR612" s="184"/>
      <c r="AS612" s="128"/>
      <c r="AT612" s="184"/>
      <c r="AU612" s="128"/>
      <c r="AV612" s="184"/>
      <c r="AW612" s="128"/>
      <c r="AX612" s="184"/>
      <c r="AY612" s="111"/>
      <c r="AZ612" s="178"/>
      <c r="BC612" s="216"/>
      <c r="BD612" s="47"/>
      <c r="BF612" s="113"/>
      <c r="BG612" s="113"/>
      <c r="BH612" s="113"/>
      <c r="BI612" s="113"/>
      <c r="BJ612" s="113"/>
      <c r="BK612" s="113"/>
      <c r="BL612" s="5">
        <f t="shared" si="162"/>
        <v>0</v>
      </c>
    </row>
    <row r="613" spans="1:64" s="2" customFormat="1" ht="63.75" customHeight="1" outlineLevel="1" x14ac:dyDescent="0.2">
      <c r="A613" s="593" t="s">
        <v>828</v>
      </c>
      <c r="B613" s="600" t="s">
        <v>1712</v>
      </c>
      <c r="C613" s="7" t="s">
        <v>470</v>
      </c>
      <c r="D613" s="8" t="s">
        <v>397</v>
      </c>
      <c r="E613" s="23" t="s">
        <v>1241</v>
      </c>
      <c r="F613" s="8">
        <v>2012</v>
      </c>
      <c r="G613" s="8">
        <v>2015</v>
      </c>
      <c r="H613" s="5">
        <v>2.8039999999999999E-2</v>
      </c>
      <c r="I613" s="5">
        <v>1.3989E-2</v>
      </c>
      <c r="J613" s="5">
        <f>R613</f>
        <v>0.01</v>
      </c>
      <c r="K613" s="8"/>
      <c r="L613" s="23" t="s">
        <v>1241</v>
      </c>
      <c r="M613" s="8"/>
      <c r="N613" s="8"/>
      <c r="O613" s="8"/>
      <c r="P613" s="8"/>
      <c r="Q613" s="23" t="s">
        <v>1241</v>
      </c>
      <c r="R613" s="113">
        <v>0.01</v>
      </c>
      <c r="S613" s="113"/>
      <c r="T613" s="113"/>
      <c r="U613" s="113"/>
      <c r="V613" s="113"/>
      <c r="W613" s="113"/>
      <c r="X613" s="5">
        <f t="shared" si="161"/>
        <v>0.01</v>
      </c>
      <c r="Y613" s="302">
        <f>H613-H614-H615</f>
        <v>0</v>
      </c>
      <c r="Z613" s="5">
        <f>I613-I614-I615</f>
        <v>0</v>
      </c>
      <c r="AA613" s="94">
        <f>J613-J614-J615</f>
        <v>-9.9999999999999915E-4</v>
      </c>
      <c r="AB613" s="311">
        <f t="shared" si="163"/>
        <v>3.9889999999999995E-3</v>
      </c>
      <c r="AC613" s="296"/>
      <c r="AD613" s="113"/>
      <c r="AE613" s="5"/>
      <c r="AF613" s="5"/>
      <c r="AG613" s="5">
        <f>H613</f>
        <v>2.8039999999999999E-2</v>
      </c>
      <c r="AH613" s="5"/>
      <c r="AI613" s="5"/>
      <c r="AJ613" s="5"/>
      <c r="AK613" s="141"/>
      <c r="AL613" s="94">
        <f>SUM(AF613:AK613)</f>
        <v>2.8039999999999999E-2</v>
      </c>
      <c r="AM613" s="128"/>
      <c r="AN613" s="180"/>
      <c r="AO613" s="128">
        <v>0</v>
      </c>
      <c r="AP613" s="184">
        <v>0</v>
      </c>
      <c r="AQ613" s="128"/>
      <c r="AR613" s="184"/>
      <c r="AS613" s="128"/>
      <c r="AT613" s="184"/>
      <c r="AU613" s="128"/>
      <c r="AV613" s="184"/>
      <c r="AW613" s="128"/>
      <c r="AX613" s="184"/>
      <c r="AY613" s="111">
        <f>AM613+AO613+AQ613+AS613+AU613+AW613</f>
        <v>0</v>
      </c>
      <c r="AZ613" s="178">
        <f>AN613+AP613+AR613+AT613+AV613+AX613</f>
        <v>0</v>
      </c>
      <c r="BC613" s="216"/>
      <c r="BD613" s="47"/>
      <c r="BF613" s="113">
        <v>0.01</v>
      </c>
      <c r="BG613" s="113"/>
      <c r="BH613" s="113"/>
      <c r="BI613" s="113"/>
      <c r="BJ613" s="113"/>
      <c r="BK613" s="113"/>
      <c r="BL613" s="5">
        <f t="shared" si="162"/>
        <v>0.01</v>
      </c>
    </row>
    <row r="614" spans="1:64" s="2" customFormat="1" ht="14.1" customHeight="1" outlineLevel="1" x14ac:dyDescent="0.2">
      <c r="A614" s="594"/>
      <c r="B614" s="601"/>
      <c r="C614" s="7" t="s">
        <v>1553</v>
      </c>
      <c r="D614" s="8"/>
      <c r="E614" s="23"/>
      <c r="F614" s="8"/>
      <c r="G614" s="8"/>
      <c r="H614" s="5"/>
      <c r="I614" s="5"/>
      <c r="J614" s="5"/>
      <c r="K614" s="8"/>
      <c r="L614" s="23"/>
      <c r="M614" s="8"/>
      <c r="N614" s="8"/>
      <c r="O614" s="8"/>
      <c r="P614" s="8"/>
      <c r="Q614" s="23"/>
      <c r="R614" s="113"/>
      <c r="S614" s="113"/>
      <c r="T614" s="113"/>
      <c r="U614" s="113"/>
      <c r="V614" s="113"/>
      <c r="W614" s="113"/>
      <c r="X614" s="5">
        <f t="shared" si="161"/>
        <v>0</v>
      </c>
      <c r="Y614" s="302"/>
      <c r="Z614" s="5"/>
      <c r="AA614" s="94"/>
      <c r="AB614" s="311">
        <f t="shared" si="163"/>
        <v>0</v>
      </c>
      <c r="AC614" s="296"/>
      <c r="AD614" s="113"/>
      <c r="AE614" s="5"/>
      <c r="AF614" s="5"/>
      <c r="AG614" s="5"/>
      <c r="AH614" s="5"/>
      <c r="AI614" s="5"/>
      <c r="AJ614" s="5"/>
      <c r="AK614" s="141"/>
      <c r="AL614" s="94"/>
      <c r="AM614" s="128"/>
      <c r="AN614" s="180"/>
      <c r="AO614" s="128"/>
      <c r="AP614" s="184"/>
      <c r="AQ614" s="128"/>
      <c r="AR614" s="184"/>
      <c r="AS614" s="128"/>
      <c r="AT614" s="184"/>
      <c r="AU614" s="128"/>
      <c r="AV614" s="184"/>
      <c r="AW614" s="128"/>
      <c r="AX614" s="184"/>
      <c r="AY614" s="111"/>
      <c r="AZ614" s="178"/>
      <c r="BC614" s="216"/>
      <c r="BD614" s="47"/>
      <c r="BF614" s="113"/>
      <c r="BG614" s="113"/>
      <c r="BH614" s="113"/>
      <c r="BI614" s="113"/>
      <c r="BJ614" s="113"/>
      <c r="BK614" s="113"/>
      <c r="BL614" s="5">
        <f t="shared" si="162"/>
        <v>0</v>
      </c>
    </row>
    <row r="615" spans="1:64" s="2" customFormat="1" ht="14.1" customHeight="1" outlineLevel="1" x14ac:dyDescent="0.2">
      <c r="A615" s="595"/>
      <c r="B615" s="602"/>
      <c r="C615" s="7" t="s">
        <v>1554</v>
      </c>
      <c r="D615" s="8"/>
      <c r="E615" s="23"/>
      <c r="F615" s="8"/>
      <c r="G615" s="8"/>
      <c r="H615" s="5">
        <v>2.8039999999999999E-2</v>
      </c>
      <c r="I615" s="5">
        <v>1.3989E-2</v>
      </c>
      <c r="J615" s="5">
        <v>1.0999999999999999E-2</v>
      </c>
      <c r="K615" s="23"/>
      <c r="L615" s="8"/>
      <c r="M615" s="8"/>
      <c r="N615" s="8"/>
      <c r="O615" s="8"/>
      <c r="P615" s="8"/>
      <c r="Q615" s="23"/>
      <c r="R615" s="113"/>
      <c r="S615" s="113"/>
      <c r="T615" s="113"/>
      <c r="U615" s="113"/>
      <c r="V615" s="113"/>
      <c r="W615" s="113"/>
      <c r="X615" s="5">
        <f t="shared" si="161"/>
        <v>0</v>
      </c>
      <c r="Y615" s="302"/>
      <c r="Z615" s="5"/>
      <c r="AA615" s="94"/>
      <c r="AB615" s="311">
        <f t="shared" si="163"/>
        <v>1.3989E-2</v>
      </c>
      <c r="AC615" s="296"/>
      <c r="AD615" s="113"/>
      <c r="AE615" s="5"/>
      <c r="AF615" s="5"/>
      <c r="AG615" s="5"/>
      <c r="AH615" s="5"/>
      <c r="AI615" s="5"/>
      <c r="AJ615" s="5"/>
      <c r="AK615" s="141"/>
      <c r="AL615" s="94"/>
      <c r="AM615" s="128"/>
      <c r="AN615" s="180"/>
      <c r="AO615" s="128"/>
      <c r="AP615" s="184"/>
      <c r="AQ615" s="128"/>
      <c r="AR615" s="184"/>
      <c r="AS615" s="128"/>
      <c r="AT615" s="184"/>
      <c r="AU615" s="128"/>
      <c r="AV615" s="184"/>
      <c r="AW615" s="128"/>
      <c r="AX615" s="184"/>
      <c r="AY615" s="111"/>
      <c r="AZ615" s="178"/>
      <c r="BC615" s="216"/>
      <c r="BD615" s="47"/>
      <c r="BF615" s="113"/>
      <c r="BG615" s="113"/>
      <c r="BH615" s="113"/>
      <c r="BI615" s="113"/>
      <c r="BJ615" s="113"/>
      <c r="BK615" s="113"/>
      <c r="BL615" s="5">
        <f t="shared" si="162"/>
        <v>0</v>
      </c>
    </row>
    <row r="616" spans="1:64" s="2" customFormat="1" ht="76.5" outlineLevel="1" x14ac:dyDescent="0.2">
      <c r="A616" s="593" t="s">
        <v>829</v>
      </c>
      <c r="B616" s="600" t="s">
        <v>1713</v>
      </c>
      <c r="C616" s="7" t="s">
        <v>471</v>
      </c>
      <c r="D616" s="8" t="s">
        <v>397</v>
      </c>
      <c r="E616" s="23" t="s">
        <v>1241</v>
      </c>
      <c r="F616" s="8">
        <v>2012</v>
      </c>
      <c r="G616" s="8">
        <v>2014</v>
      </c>
      <c r="H616" s="5">
        <v>2.8039999999999999E-2</v>
      </c>
      <c r="I616" s="5">
        <v>0.01</v>
      </c>
      <c r="J616" s="5">
        <f>R616</f>
        <v>0.01</v>
      </c>
      <c r="K616" s="23" t="s">
        <v>1241</v>
      </c>
      <c r="L616" s="8"/>
      <c r="M616" s="8"/>
      <c r="N616" s="8"/>
      <c r="O616" s="8"/>
      <c r="P616" s="8"/>
      <c r="Q616" s="23" t="s">
        <v>1241</v>
      </c>
      <c r="R616" s="113">
        <v>0.01</v>
      </c>
      <c r="S616" s="113"/>
      <c r="T616" s="113"/>
      <c r="U616" s="113"/>
      <c r="V616" s="113"/>
      <c r="W616" s="113"/>
      <c r="X616" s="5">
        <f t="shared" si="161"/>
        <v>0.01</v>
      </c>
      <c r="Y616" s="302">
        <f>H616-H617-H618</f>
        <v>0</v>
      </c>
      <c r="Z616" s="5">
        <f>I616-I617-I618</f>
        <v>0</v>
      </c>
      <c r="AA616" s="94">
        <f>J616-J617-J618</f>
        <v>-9.9999999999999915E-4</v>
      </c>
      <c r="AB616" s="311">
        <f t="shared" si="163"/>
        <v>0</v>
      </c>
      <c r="AC616" s="296"/>
      <c r="AD616" s="113"/>
      <c r="AE616" s="5"/>
      <c r="AF616" s="5">
        <f>H616</f>
        <v>2.8039999999999999E-2</v>
      </c>
      <c r="AG616" s="5"/>
      <c r="AH616" s="5"/>
      <c r="AI616" s="5"/>
      <c r="AJ616" s="5"/>
      <c r="AK616" s="141"/>
      <c r="AL616" s="94">
        <f>SUM(AF616:AK616)</f>
        <v>2.8039999999999999E-2</v>
      </c>
      <c r="AM616" s="128">
        <v>0</v>
      </c>
      <c r="AN616" s="180">
        <v>0</v>
      </c>
      <c r="AO616" s="128"/>
      <c r="AP616" s="184"/>
      <c r="AQ616" s="128"/>
      <c r="AR616" s="184"/>
      <c r="AS616" s="128"/>
      <c r="AT616" s="184"/>
      <c r="AU616" s="128"/>
      <c r="AV616" s="184"/>
      <c r="AW616" s="128"/>
      <c r="AX616" s="184"/>
      <c r="AY616" s="111">
        <f>AM616+AO616+AQ616+AS616+AU616+AW616</f>
        <v>0</v>
      </c>
      <c r="AZ616" s="178">
        <f>AN616+AP616+AR616+AT616+AV616+AX616</f>
        <v>0</v>
      </c>
      <c r="BC616" s="47"/>
      <c r="BD616" s="47"/>
      <c r="BF616" s="113">
        <v>0.01</v>
      </c>
      <c r="BG616" s="113"/>
      <c r="BH616" s="113"/>
      <c r="BI616" s="113"/>
      <c r="BJ616" s="113"/>
      <c r="BK616" s="113"/>
      <c r="BL616" s="5">
        <f t="shared" si="162"/>
        <v>0.01</v>
      </c>
    </row>
    <row r="617" spans="1:64" s="2" customFormat="1" ht="14.1" customHeight="1" outlineLevel="1" x14ac:dyDescent="0.2">
      <c r="A617" s="594"/>
      <c r="B617" s="601"/>
      <c r="C617" s="7" t="s">
        <v>1553</v>
      </c>
      <c r="D617" s="8"/>
      <c r="E617" s="23"/>
      <c r="F617" s="8"/>
      <c r="G617" s="8"/>
      <c r="H617" s="5"/>
      <c r="I617" s="5"/>
      <c r="J617" s="5"/>
      <c r="K617" s="8"/>
      <c r="L617" s="23"/>
      <c r="M617" s="8"/>
      <c r="N617" s="8"/>
      <c r="O617" s="8"/>
      <c r="P617" s="8"/>
      <c r="Q617" s="23"/>
      <c r="R617" s="113"/>
      <c r="S617" s="113"/>
      <c r="T617" s="113"/>
      <c r="U617" s="113"/>
      <c r="V617" s="113"/>
      <c r="W617" s="113"/>
      <c r="X617" s="5">
        <f t="shared" si="161"/>
        <v>0</v>
      </c>
      <c r="Y617" s="302"/>
      <c r="Z617" s="5"/>
      <c r="AA617" s="94"/>
      <c r="AB617" s="311">
        <f t="shared" si="163"/>
        <v>0</v>
      </c>
      <c r="AC617" s="296"/>
      <c r="AD617" s="113"/>
      <c r="AE617" s="5"/>
      <c r="AF617" s="5"/>
      <c r="AG617" s="5"/>
      <c r="AH617" s="5"/>
      <c r="AI617" s="5"/>
      <c r="AJ617" s="5"/>
      <c r="AK617" s="141"/>
      <c r="AL617" s="94"/>
      <c r="AM617" s="128"/>
      <c r="AN617" s="180"/>
      <c r="AO617" s="128"/>
      <c r="AP617" s="184"/>
      <c r="AQ617" s="128"/>
      <c r="AR617" s="184"/>
      <c r="AS617" s="128"/>
      <c r="AT617" s="184"/>
      <c r="AU617" s="128"/>
      <c r="AV617" s="184"/>
      <c r="AW617" s="128"/>
      <c r="AX617" s="184"/>
      <c r="AY617" s="111"/>
      <c r="AZ617" s="178"/>
      <c r="BC617" s="216"/>
      <c r="BD617" s="47"/>
      <c r="BF617" s="113"/>
      <c r="BG617" s="113"/>
      <c r="BH617" s="113"/>
      <c r="BI617" s="113"/>
      <c r="BJ617" s="113"/>
      <c r="BK617" s="113"/>
      <c r="BL617" s="5">
        <f t="shared" si="162"/>
        <v>0</v>
      </c>
    </row>
    <row r="618" spans="1:64" s="2" customFormat="1" ht="14.1" customHeight="1" outlineLevel="1" x14ac:dyDescent="0.2">
      <c r="A618" s="595"/>
      <c r="B618" s="602"/>
      <c r="C618" s="7" t="s">
        <v>1554</v>
      </c>
      <c r="D618" s="8"/>
      <c r="E618" s="23"/>
      <c r="F618" s="8"/>
      <c r="G618" s="8"/>
      <c r="H618" s="5">
        <v>2.8039999999999999E-2</v>
      </c>
      <c r="I618" s="5">
        <v>0.01</v>
      </c>
      <c r="J618" s="5">
        <v>1.0999999999999999E-2</v>
      </c>
      <c r="K618" s="23"/>
      <c r="L618" s="8"/>
      <c r="M618" s="8"/>
      <c r="N618" s="8"/>
      <c r="O618" s="8"/>
      <c r="P618" s="8"/>
      <c r="Q618" s="23"/>
      <c r="R618" s="113"/>
      <c r="S618" s="113"/>
      <c r="T618" s="113"/>
      <c r="U618" s="113"/>
      <c r="V618" s="113"/>
      <c r="W618" s="113"/>
      <c r="X618" s="5">
        <f t="shared" si="161"/>
        <v>0</v>
      </c>
      <c r="Y618" s="302"/>
      <c r="Z618" s="5"/>
      <c r="AA618" s="94"/>
      <c r="AB618" s="311">
        <f t="shared" si="163"/>
        <v>0.01</v>
      </c>
      <c r="AC618" s="296"/>
      <c r="AD618" s="113"/>
      <c r="AE618" s="5"/>
      <c r="AF618" s="5"/>
      <c r="AG618" s="5"/>
      <c r="AH618" s="5"/>
      <c r="AI618" s="5"/>
      <c r="AJ618" s="5"/>
      <c r="AK618" s="141"/>
      <c r="AL618" s="94"/>
      <c r="AM618" s="128"/>
      <c r="AN618" s="180"/>
      <c r="AO618" s="128"/>
      <c r="AP618" s="184"/>
      <c r="AQ618" s="128"/>
      <c r="AR618" s="184"/>
      <c r="AS618" s="128"/>
      <c r="AT618" s="184"/>
      <c r="AU618" s="128"/>
      <c r="AV618" s="184"/>
      <c r="AW618" s="128"/>
      <c r="AX618" s="184"/>
      <c r="AY618" s="111"/>
      <c r="AZ618" s="178"/>
      <c r="BC618" s="216"/>
      <c r="BD618" s="47"/>
      <c r="BF618" s="113"/>
      <c r="BG618" s="113"/>
      <c r="BH618" s="113"/>
      <c r="BI618" s="113"/>
      <c r="BJ618" s="113"/>
      <c r="BK618" s="113"/>
      <c r="BL618" s="5">
        <f t="shared" si="162"/>
        <v>0</v>
      </c>
    </row>
    <row r="619" spans="1:64" s="2" customFormat="1" ht="77.25" customHeight="1" outlineLevel="1" x14ac:dyDescent="0.2">
      <c r="A619" s="593" t="s">
        <v>830</v>
      </c>
      <c r="B619" s="600" t="s">
        <v>1714</v>
      </c>
      <c r="C619" s="7" t="s">
        <v>472</v>
      </c>
      <c r="D619" s="8" t="s">
        <v>397</v>
      </c>
      <c r="E619" s="23" t="s">
        <v>346</v>
      </c>
      <c r="F619" s="8">
        <v>2012</v>
      </c>
      <c r="G619" s="8">
        <v>2015</v>
      </c>
      <c r="H619" s="5">
        <v>0.28285295999999999</v>
      </c>
      <c r="I619" s="5">
        <v>3.5158999999999996E-2</v>
      </c>
      <c r="J619" s="5">
        <f>R619</f>
        <v>0.01</v>
      </c>
      <c r="K619" s="8"/>
      <c r="L619" s="23" t="s">
        <v>346</v>
      </c>
      <c r="M619" s="8"/>
      <c r="N619" s="8"/>
      <c r="O619" s="8"/>
      <c r="P619" s="8"/>
      <c r="Q619" s="23" t="s">
        <v>346</v>
      </c>
      <c r="R619" s="113">
        <v>0.01</v>
      </c>
      <c r="S619" s="113"/>
      <c r="T619" s="113"/>
      <c r="U619" s="113"/>
      <c r="V619" s="113"/>
      <c r="W619" s="113"/>
      <c r="X619" s="5">
        <f t="shared" si="161"/>
        <v>0.01</v>
      </c>
      <c r="Y619" s="302">
        <f>H619-H620-H621</f>
        <v>0</v>
      </c>
      <c r="Z619" s="5">
        <f>I619-I620-I621</f>
        <v>0</v>
      </c>
      <c r="AA619" s="94">
        <f>J619-J620-J621</f>
        <v>0</v>
      </c>
      <c r="AB619" s="311">
        <f t="shared" si="163"/>
        <v>2.5158999999999994E-2</v>
      </c>
      <c r="AC619" s="296"/>
      <c r="AD619" s="113"/>
      <c r="AE619" s="5"/>
      <c r="AF619" s="5"/>
      <c r="AG619" s="5">
        <f>H619</f>
        <v>0.28285295999999999</v>
      </c>
      <c r="AH619" s="5"/>
      <c r="AI619" s="5"/>
      <c r="AJ619" s="5"/>
      <c r="AK619" s="141"/>
      <c r="AL619" s="94">
        <f>SUM(AF619:AK619)</f>
        <v>0.28285295999999999</v>
      </c>
      <c r="AM619" s="128"/>
      <c r="AN619" s="180"/>
      <c r="AO619" s="128">
        <v>0.15</v>
      </c>
      <c r="AP619" s="184">
        <v>0</v>
      </c>
      <c r="AQ619" s="128"/>
      <c r="AR619" s="184"/>
      <c r="AS619" s="128"/>
      <c r="AT619" s="184"/>
      <c r="AU619" s="128"/>
      <c r="AV619" s="184"/>
      <c r="AW619" s="128"/>
      <c r="AX619" s="184"/>
      <c r="AY619" s="111">
        <f>AM619+AO619+AQ619+AS619+AU619+AW619</f>
        <v>0.15</v>
      </c>
      <c r="AZ619" s="178">
        <f>AN619+AP619+AR619+AT619+AV619+AX619</f>
        <v>0</v>
      </c>
      <c r="BC619" s="216"/>
      <c r="BD619" s="47"/>
      <c r="BF619" s="113">
        <v>0.01</v>
      </c>
      <c r="BG619" s="113"/>
      <c r="BH619" s="113"/>
      <c r="BI619" s="113"/>
      <c r="BJ619" s="113"/>
      <c r="BK619" s="113"/>
      <c r="BL619" s="5">
        <f t="shared" si="162"/>
        <v>0.01</v>
      </c>
    </row>
    <row r="620" spans="1:64" s="2" customFormat="1" ht="14.1" customHeight="1" outlineLevel="1" x14ac:dyDescent="0.2">
      <c r="A620" s="594"/>
      <c r="B620" s="601"/>
      <c r="C620" s="7" t="s">
        <v>1553</v>
      </c>
      <c r="D620" s="8"/>
      <c r="E620" s="23"/>
      <c r="F620" s="8"/>
      <c r="G620" s="8"/>
      <c r="H620" s="5"/>
      <c r="I620" s="5"/>
      <c r="J620" s="5"/>
      <c r="K620" s="8"/>
      <c r="L620" s="23"/>
      <c r="M620" s="8"/>
      <c r="N620" s="8"/>
      <c r="O620" s="8"/>
      <c r="P620" s="8"/>
      <c r="Q620" s="23"/>
      <c r="R620" s="113"/>
      <c r="S620" s="113"/>
      <c r="T620" s="113"/>
      <c r="U620" s="113"/>
      <c r="V620" s="113"/>
      <c r="W620" s="113"/>
      <c r="X620" s="5">
        <f t="shared" ref="X620:X682" si="164">SUM(R620:W620)</f>
        <v>0</v>
      </c>
      <c r="Y620" s="302"/>
      <c r="Z620" s="5"/>
      <c r="AA620" s="94"/>
      <c r="AB620" s="311">
        <f t="shared" si="163"/>
        <v>0</v>
      </c>
      <c r="AC620" s="296"/>
      <c r="AD620" s="113"/>
      <c r="AE620" s="5"/>
      <c r="AF620" s="5"/>
      <c r="AG620" s="5"/>
      <c r="AH620" s="5"/>
      <c r="AI620" s="5"/>
      <c r="AJ620" s="5"/>
      <c r="AK620" s="141"/>
      <c r="AL620" s="94"/>
      <c r="AM620" s="128"/>
      <c r="AN620" s="180"/>
      <c r="AO620" s="128"/>
      <c r="AP620" s="184"/>
      <c r="AQ620" s="128"/>
      <c r="AR620" s="184"/>
      <c r="AS620" s="128"/>
      <c r="AT620" s="184"/>
      <c r="AU620" s="128"/>
      <c r="AV620" s="184"/>
      <c r="AW620" s="128"/>
      <c r="AX620" s="184"/>
      <c r="AY620" s="111"/>
      <c r="AZ620" s="178"/>
      <c r="BC620" s="216"/>
      <c r="BD620" s="47"/>
      <c r="BF620" s="113"/>
      <c r="BG620" s="113"/>
      <c r="BH620" s="113"/>
      <c r="BI620" s="113"/>
      <c r="BJ620" s="113"/>
      <c r="BK620" s="113"/>
      <c r="BL620" s="5">
        <f t="shared" ref="BL620:BL631" si="165">SUM(BF620:BK620)</f>
        <v>0</v>
      </c>
    </row>
    <row r="621" spans="1:64" s="2" customFormat="1" ht="14.1" customHeight="1" outlineLevel="1" x14ac:dyDescent="0.2">
      <c r="A621" s="595"/>
      <c r="B621" s="602"/>
      <c r="C621" s="7" t="s">
        <v>1554</v>
      </c>
      <c r="D621" s="8"/>
      <c r="E621" s="23"/>
      <c r="F621" s="8"/>
      <c r="G621" s="8"/>
      <c r="H621" s="5">
        <f>H619</f>
        <v>0.28285295999999999</v>
      </c>
      <c r="I621" s="5">
        <f>I619</f>
        <v>3.5158999999999996E-2</v>
      </c>
      <c r="J621" s="5">
        <f>J619</f>
        <v>0.01</v>
      </c>
      <c r="K621" s="23"/>
      <c r="L621" s="8"/>
      <c r="M621" s="8"/>
      <c r="N621" s="8"/>
      <c r="O621" s="8"/>
      <c r="P621" s="8"/>
      <c r="Q621" s="23"/>
      <c r="R621" s="113"/>
      <c r="S621" s="113"/>
      <c r="T621" s="113"/>
      <c r="U621" s="113"/>
      <c r="V621" s="113"/>
      <c r="W621" s="113"/>
      <c r="X621" s="5">
        <f t="shared" si="164"/>
        <v>0</v>
      </c>
      <c r="Y621" s="302"/>
      <c r="Z621" s="5"/>
      <c r="AA621" s="94"/>
      <c r="AB621" s="311">
        <f t="shared" si="163"/>
        <v>3.5158999999999996E-2</v>
      </c>
      <c r="AC621" s="296"/>
      <c r="AD621" s="113"/>
      <c r="AE621" s="5"/>
      <c r="AF621" s="5"/>
      <c r="AG621" s="5"/>
      <c r="AH621" s="5"/>
      <c r="AI621" s="5"/>
      <c r="AJ621" s="5"/>
      <c r="AK621" s="141"/>
      <c r="AL621" s="94"/>
      <c r="AM621" s="128"/>
      <c r="AN621" s="180"/>
      <c r="AO621" s="128"/>
      <c r="AP621" s="184"/>
      <c r="AQ621" s="128"/>
      <c r="AR621" s="184"/>
      <c r="AS621" s="128"/>
      <c r="AT621" s="184"/>
      <c r="AU621" s="128"/>
      <c r="AV621" s="184"/>
      <c r="AW621" s="128"/>
      <c r="AX621" s="184"/>
      <c r="AY621" s="111"/>
      <c r="AZ621" s="178"/>
      <c r="BC621" s="216"/>
      <c r="BD621" s="47"/>
      <c r="BF621" s="113"/>
      <c r="BG621" s="113"/>
      <c r="BH621" s="113"/>
      <c r="BI621" s="113"/>
      <c r="BJ621" s="113"/>
      <c r="BK621" s="113"/>
      <c r="BL621" s="5">
        <f t="shared" si="165"/>
        <v>0</v>
      </c>
    </row>
    <row r="622" spans="1:64" s="2" customFormat="1" ht="38.25" customHeight="1" outlineLevel="1" x14ac:dyDescent="0.2">
      <c r="A622" s="593" t="s">
        <v>831</v>
      </c>
      <c r="B622" s="600" t="s">
        <v>1715</v>
      </c>
      <c r="C622" s="7" t="s">
        <v>473</v>
      </c>
      <c r="D622" s="8" t="s">
        <v>397</v>
      </c>
      <c r="E622" s="23" t="s">
        <v>1387</v>
      </c>
      <c r="F622" s="8">
        <v>2012</v>
      </c>
      <c r="G622" s="8">
        <v>2015</v>
      </c>
      <c r="H622" s="5">
        <v>1.06951062</v>
      </c>
      <c r="I622" s="5">
        <v>0.895316</v>
      </c>
      <c r="J622" s="5">
        <f>R622</f>
        <v>0.561361</v>
      </c>
      <c r="K622" s="8"/>
      <c r="L622" s="23" t="s">
        <v>1387</v>
      </c>
      <c r="M622" s="8"/>
      <c r="N622" s="8"/>
      <c r="O622" s="8"/>
      <c r="P622" s="8"/>
      <c r="Q622" s="23" t="s">
        <v>1387</v>
      </c>
      <c r="R622" s="113">
        <v>0.561361</v>
      </c>
      <c r="S622" s="113"/>
      <c r="T622" s="113"/>
      <c r="U622" s="113"/>
      <c r="V622" s="113"/>
      <c r="W622" s="113"/>
      <c r="X622" s="5">
        <f t="shared" si="164"/>
        <v>0.561361</v>
      </c>
      <c r="Y622" s="302">
        <f>H622-H623-H624</f>
        <v>0</v>
      </c>
      <c r="Z622" s="5">
        <f>I622-I623-I624</f>
        <v>0</v>
      </c>
      <c r="AA622" s="94">
        <f>J622-J623-J624</f>
        <v>0</v>
      </c>
      <c r="AB622" s="311">
        <f t="shared" si="163"/>
        <v>0.333955</v>
      </c>
      <c r="AC622" s="296"/>
      <c r="AD622" s="113"/>
      <c r="AE622" s="5"/>
      <c r="AF622" s="5"/>
      <c r="AG622" s="5">
        <f>H622</f>
        <v>1.06951062</v>
      </c>
      <c r="AH622" s="5"/>
      <c r="AI622" s="5"/>
      <c r="AJ622" s="5"/>
      <c r="AK622" s="141"/>
      <c r="AL622" s="94">
        <f>SUM(AF622:AK622)</f>
        <v>1.06951062</v>
      </c>
      <c r="AM622" s="128"/>
      <c r="AN622" s="180"/>
      <c r="AO622" s="128">
        <v>0.5</v>
      </c>
      <c r="AP622" s="184">
        <v>0</v>
      </c>
      <c r="AQ622" s="128"/>
      <c r="AR622" s="184"/>
      <c r="AS622" s="128"/>
      <c r="AT622" s="184"/>
      <c r="AU622" s="128"/>
      <c r="AV622" s="184"/>
      <c r="AW622" s="128"/>
      <c r="AX622" s="184"/>
      <c r="AY622" s="111">
        <f>AM622+AO622+AQ622+AS622+AU622+AW622</f>
        <v>0.5</v>
      </c>
      <c r="AZ622" s="178">
        <f>AN622+AP622+AR622+AT622+AV622+AX622</f>
        <v>0</v>
      </c>
      <c r="BC622" s="216"/>
      <c r="BD622" s="47"/>
      <c r="BF622" s="113">
        <v>0.561361</v>
      </c>
      <c r="BG622" s="113"/>
      <c r="BH622" s="113"/>
      <c r="BI622" s="113"/>
      <c r="BJ622" s="113"/>
      <c r="BK622" s="113"/>
      <c r="BL622" s="5">
        <f t="shared" si="165"/>
        <v>0.561361</v>
      </c>
    </row>
    <row r="623" spans="1:64" s="2" customFormat="1" ht="15.75" customHeight="1" outlineLevel="1" x14ac:dyDescent="0.2">
      <c r="A623" s="594"/>
      <c r="B623" s="601"/>
      <c r="C623" s="7" t="s">
        <v>1553</v>
      </c>
      <c r="D623" s="8"/>
      <c r="E623" s="23"/>
      <c r="F623" s="8"/>
      <c r="G623" s="8"/>
      <c r="H623" s="5">
        <f>H622</f>
        <v>1.06951062</v>
      </c>
      <c r="I623" s="5">
        <f>I622</f>
        <v>0.895316</v>
      </c>
      <c r="J623" s="5">
        <f>J622</f>
        <v>0.561361</v>
      </c>
      <c r="K623" s="8"/>
      <c r="L623" s="23"/>
      <c r="M623" s="8"/>
      <c r="N623" s="8"/>
      <c r="O623" s="8"/>
      <c r="P623" s="8"/>
      <c r="Q623" s="23"/>
      <c r="R623" s="113"/>
      <c r="S623" s="113"/>
      <c r="T623" s="113"/>
      <c r="U623" s="113"/>
      <c r="V623" s="113"/>
      <c r="W623" s="113"/>
      <c r="X623" s="5">
        <f t="shared" si="164"/>
        <v>0</v>
      </c>
      <c r="Y623" s="302"/>
      <c r="Z623" s="5"/>
      <c r="AA623" s="94"/>
      <c r="AB623" s="311">
        <f t="shared" si="163"/>
        <v>0.895316</v>
      </c>
      <c r="AC623" s="296"/>
      <c r="AD623" s="113"/>
      <c r="AE623" s="5"/>
      <c r="AF623" s="5"/>
      <c r="AG623" s="5"/>
      <c r="AH623" s="5"/>
      <c r="AI623" s="5"/>
      <c r="AJ623" s="5"/>
      <c r="AK623" s="141"/>
      <c r="AL623" s="94"/>
      <c r="AM623" s="128"/>
      <c r="AN623" s="180"/>
      <c r="AO623" s="128"/>
      <c r="AP623" s="184"/>
      <c r="AQ623" s="128"/>
      <c r="AR623" s="184"/>
      <c r="AS623" s="128"/>
      <c r="AT623" s="184"/>
      <c r="AU623" s="128"/>
      <c r="AV623" s="184"/>
      <c r="AW623" s="128"/>
      <c r="AX623" s="184"/>
      <c r="AY623" s="111"/>
      <c r="AZ623" s="178"/>
      <c r="BC623" s="216"/>
      <c r="BD623" s="47"/>
      <c r="BF623" s="113"/>
      <c r="BG623" s="113"/>
      <c r="BH623" s="113"/>
      <c r="BI623" s="113"/>
      <c r="BJ623" s="113"/>
      <c r="BK623" s="113"/>
      <c r="BL623" s="5">
        <f t="shared" si="165"/>
        <v>0</v>
      </c>
    </row>
    <row r="624" spans="1:64" s="2" customFormat="1" ht="15.75" customHeight="1" outlineLevel="1" x14ac:dyDescent="0.2">
      <c r="A624" s="595"/>
      <c r="B624" s="602"/>
      <c r="C624" s="7" t="s">
        <v>1554</v>
      </c>
      <c r="D624" s="8"/>
      <c r="E624" s="23"/>
      <c r="F624" s="8"/>
      <c r="G624" s="8"/>
      <c r="H624" s="5"/>
      <c r="I624" s="5"/>
      <c r="J624" s="5"/>
      <c r="K624" s="23"/>
      <c r="L624" s="8"/>
      <c r="M624" s="8"/>
      <c r="N624" s="8"/>
      <c r="O624" s="8"/>
      <c r="P624" s="8"/>
      <c r="Q624" s="23"/>
      <c r="R624" s="113"/>
      <c r="S624" s="113"/>
      <c r="T624" s="113"/>
      <c r="U624" s="113"/>
      <c r="V624" s="113"/>
      <c r="W624" s="113"/>
      <c r="X624" s="5">
        <f t="shared" si="164"/>
        <v>0</v>
      </c>
      <c r="Y624" s="302"/>
      <c r="Z624" s="5"/>
      <c r="AA624" s="94"/>
      <c r="AB624" s="311">
        <f t="shared" si="163"/>
        <v>0</v>
      </c>
      <c r="AC624" s="296"/>
      <c r="AD624" s="113"/>
      <c r="AE624" s="5"/>
      <c r="AF624" s="5"/>
      <c r="AG624" s="5"/>
      <c r="AH624" s="5"/>
      <c r="AI624" s="5"/>
      <c r="AJ624" s="5"/>
      <c r="AK624" s="141"/>
      <c r="AL624" s="94"/>
      <c r="AM624" s="128"/>
      <c r="AN624" s="180"/>
      <c r="AO624" s="128"/>
      <c r="AP624" s="184"/>
      <c r="AQ624" s="128"/>
      <c r="AR624" s="184"/>
      <c r="AS624" s="128"/>
      <c r="AT624" s="184"/>
      <c r="AU624" s="128"/>
      <c r="AV624" s="184"/>
      <c r="AW624" s="128"/>
      <c r="AX624" s="184"/>
      <c r="AY624" s="111"/>
      <c r="AZ624" s="178"/>
      <c r="BC624" s="216"/>
      <c r="BD624" s="47"/>
      <c r="BF624" s="113"/>
      <c r="BG624" s="113"/>
      <c r="BH624" s="113"/>
      <c r="BI624" s="113"/>
      <c r="BJ624" s="113"/>
      <c r="BK624" s="113"/>
      <c r="BL624" s="5">
        <f t="shared" si="165"/>
        <v>0</v>
      </c>
    </row>
    <row r="625" spans="1:64" s="2" customFormat="1" ht="38.25" customHeight="1" outlineLevel="1" x14ac:dyDescent="0.2">
      <c r="A625" s="593" t="s">
        <v>832</v>
      </c>
      <c r="B625" s="600" t="s">
        <v>1716</v>
      </c>
      <c r="C625" s="7" t="s">
        <v>474</v>
      </c>
      <c r="D625" s="8" t="s">
        <v>397</v>
      </c>
      <c r="E625" s="23" t="s">
        <v>347</v>
      </c>
      <c r="F625" s="8">
        <v>2012</v>
      </c>
      <c r="G625" s="8">
        <v>2015</v>
      </c>
      <c r="H625" s="5">
        <v>8.4140000000000006E-2</v>
      </c>
      <c r="I625" s="5">
        <v>6.5180000000000002E-2</v>
      </c>
      <c r="J625" s="5">
        <f>R625</f>
        <v>0.01</v>
      </c>
      <c r="K625" s="8"/>
      <c r="L625" s="23" t="s">
        <v>347</v>
      </c>
      <c r="M625" s="8"/>
      <c r="N625" s="8"/>
      <c r="O625" s="8"/>
      <c r="P625" s="8"/>
      <c r="Q625" s="23" t="s">
        <v>347</v>
      </c>
      <c r="R625" s="113">
        <v>0.01</v>
      </c>
      <c r="S625" s="113"/>
      <c r="T625" s="113"/>
      <c r="U625" s="113"/>
      <c r="V625" s="113"/>
      <c r="W625" s="113"/>
      <c r="X625" s="5">
        <f t="shared" si="164"/>
        <v>0.01</v>
      </c>
      <c r="Y625" s="302">
        <f>H625-H626-H627</f>
        <v>0</v>
      </c>
      <c r="Z625" s="5">
        <f>I625-I626-I627</f>
        <v>0</v>
      </c>
      <c r="AA625" s="94">
        <f>J625-J626-J627</f>
        <v>0</v>
      </c>
      <c r="AB625" s="311">
        <f t="shared" si="163"/>
        <v>5.518E-2</v>
      </c>
      <c r="AC625" s="296"/>
      <c r="AD625" s="113"/>
      <c r="AE625" s="5"/>
      <c r="AF625" s="5"/>
      <c r="AG625" s="5">
        <f>H625</f>
        <v>8.4140000000000006E-2</v>
      </c>
      <c r="AH625" s="5"/>
      <c r="AI625" s="5"/>
      <c r="AJ625" s="5"/>
      <c r="AK625" s="141"/>
      <c r="AL625" s="94">
        <f>SUM(AF625:AK625)</f>
        <v>8.4140000000000006E-2</v>
      </c>
      <c r="AM625" s="128"/>
      <c r="AN625" s="180"/>
      <c r="AO625" s="128">
        <v>0.05</v>
      </c>
      <c r="AP625" s="184">
        <v>0</v>
      </c>
      <c r="AQ625" s="128"/>
      <c r="AR625" s="184"/>
      <c r="AS625" s="128"/>
      <c r="AT625" s="184"/>
      <c r="AU625" s="128"/>
      <c r="AV625" s="184"/>
      <c r="AW625" s="128"/>
      <c r="AX625" s="184"/>
      <c r="AY625" s="111">
        <f>AM625+AO625+AQ625+AS625+AU625+AW625</f>
        <v>0.05</v>
      </c>
      <c r="AZ625" s="178">
        <f>AN625+AP625+AR625+AT625+AV625+AX625</f>
        <v>0</v>
      </c>
      <c r="BC625" s="216"/>
      <c r="BD625" s="47"/>
      <c r="BF625" s="113">
        <v>0.01</v>
      </c>
      <c r="BG625" s="113"/>
      <c r="BH625" s="113"/>
      <c r="BI625" s="113"/>
      <c r="BJ625" s="113"/>
      <c r="BK625" s="113"/>
      <c r="BL625" s="5">
        <f t="shared" si="165"/>
        <v>0.01</v>
      </c>
    </row>
    <row r="626" spans="1:64" s="2" customFormat="1" ht="15.75" customHeight="1" outlineLevel="1" x14ac:dyDescent="0.2">
      <c r="A626" s="594"/>
      <c r="B626" s="601"/>
      <c r="C626" s="7" t="s">
        <v>1553</v>
      </c>
      <c r="D626" s="8"/>
      <c r="E626" s="23"/>
      <c r="F626" s="8"/>
      <c r="G626" s="8"/>
      <c r="H626" s="5"/>
      <c r="I626" s="5"/>
      <c r="J626" s="5"/>
      <c r="K626" s="8"/>
      <c r="L626" s="23"/>
      <c r="M626" s="8"/>
      <c r="N626" s="8"/>
      <c r="O626" s="8"/>
      <c r="P626" s="8"/>
      <c r="Q626" s="23"/>
      <c r="R626" s="113"/>
      <c r="S626" s="113"/>
      <c r="T626" s="113"/>
      <c r="U626" s="113"/>
      <c r="V626" s="113"/>
      <c r="W626" s="113"/>
      <c r="X626" s="5">
        <f t="shared" si="164"/>
        <v>0</v>
      </c>
      <c r="Y626" s="302"/>
      <c r="Z626" s="5"/>
      <c r="AA626" s="94"/>
      <c r="AB626" s="311">
        <f t="shared" si="163"/>
        <v>0</v>
      </c>
      <c r="AC626" s="296"/>
      <c r="AD626" s="113"/>
      <c r="AE626" s="5"/>
      <c r="AF626" s="5"/>
      <c r="AG626" s="5"/>
      <c r="AH626" s="5"/>
      <c r="AI626" s="5"/>
      <c r="AJ626" s="5"/>
      <c r="AK626" s="141"/>
      <c r="AL626" s="94"/>
      <c r="AM626" s="128"/>
      <c r="AN626" s="180"/>
      <c r="AO626" s="128"/>
      <c r="AP626" s="184"/>
      <c r="AQ626" s="128"/>
      <c r="AR626" s="184"/>
      <c r="AS626" s="128"/>
      <c r="AT626" s="184"/>
      <c r="AU626" s="128"/>
      <c r="AV626" s="184"/>
      <c r="AW626" s="128"/>
      <c r="AX626" s="184"/>
      <c r="AY626" s="111"/>
      <c r="AZ626" s="178"/>
      <c r="BC626" s="216"/>
      <c r="BD626" s="47"/>
      <c r="BF626" s="113"/>
      <c r="BG626" s="113"/>
      <c r="BH626" s="113"/>
      <c r="BI626" s="113"/>
      <c r="BJ626" s="113"/>
      <c r="BK626" s="113"/>
      <c r="BL626" s="5">
        <f t="shared" si="165"/>
        <v>0</v>
      </c>
    </row>
    <row r="627" spans="1:64" s="2" customFormat="1" ht="15.75" customHeight="1" outlineLevel="1" x14ac:dyDescent="0.2">
      <c r="A627" s="595"/>
      <c r="B627" s="602"/>
      <c r="C627" s="7" t="s">
        <v>1554</v>
      </c>
      <c r="D627" s="8"/>
      <c r="E627" s="23"/>
      <c r="F627" s="8"/>
      <c r="G627" s="8"/>
      <c r="H627" s="5">
        <v>8.4140000000000006E-2</v>
      </c>
      <c r="I627" s="5">
        <v>6.5180000000000002E-2</v>
      </c>
      <c r="J627" s="5">
        <v>0.01</v>
      </c>
      <c r="K627" s="23"/>
      <c r="L627" s="8"/>
      <c r="M627" s="8"/>
      <c r="N627" s="8"/>
      <c r="O627" s="8"/>
      <c r="P627" s="8"/>
      <c r="Q627" s="23"/>
      <c r="R627" s="113"/>
      <c r="S627" s="113"/>
      <c r="T627" s="113"/>
      <c r="U627" s="113"/>
      <c r="V627" s="113"/>
      <c r="W627" s="113"/>
      <c r="X627" s="5">
        <f t="shared" si="164"/>
        <v>0</v>
      </c>
      <c r="Y627" s="302"/>
      <c r="Z627" s="5"/>
      <c r="AA627" s="94"/>
      <c r="AB627" s="311">
        <f t="shared" si="163"/>
        <v>6.5180000000000002E-2</v>
      </c>
      <c r="AC627" s="296"/>
      <c r="AD627" s="113"/>
      <c r="AE627" s="5"/>
      <c r="AF627" s="5"/>
      <c r="AG627" s="5"/>
      <c r="AH627" s="5"/>
      <c r="AI627" s="5"/>
      <c r="AJ627" s="5"/>
      <c r="AK627" s="141"/>
      <c r="AL627" s="94"/>
      <c r="AM627" s="128"/>
      <c r="AN627" s="180"/>
      <c r="AO627" s="128"/>
      <c r="AP627" s="184"/>
      <c r="AQ627" s="128"/>
      <c r="AR627" s="184"/>
      <c r="AS627" s="128"/>
      <c r="AT627" s="184"/>
      <c r="AU627" s="128"/>
      <c r="AV627" s="184"/>
      <c r="AW627" s="128"/>
      <c r="AX627" s="184"/>
      <c r="AY627" s="111"/>
      <c r="AZ627" s="178"/>
      <c r="BC627" s="216"/>
      <c r="BD627" s="47"/>
      <c r="BF627" s="113"/>
      <c r="BG627" s="113"/>
      <c r="BH627" s="113"/>
      <c r="BI627" s="113"/>
      <c r="BJ627" s="113"/>
      <c r="BK627" s="113"/>
      <c r="BL627" s="5">
        <f t="shared" si="165"/>
        <v>0</v>
      </c>
    </row>
    <row r="628" spans="1:64" s="2" customFormat="1" ht="38.25" customHeight="1" outlineLevel="1" x14ac:dyDescent="0.2">
      <c r="A628" s="593" t="s">
        <v>833</v>
      </c>
      <c r="B628" s="600" t="s">
        <v>1717</v>
      </c>
      <c r="C628" s="7" t="s">
        <v>475</v>
      </c>
      <c r="D628" s="8" t="s">
        <v>397</v>
      </c>
      <c r="E628" s="23" t="s">
        <v>353</v>
      </c>
      <c r="F628" s="8">
        <v>2012</v>
      </c>
      <c r="G628" s="8">
        <v>2015</v>
      </c>
      <c r="H628" s="5">
        <v>9.3612479999999998E-2</v>
      </c>
      <c r="I628" s="5">
        <v>3.9932999999999996E-2</v>
      </c>
      <c r="J628" s="5">
        <f>R628</f>
        <v>0.01</v>
      </c>
      <c r="K628" s="8"/>
      <c r="L628" s="23" t="s">
        <v>353</v>
      </c>
      <c r="M628" s="8"/>
      <c r="N628" s="8"/>
      <c r="O628" s="8"/>
      <c r="P628" s="8"/>
      <c r="Q628" s="23" t="s">
        <v>353</v>
      </c>
      <c r="R628" s="113">
        <v>0.01</v>
      </c>
      <c r="S628" s="113"/>
      <c r="T628" s="113"/>
      <c r="U628" s="113"/>
      <c r="V628" s="113"/>
      <c r="W628" s="113"/>
      <c r="X628" s="5">
        <f t="shared" si="164"/>
        <v>0.01</v>
      </c>
      <c r="Y628" s="302">
        <f>H628-H629-H630</f>
        <v>0</v>
      </c>
      <c r="Z628" s="5">
        <f>I628-I629-I630</f>
        <v>0</v>
      </c>
      <c r="AA628" s="94">
        <f>J628-J629-J630</f>
        <v>0</v>
      </c>
      <c r="AB628" s="311">
        <f t="shared" si="163"/>
        <v>2.9932999999999994E-2</v>
      </c>
      <c r="AC628" s="296"/>
      <c r="AD628" s="113"/>
      <c r="AE628" s="5"/>
      <c r="AF628" s="5"/>
      <c r="AG628" s="5">
        <f>H628</f>
        <v>9.3612479999999998E-2</v>
      </c>
      <c r="AH628" s="5"/>
      <c r="AI628" s="5"/>
      <c r="AJ628" s="5"/>
      <c r="AK628" s="141"/>
      <c r="AL628" s="94">
        <f>SUM(AF628:AK628)</f>
        <v>9.3612479999999998E-2</v>
      </c>
      <c r="AM628" s="128"/>
      <c r="AN628" s="180"/>
      <c r="AO628" s="128">
        <v>0.03</v>
      </c>
      <c r="AP628" s="184">
        <v>0</v>
      </c>
      <c r="AQ628" s="128"/>
      <c r="AR628" s="184"/>
      <c r="AS628" s="128"/>
      <c r="AT628" s="184"/>
      <c r="AU628" s="128"/>
      <c r="AV628" s="184"/>
      <c r="AW628" s="128"/>
      <c r="AX628" s="184"/>
      <c r="AY628" s="111">
        <f>AM628+AO628+AQ628+AS628+AU628+AW628</f>
        <v>0.03</v>
      </c>
      <c r="AZ628" s="178">
        <f>AN628+AP628+AR628+AT628+AV628+AX628</f>
        <v>0</v>
      </c>
      <c r="BC628" s="216"/>
      <c r="BD628" s="47"/>
      <c r="BF628" s="113">
        <v>0.01</v>
      </c>
      <c r="BG628" s="113"/>
      <c r="BH628" s="113"/>
      <c r="BI628" s="113"/>
      <c r="BJ628" s="113"/>
      <c r="BK628" s="113"/>
      <c r="BL628" s="5">
        <f t="shared" si="165"/>
        <v>0.01</v>
      </c>
    </row>
    <row r="629" spans="1:64" s="2" customFormat="1" ht="14.1" customHeight="1" outlineLevel="1" x14ac:dyDescent="0.2">
      <c r="A629" s="594"/>
      <c r="B629" s="601"/>
      <c r="C629" s="7" t="s">
        <v>1553</v>
      </c>
      <c r="D629" s="8"/>
      <c r="E629" s="23"/>
      <c r="F629" s="8"/>
      <c r="G629" s="8"/>
      <c r="H629" s="5">
        <f>H628</f>
        <v>9.3612479999999998E-2</v>
      </c>
      <c r="I629" s="5">
        <f>I628</f>
        <v>3.9932999999999996E-2</v>
      </c>
      <c r="J629" s="5">
        <f>J628</f>
        <v>0.01</v>
      </c>
      <c r="K629" s="8"/>
      <c r="L629" s="23"/>
      <c r="M629" s="8"/>
      <c r="N629" s="8"/>
      <c r="O629" s="8"/>
      <c r="P629" s="8"/>
      <c r="Q629" s="23"/>
      <c r="R629" s="113"/>
      <c r="S629" s="113"/>
      <c r="T629" s="113"/>
      <c r="U629" s="113"/>
      <c r="V629" s="113"/>
      <c r="W629" s="113"/>
      <c r="X629" s="5">
        <f t="shared" si="164"/>
        <v>0</v>
      </c>
      <c r="Y629" s="302"/>
      <c r="Z629" s="5"/>
      <c r="AA629" s="94"/>
      <c r="AB629" s="311">
        <f t="shared" si="163"/>
        <v>3.9932999999999996E-2</v>
      </c>
      <c r="AC629" s="296"/>
      <c r="AD629" s="113"/>
      <c r="AE629" s="5"/>
      <c r="AF629" s="5"/>
      <c r="AG629" s="5"/>
      <c r="AH629" s="5"/>
      <c r="AI629" s="5"/>
      <c r="AJ629" s="5"/>
      <c r="AK629" s="141"/>
      <c r="AL629" s="94"/>
      <c r="AM629" s="128"/>
      <c r="AN629" s="180"/>
      <c r="AO629" s="128"/>
      <c r="AP629" s="184"/>
      <c r="AQ629" s="128"/>
      <c r="AR629" s="184"/>
      <c r="AS629" s="128"/>
      <c r="AT629" s="184"/>
      <c r="AU629" s="128"/>
      <c r="AV629" s="184"/>
      <c r="AW629" s="128"/>
      <c r="AX629" s="184"/>
      <c r="AY629" s="111"/>
      <c r="AZ629" s="178"/>
      <c r="BC629" s="216"/>
      <c r="BD629" s="47"/>
      <c r="BF629" s="113"/>
      <c r="BG629" s="113"/>
      <c r="BH629" s="113"/>
      <c r="BI629" s="113"/>
      <c r="BJ629" s="113"/>
      <c r="BK629" s="113"/>
      <c r="BL629" s="5">
        <f t="shared" si="165"/>
        <v>0</v>
      </c>
    </row>
    <row r="630" spans="1:64" s="2" customFormat="1" ht="14.1" customHeight="1" outlineLevel="1" x14ac:dyDescent="0.2">
      <c r="A630" s="595"/>
      <c r="B630" s="602"/>
      <c r="C630" s="7" t="s">
        <v>1554</v>
      </c>
      <c r="D630" s="8"/>
      <c r="E630" s="23"/>
      <c r="F630" s="8"/>
      <c r="G630" s="8"/>
      <c r="H630" s="5"/>
      <c r="I630" s="5"/>
      <c r="J630" s="5"/>
      <c r="K630" s="23"/>
      <c r="L630" s="8"/>
      <c r="M630" s="8"/>
      <c r="N630" s="8"/>
      <c r="O630" s="8"/>
      <c r="P630" s="8"/>
      <c r="Q630" s="23"/>
      <c r="R630" s="113"/>
      <c r="S630" s="113"/>
      <c r="T630" s="113"/>
      <c r="U630" s="113"/>
      <c r="V630" s="113"/>
      <c r="W630" s="113"/>
      <c r="X630" s="5">
        <f t="shared" si="164"/>
        <v>0</v>
      </c>
      <c r="Y630" s="302"/>
      <c r="Z630" s="5"/>
      <c r="AA630" s="94"/>
      <c r="AB630" s="311">
        <f t="shared" si="163"/>
        <v>0</v>
      </c>
      <c r="AC630" s="296"/>
      <c r="AD630" s="113"/>
      <c r="AE630" s="5"/>
      <c r="AF630" s="5"/>
      <c r="AG630" s="5"/>
      <c r="AH630" s="5"/>
      <c r="AI630" s="5"/>
      <c r="AJ630" s="5"/>
      <c r="AK630" s="141"/>
      <c r="AL630" s="94"/>
      <c r="AM630" s="128"/>
      <c r="AN630" s="180"/>
      <c r="AO630" s="128"/>
      <c r="AP630" s="184"/>
      <c r="AQ630" s="128"/>
      <c r="AR630" s="184"/>
      <c r="AS630" s="128"/>
      <c r="AT630" s="184"/>
      <c r="AU630" s="128"/>
      <c r="AV630" s="184"/>
      <c r="AW630" s="128"/>
      <c r="AX630" s="184"/>
      <c r="AY630" s="111"/>
      <c r="AZ630" s="178"/>
      <c r="BC630" s="216"/>
      <c r="BD630" s="47"/>
      <c r="BF630" s="113"/>
      <c r="BG630" s="113"/>
      <c r="BH630" s="113"/>
      <c r="BI630" s="113"/>
      <c r="BJ630" s="113"/>
      <c r="BK630" s="113"/>
      <c r="BL630" s="5">
        <f t="shared" si="165"/>
        <v>0</v>
      </c>
    </row>
    <row r="631" spans="1:64" s="2" customFormat="1" ht="76.5" customHeight="1" outlineLevel="1" x14ac:dyDescent="0.2">
      <c r="A631" s="593" t="s">
        <v>834</v>
      </c>
      <c r="B631" s="600" t="s">
        <v>1718</v>
      </c>
      <c r="C631" s="7" t="s">
        <v>476</v>
      </c>
      <c r="D631" s="8" t="s">
        <v>397</v>
      </c>
      <c r="E631" s="23" t="s">
        <v>346</v>
      </c>
      <c r="F631" s="8">
        <v>2012</v>
      </c>
      <c r="G631" s="8">
        <v>2015</v>
      </c>
      <c r="H631" s="5">
        <v>0.41402949</v>
      </c>
      <c r="I631" s="5">
        <v>0.20008999999999999</v>
      </c>
      <c r="J631" s="5">
        <f>R631</f>
        <v>0.20008999999999999</v>
      </c>
      <c r="K631" s="8"/>
      <c r="L631" s="23" t="s">
        <v>346</v>
      </c>
      <c r="M631" s="8"/>
      <c r="N631" s="8"/>
      <c r="O631" s="8"/>
      <c r="P631" s="8"/>
      <c r="Q631" s="23" t="s">
        <v>346</v>
      </c>
      <c r="R631" s="113">
        <v>0.20008999999999999</v>
      </c>
      <c r="S631" s="113"/>
      <c r="T631" s="113"/>
      <c r="U631" s="113"/>
      <c r="V631" s="113"/>
      <c r="W631" s="113"/>
      <c r="X631" s="5">
        <f t="shared" si="164"/>
        <v>0.20008999999999999</v>
      </c>
      <c r="Y631" s="302">
        <f>H631-H632-H633</f>
        <v>0</v>
      </c>
      <c r="Z631" s="5">
        <f>I631-I632-I633</f>
        <v>0</v>
      </c>
      <c r="AA631" s="94">
        <f>J631-J632-J633</f>
        <v>0</v>
      </c>
      <c r="AB631" s="311">
        <f t="shared" si="163"/>
        <v>0</v>
      </c>
      <c r="AC631" s="296"/>
      <c r="AD631" s="113"/>
      <c r="AE631" s="5"/>
      <c r="AF631" s="5"/>
      <c r="AG631" s="5">
        <f>H631</f>
        <v>0.41402949</v>
      </c>
      <c r="AH631" s="5"/>
      <c r="AI631" s="5"/>
      <c r="AJ631" s="5"/>
      <c r="AK631" s="141"/>
      <c r="AL631" s="94">
        <f>SUM(AF631:AK631)</f>
        <v>0.41402949</v>
      </c>
      <c r="AM631" s="128"/>
      <c r="AN631" s="180"/>
      <c r="AO631" s="128">
        <v>0.15</v>
      </c>
      <c r="AP631" s="184">
        <v>0</v>
      </c>
      <c r="AQ631" s="128"/>
      <c r="AR631" s="184"/>
      <c r="AS631" s="128"/>
      <c r="AT631" s="184"/>
      <c r="AU631" s="128"/>
      <c r="AV631" s="184"/>
      <c r="AW631" s="128"/>
      <c r="AX631" s="184"/>
      <c r="AY631" s="111">
        <f>AM631+AO631+AQ631+AS631+AU631+AW631</f>
        <v>0.15</v>
      </c>
      <c r="AZ631" s="178">
        <f>AN631+AP631+AR631+AT631+AV631+AX631</f>
        <v>0</v>
      </c>
      <c r="BC631" s="216"/>
      <c r="BD631" s="47"/>
      <c r="BF631" s="113">
        <v>0.20008999999999999</v>
      </c>
      <c r="BG631" s="113"/>
      <c r="BH631" s="113"/>
      <c r="BI631" s="113"/>
      <c r="BJ631" s="113"/>
      <c r="BK631" s="113"/>
      <c r="BL631" s="5">
        <f t="shared" si="165"/>
        <v>0.20008999999999999</v>
      </c>
    </row>
    <row r="632" spans="1:64" s="2" customFormat="1" ht="14.1" customHeight="1" outlineLevel="1" x14ac:dyDescent="0.2">
      <c r="A632" s="594"/>
      <c r="B632" s="601"/>
      <c r="C632" s="7" t="s">
        <v>1553</v>
      </c>
      <c r="D632" s="8"/>
      <c r="E632" s="23"/>
      <c r="F632" s="8"/>
      <c r="G632" s="8"/>
      <c r="H632" s="5">
        <f>H631</f>
        <v>0.41402949</v>
      </c>
      <c r="I632" s="5">
        <f>I631</f>
        <v>0.20008999999999999</v>
      </c>
      <c r="J632" s="5">
        <f>J631</f>
        <v>0.20008999999999999</v>
      </c>
      <c r="K632" s="8"/>
      <c r="L632" s="23"/>
      <c r="M632" s="8"/>
      <c r="N632" s="8"/>
      <c r="O632" s="8"/>
      <c r="P632" s="8"/>
      <c r="Q632" s="23"/>
      <c r="R632" s="113"/>
      <c r="S632" s="113"/>
      <c r="T632" s="113"/>
      <c r="U632" s="113"/>
      <c r="V632" s="113"/>
      <c r="W632" s="113"/>
      <c r="X632" s="5">
        <f>SUM(R632:W632)</f>
        <v>0</v>
      </c>
      <c r="Y632" s="302"/>
      <c r="Z632" s="5"/>
      <c r="AA632" s="94"/>
      <c r="AB632" s="311">
        <f t="shared" si="163"/>
        <v>0.20008999999999999</v>
      </c>
      <c r="AC632" s="296"/>
      <c r="AD632" s="113"/>
      <c r="AE632" s="5"/>
      <c r="AF632" s="5"/>
      <c r="AG632" s="5"/>
      <c r="AH632" s="5"/>
      <c r="AI632" s="5"/>
      <c r="AJ632" s="5"/>
      <c r="AK632" s="141"/>
      <c r="AL632" s="94"/>
      <c r="AM632" s="128"/>
      <c r="AN632" s="180"/>
      <c r="AO632" s="128"/>
      <c r="AP632" s="184"/>
      <c r="AQ632" s="128"/>
      <c r="AR632" s="184"/>
      <c r="AS632" s="128"/>
      <c r="AT632" s="184"/>
      <c r="AU632" s="128"/>
      <c r="AV632" s="184"/>
      <c r="AW632" s="128"/>
      <c r="AX632" s="184"/>
      <c r="AY632" s="111"/>
      <c r="AZ632" s="178"/>
      <c r="BC632" s="216"/>
      <c r="BD632" s="47"/>
      <c r="BF632" s="113"/>
      <c r="BG632" s="113"/>
      <c r="BH632" s="113"/>
      <c r="BI632" s="113"/>
      <c r="BJ632" s="113"/>
      <c r="BK632" s="113"/>
      <c r="BL632" s="5">
        <f t="shared" ref="BL632:BL663" si="166">SUM(BF632:BK632)</f>
        <v>0</v>
      </c>
    </row>
    <row r="633" spans="1:64" s="2" customFormat="1" ht="14.1" customHeight="1" outlineLevel="1" x14ac:dyDescent="0.2">
      <c r="A633" s="595"/>
      <c r="B633" s="602"/>
      <c r="C633" s="7" t="s">
        <v>1554</v>
      </c>
      <c r="D633" s="8"/>
      <c r="E633" s="23"/>
      <c r="F633" s="8"/>
      <c r="G633" s="8"/>
      <c r="H633" s="5"/>
      <c r="I633" s="5"/>
      <c r="J633" s="5"/>
      <c r="K633" s="23"/>
      <c r="L633" s="8"/>
      <c r="M633" s="8"/>
      <c r="N633" s="8"/>
      <c r="O633" s="8"/>
      <c r="P633" s="8"/>
      <c r="Q633" s="23"/>
      <c r="R633" s="113"/>
      <c r="S633" s="113"/>
      <c r="T633" s="113"/>
      <c r="U633" s="113"/>
      <c r="V633" s="113"/>
      <c r="W633" s="113"/>
      <c r="X633" s="5">
        <f>SUM(R633:W633)</f>
        <v>0</v>
      </c>
      <c r="Y633" s="302"/>
      <c r="Z633" s="5"/>
      <c r="AA633" s="94"/>
      <c r="AB633" s="311">
        <f t="shared" si="163"/>
        <v>0</v>
      </c>
      <c r="AC633" s="296"/>
      <c r="AD633" s="113"/>
      <c r="AE633" s="5"/>
      <c r="AF633" s="5"/>
      <c r="AG633" s="5"/>
      <c r="AH633" s="5"/>
      <c r="AI633" s="5"/>
      <c r="AJ633" s="5"/>
      <c r="AK633" s="141"/>
      <c r="AL633" s="94"/>
      <c r="AM633" s="128"/>
      <c r="AN633" s="180"/>
      <c r="AO633" s="128"/>
      <c r="AP633" s="184"/>
      <c r="AQ633" s="128"/>
      <c r="AR633" s="184"/>
      <c r="AS633" s="128"/>
      <c r="AT633" s="184"/>
      <c r="AU633" s="128"/>
      <c r="AV633" s="184"/>
      <c r="AW633" s="128"/>
      <c r="AX633" s="184"/>
      <c r="AY633" s="111"/>
      <c r="AZ633" s="178"/>
      <c r="BC633" s="216"/>
      <c r="BD633" s="47"/>
      <c r="BF633" s="113"/>
      <c r="BG633" s="113"/>
      <c r="BH633" s="113"/>
      <c r="BI633" s="113"/>
      <c r="BJ633" s="113"/>
      <c r="BK633" s="113"/>
      <c r="BL633" s="5">
        <f t="shared" si="166"/>
        <v>0</v>
      </c>
    </row>
    <row r="634" spans="1:64" s="2" customFormat="1" ht="38.25" customHeight="1" outlineLevel="1" x14ac:dyDescent="0.2">
      <c r="A634" s="593" t="s">
        <v>835</v>
      </c>
      <c r="B634" s="600" t="s">
        <v>1719</v>
      </c>
      <c r="C634" s="7" t="s">
        <v>477</v>
      </c>
      <c r="D634" s="8" t="s">
        <v>397</v>
      </c>
      <c r="E634" s="23" t="s">
        <v>358</v>
      </c>
      <c r="F634" s="8">
        <v>2013</v>
      </c>
      <c r="G634" s="8">
        <v>2015</v>
      </c>
      <c r="H634" s="5">
        <v>0.63657000000000008</v>
      </c>
      <c r="I634" s="5">
        <v>0.6111700000000001</v>
      </c>
      <c r="J634" s="5">
        <f>R634</f>
        <v>0</v>
      </c>
      <c r="K634" s="8"/>
      <c r="L634" s="23" t="s">
        <v>358</v>
      </c>
      <c r="M634" s="8"/>
      <c r="N634" s="8"/>
      <c r="O634" s="8"/>
      <c r="P634" s="8"/>
      <c r="Q634" s="23" t="s">
        <v>358</v>
      </c>
      <c r="R634" s="113">
        <v>0</v>
      </c>
      <c r="S634" s="113"/>
      <c r="T634" s="113"/>
      <c r="U634" s="113"/>
      <c r="V634" s="113"/>
      <c r="W634" s="113"/>
      <c r="X634" s="5">
        <f t="shared" si="164"/>
        <v>0</v>
      </c>
      <c r="Y634" s="302">
        <f>H634-H635-H636</f>
        <v>0</v>
      </c>
      <c r="Z634" s="5">
        <f>I634-I635-I636</f>
        <v>0</v>
      </c>
      <c r="AA634" s="94">
        <f>J634-J635-J636</f>
        <v>0</v>
      </c>
      <c r="AB634" s="311">
        <f t="shared" si="163"/>
        <v>0.6111700000000001</v>
      </c>
      <c r="AC634" s="296"/>
      <c r="AD634" s="113"/>
      <c r="AE634" s="5"/>
      <c r="AF634" s="5"/>
      <c r="AG634" s="5">
        <f>H634</f>
        <v>0.63657000000000008</v>
      </c>
      <c r="AH634" s="5"/>
      <c r="AI634" s="5"/>
      <c r="AJ634" s="5"/>
      <c r="AK634" s="141"/>
      <c r="AL634" s="94">
        <f>SUM(AF634:AK634)</f>
        <v>0.63657000000000008</v>
      </c>
      <c r="AM634" s="128"/>
      <c r="AN634" s="180"/>
      <c r="AO634" s="128">
        <v>0.2</v>
      </c>
      <c r="AP634" s="184">
        <v>0.1</v>
      </c>
      <c r="AQ634" s="128"/>
      <c r="AR634" s="184"/>
      <c r="AS634" s="128"/>
      <c r="AT634" s="184"/>
      <c r="AU634" s="128"/>
      <c r="AV634" s="184"/>
      <c r="AW634" s="128"/>
      <c r="AX634" s="184"/>
      <c r="AY634" s="111">
        <f>AM634+AO634+AQ634+AS634+AU634+AW634</f>
        <v>0.2</v>
      </c>
      <c r="AZ634" s="178">
        <f>AN634+AP634+AR634+AT634+AV634+AX634</f>
        <v>0.1</v>
      </c>
      <c r="BC634" s="216"/>
      <c r="BD634" s="47"/>
      <c r="BF634" s="113">
        <v>0</v>
      </c>
      <c r="BG634" s="113"/>
      <c r="BH634" s="113"/>
      <c r="BI634" s="113"/>
      <c r="BJ634" s="113"/>
      <c r="BK634" s="113"/>
      <c r="BL634" s="5">
        <f t="shared" si="166"/>
        <v>0</v>
      </c>
    </row>
    <row r="635" spans="1:64" s="2" customFormat="1" ht="14.1" customHeight="1" outlineLevel="1" x14ac:dyDescent="0.2">
      <c r="A635" s="594"/>
      <c r="B635" s="601"/>
      <c r="C635" s="7" t="s">
        <v>1553</v>
      </c>
      <c r="D635" s="8"/>
      <c r="E635" s="23"/>
      <c r="F635" s="8"/>
      <c r="G635" s="8"/>
      <c r="H635" s="5">
        <v>0.63657000000000008</v>
      </c>
      <c r="I635" s="5">
        <v>0.6111700000000001</v>
      </c>
      <c r="J635" s="5">
        <f>R635</f>
        <v>0</v>
      </c>
      <c r="K635" s="8"/>
      <c r="L635" s="23"/>
      <c r="M635" s="8"/>
      <c r="N635" s="8"/>
      <c r="O635" s="8"/>
      <c r="P635" s="8"/>
      <c r="Q635" s="23"/>
      <c r="R635" s="113"/>
      <c r="S635" s="113"/>
      <c r="T635" s="113"/>
      <c r="U635" s="113"/>
      <c r="V635" s="113"/>
      <c r="W635" s="113"/>
      <c r="X635" s="5">
        <f t="shared" si="164"/>
        <v>0</v>
      </c>
      <c r="Y635" s="302"/>
      <c r="Z635" s="5"/>
      <c r="AA635" s="94"/>
      <c r="AB635" s="311">
        <f t="shared" si="163"/>
        <v>0.6111700000000001</v>
      </c>
      <c r="AC635" s="296"/>
      <c r="AD635" s="113"/>
      <c r="AE635" s="5"/>
      <c r="AF635" s="5"/>
      <c r="AG635" s="5"/>
      <c r="AH635" s="5"/>
      <c r="AI635" s="5"/>
      <c r="AJ635" s="5"/>
      <c r="AK635" s="141"/>
      <c r="AL635" s="94"/>
      <c r="AM635" s="128"/>
      <c r="AN635" s="180"/>
      <c r="AO635" s="128"/>
      <c r="AP635" s="184"/>
      <c r="AQ635" s="128"/>
      <c r="AR635" s="184"/>
      <c r="AS635" s="128"/>
      <c r="AT635" s="184"/>
      <c r="AU635" s="128"/>
      <c r="AV635" s="184"/>
      <c r="AW635" s="128"/>
      <c r="AX635" s="184"/>
      <c r="AY635" s="111"/>
      <c r="AZ635" s="178"/>
      <c r="BC635" s="216"/>
      <c r="BD635" s="47"/>
      <c r="BF635" s="113"/>
      <c r="BG635" s="113"/>
      <c r="BH635" s="113"/>
      <c r="BI635" s="113"/>
      <c r="BJ635" s="113"/>
      <c r="BK635" s="113"/>
      <c r="BL635" s="5">
        <f t="shared" si="166"/>
        <v>0</v>
      </c>
    </row>
    <row r="636" spans="1:64" s="2" customFormat="1" ht="14.1" customHeight="1" outlineLevel="1" x14ac:dyDescent="0.2">
      <c r="A636" s="595"/>
      <c r="B636" s="602"/>
      <c r="C636" s="7" t="s">
        <v>1554</v>
      </c>
      <c r="D636" s="8"/>
      <c r="E636" s="23"/>
      <c r="F636" s="8"/>
      <c r="G636" s="8"/>
      <c r="H636" s="5"/>
      <c r="I636" s="5"/>
      <c r="J636" s="5"/>
      <c r="K636" s="23"/>
      <c r="L636" s="8"/>
      <c r="M636" s="8"/>
      <c r="N636" s="8"/>
      <c r="O636" s="8"/>
      <c r="P636" s="8"/>
      <c r="Q636" s="23"/>
      <c r="R636" s="113"/>
      <c r="S636" s="113"/>
      <c r="T636" s="113"/>
      <c r="U636" s="113"/>
      <c r="V636" s="113"/>
      <c r="W636" s="113"/>
      <c r="X636" s="5">
        <f t="shared" si="164"/>
        <v>0</v>
      </c>
      <c r="Y636" s="302"/>
      <c r="Z636" s="5"/>
      <c r="AA636" s="94"/>
      <c r="AB636" s="311">
        <f t="shared" si="163"/>
        <v>0</v>
      </c>
      <c r="AC636" s="296"/>
      <c r="AD636" s="113"/>
      <c r="AE636" s="5"/>
      <c r="AF636" s="5"/>
      <c r="AG636" s="5"/>
      <c r="AH636" s="5"/>
      <c r="AI636" s="5"/>
      <c r="AJ636" s="5"/>
      <c r="AK636" s="141"/>
      <c r="AL636" s="94"/>
      <c r="AM636" s="128"/>
      <c r="AN636" s="180"/>
      <c r="AO636" s="128"/>
      <c r="AP636" s="184"/>
      <c r="AQ636" s="128"/>
      <c r="AR636" s="184"/>
      <c r="AS636" s="128"/>
      <c r="AT636" s="184"/>
      <c r="AU636" s="128"/>
      <c r="AV636" s="184"/>
      <c r="AW636" s="128"/>
      <c r="AX636" s="184"/>
      <c r="AY636" s="111"/>
      <c r="AZ636" s="178"/>
      <c r="BC636" s="216"/>
      <c r="BD636" s="47"/>
      <c r="BF636" s="113"/>
      <c r="BG636" s="113"/>
      <c r="BH636" s="113"/>
      <c r="BI636" s="113"/>
      <c r="BJ636" s="113"/>
      <c r="BK636" s="113"/>
      <c r="BL636" s="5">
        <f t="shared" si="166"/>
        <v>0</v>
      </c>
    </row>
    <row r="637" spans="1:64" s="2" customFormat="1" ht="38.25" customHeight="1" outlineLevel="1" x14ac:dyDescent="0.2">
      <c r="A637" s="593" t="s">
        <v>836</v>
      </c>
      <c r="B637" s="600" t="s">
        <v>1720</v>
      </c>
      <c r="C637" s="7" t="s">
        <v>478</v>
      </c>
      <c r="D637" s="8" t="s">
        <v>397</v>
      </c>
      <c r="E637" s="23" t="s">
        <v>354</v>
      </c>
      <c r="F637" s="8">
        <v>2013</v>
      </c>
      <c r="G637" s="8">
        <v>2015</v>
      </c>
      <c r="H637" s="5">
        <v>1.4293199999999999</v>
      </c>
      <c r="I637" s="5">
        <v>1.3714739999999999</v>
      </c>
      <c r="J637" s="5">
        <f>R637</f>
        <v>0.49068599999999996</v>
      </c>
      <c r="K637" s="8"/>
      <c r="L637" s="23" t="s">
        <v>354</v>
      </c>
      <c r="M637" s="8"/>
      <c r="N637" s="8"/>
      <c r="O637" s="8"/>
      <c r="P637" s="8"/>
      <c r="Q637" s="23" t="s">
        <v>354</v>
      </c>
      <c r="R637" s="113">
        <v>0.49068599999999996</v>
      </c>
      <c r="S637" s="113"/>
      <c r="T637" s="113"/>
      <c r="U637" s="113"/>
      <c r="V637" s="113"/>
      <c r="W637" s="113"/>
      <c r="X637" s="5">
        <f t="shared" si="164"/>
        <v>0.49068599999999996</v>
      </c>
      <c r="Y637" s="302">
        <f>H637-H638-H639</f>
        <v>0</v>
      </c>
      <c r="Z637" s="5">
        <f>I637-I638-I639</f>
        <v>0</v>
      </c>
      <c r="AA637" s="94">
        <f>J637-J638-J639</f>
        <v>0</v>
      </c>
      <c r="AB637" s="311">
        <f t="shared" si="163"/>
        <v>0.8807879999999999</v>
      </c>
      <c r="AC637" s="296"/>
      <c r="AD637" s="113"/>
      <c r="AE637" s="5"/>
      <c r="AF637" s="5"/>
      <c r="AG637" s="5">
        <f>H637</f>
        <v>1.4293199999999999</v>
      </c>
      <c r="AH637" s="5"/>
      <c r="AI637" s="5"/>
      <c r="AJ637" s="5"/>
      <c r="AK637" s="141"/>
      <c r="AL637" s="94">
        <f>SUM(AF637:AK637)</f>
        <v>1.4293199999999999</v>
      </c>
      <c r="AM637" s="128"/>
      <c r="AN637" s="180"/>
      <c r="AO637" s="128">
        <v>1</v>
      </c>
      <c r="AP637" s="184">
        <v>0.25</v>
      </c>
      <c r="AQ637" s="128"/>
      <c r="AR637" s="184"/>
      <c r="AS637" s="128"/>
      <c r="AT637" s="184"/>
      <c r="AU637" s="128"/>
      <c r="AV637" s="184"/>
      <c r="AW637" s="128"/>
      <c r="AX637" s="184"/>
      <c r="AY637" s="111">
        <f>AM637+AO637+AQ637+AS637+AU637+AW637</f>
        <v>1</v>
      </c>
      <c r="AZ637" s="178">
        <f>AN637+AP637+AR637+AT637+AV637+AX637</f>
        <v>0.25</v>
      </c>
      <c r="BC637" s="216"/>
      <c r="BD637" s="47"/>
      <c r="BF637" s="113">
        <v>0.49068599999999996</v>
      </c>
      <c r="BG637" s="113"/>
      <c r="BH637" s="113"/>
      <c r="BI637" s="113"/>
      <c r="BJ637" s="113"/>
      <c r="BK637" s="113"/>
      <c r="BL637" s="5">
        <f t="shared" si="166"/>
        <v>0.49068599999999996</v>
      </c>
    </row>
    <row r="638" spans="1:64" s="2" customFormat="1" ht="14.1" customHeight="1" outlineLevel="1" x14ac:dyDescent="0.2">
      <c r="A638" s="594"/>
      <c r="B638" s="601"/>
      <c r="C638" s="7" t="s">
        <v>1553</v>
      </c>
      <c r="D638" s="8"/>
      <c r="E638" s="23"/>
      <c r="F638" s="8"/>
      <c r="G638" s="8"/>
      <c r="H638" s="5"/>
      <c r="I638" s="5"/>
      <c r="J638" s="5"/>
      <c r="K638" s="8"/>
      <c r="L638" s="23"/>
      <c r="M638" s="8"/>
      <c r="N638" s="8"/>
      <c r="O638" s="8"/>
      <c r="P638" s="8"/>
      <c r="Q638" s="23"/>
      <c r="R638" s="113"/>
      <c r="S638" s="113"/>
      <c r="T638" s="113"/>
      <c r="U638" s="113"/>
      <c r="V638" s="113"/>
      <c r="W638" s="113"/>
      <c r="X638" s="5">
        <f>SUM(R638:W638)</f>
        <v>0</v>
      </c>
      <c r="Y638" s="302"/>
      <c r="Z638" s="5"/>
      <c r="AA638" s="94"/>
      <c r="AB638" s="311">
        <f t="shared" si="163"/>
        <v>0</v>
      </c>
      <c r="AC638" s="296"/>
      <c r="AD638" s="113"/>
      <c r="AE638" s="5"/>
      <c r="AF638" s="5"/>
      <c r="AG638" s="5"/>
      <c r="AH638" s="5"/>
      <c r="AI638" s="5"/>
      <c r="AJ638" s="5"/>
      <c r="AK638" s="141"/>
      <c r="AL638" s="94"/>
      <c r="AM638" s="128"/>
      <c r="AN638" s="180"/>
      <c r="AO638" s="128"/>
      <c r="AP638" s="184"/>
      <c r="AQ638" s="128"/>
      <c r="AR638" s="184"/>
      <c r="AS638" s="128"/>
      <c r="AT638" s="184"/>
      <c r="AU638" s="128"/>
      <c r="AV638" s="184"/>
      <c r="AW638" s="128"/>
      <c r="AX638" s="184"/>
      <c r="AY638" s="111"/>
      <c r="AZ638" s="178"/>
      <c r="BC638" s="216"/>
      <c r="BD638" s="47"/>
      <c r="BF638" s="113"/>
      <c r="BG638" s="113"/>
      <c r="BH638" s="113"/>
      <c r="BI638" s="113"/>
      <c r="BJ638" s="113"/>
      <c r="BK638" s="113"/>
      <c r="BL638" s="5">
        <f t="shared" si="166"/>
        <v>0</v>
      </c>
    </row>
    <row r="639" spans="1:64" s="2" customFormat="1" ht="14.1" customHeight="1" outlineLevel="1" x14ac:dyDescent="0.2">
      <c r="A639" s="595"/>
      <c r="B639" s="602"/>
      <c r="C639" s="7" t="s">
        <v>1554</v>
      </c>
      <c r="D639" s="8"/>
      <c r="E639" s="23"/>
      <c r="F639" s="8"/>
      <c r="G639" s="8"/>
      <c r="H639" s="5">
        <v>1.4293199999999999</v>
      </c>
      <c r="I639" s="5">
        <v>1.3714739999999999</v>
      </c>
      <c r="J639" s="5">
        <v>0.49068599999999996</v>
      </c>
      <c r="K639" s="23"/>
      <c r="L639" s="8"/>
      <c r="M639" s="8"/>
      <c r="N639" s="8"/>
      <c r="O639" s="8"/>
      <c r="P639" s="8"/>
      <c r="Q639" s="23"/>
      <c r="R639" s="113"/>
      <c r="S639" s="113"/>
      <c r="T639" s="113"/>
      <c r="U639" s="113"/>
      <c r="V639" s="113"/>
      <c r="W639" s="113"/>
      <c r="X639" s="5">
        <f>SUM(R639:W639)</f>
        <v>0</v>
      </c>
      <c r="Y639" s="302"/>
      <c r="Z639" s="5"/>
      <c r="AA639" s="94"/>
      <c r="AB639" s="311">
        <f t="shared" si="163"/>
        <v>1.3714739999999999</v>
      </c>
      <c r="AC639" s="296"/>
      <c r="AD639" s="113"/>
      <c r="AE639" s="5"/>
      <c r="AF639" s="5"/>
      <c r="AG639" s="5"/>
      <c r="AH639" s="5"/>
      <c r="AI639" s="5"/>
      <c r="AJ639" s="5"/>
      <c r="AK639" s="141"/>
      <c r="AL639" s="94"/>
      <c r="AM639" s="128"/>
      <c r="AN639" s="180"/>
      <c r="AO639" s="128"/>
      <c r="AP639" s="184"/>
      <c r="AQ639" s="128"/>
      <c r="AR639" s="184"/>
      <c r="AS639" s="128"/>
      <c r="AT639" s="184"/>
      <c r="AU639" s="128"/>
      <c r="AV639" s="184"/>
      <c r="AW639" s="128"/>
      <c r="AX639" s="184"/>
      <c r="AY639" s="111"/>
      <c r="AZ639" s="178"/>
      <c r="BC639" s="216"/>
      <c r="BD639" s="47"/>
      <c r="BF639" s="113"/>
      <c r="BG639" s="113"/>
      <c r="BH639" s="113"/>
      <c r="BI639" s="113"/>
      <c r="BJ639" s="113"/>
      <c r="BK639" s="113"/>
      <c r="BL639" s="5">
        <f t="shared" si="166"/>
        <v>0</v>
      </c>
    </row>
    <row r="640" spans="1:64" s="2" customFormat="1" ht="76.5" customHeight="1" outlineLevel="1" x14ac:dyDescent="0.2">
      <c r="A640" s="593" t="s">
        <v>837</v>
      </c>
      <c r="B640" s="600" t="s">
        <v>1721</v>
      </c>
      <c r="C640" s="7" t="s">
        <v>479</v>
      </c>
      <c r="D640" s="8" t="s">
        <v>397</v>
      </c>
      <c r="E640" s="23" t="s">
        <v>349</v>
      </c>
      <c r="F640" s="8">
        <v>2013</v>
      </c>
      <c r="G640" s="8">
        <v>2015</v>
      </c>
      <c r="H640" s="5">
        <v>0.35242000000000007</v>
      </c>
      <c r="I640" s="5">
        <v>0.32714400000000005</v>
      </c>
      <c r="J640" s="5">
        <f>R640</f>
        <v>0.30016500000000002</v>
      </c>
      <c r="K640" s="8"/>
      <c r="L640" s="23" t="s">
        <v>349</v>
      </c>
      <c r="M640" s="8"/>
      <c r="N640" s="8"/>
      <c r="O640" s="8"/>
      <c r="P640" s="8"/>
      <c r="Q640" s="23" t="s">
        <v>349</v>
      </c>
      <c r="R640" s="113">
        <v>0.30016500000000002</v>
      </c>
      <c r="S640" s="113"/>
      <c r="T640" s="113"/>
      <c r="U640" s="113"/>
      <c r="V640" s="113"/>
      <c r="W640" s="113"/>
      <c r="X640" s="5">
        <f t="shared" si="164"/>
        <v>0.30016500000000002</v>
      </c>
      <c r="Y640" s="302">
        <f>H640-H641-H642</f>
        <v>0</v>
      </c>
      <c r="Z640" s="5">
        <f>I640-I641-I642</f>
        <v>0</v>
      </c>
      <c r="AA640" s="94">
        <f>J640-J641-J642</f>
        <v>0</v>
      </c>
      <c r="AB640" s="311">
        <f t="shared" si="163"/>
        <v>2.6979000000000031E-2</v>
      </c>
      <c r="AC640" s="296"/>
      <c r="AD640" s="113"/>
      <c r="AE640" s="5"/>
      <c r="AF640" s="5"/>
      <c r="AG640" s="5">
        <f>H640</f>
        <v>0.35242000000000007</v>
      </c>
      <c r="AH640" s="5"/>
      <c r="AI640" s="5"/>
      <c r="AJ640" s="5"/>
      <c r="AK640" s="141"/>
      <c r="AL640" s="94">
        <f>SUM(AF640:AK640)</f>
        <v>0.35242000000000007</v>
      </c>
      <c r="AM640" s="128"/>
      <c r="AN640" s="180"/>
      <c r="AO640" s="128">
        <v>0.25</v>
      </c>
      <c r="AP640" s="184">
        <v>0</v>
      </c>
      <c r="AQ640" s="128"/>
      <c r="AR640" s="184"/>
      <c r="AS640" s="128"/>
      <c r="AT640" s="184"/>
      <c r="AU640" s="128"/>
      <c r="AV640" s="184"/>
      <c r="AW640" s="128"/>
      <c r="AX640" s="184"/>
      <c r="AY640" s="111">
        <f>AM640+AO640+AQ640+AS640+AU640+AW640</f>
        <v>0.25</v>
      </c>
      <c r="AZ640" s="178">
        <f>AN640+AP640+AR640+AT640+AV640+AX640</f>
        <v>0</v>
      </c>
      <c r="BC640" s="216"/>
      <c r="BD640" s="47"/>
      <c r="BF640" s="113">
        <v>0.30016500000000002</v>
      </c>
      <c r="BG640" s="113"/>
      <c r="BH640" s="113"/>
      <c r="BI640" s="113"/>
      <c r="BJ640" s="113"/>
      <c r="BK640" s="113"/>
      <c r="BL640" s="5">
        <f t="shared" si="166"/>
        <v>0.30016500000000002</v>
      </c>
    </row>
    <row r="641" spans="1:64" s="2" customFormat="1" ht="14.1" customHeight="1" outlineLevel="1" x14ac:dyDescent="0.2">
      <c r="A641" s="594"/>
      <c r="B641" s="601"/>
      <c r="C641" s="7" t="s">
        <v>1553</v>
      </c>
      <c r="D641" s="8"/>
      <c r="E641" s="23"/>
      <c r="F641" s="8"/>
      <c r="G641" s="8"/>
      <c r="H641" s="5"/>
      <c r="I641" s="5"/>
      <c r="J641" s="5"/>
      <c r="K641" s="8"/>
      <c r="L641" s="23"/>
      <c r="M641" s="8"/>
      <c r="N641" s="8"/>
      <c r="O641" s="8"/>
      <c r="P641" s="8"/>
      <c r="Q641" s="23"/>
      <c r="R641" s="113"/>
      <c r="S641" s="113"/>
      <c r="T641" s="113"/>
      <c r="U641" s="113"/>
      <c r="V641" s="113"/>
      <c r="W641" s="113"/>
      <c r="X641" s="5">
        <f t="shared" si="164"/>
        <v>0</v>
      </c>
      <c r="Y641" s="302"/>
      <c r="Z641" s="5"/>
      <c r="AA641" s="94"/>
      <c r="AB641" s="311">
        <f t="shared" si="163"/>
        <v>0</v>
      </c>
      <c r="AC641" s="296"/>
      <c r="AD641" s="113"/>
      <c r="AE641" s="5"/>
      <c r="AF641" s="5"/>
      <c r="AG641" s="5"/>
      <c r="AH641" s="5"/>
      <c r="AI641" s="5"/>
      <c r="AJ641" s="5"/>
      <c r="AK641" s="141"/>
      <c r="AL641" s="94"/>
      <c r="AM641" s="128"/>
      <c r="AN641" s="180"/>
      <c r="AO641" s="128"/>
      <c r="AP641" s="184"/>
      <c r="AQ641" s="128"/>
      <c r="AR641" s="184"/>
      <c r="AS641" s="128"/>
      <c r="AT641" s="184"/>
      <c r="AU641" s="128"/>
      <c r="AV641" s="184"/>
      <c r="AW641" s="128"/>
      <c r="AX641" s="184"/>
      <c r="AY641" s="111"/>
      <c r="AZ641" s="178"/>
      <c r="BC641" s="216"/>
      <c r="BD641" s="47"/>
      <c r="BF641" s="113"/>
      <c r="BG641" s="113"/>
      <c r="BH641" s="113"/>
      <c r="BI641" s="113"/>
      <c r="BJ641" s="113"/>
      <c r="BK641" s="113"/>
      <c r="BL641" s="5">
        <f t="shared" si="166"/>
        <v>0</v>
      </c>
    </row>
    <row r="642" spans="1:64" s="2" customFormat="1" ht="14.1" customHeight="1" outlineLevel="1" x14ac:dyDescent="0.2">
      <c r="A642" s="595"/>
      <c r="B642" s="602"/>
      <c r="C642" s="7" t="s">
        <v>1554</v>
      </c>
      <c r="D642" s="8"/>
      <c r="E642" s="23"/>
      <c r="F642" s="8"/>
      <c r="G642" s="8"/>
      <c r="H642" s="5">
        <v>0.35242000000000007</v>
      </c>
      <c r="I642" s="5">
        <v>0.32714400000000005</v>
      </c>
      <c r="J642" s="5">
        <v>0.30016500000000002</v>
      </c>
      <c r="K642" s="23"/>
      <c r="L642" s="8"/>
      <c r="M642" s="8"/>
      <c r="N642" s="8"/>
      <c r="O642" s="8"/>
      <c r="P642" s="8"/>
      <c r="Q642" s="23"/>
      <c r="R642" s="113"/>
      <c r="S642" s="113"/>
      <c r="T642" s="113"/>
      <c r="U642" s="113"/>
      <c r="V642" s="113"/>
      <c r="W642" s="113"/>
      <c r="X642" s="5">
        <f t="shared" si="164"/>
        <v>0</v>
      </c>
      <c r="Y642" s="302"/>
      <c r="Z642" s="5"/>
      <c r="AA642" s="94"/>
      <c r="AB642" s="311">
        <f t="shared" si="163"/>
        <v>0.32714400000000005</v>
      </c>
      <c r="AC642" s="296"/>
      <c r="AD642" s="113"/>
      <c r="AE642" s="5"/>
      <c r="AF642" s="5"/>
      <c r="AG642" s="5"/>
      <c r="AH642" s="5"/>
      <c r="AI642" s="5"/>
      <c r="AJ642" s="5"/>
      <c r="AK642" s="141"/>
      <c r="AL642" s="94"/>
      <c r="AM642" s="128"/>
      <c r="AN642" s="180"/>
      <c r="AO642" s="128"/>
      <c r="AP642" s="184"/>
      <c r="AQ642" s="128"/>
      <c r="AR642" s="184"/>
      <c r="AS642" s="128"/>
      <c r="AT642" s="184"/>
      <c r="AU642" s="128"/>
      <c r="AV642" s="184"/>
      <c r="AW642" s="128"/>
      <c r="AX642" s="184"/>
      <c r="AY642" s="111"/>
      <c r="AZ642" s="178"/>
      <c r="BC642" s="216"/>
      <c r="BD642" s="47"/>
      <c r="BF642" s="113"/>
      <c r="BG642" s="113"/>
      <c r="BH642" s="113"/>
      <c r="BI642" s="113"/>
      <c r="BJ642" s="113"/>
      <c r="BK642" s="113"/>
      <c r="BL642" s="5">
        <f t="shared" si="166"/>
        <v>0</v>
      </c>
    </row>
    <row r="643" spans="1:64" s="2" customFormat="1" ht="63.75" outlineLevel="1" x14ac:dyDescent="0.2">
      <c r="A643" s="593" t="s">
        <v>838</v>
      </c>
      <c r="B643" s="600" t="s">
        <v>1722</v>
      </c>
      <c r="C643" s="7" t="s">
        <v>480</v>
      </c>
      <c r="D643" s="8" t="s">
        <v>397</v>
      </c>
      <c r="E643" s="23" t="s">
        <v>333</v>
      </c>
      <c r="F643" s="8">
        <v>2013</v>
      </c>
      <c r="G643" s="8">
        <v>2014</v>
      </c>
      <c r="H643" s="5">
        <v>1.5835597699999999</v>
      </c>
      <c r="I643" s="5">
        <v>0.48797399999999996</v>
      </c>
      <c r="J643" s="5">
        <f>R643</f>
        <v>0.48797399999999996</v>
      </c>
      <c r="K643" s="23" t="s">
        <v>333</v>
      </c>
      <c r="L643" s="8"/>
      <c r="M643" s="8"/>
      <c r="N643" s="8"/>
      <c r="O643" s="8"/>
      <c r="P643" s="8"/>
      <c r="Q643" s="23" t="s">
        <v>333</v>
      </c>
      <c r="R643" s="113">
        <v>0.48797399999999996</v>
      </c>
      <c r="S643" s="113"/>
      <c r="T643" s="113"/>
      <c r="U643" s="113"/>
      <c r="V643" s="113"/>
      <c r="W643" s="113"/>
      <c r="X643" s="5">
        <f t="shared" si="164"/>
        <v>0.48797399999999996</v>
      </c>
      <c r="Y643" s="302">
        <f>H643-H644-H645</f>
        <v>0</v>
      </c>
      <c r="Z643" s="5">
        <f>I643-I644-I645</f>
        <v>0</v>
      </c>
      <c r="AA643" s="94">
        <f>J643-J644-J645</f>
        <v>0</v>
      </c>
      <c r="AB643" s="311">
        <f t="shared" si="163"/>
        <v>0</v>
      </c>
      <c r="AC643" s="296"/>
      <c r="AD643" s="113"/>
      <c r="AE643" s="5"/>
      <c r="AF643" s="5">
        <f>H643</f>
        <v>1.5835597699999999</v>
      </c>
      <c r="AG643" s="5"/>
      <c r="AH643" s="5"/>
      <c r="AI643" s="5"/>
      <c r="AJ643" s="5"/>
      <c r="AK643" s="141"/>
      <c r="AL643" s="94">
        <f>SUM(AF643:AK643)</f>
        <v>1.5835597699999999</v>
      </c>
      <c r="AM643" s="128">
        <v>0.3</v>
      </c>
      <c r="AN643" s="180">
        <v>0</v>
      </c>
      <c r="AO643" s="128"/>
      <c r="AP643" s="184"/>
      <c r="AQ643" s="128"/>
      <c r="AR643" s="184"/>
      <c r="AS643" s="128"/>
      <c r="AT643" s="184"/>
      <c r="AU643" s="128"/>
      <c r="AV643" s="184"/>
      <c r="AW643" s="128"/>
      <c r="AX643" s="184"/>
      <c r="AY643" s="111">
        <f>AM643+AO643+AQ643+AS643+AU643+AW643</f>
        <v>0.3</v>
      </c>
      <c r="AZ643" s="178">
        <f>AN643+AP643+AR643+AT643+AV643+AX643</f>
        <v>0</v>
      </c>
      <c r="BC643" s="216"/>
      <c r="BD643" s="47"/>
      <c r="BF643" s="113">
        <v>0.48797399999999996</v>
      </c>
      <c r="BG643" s="113"/>
      <c r="BH643" s="113"/>
      <c r="BI643" s="113"/>
      <c r="BJ643" s="113"/>
      <c r="BK643" s="113"/>
      <c r="BL643" s="5">
        <f t="shared" si="166"/>
        <v>0.48797399999999996</v>
      </c>
    </row>
    <row r="644" spans="1:64" s="2" customFormat="1" ht="14.1" customHeight="1" outlineLevel="1" x14ac:dyDescent="0.2">
      <c r="A644" s="594"/>
      <c r="B644" s="601"/>
      <c r="C644" s="7" t="s">
        <v>1553</v>
      </c>
      <c r="D644" s="8"/>
      <c r="E644" s="23"/>
      <c r="F644" s="8"/>
      <c r="G644" s="8"/>
      <c r="H644" s="5"/>
      <c r="I644" s="5"/>
      <c r="J644" s="5"/>
      <c r="K644" s="8"/>
      <c r="L644" s="23"/>
      <c r="M644" s="8"/>
      <c r="N644" s="8"/>
      <c r="O644" s="8"/>
      <c r="P644" s="8"/>
      <c r="Q644" s="23"/>
      <c r="R644" s="113"/>
      <c r="S644" s="113"/>
      <c r="T644" s="113"/>
      <c r="U644" s="113"/>
      <c r="V644" s="113"/>
      <c r="W644" s="113"/>
      <c r="X644" s="5">
        <f>SUM(R644:W644)</f>
        <v>0</v>
      </c>
      <c r="Y644" s="302"/>
      <c r="Z644" s="5"/>
      <c r="AA644" s="94"/>
      <c r="AB644" s="311">
        <f t="shared" si="163"/>
        <v>0</v>
      </c>
      <c r="AC644" s="296"/>
      <c r="AD644" s="113"/>
      <c r="AE644" s="5"/>
      <c r="AF644" s="5"/>
      <c r="AG644" s="5"/>
      <c r="AH644" s="5"/>
      <c r="AI644" s="5"/>
      <c r="AJ644" s="5"/>
      <c r="AK644" s="141"/>
      <c r="AL644" s="94"/>
      <c r="AM644" s="128"/>
      <c r="AN644" s="180"/>
      <c r="AO644" s="128"/>
      <c r="AP644" s="184"/>
      <c r="AQ644" s="128"/>
      <c r="AR644" s="184"/>
      <c r="AS644" s="128"/>
      <c r="AT644" s="184"/>
      <c r="AU644" s="128"/>
      <c r="AV644" s="184"/>
      <c r="AW644" s="128"/>
      <c r="AX644" s="184"/>
      <c r="AY644" s="111"/>
      <c r="AZ644" s="178"/>
      <c r="BC644" s="216"/>
      <c r="BD644" s="47"/>
      <c r="BF644" s="113"/>
      <c r="BG644" s="113"/>
      <c r="BH644" s="113"/>
      <c r="BI644" s="113"/>
      <c r="BJ644" s="113"/>
      <c r="BK644" s="113"/>
      <c r="BL644" s="5">
        <f t="shared" si="166"/>
        <v>0</v>
      </c>
    </row>
    <row r="645" spans="1:64" s="2" customFormat="1" ht="14.1" customHeight="1" outlineLevel="1" x14ac:dyDescent="0.2">
      <c r="A645" s="595"/>
      <c r="B645" s="602"/>
      <c r="C645" s="7" t="s">
        <v>1554</v>
      </c>
      <c r="D645" s="8"/>
      <c r="E645" s="23"/>
      <c r="F645" s="8"/>
      <c r="G645" s="8"/>
      <c r="H645" s="5">
        <f>H643</f>
        <v>1.5835597699999999</v>
      </c>
      <c r="I645" s="5">
        <f>I643</f>
        <v>0.48797399999999996</v>
      </c>
      <c r="J645" s="5">
        <f>J643</f>
        <v>0.48797399999999996</v>
      </c>
      <c r="K645" s="23"/>
      <c r="L645" s="8"/>
      <c r="M645" s="8"/>
      <c r="N645" s="8"/>
      <c r="O645" s="8"/>
      <c r="P645" s="8"/>
      <c r="Q645" s="23"/>
      <c r="R645" s="113"/>
      <c r="S645" s="113"/>
      <c r="T645" s="113"/>
      <c r="U645" s="113"/>
      <c r="V645" s="113"/>
      <c r="W645" s="113"/>
      <c r="X645" s="5">
        <f>SUM(R645:W645)</f>
        <v>0</v>
      </c>
      <c r="Y645" s="302"/>
      <c r="Z645" s="5"/>
      <c r="AA645" s="94"/>
      <c r="AB645" s="311">
        <f t="shared" si="163"/>
        <v>0.48797399999999996</v>
      </c>
      <c r="AC645" s="296"/>
      <c r="AD645" s="113"/>
      <c r="AE645" s="5"/>
      <c r="AF645" s="5"/>
      <c r="AG645" s="5"/>
      <c r="AH645" s="5"/>
      <c r="AI645" s="5"/>
      <c r="AJ645" s="5"/>
      <c r="AK645" s="141"/>
      <c r="AL645" s="94"/>
      <c r="AM645" s="128"/>
      <c r="AN645" s="180"/>
      <c r="AO645" s="128"/>
      <c r="AP645" s="184"/>
      <c r="AQ645" s="128"/>
      <c r="AR645" s="184"/>
      <c r="AS645" s="128"/>
      <c r="AT645" s="184"/>
      <c r="AU645" s="128"/>
      <c r="AV645" s="184"/>
      <c r="AW645" s="128"/>
      <c r="AX645" s="184"/>
      <c r="AY645" s="111"/>
      <c r="AZ645" s="178"/>
      <c r="BC645" s="216"/>
      <c r="BD645" s="47"/>
      <c r="BF645" s="113"/>
      <c r="BG645" s="113"/>
      <c r="BH645" s="113"/>
      <c r="BI645" s="113"/>
      <c r="BJ645" s="113"/>
      <c r="BK645" s="113"/>
      <c r="BL645" s="5">
        <f t="shared" si="166"/>
        <v>0</v>
      </c>
    </row>
    <row r="646" spans="1:64" s="2" customFormat="1" ht="89.25" customHeight="1" outlineLevel="1" x14ac:dyDescent="0.2">
      <c r="A646" s="593" t="s">
        <v>839</v>
      </c>
      <c r="B646" s="600" t="s">
        <v>1723</v>
      </c>
      <c r="C646" s="7" t="s">
        <v>8</v>
      </c>
      <c r="D646" s="8" t="s">
        <v>397</v>
      </c>
      <c r="E646" s="23" t="s">
        <v>1241</v>
      </c>
      <c r="F646" s="8">
        <v>2013</v>
      </c>
      <c r="G646" s="8">
        <v>2015</v>
      </c>
      <c r="H646" s="5">
        <v>2.8039999999999999E-2</v>
      </c>
      <c r="I646" s="5">
        <v>2.8039999999999999E-2</v>
      </c>
      <c r="J646" s="5">
        <f>R646</f>
        <v>0.01</v>
      </c>
      <c r="K646" s="8"/>
      <c r="L646" s="23" t="s">
        <v>1241</v>
      </c>
      <c r="M646" s="8"/>
      <c r="N646" s="8"/>
      <c r="O646" s="8"/>
      <c r="P646" s="8"/>
      <c r="Q646" s="23" t="s">
        <v>1241</v>
      </c>
      <c r="R646" s="113">
        <v>0.01</v>
      </c>
      <c r="S646" s="113"/>
      <c r="T646" s="113"/>
      <c r="U646" s="113"/>
      <c r="V646" s="113"/>
      <c r="W646" s="113"/>
      <c r="X646" s="5">
        <f t="shared" si="164"/>
        <v>0.01</v>
      </c>
      <c r="Y646" s="302">
        <f>H646-H647-H648</f>
        <v>0</v>
      </c>
      <c r="Z646" s="5">
        <f>I646-I647-I648</f>
        <v>0</v>
      </c>
      <c r="AA646" s="94">
        <f>J646-J647-J648</f>
        <v>-9.9999999999999915E-4</v>
      </c>
      <c r="AB646" s="311">
        <f t="shared" si="163"/>
        <v>1.804E-2</v>
      </c>
      <c r="AC646" s="296"/>
      <c r="AD646" s="113"/>
      <c r="AE646" s="5"/>
      <c r="AF646" s="5"/>
      <c r="AG646" s="5">
        <f>H646</f>
        <v>2.8039999999999999E-2</v>
      </c>
      <c r="AH646" s="5"/>
      <c r="AI646" s="5"/>
      <c r="AJ646" s="5"/>
      <c r="AK646" s="141"/>
      <c r="AL646" s="94">
        <f>SUM(AF646:AK646)</f>
        <v>2.8039999999999999E-2</v>
      </c>
      <c r="AM646" s="128"/>
      <c r="AN646" s="180"/>
      <c r="AO646" s="128">
        <v>0</v>
      </c>
      <c r="AP646" s="184">
        <v>0</v>
      </c>
      <c r="AQ646" s="128"/>
      <c r="AR646" s="184"/>
      <c r="AS646" s="128"/>
      <c r="AT646" s="184"/>
      <c r="AU646" s="128"/>
      <c r="AV646" s="184"/>
      <c r="AW646" s="128"/>
      <c r="AX646" s="184"/>
      <c r="AY646" s="111">
        <f>AM646+AO646+AQ646+AS646+AU646+AW646</f>
        <v>0</v>
      </c>
      <c r="AZ646" s="178">
        <f>AN646+AP646+AR646+AT646+AV646+AX646</f>
        <v>0</v>
      </c>
      <c r="BC646" s="216"/>
      <c r="BD646" s="47"/>
      <c r="BF646" s="113">
        <v>0.01</v>
      </c>
      <c r="BG646" s="113"/>
      <c r="BH646" s="113"/>
      <c r="BI646" s="113"/>
      <c r="BJ646" s="113"/>
      <c r="BK646" s="113"/>
      <c r="BL646" s="5">
        <f t="shared" si="166"/>
        <v>0.01</v>
      </c>
    </row>
    <row r="647" spans="1:64" s="2" customFormat="1" ht="14.1" customHeight="1" outlineLevel="1" x14ac:dyDescent="0.2">
      <c r="A647" s="594"/>
      <c r="B647" s="601"/>
      <c r="C647" s="7" t="s">
        <v>1553</v>
      </c>
      <c r="D647" s="8"/>
      <c r="E647" s="23"/>
      <c r="F647" s="8"/>
      <c r="G647" s="8"/>
      <c r="H647" s="5"/>
      <c r="I647" s="5"/>
      <c r="J647" s="5"/>
      <c r="K647" s="8"/>
      <c r="L647" s="23"/>
      <c r="M647" s="8"/>
      <c r="N647" s="8"/>
      <c r="O647" s="8"/>
      <c r="P647" s="8"/>
      <c r="Q647" s="23"/>
      <c r="R647" s="113"/>
      <c r="S647" s="113"/>
      <c r="T647" s="113"/>
      <c r="U647" s="113"/>
      <c r="V647" s="113"/>
      <c r="W647" s="113"/>
      <c r="X647" s="5">
        <f t="shared" si="164"/>
        <v>0</v>
      </c>
      <c r="Y647" s="302"/>
      <c r="Z647" s="5"/>
      <c r="AA647" s="94"/>
      <c r="AB647" s="311">
        <f t="shared" si="163"/>
        <v>0</v>
      </c>
      <c r="AC647" s="296"/>
      <c r="AD647" s="113"/>
      <c r="AE647" s="5"/>
      <c r="AF647" s="5"/>
      <c r="AG647" s="5"/>
      <c r="AH647" s="5"/>
      <c r="AI647" s="5"/>
      <c r="AJ647" s="5"/>
      <c r="AK647" s="141"/>
      <c r="AL647" s="94"/>
      <c r="AM647" s="128"/>
      <c r="AN647" s="180"/>
      <c r="AO647" s="128"/>
      <c r="AP647" s="184"/>
      <c r="AQ647" s="128"/>
      <c r="AR647" s="184"/>
      <c r="AS647" s="128"/>
      <c r="AT647" s="184"/>
      <c r="AU647" s="128"/>
      <c r="AV647" s="184"/>
      <c r="AW647" s="128"/>
      <c r="AX647" s="184"/>
      <c r="AY647" s="111"/>
      <c r="AZ647" s="178"/>
      <c r="BC647" s="216"/>
      <c r="BD647" s="47"/>
      <c r="BF647" s="113"/>
      <c r="BG647" s="113"/>
      <c r="BH647" s="113"/>
      <c r="BI647" s="113"/>
      <c r="BJ647" s="113"/>
      <c r="BK647" s="113"/>
      <c r="BL647" s="5">
        <f t="shared" si="166"/>
        <v>0</v>
      </c>
    </row>
    <row r="648" spans="1:64" s="2" customFormat="1" ht="14.1" customHeight="1" outlineLevel="1" x14ac:dyDescent="0.2">
      <c r="A648" s="595"/>
      <c r="B648" s="602"/>
      <c r="C648" s="7" t="s">
        <v>1554</v>
      </c>
      <c r="D648" s="8"/>
      <c r="E648" s="23"/>
      <c r="F648" s="8"/>
      <c r="G648" s="8"/>
      <c r="H648" s="5">
        <v>2.8039999999999999E-2</v>
      </c>
      <c r="I648" s="5">
        <v>2.8039999999999999E-2</v>
      </c>
      <c r="J648" s="5">
        <v>1.0999999999999999E-2</v>
      </c>
      <c r="K648" s="23"/>
      <c r="L648" s="8"/>
      <c r="M648" s="8"/>
      <c r="N648" s="8"/>
      <c r="O648" s="8"/>
      <c r="P648" s="8"/>
      <c r="Q648" s="23"/>
      <c r="R648" s="113"/>
      <c r="S648" s="113"/>
      <c r="T648" s="113"/>
      <c r="U648" s="113"/>
      <c r="V648" s="113"/>
      <c r="W648" s="113"/>
      <c r="X648" s="5">
        <f t="shared" si="164"/>
        <v>0</v>
      </c>
      <c r="Y648" s="302"/>
      <c r="Z648" s="5"/>
      <c r="AA648" s="94"/>
      <c r="AB648" s="311">
        <f t="shared" si="163"/>
        <v>2.8039999999999999E-2</v>
      </c>
      <c r="AC648" s="296"/>
      <c r="AD648" s="113"/>
      <c r="AE648" s="5"/>
      <c r="AF648" s="5"/>
      <c r="AG648" s="5"/>
      <c r="AH648" s="5"/>
      <c r="AI648" s="5"/>
      <c r="AJ648" s="5"/>
      <c r="AK648" s="141"/>
      <c r="AL648" s="94"/>
      <c r="AM648" s="128"/>
      <c r="AN648" s="180"/>
      <c r="AO648" s="128"/>
      <c r="AP648" s="184"/>
      <c r="AQ648" s="128"/>
      <c r="AR648" s="184"/>
      <c r="AS648" s="128"/>
      <c r="AT648" s="184"/>
      <c r="AU648" s="128"/>
      <c r="AV648" s="184"/>
      <c r="AW648" s="128"/>
      <c r="AX648" s="184"/>
      <c r="AY648" s="111"/>
      <c r="AZ648" s="178"/>
      <c r="BC648" s="216"/>
      <c r="BD648" s="47"/>
      <c r="BF648" s="113"/>
      <c r="BG648" s="113"/>
      <c r="BH648" s="113"/>
      <c r="BI648" s="113"/>
      <c r="BJ648" s="113"/>
      <c r="BK648" s="113"/>
      <c r="BL648" s="5">
        <f t="shared" si="166"/>
        <v>0</v>
      </c>
    </row>
    <row r="649" spans="1:64" s="2" customFormat="1" ht="89.25" outlineLevel="1" x14ac:dyDescent="0.2">
      <c r="A649" s="593" t="s">
        <v>840</v>
      </c>
      <c r="B649" s="600" t="s">
        <v>1724</v>
      </c>
      <c r="C649" s="7" t="s">
        <v>481</v>
      </c>
      <c r="D649" s="8" t="s">
        <v>397</v>
      </c>
      <c r="E649" s="23" t="s">
        <v>1241</v>
      </c>
      <c r="F649" s="8">
        <v>2013</v>
      </c>
      <c r="G649" s="8">
        <v>2014</v>
      </c>
      <c r="H649" s="5">
        <v>6.6453999999999999E-2</v>
      </c>
      <c r="I649" s="5">
        <v>0.01</v>
      </c>
      <c r="J649" s="5">
        <f>R649</f>
        <v>0.01</v>
      </c>
      <c r="K649" s="23" t="s">
        <v>1241</v>
      </c>
      <c r="L649" s="8"/>
      <c r="M649" s="8"/>
      <c r="N649" s="8"/>
      <c r="O649" s="8"/>
      <c r="P649" s="8"/>
      <c r="Q649" s="23" t="s">
        <v>1241</v>
      </c>
      <c r="R649" s="113">
        <v>0.01</v>
      </c>
      <c r="S649" s="113"/>
      <c r="T649" s="113"/>
      <c r="U649" s="113"/>
      <c r="V649" s="113"/>
      <c r="W649" s="113"/>
      <c r="X649" s="5">
        <f t="shared" si="164"/>
        <v>0.01</v>
      </c>
      <c r="Y649" s="302">
        <f>H649-H650-H651</f>
        <v>0</v>
      </c>
      <c r="Z649" s="5">
        <f>I649-I650-I651</f>
        <v>0</v>
      </c>
      <c r="AA649" s="94">
        <f>J649-J650-J651</f>
        <v>-9.9999999999999915E-4</v>
      </c>
      <c r="AB649" s="311">
        <f t="shared" si="163"/>
        <v>0</v>
      </c>
      <c r="AC649" s="296"/>
      <c r="AD649" s="113"/>
      <c r="AE649" s="5"/>
      <c r="AF649" s="5">
        <f>H649</f>
        <v>6.6453999999999999E-2</v>
      </c>
      <c r="AG649" s="5"/>
      <c r="AH649" s="5"/>
      <c r="AI649" s="5"/>
      <c r="AJ649" s="5"/>
      <c r="AK649" s="141"/>
      <c r="AL649" s="94">
        <f>SUM(AF649:AK649)</f>
        <v>6.6453999999999999E-2</v>
      </c>
      <c r="AM649" s="128">
        <v>0</v>
      </c>
      <c r="AN649" s="180">
        <v>0</v>
      </c>
      <c r="AO649" s="128"/>
      <c r="AP649" s="184"/>
      <c r="AQ649" s="128"/>
      <c r="AR649" s="184"/>
      <c r="AS649" s="128"/>
      <c r="AT649" s="184"/>
      <c r="AU649" s="128"/>
      <c r="AV649" s="184"/>
      <c r="AW649" s="128"/>
      <c r="AX649" s="184"/>
      <c r="AY649" s="111">
        <f>AM649+AO649+AQ649+AS649+AU649+AW649</f>
        <v>0</v>
      </c>
      <c r="AZ649" s="178">
        <f>AN649+AP649+AR649+AT649+AV649+AX649</f>
        <v>0</v>
      </c>
      <c r="BC649" s="216"/>
      <c r="BD649" s="47"/>
      <c r="BF649" s="113">
        <v>0.01</v>
      </c>
      <c r="BG649" s="113"/>
      <c r="BH649" s="113"/>
      <c r="BI649" s="113"/>
      <c r="BJ649" s="113"/>
      <c r="BK649" s="113"/>
      <c r="BL649" s="5">
        <f t="shared" si="166"/>
        <v>0.01</v>
      </c>
    </row>
    <row r="650" spans="1:64" s="2" customFormat="1" ht="15.75" customHeight="1" outlineLevel="1" x14ac:dyDescent="0.2">
      <c r="A650" s="594"/>
      <c r="B650" s="601"/>
      <c r="C650" s="7" t="s">
        <v>1553</v>
      </c>
      <c r="D650" s="8"/>
      <c r="E650" s="23"/>
      <c r="F650" s="8"/>
      <c r="G650" s="8"/>
      <c r="H650" s="5"/>
      <c r="I650" s="5"/>
      <c r="J650" s="5"/>
      <c r="K650" s="8"/>
      <c r="L650" s="23"/>
      <c r="M650" s="8"/>
      <c r="N650" s="8"/>
      <c r="O650" s="8"/>
      <c r="P650" s="8"/>
      <c r="Q650" s="23"/>
      <c r="R650" s="113"/>
      <c r="S650" s="113"/>
      <c r="T650" s="113"/>
      <c r="U650" s="113"/>
      <c r="V650" s="113"/>
      <c r="W650" s="113"/>
      <c r="X650" s="5">
        <f>SUM(R650:W650)</f>
        <v>0</v>
      </c>
      <c r="Y650" s="302"/>
      <c r="Z650" s="5"/>
      <c r="AA650" s="94"/>
      <c r="AB650" s="311">
        <f t="shared" si="163"/>
        <v>0</v>
      </c>
      <c r="AC650" s="296"/>
      <c r="AD650" s="113"/>
      <c r="AE650" s="5"/>
      <c r="AF650" s="5"/>
      <c r="AG650" s="5"/>
      <c r="AH650" s="5"/>
      <c r="AI650" s="5"/>
      <c r="AJ650" s="5"/>
      <c r="AK650" s="141"/>
      <c r="AL650" s="94"/>
      <c r="AM650" s="128"/>
      <c r="AN650" s="180"/>
      <c r="AO650" s="128"/>
      <c r="AP650" s="184"/>
      <c r="AQ650" s="128"/>
      <c r="AR650" s="184"/>
      <c r="AS650" s="128"/>
      <c r="AT650" s="184"/>
      <c r="AU650" s="128"/>
      <c r="AV650" s="184"/>
      <c r="AW650" s="128"/>
      <c r="AX650" s="184"/>
      <c r="AY650" s="111"/>
      <c r="AZ650" s="178"/>
      <c r="BC650" s="216"/>
      <c r="BD650" s="47"/>
      <c r="BF650" s="113"/>
      <c r="BG650" s="113"/>
      <c r="BH650" s="113"/>
      <c r="BI650" s="113"/>
      <c r="BJ650" s="113"/>
      <c r="BK650" s="113"/>
      <c r="BL650" s="5">
        <f t="shared" si="166"/>
        <v>0</v>
      </c>
    </row>
    <row r="651" spans="1:64" s="2" customFormat="1" ht="15.75" customHeight="1" outlineLevel="1" x14ac:dyDescent="0.2">
      <c r="A651" s="595"/>
      <c r="B651" s="602"/>
      <c r="C651" s="7" t="s">
        <v>1554</v>
      </c>
      <c r="D651" s="8"/>
      <c r="E651" s="23"/>
      <c r="F651" s="8"/>
      <c r="G651" s="8"/>
      <c r="H651" s="5">
        <v>6.6453999999999999E-2</v>
      </c>
      <c r="I651" s="5">
        <v>0.01</v>
      </c>
      <c r="J651" s="5">
        <v>1.0999999999999999E-2</v>
      </c>
      <c r="K651" s="23"/>
      <c r="L651" s="8"/>
      <c r="M651" s="8"/>
      <c r="N651" s="8"/>
      <c r="O651" s="8"/>
      <c r="P651" s="8"/>
      <c r="Q651" s="23"/>
      <c r="R651" s="113"/>
      <c r="S651" s="113"/>
      <c r="T651" s="113"/>
      <c r="U651" s="113"/>
      <c r="V651" s="113"/>
      <c r="W651" s="113"/>
      <c r="X651" s="5">
        <f>SUM(R651:W651)</f>
        <v>0</v>
      </c>
      <c r="Y651" s="302"/>
      <c r="Z651" s="5"/>
      <c r="AA651" s="94"/>
      <c r="AB651" s="311">
        <f t="shared" si="163"/>
        <v>0.01</v>
      </c>
      <c r="AC651" s="296"/>
      <c r="AD651" s="113"/>
      <c r="AE651" s="5"/>
      <c r="AF651" s="5"/>
      <c r="AG651" s="5"/>
      <c r="AH651" s="5"/>
      <c r="AI651" s="5"/>
      <c r="AJ651" s="5"/>
      <c r="AK651" s="141"/>
      <c r="AL651" s="94"/>
      <c r="AM651" s="128"/>
      <c r="AN651" s="180"/>
      <c r="AO651" s="128"/>
      <c r="AP651" s="184"/>
      <c r="AQ651" s="128"/>
      <c r="AR651" s="184"/>
      <c r="AS651" s="128"/>
      <c r="AT651" s="184"/>
      <c r="AU651" s="128"/>
      <c r="AV651" s="184"/>
      <c r="AW651" s="128"/>
      <c r="AX651" s="184"/>
      <c r="AY651" s="111"/>
      <c r="AZ651" s="178"/>
      <c r="BC651" s="216"/>
      <c r="BD651" s="47"/>
      <c r="BF651" s="113"/>
      <c r="BG651" s="113"/>
      <c r="BH651" s="113"/>
      <c r="BI651" s="113"/>
      <c r="BJ651" s="113"/>
      <c r="BK651" s="113"/>
      <c r="BL651" s="5">
        <f t="shared" si="166"/>
        <v>0</v>
      </c>
    </row>
    <row r="652" spans="1:64" s="2" customFormat="1" ht="63.75" customHeight="1" outlineLevel="1" x14ac:dyDescent="0.2">
      <c r="A652" s="593" t="s">
        <v>841</v>
      </c>
      <c r="B652" s="600" t="s">
        <v>1725</v>
      </c>
      <c r="C652" s="7" t="s">
        <v>482</v>
      </c>
      <c r="D652" s="8" t="s">
        <v>397</v>
      </c>
      <c r="E652" s="23" t="s">
        <v>1241</v>
      </c>
      <c r="F652" s="8">
        <v>2013</v>
      </c>
      <c r="G652" s="8">
        <v>2015</v>
      </c>
      <c r="H652" s="5">
        <v>2.8039999999999999E-2</v>
      </c>
      <c r="I652" s="5">
        <v>2.8039999999999999E-2</v>
      </c>
      <c r="J652" s="5">
        <f>R652</f>
        <v>0.01</v>
      </c>
      <c r="K652" s="8"/>
      <c r="L652" s="23" t="s">
        <v>1241</v>
      </c>
      <c r="M652" s="8"/>
      <c r="N652" s="8"/>
      <c r="O652" s="8"/>
      <c r="P652" s="8"/>
      <c r="Q652" s="23" t="s">
        <v>1241</v>
      </c>
      <c r="R652" s="113">
        <v>0.01</v>
      </c>
      <c r="S652" s="113"/>
      <c r="T652" s="113"/>
      <c r="U652" s="113"/>
      <c r="V652" s="113"/>
      <c r="W652" s="113"/>
      <c r="X652" s="5">
        <f t="shared" si="164"/>
        <v>0.01</v>
      </c>
      <c r="Y652" s="302">
        <f>H652-H653-H654</f>
        <v>0</v>
      </c>
      <c r="Z652" s="5">
        <f>I652-I653-I654</f>
        <v>0</v>
      </c>
      <c r="AA652" s="94">
        <f>J652-J653-J654</f>
        <v>-9.9999999999999915E-4</v>
      </c>
      <c r="AB652" s="311">
        <f t="shared" si="163"/>
        <v>1.804E-2</v>
      </c>
      <c r="AC652" s="296"/>
      <c r="AD652" s="113"/>
      <c r="AE652" s="5"/>
      <c r="AF652" s="5"/>
      <c r="AG652" s="5">
        <f>H652</f>
        <v>2.8039999999999999E-2</v>
      </c>
      <c r="AH652" s="5"/>
      <c r="AI652" s="5"/>
      <c r="AJ652" s="5"/>
      <c r="AK652" s="141"/>
      <c r="AL652" s="94">
        <f>SUM(AF652:AK652)</f>
        <v>2.8039999999999999E-2</v>
      </c>
      <c r="AM652" s="128"/>
      <c r="AN652" s="180"/>
      <c r="AO652" s="128">
        <v>0</v>
      </c>
      <c r="AP652" s="184">
        <v>0</v>
      </c>
      <c r="AQ652" s="128"/>
      <c r="AR652" s="184"/>
      <c r="AS652" s="128"/>
      <c r="AT652" s="184"/>
      <c r="AU652" s="128"/>
      <c r="AV652" s="184"/>
      <c r="AW652" s="128"/>
      <c r="AX652" s="184"/>
      <c r="AY652" s="111">
        <f>AM652+AO652+AQ652+AS652+AU652+AW652</f>
        <v>0</v>
      </c>
      <c r="AZ652" s="178">
        <f>AN652+AP652+AR652+AT652+AV652+AX652</f>
        <v>0</v>
      </c>
      <c r="BC652" s="216"/>
      <c r="BD652" s="47"/>
      <c r="BF652" s="113">
        <v>0.01</v>
      </c>
      <c r="BG652" s="113"/>
      <c r="BH652" s="113"/>
      <c r="BI652" s="113"/>
      <c r="BJ652" s="113"/>
      <c r="BK652" s="113"/>
      <c r="BL652" s="5">
        <f t="shared" si="166"/>
        <v>0.01</v>
      </c>
    </row>
    <row r="653" spans="1:64" s="2" customFormat="1" ht="15.75" customHeight="1" outlineLevel="1" x14ac:dyDescent="0.2">
      <c r="A653" s="594"/>
      <c r="B653" s="601"/>
      <c r="C653" s="7" t="s">
        <v>1553</v>
      </c>
      <c r="D653" s="8"/>
      <c r="E653" s="23"/>
      <c r="F653" s="8"/>
      <c r="G653" s="8"/>
      <c r="H653" s="5"/>
      <c r="I653" s="5"/>
      <c r="J653" s="5"/>
      <c r="K653" s="8"/>
      <c r="L653" s="23"/>
      <c r="M653" s="8"/>
      <c r="N653" s="8"/>
      <c r="O653" s="8"/>
      <c r="P653" s="8"/>
      <c r="Q653" s="23"/>
      <c r="R653" s="113"/>
      <c r="S653" s="113"/>
      <c r="T653" s="113"/>
      <c r="U653" s="113"/>
      <c r="V653" s="113"/>
      <c r="W653" s="113"/>
      <c r="X653" s="5">
        <f t="shared" si="164"/>
        <v>0</v>
      </c>
      <c r="Y653" s="302"/>
      <c r="Z653" s="5"/>
      <c r="AA653" s="94"/>
      <c r="AB653" s="311">
        <f t="shared" si="163"/>
        <v>0</v>
      </c>
      <c r="AC653" s="296"/>
      <c r="AD653" s="113"/>
      <c r="AE653" s="5"/>
      <c r="AF653" s="5"/>
      <c r="AG653" s="5"/>
      <c r="AH653" s="5"/>
      <c r="AI653" s="5"/>
      <c r="AJ653" s="5"/>
      <c r="AK653" s="141"/>
      <c r="AL653" s="94"/>
      <c r="AM653" s="128"/>
      <c r="AN653" s="180"/>
      <c r="AO653" s="128"/>
      <c r="AP653" s="184"/>
      <c r="AQ653" s="128"/>
      <c r="AR653" s="184"/>
      <c r="AS653" s="128"/>
      <c r="AT653" s="184"/>
      <c r="AU653" s="128"/>
      <c r="AV653" s="184"/>
      <c r="AW653" s="128"/>
      <c r="AX653" s="184"/>
      <c r="AY653" s="111"/>
      <c r="AZ653" s="178"/>
      <c r="BC653" s="216"/>
      <c r="BD653" s="47"/>
      <c r="BF653" s="113"/>
      <c r="BG653" s="113"/>
      <c r="BH653" s="113"/>
      <c r="BI653" s="113"/>
      <c r="BJ653" s="113"/>
      <c r="BK653" s="113"/>
      <c r="BL653" s="5">
        <f t="shared" si="166"/>
        <v>0</v>
      </c>
    </row>
    <row r="654" spans="1:64" s="2" customFormat="1" ht="15.75" customHeight="1" outlineLevel="1" x14ac:dyDescent="0.2">
      <c r="A654" s="595"/>
      <c r="B654" s="602"/>
      <c r="C654" s="7" t="s">
        <v>1554</v>
      </c>
      <c r="D654" s="8"/>
      <c r="E654" s="23"/>
      <c r="F654" s="8"/>
      <c r="G654" s="8"/>
      <c r="H654" s="5">
        <v>2.8039999999999999E-2</v>
      </c>
      <c r="I654" s="5">
        <v>2.8039999999999999E-2</v>
      </c>
      <c r="J654" s="5">
        <v>1.0999999999999999E-2</v>
      </c>
      <c r="K654" s="23"/>
      <c r="L654" s="8"/>
      <c r="M654" s="8"/>
      <c r="N654" s="8"/>
      <c r="O654" s="8"/>
      <c r="P654" s="8"/>
      <c r="Q654" s="23"/>
      <c r="R654" s="113"/>
      <c r="S654" s="113"/>
      <c r="T654" s="113"/>
      <c r="U654" s="113"/>
      <c r="V654" s="113"/>
      <c r="W654" s="113"/>
      <c r="X654" s="5">
        <f t="shared" si="164"/>
        <v>0</v>
      </c>
      <c r="Y654" s="302"/>
      <c r="Z654" s="5"/>
      <c r="AA654" s="94"/>
      <c r="AB654" s="311">
        <f t="shared" si="163"/>
        <v>2.8039999999999999E-2</v>
      </c>
      <c r="AC654" s="296"/>
      <c r="AD654" s="113"/>
      <c r="AE654" s="5"/>
      <c r="AF654" s="5"/>
      <c r="AG654" s="5"/>
      <c r="AH654" s="5"/>
      <c r="AI654" s="5"/>
      <c r="AJ654" s="5"/>
      <c r="AK654" s="141"/>
      <c r="AL654" s="94"/>
      <c r="AM654" s="128"/>
      <c r="AN654" s="180"/>
      <c r="AO654" s="128"/>
      <c r="AP654" s="184"/>
      <c r="AQ654" s="128"/>
      <c r="AR654" s="184"/>
      <c r="AS654" s="128"/>
      <c r="AT654" s="184"/>
      <c r="AU654" s="128"/>
      <c r="AV654" s="184"/>
      <c r="AW654" s="128"/>
      <c r="AX654" s="184"/>
      <c r="AY654" s="111"/>
      <c r="AZ654" s="178"/>
      <c r="BC654" s="216"/>
      <c r="BD654" s="47"/>
      <c r="BF654" s="113"/>
      <c r="BG654" s="113"/>
      <c r="BH654" s="113"/>
      <c r="BI654" s="113"/>
      <c r="BJ654" s="113"/>
      <c r="BK654" s="113"/>
      <c r="BL654" s="5">
        <f t="shared" si="166"/>
        <v>0</v>
      </c>
    </row>
    <row r="655" spans="1:64" s="2" customFormat="1" ht="72" customHeight="1" outlineLevel="1" x14ac:dyDescent="0.2">
      <c r="A655" s="593" t="s">
        <v>842</v>
      </c>
      <c r="B655" s="600" t="s">
        <v>1726</v>
      </c>
      <c r="C655" s="7" t="s">
        <v>483</v>
      </c>
      <c r="D655" s="8" t="s">
        <v>397</v>
      </c>
      <c r="E655" s="23" t="s">
        <v>335</v>
      </c>
      <c r="F655" s="8">
        <v>2013</v>
      </c>
      <c r="G655" s="8">
        <v>2015</v>
      </c>
      <c r="H655" s="5">
        <v>0.21218999999999999</v>
      </c>
      <c r="I655" s="5">
        <v>0.19928999999999999</v>
      </c>
      <c r="J655" s="5">
        <f>R655</f>
        <v>0.13340299999999999</v>
      </c>
      <c r="K655" s="8"/>
      <c r="L655" s="23" t="s">
        <v>335</v>
      </c>
      <c r="M655" s="8"/>
      <c r="N655" s="8"/>
      <c r="O655" s="8"/>
      <c r="P655" s="8"/>
      <c r="Q655" s="23" t="s">
        <v>335</v>
      </c>
      <c r="R655" s="113">
        <v>0.13340299999999999</v>
      </c>
      <c r="S655" s="113"/>
      <c r="T655" s="113"/>
      <c r="U655" s="113"/>
      <c r="V655" s="113"/>
      <c r="W655" s="113"/>
      <c r="X655" s="5">
        <f t="shared" si="164"/>
        <v>0.13340299999999999</v>
      </c>
      <c r="Y655" s="302">
        <f>H655-H656-H657</f>
        <v>0</v>
      </c>
      <c r="Z655" s="5">
        <f>I655-I656-I657</f>
        <v>0</v>
      </c>
      <c r="AA655" s="94">
        <f>J655-J656-J657</f>
        <v>0</v>
      </c>
      <c r="AB655" s="311">
        <f t="shared" si="163"/>
        <v>6.5887000000000001E-2</v>
      </c>
      <c r="AC655" s="296"/>
      <c r="AD655" s="113"/>
      <c r="AE655" s="5"/>
      <c r="AF655" s="5"/>
      <c r="AG655" s="5">
        <f>H655</f>
        <v>0.21218999999999999</v>
      </c>
      <c r="AH655" s="5"/>
      <c r="AI655" s="5"/>
      <c r="AJ655" s="5"/>
      <c r="AK655" s="141"/>
      <c r="AL655" s="94">
        <f>SUM(AF655:AK655)</f>
        <v>0.21218999999999999</v>
      </c>
      <c r="AM655" s="128"/>
      <c r="AN655" s="180"/>
      <c r="AO655" s="128">
        <v>0.1</v>
      </c>
      <c r="AP655" s="184">
        <v>0</v>
      </c>
      <c r="AQ655" s="128"/>
      <c r="AR655" s="184"/>
      <c r="AS655" s="128"/>
      <c r="AT655" s="184"/>
      <c r="AU655" s="128"/>
      <c r="AV655" s="184"/>
      <c r="AW655" s="128"/>
      <c r="AX655" s="184"/>
      <c r="AY655" s="111">
        <f>AM655+AO655+AQ655+AS655+AU655+AW655</f>
        <v>0.1</v>
      </c>
      <c r="AZ655" s="178">
        <f>AN655+AP655+AR655+AT655+AV655+AX655</f>
        <v>0</v>
      </c>
      <c r="BC655" s="216"/>
      <c r="BD655" s="47"/>
      <c r="BF655" s="113">
        <v>0.13340299999999999</v>
      </c>
      <c r="BG655" s="113"/>
      <c r="BH655" s="113"/>
      <c r="BI655" s="113"/>
      <c r="BJ655" s="113"/>
      <c r="BK655" s="113"/>
      <c r="BL655" s="5">
        <f t="shared" si="166"/>
        <v>0.13340299999999999</v>
      </c>
    </row>
    <row r="656" spans="1:64" s="2" customFormat="1" ht="15.75" customHeight="1" outlineLevel="1" x14ac:dyDescent="0.2">
      <c r="A656" s="594"/>
      <c r="B656" s="601"/>
      <c r="C656" s="7" t="s">
        <v>1553</v>
      </c>
      <c r="D656" s="8"/>
      <c r="E656" s="23"/>
      <c r="F656" s="8"/>
      <c r="G656" s="8"/>
      <c r="H656" s="5">
        <f>H655</f>
        <v>0.21218999999999999</v>
      </c>
      <c r="I656" s="5">
        <f>I655</f>
        <v>0.19928999999999999</v>
      </c>
      <c r="J656" s="5">
        <f>J655</f>
        <v>0.13340299999999999</v>
      </c>
      <c r="K656" s="8"/>
      <c r="L656" s="23"/>
      <c r="M656" s="8"/>
      <c r="N656" s="8"/>
      <c r="O656" s="8"/>
      <c r="P656" s="8"/>
      <c r="Q656" s="23"/>
      <c r="R656" s="113"/>
      <c r="S656" s="113"/>
      <c r="T656" s="113"/>
      <c r="U656" s="113"/>
      <c r="V656" s="113"/>
      <c r="W656" s="113"/>
      <c r="X656" s="5">
        <f>SUM(R656:W656)</f>
        <v>0</v>
      </c>
      <c r="Y656" s="302"/>
      <c r="Z656" s="5"/>
      <c r="AA656" s="94"/>
      <c r="AB656" s="311">
        <f t="shared" si="163"/>
        <v>0.19928999999999999</v>
      </c>
      <c r="AC656" s="296"/>
      <c r="AD656" s="113"/>
      <c r="AE656" s="5"/>
      <c r="AF656" s="5"/>
      <c r="AG656" s="5"/>
      <c r="AH656" s="5"/>
      <c r="AI656" s="5"/>
      <c r="AJ656" s="5"/>
      <c r="AK656" s="141"/>
      <c r="AL656" s="94"/>
      <c r="AM656" s="128"/>
      <c r="AN656" s="180"/>
      <c r="AO656" s="128"/>
      <c r="AP656" s="184"/>
      <c r="AQ656" s="128"/>
      <c r="AR656" s="184"/>
      <c r="AS656" s="128"/>
      <c r="AT656" s="184"/>
      <c r="AU656" s="128"/>
      <c r="AV656" s="184"/>
      <c r="AW656" s="128"/>
      <c r="AX656" s="184"/>
      <c r="AY656" s="111"/>
      <c r="AZ656" s="178"/>
      <c r="BC656" s="216"/>
      <c r="BD656" s="47"/>
      <c r="BF656" s="113"/>
      <c r="BG656" s="113"/>
      <c r="BH656" s="113"/>
      <c r="BI656" s="113"/>
      <c r="BJ656" s="113"/>
      <c r="BK656" s="113"/>
      <c r="BL656" s="5">
        <f t="shared" si="166"/>
        <v>0</v>
      </c>
    </row>
    <row r="657" spans="1:64" s="2" customFormat="1" ht="15.75" customHeight="1" outlineLevel="1" x14ac:dyDescent="0.2">
      <c r="A657" s="595"/>
      <c r="B657" s="602"/>
      <c r="C657" s="7" t="s">
        <v>1554</v>
      </c>
      <c r="D657" s="8"/>
      <c r="E657" s="23"/>
      <c r="F657" s="8"/>
      <c r="G657" s="8"/>
      <c r="H657" s="5"/>
      <c r="I657" s="5"/>
      <c r="J657" s="5"/>
      <c r="K657" s="23"/>
      <c r="L657" s="8"/>
      <c r="M657" s="8"/>
      <c r="N657" s="8"/>
      <c r="O657" s="8"/>
      <c r="P657" s="8"/>
      <c r="Q657" s="23"/>
      <c r="R657" s="113"/>
      <c r="S657" s="113"/>
      <c r="T657" s="113"/>
      <c r="U657" s="113"/>
      <c r="V657" s="113"/>
      <c r="W657" s="113"/>
      <c r="X657" s="5">
        <f>SUM(R657:W657)</f>
        <v>0</v>
      </c>
      <c r="Y657" s="302"/>
      <c r="Z657" s="5"/>
      <c r="AA657" s="94"/>
      <c r="AB657" s="311">
        <f t="shared" si="163"/>
        <v>0</v>
      </c>
      <c r="AC657" s="296"/>
      <c r="AD657" s="113"/>
      <c r="AE657" s="5"/>
      <c r="AF657" s="5"/>
      <c r="AG657" s="5"/>
      <c r="AH657" s="5"/>
      <c r="AI657" s="5"/>
      <c r="AJ657" s="5"/>
      <c r="AK657" s="141"/>
      <c r="AL657" s="94"/>
      <c r="AM657" s="128"/>
      <c r="AN657" s="180"/>
      <c r="AO657" s="128"/>
      <c r="AP657" s="184"/>
      <c r="AQ657" s="128"/>
      <c r="AR657" s="184"/>
      <c r="AS657" s="128"/>
      <c r="AT657" s="184"/>
      <c r="AU657" s="128"/>
      <c r="AV657" s="184"/>
      <c r="AW657" s="128"/>
      <c r="AX657" s="184"/>
      <c r="AY657" s="111"/>
      <c r="AZ657" s="178"/>
      <c r="BC657" s="216"/>
      <c r="BD657" s="47"/>
      <c r="BF657" s="113"/>
      <c r="BG657" s="113"/>
      <c r="BH657" s="113"/>
      <c r="BI657" s="113"/>
      <c r="BJ657" s="113"/>
      <c r="BK657" s="113"/>
      <c r="BL657" s="5">
        <f t="shared" si="166"/>
        <v>0</v>
      </c>
    </row>
    <row r="658" spans="1:64" s="2" customFormat="1" ht="76.5" outlineLevel="1" x14ac:dyDescent="0.2">
      <c r="A658" s="593" t="s">
        <v>843</v>
      </c>
      <c r="B658" s="600" t="s">
        <v>1727</v>
      </c>
      <c r="C658" s="7" t="s">
        <v>484</v>
      </c>
      <c r="D658" s="8" t="s">
        <v>397</v>
      </c>
      <c r="E658" s="23" t="s">
        <v>333</v>
      </c>
      <c r="F658" s="8">
        <v>2013</v>
      </c>
      <c r="G658" s="8">
        <v>2014</v>
      </c>
      <c r="H658" s="5">
        <v>0.42787999999999998</v>
      </c>
      <c r="I658" s="5">
        <v>0.01</v>
      </c>
      <c r="J658" s="5">
        <f>R658</f>
        <v>0.01</v>
      </c>
      <c r="K658" s="23" t="s">
        <v>333</v>
      </c>
      <c r="L658" s="8"/>
      <c r="M658" s="8"/>
      <c r="N658" s="8"/>
      <c r="O658" s="8"/>
      <c r="P658" s="8"/>
      <c r="Q658" s="23" t="s">
        <v>333</v>
      </c>
      <c r="R658" s="113">
        <v>0.01</v>
      </c>
      <c r="S658" s="113"/>
      <c r="T658" s="113"/>
      <c r="U658" s="113"/>
      <c r="V658" s="113"/>
      <c r="W658" s="113"/>
      <c r="X658" s="5">
        <f t="shared" si="164"/>
        <v>0.01</v>
      </c>
      <c r="Y658" s="302">
        <f>H658-H659-H660</f>
        <v>0</v>
      </c>
      <c r="Z658" s="5">
        <f>I658-I659-I660</f>
        <v>0</v>
      </c>
      <c r="AA658" s="94">
        <f>J658-J659-J660</f>
        <v>-9.9999999999999915E-4</v>
      </c>
      <c r="AB658" s="311">
        <f t="shared" si="163"/>
        <v>0</v>
      </c>
      <c r="AC658" s="296"/>
      <c r="AD658" s="113"/>
      <c r="AE658" s="5"/>
      <c r="AF658" s="5">
        <f>H658</f>
        <v>0.42787999999999998</v>
      </c>
      <c r="AG658" s="5"/>
      <c r="AH658" s="5"/>
      <c r="AI658" s="5"/>
      <c r="AJ658" s="5"/>
      <c r="AK658" s="141"/>
      <c r="AL658" s="94">
        <f>SUM(AF658:AK658)</f>
        <v>0.42787999999999998</v>
      </c>
      <c r="AM658" s="128">
        <v>0.3</v>
      </c>
      <c r="AN658" s="180">
        <v>0</v>
      </c>
      <c r="AO658" s="128"/>
      <c r="AP658" s="184"/>
      <c r="AQ658" s="128"/>
      <c r="AR658" s="184"/>
      <c r="AS658" s="128"/>
      <c r="AT658" s="184"/>
      <c r="AU658" s="128"/>
      <c r="AV658" s="184"/>
      <c r="AW658" s="128"/>
      <c r="AX658" s="184"/>
      <c r="AY658" s="111">
        <f>AM658+AO658+AQ658+AS658+AU658+AW658</f>
        <v>0.3</v>
      </c>
      <c r="AZ658" s="178">
        <f>AN658+AP658+AR658+AT658+AV658+AX658</f>
        <v>0</v>
      </c>
      <c r="BC658" s="216"/>
      <c r="BD658" s="47"/>
      <c r="BF658" s="113">
        <v>0.01</v>
      </c>
      <c r="BG658" s="113"/>
      <c r="BH658" s="113"/>
      <c r="BI658" s="113"/>
      <c r="BJ658" s="113"/>
      <c r="BK658" s="113"/>
      <c r="BL658" s="5">
        <f t="shared" si="166"/>
        <v>0.01</v>
      </c>
    </row>
    <row r="659" spans="1:64" s="2" customFormat="1" ht="15.75" customHeight="1" outlineLevel="1" x14ac:dyDescent="0.2">
      <c r="A659" s="594"/>
      <c r="B659" s="601"/>
      <c r="C659" s="7" t="s">
        <v>1553</v>
      </c>
      <c r="D659" s="8"/>
      <c r="E659" s="23"/>
      <c r="F659" s="8"/>
      <c r="G659" s="8"/>
      <c r="H659" s="5">
        <v>0.42787999999999998</v>
      </c>
      <c r="I659" s="5">
        <v>0.01</v>
      </c>
      <c r="J659" s="5">
        <v>1.0999999999999999E-2</v>
      </c>
      <c r="K659" s="8"/>
      <c r="L659" s="23"/>
      <c r="M659" s="8"/>
      <c r="N659" s="8"/>
      <c r="O659" s="8"/>
      <c r="P659" s="8"/>
      <c r="Q659" s="23"/>
      <c r="R659" s="113"/>
      <c r="S659" s="113"/>
      <c r="T659" s="113"/>
      <c r="U659" s="113"/>
      <c r="V659" s="113"/>
      <c r="W659" s="113"/>
      <c r="X659" s="5">
        <f t="shared" si="164"/>
        <v>0</v>
      </c>
      <c r="Y659" s="302"/>
      <c r="Z659" s="5"/>
      <c r="AA659" s="94"/>
      <c r="AB659" s="311">
        <f t="shared" si="163"/>
        <v>0.01</v>
      </c>
      <c r="AC659" s="296"/>
      <c r="AD659" s="113"/>
      <c r="AE659" s="5"/>
      <c r="AF659" s="5"/>
      <c r="AG659" s="5"/>
      <c r="AH659" s="5"/>
      <c r="AI659" s="5"/>
      <c r="AJ659" s="5"/>
      <c r="AK659" s="141"/>
      <c r="AL659" s="94"/>
      <c r="AM659" s="128"/>
      <c r="AN659" s="180"/>
      <c r="AO659" s="128"/>
      <c r="AP659" s="184"/>
      <c r="AQ659" s="128"/>
      <c r="AR659" s="184"/>
      <c r="AS659" s="128"/>
      <c r="AT659" s="184"/>
      <c r="AU659" s="128"/>
      <c r="AV659" s="184"/>
      <c r="AW659" s="128"/>
      <c r="AX659" s="184"/>
      <c r="AY659" s="111"/>
      <c r="AZ659" s="178"/>
      <c r="BC659" s="216"/>
      <c r="BD659" s="47"/>
      <c r="BF659" s="113"/>
      <c r="BG659" s="113"/>
      <c r="BH659" s="113"/>
      <c r="BI659" s="113"/>
      <c r="BJ659" s="113"/>
      <c r="BK659" s="113"/>
      <c r="BL659" s="5">
        <f t="shared" si="166"/>
        <v>0</v>
      </c>
    </row>
    <row r="660" spans="1:64" s="2" customFormat="1" ht="15.75" customHeight="1" outlineLevel="1" x14ac:dyDescent="0.2">
      <c r="A660" s="595"/>
      <c r="B660" s="602"/>
      <c r="C660" s="7" t="s">
        <v>1554</v>
      </c>
      <c r="D660" s="8"/>
      <c r="E660" s="23"/>
      <c r="F660" s="8"/>
      <c r="G660" s="8"/>
      <c r="H660" s="5"/>
      <c r="I660" s="5"/>
      <c r="J660" s="5"/>
      <c r="K660" s="23"/>
      <c r="L660" s="8"/>
      <c r="M660" s="8"/>
      <c r="N660" s="8"/>
      <c r="O660" s="8"/>
      <c r="P660" s="8"/>
      <c r="Q660" s="23"/>
      <c r="R660" s="113"/>
      <c r="S660" s="113"/>
      <c r="T660" s="113"/>
      <c r="U660" s="113"/>
      <c r="V660" s="113"/>
      <c r="W660" s="113"/>
      <c r="X660" s="5">
        <f t="shared" si="164"/>
        <v>0</v>
      </c>
      <c r="Y660" s="302"/>
      <c r="Z660" s="5"/>
      <c r="AA660" s="94"/>
      <c r="AB660" s="311">
        <f t="shared" si="163"/>
        <v>0</v>
      </c>
      <c r="AC660" s="296"/>
      <c r="AD660" s="113"/>
      <c r="AE660" s="5"/>
      <c r="AF660" s="5"/>
      <c r="AG660" s="5"/>
      <c r="AH660" s="5"/>
      <c r="AI660" s="5"/>
      <c r="AJ660" s="5"/>
      <c r="AK660" s="141"/>
      <c r="AL660" s="94"/>
      <c r="AM660" s="128"/>
      <c r="AN660" s="180"/>
      <c r="AO660" s="128"/>
      <c r="AP660" s="184"/>
      <c r="AQ660" s="128"/>
      <c r="AR660" s="184"/>
      <c r="AS660" s="128"/>
      <c r="AT660" s="184"/>
      <c r="AU660" s="128"/>
      <c r="AV660" s="184"/>
      <c r="AW660" s="128"/>
      <c r="AX660" s="184"/>
      <c r="AY660" s="111"/>
      <c r="AZ660" s="178"/>
      <c r="BC660" s="216"/>
      <c r="BD660" s="47"/>
      <c r="BF660" s="113"/>
      <c r="BG660" s="113"/>
      <c r="BH660" s="113"/>
      <c r="BI660" s="113"/>
      <c r="BJ660" s="113"/>
      <c r="BK660" s="113"/>
      <c r="BL660" s="5">
        <f t="shared" si="166"/>
        <v>0</v>
      </c>
    </row>
    <row r="661" spans="1:64" s="2" customFormat="1" ht="38.25" customHeight="1" outlineLevel="1" x14ac:dyDescent="0.2">
      <c r="A661" s="593" t="s">
        <v>844</v>
      </c>
      <c r="B661" s="600" t="s">
        <v>1728</v>
      </c>
      <c r="C661" s="7" t="s">
        <v>485</v>
      </c>
      <c r="D661" s="8" t="s">
        <v>397</v>
      </c>
      <c r="E661" s="23" t="s">
        <v>335</v>
      </c>
      <c r="F661" s="8">
        <v>2013</v>
      </c>
      <c r="G661" s="8">
        <v>2015</v>
      </c>
      <c r="H661" s="5">
        <v>9.5359999999999986E-2</v>
      </c>
      <c r="I661" s="5">
        <v>6.7559999999999981E-2</v>
      </c>
      <c r="J661" s="5">
        <f>R661</f>
        <v>0.01</v>
      </c>
      <c r="K661" s="8"/>
      <c r="L661" s="23" t="s">
        <v>335</v>
      </c>
      <c r="M661" s="8"/>
      <c r="N661" s="8"/>
      <c r="O661" s="8"/>
      <c r="P661" s="8"/>
      <c r="Q661" s="23" t="s">
        <v>335</v>
      </c>
      <c r="R661" s="113">
        <v>0.01</v>
      </c>
      <c r="S661" s="113"/>
      <c r="T661" s="113"/>
      <c r="U661" s="113"/>
      <c r="V661" s="113"/>
      <c r="W661" s="113"/>
      <c r="X661" s="5">
        <f t="shared" si="164"/>
        <v>0.01</v>
      </c>
      <c r="Y661" s="302">
        <f>H661-H662-H663</f>
        <v>0</v>
      </c>
      <c r="Z661" s="5">
        <f>I661-I662-I663</f>
        <v>0</v>
      </c>
      <c r="AA661" s="94">
        <f>J661-J662-J663</f>
        <v>-9.9999999999999915E-4</v>
      </c>
      <c r="AB661" s="311">
        <f t="shared" ref="AB661:AB724" si="167">I661-X661</f>
        <v>5.7559999999999979E-2</v>
      </c>
      <c r="AC661" s="296"/>
      <c r="AD661" s="113"/>
      <c r="AE661" s="5"/>
      <c r="AF661" s="5"/>
      <c r="AG661" s="5">
        <f>H661</f>
        <v>9.5359999999999986E-2</v>
      </c>
      <c r="AH661" s="5"/>
      <c r="AI661" s="5"/>
      <c r="AJ661" s="5"/>
      <c r="AK661" s="141"/>
      <c r="AL661" s="94">
        <f>SUM(AF661:AK661)</f>
        <v>9.5359999999999986E-2</v>
      </c>
      <c r="AM661" s="128"/>
      <c r="AN661" s="180"/>
      <c r="AO661" s="128">
        <v>0.1</v>
      </c>
      <c r="AP661" s="184">
        <v>0</v>
      </c>
      <c r="AQ661" s="128"/>
      <c r="AR661" s="184"/>
      <c r="AS661" s="128"/>
      <c r="AT661" s="184"/>
      <c r="AU661" s="128"/>
      <c r="AV661" s="184"/>
      <c r="AW661" s="128"/>
      <c r="AX661" s="184"/>
      <c r="AY661" s="111">
        <f>AM661+AO661+AQ661+AS661+AU661+AW661</f>
        <v>0.1</v>
      </c>
      <c r="AZ661" s="178">
        <f>AN661+AP661+AR661+AT661+AV661+AX661</f>
        <v>0</v>
      </c>
      <c r="BC661" s="216"/>
      <c r="BD661" s="47"/>
      <c r="BF661" s="113">
        <v>0.01</v>
      </c>
      <c r="BG661" s="113"/>
      <c r="BH661" s="113"/>
      <c r="BI661" s="113"/>
      <c r="BJ661" s="113"/>
      <c r="BK661" s="113"/>
      <c r="BL661" s="5">
        <f t="shared" si="166"/>
        <v>0.01</v>
      </c>
    </row>
    <row r="662" spans="1:64" s="2" customFormat="1" ht="15.75" customHeight="1" outlineLevel="1" x14ac:dyDescent="0.2">
      <c r="A662" s="594"/>
      <c r="B662" s="601"/>
      <c r="C662" s="7" t="s">
        <v>1553</v>
      </c>
      <c r="D662" s="8"/>
      <c r="E662" s="23"/>
      <c r="F662" s="8"/>
      <c r="G662" s="8"/>
      <c r="H662" s="5"/>
      <c r="I662" s="5"/>
      <c r="J662" s="5"/>
      <c r="K662" s="8"/>
      <c r="L662" s="23"/>
      <c r="M662" s="8"/>
      <c r="N662" s="8"/>
      <c r="O662" s="8"/>
      <c r="P662" s="8"/>
      <c r="Q662" s="23"/>
      <c r="R662" s="113"/>
      <c r="S662" s="113"/>
      <c r="T662" s="113"/>
      <c r="U662" s="113"/>
      <c r="V662" s="113"/>
      <c r="W662" s="113"/>
      <c r="X662" s="5">
        <f>SUM(R662:W662)</f>
        <v>0</v>
      </c>
      <c r="Y662" s="302"/>
      <c r="Z662" s="5"/>
      <c r="AA662" s="94"/>
      <c r="AB662" s="311">
        <f t="shared" si="167"/>
        <v>0</v>
      </c>
      <c r="AC662" s="296"/>
      <c r="AD662" s="113"/>
      <c r="AE662" s="5"/>
      <c r="AF662" s="5"/>
      <c r="AG662" s="5"/>
      <c r="AH662" s="5"/>
      <c r="AI662" s="5"/>
      <c r="AJ662" s="5"/>
      <c r="AK662" s="141"/>
      <c r="AL662" s="94"/>
      <c r="AM662" s="128"/>
      <c r="AN662" s="180"/>
      <c r="AO662" s="128"/>
      <c r="AP662" s="184"/>
      <c r="AQ662" s="128"/>
      <c r="AR662" s="184"/>
      <c r="AS662" s="128"/>
      <c r="AT662" s="184"/>
      <c r="AU662" s="128"/>
      <c r="AV662" s="184"/>
      <c r="AW662" s="128"/>
      <c r="AX662" s="184"/>
      <c r="AY662" s="111"/>
      <c r="AZ662" s="178"/>
      <c r="BC662" s="216"/>
      <c r="BD662" s="47"/>
      <c r="BF662" s="113"/>
      <c r="BG662" s="113"/>
      <c r="BH662" s="113"/>
      <c r="BI662" s="113"/>
      <c r="BJ662" s="113"/>
      <c r="BK662" s="113"/>
      <c r="BL662" s="5">
        <f t="shared" si="166"/>
        <v>0</v>
      </c>
    </row>
    <row r="663" spans="1:64" s="2" customFormat="1" ht="15.75" customHeight="1" outlineLevel="1" x14ac:dyDescent="0.2">
      <c r="A663" s="595"/>
      <c r="B663" s="602"/>
      <c r="C663" s="7" t="s">
        <v>1554</v>
      </c>
      <c r="D663" s="8"/>
      <c r="E663" s="23"/>
      <c r="F663" s="8"/>
      <c r="G663" s="8"/>
      <c r="H663" s="5">
        <v>9.5359999999999986E-2</v>
      </c>
      <c r="I663" s="5">
        <v>6.7559999999999981E-2</v>
      </c>
      <c r="J663" s="5">
        <v>1.0999999999999999E-2</v>
      </c>
      <c r="K663" s="23"/>
      <c r="L663" s="8"/>
      <c r="M663" s="8"/>
      <c r="N663" s="8"/>
      <c r="O663" s="8"/>
      <c r="P663" s="8"/>
      <c r="Q663" s="23"/>
      <c r="R663" s="113"/>
      <c r="S663" s="113"/>
      <c r="T663" s="113"/>
      <c r="U663" s="113"/>
      <c r="V663" s="113"/>
      <c r="W663" s="113"/>
      <c r="X663" s="5">
        <f>SUM(R663:W663)</f>
        <v>0</v>
      </c>
      <c r="Y663" s="302"/>
      <c r="Z663" s="5"/>
      <c r="AA663" s="94"/>
      <c r="AB663" s="311">
        <f t="shared" si="167"/>
        <v>6.7559999999999981E-2</v>
      </c>
      <c r="AC663" s="296"/>
      <c r="AD663" s="113"/>
      <c r="AE663" s="5"/>
      <c r="AF663" s="5"/>
      <c r="AG663" s="5"/>
      <c r="AH663" s="5"/>
      <c r="AI663" s="5"/>
      <c r="AJ663" s="5"/>
      <c r="AK663" s="141"/>
      <c r="AL663" s="94"/>
      <c r="AM663" s="128"/>
      <c r="AN663" s="180"/>
      <c r="AO663" s="128"/>
      <c r="AP663" s="184"/>
      <c r="AQ663" s="128"/>
      <c r="AR663" s="184"/>
      <c r="AS663" s="128"/>
      <c r="AT663" s="184"/>
      <c r="AU663" s="128"/>
      <c r="AV663" s="184"/>
      <c r="AW663" s="128"/>
      <c r="AX663" s="184"/>
      <c r="AY663" s="111"/>
      <c r="AZ663" s="178"/>
      <c r="BC663" s="216"/>
      <c r="BD663" s="47"/>
      <c r="BF663" s="113"/>
      <c r="BG663" s="113"/>
      <c r="BH663" s="113"/>
      <c r="BI663" s="113"/>
      <c r="BJ663" s="113"/>
      <c r="BK663" s="113"/>
      <c r="BL663" s="5">
        <f t="shared" si="166"/>
        <v>0</v>
      </c>
    </row>
    <row r="664" spans="1:64" s="2" customFormat="1" ht="25.5" customHeight="1" outlineLevel="1" x14ac:dyDescent="0.2">
      <c r="A664" s="593" t="s">
        <v>845</v>
      </c>
      <c r="B664" s="600" t="s">
        <v>1729</v>
      </c>
      <c r="C664" s="7" t="s">
        <v>486</v>
      </c>
      <c r="D664" s="8" t="s">
        <v>397</v>
      </c>
      <c r="E664" s="23" t="s">
        <v>1387</v>
      </c>
      <c r="F664" s="8">
        <v>2013</v>
      </c>
      <c r="G664" s="8">
        <v>2015</v>
      </c>
      <c r="H664" s="5">
        <v>0.92728999999999995</v>
      </c>
      <c r="I664" s="5">
        <v>0.87608999999999992</v>
      </c>
      <c r="J664" s="5">
        <f>R664</f>
        <v>0.29725400000000002</v>
      </c>
      <c r="K664" s="8"/>
      <c r="L664" s="23" t="s">
        <v>1387</v>
      </c>
      <c r="M664" s="8"/>
      <c r="N664" s="8"/>
      <c r="O664" s="8"/>
      <c r="P664" s="8"/>
      <c r="Q664" s="23" t="s">
        <v>1387</v>
      </c>
      <c r="R664" s="113">
        <v>0.29725400000000002</v>
      </c>
      <c r="S664" s="113"/>
      <c r="T664" s="113"/>
      <c r="U664" s="113"/>
      <c r="V664" s="113"/>
      <c r="W664" s="113"/>
      <c r="X664" s="5">
        <f t="shared" si="164"/>
        <v>0.29725400000000002</v>
      </c>
      <c r="Y664" s="302">
        <f>H664-H665-H666</f>
        <v>0</v>
      </c>
      <c r="Z664" s="5">
        <f>I664-I665-I666</f>
        <v>0</v>
      </c>
      <c r="AA664" s="94">
        <f>J664-J665-J666</f>
        <v>0</v>
      </c>
      <c r="AB664" s="311">
        <f t="shared" si="167"/>
        <v>0.57883599999999991</v>
      </c>
      <c r="AC664" s="296"/>
      <c r="AD664" s="113"/>
      <c r="AE664" s="5"/>
      <c r="AF664" s="5"/>
      <c r="AG664" s="5">
        <f>H664</f>
        <v>0.92728999999999995</v>
      </c>
      <c r="AH664" s="5"/>
      <c r="AI664" s="5"/>
      <c r="AJ664" s="5"/>
      <c r="AK664" s="141"/>
      <c r="AL664" s="94">
        <f>SUM(AF664:AK664)</f>
        <v>0.92728999999999995</v>
      </c>
      <c r="AM664" s="128"/>
      <c r="AN664" s="180"/>
      <c r="AO664" s="128">
        <v>0.5</v>
      </c>
      <c r="AP664" s="184">
        <v>0</v>
      </c>
      <c r="AQ664" s="128"/>
      <c r="AR664" s="184"/>
      <c r="AS664" s="128"/>
      <c r="AT664" s="184"/>
      <c r="AU664" s="128"/>
      <c r="AV664" s="184"/>
      <c r="AW664" s="128"/>
      <c r="AX664" s="184"/>
      <c r="AY664" s="111">
        <f>AM664+AO664+AQ664+AS664+AU664+AW664</f>
        <v>0.5</v>
      </c>
      <c r="AZ664" s="178">
        <f>AN664+AP664+AR664+AT664+AV664+AX664</f>
        <v>0</v>
      </c>
      <c r="BC664" s="216"/>
      <c r="BD664" s="47"/>
      <c r="BF664" s="113">
        <v>0.29725400000000002</v>
      </c>
      <c r="BG664" s="113"/>
      <c r="BH664" s="113"/>
      <c r="BI664" s="113"/>
      <c r="BJ664" s="113"/>
      <c r="BK664" s="113"/>
      <c r="BL664" s="5">
        <f t="shared" ref="BL664:BL670" si="168">SUM(BF664:BK664)</f>
        <v>0.29725400000000002</v>
      </c>
    </row>
    <row r="665" spans="1:64" s="2" customFormat="1" ht="15.75" customHeight="1" outlineLevel="1" x14ac:dyDescent="0.2">
      <c r="A665" s="594"/>
      <c r="B665" s="601"/>
      <c r="C665" s="7" t="s">
        <v>1553</v>
      </c>
      <c r="D665" s="8"/>
      <c r="E665" s="23"/>
      <c r="F665" s="8"/>
      <c r="G665" s="8"/>
      <c r="H665" s="5">
        <v>0.92728999999999995</v>
      </c>
      <c r="I665" s="5">
        <v>0.87608999999999992</v>
      </c>
      <c r="J665" s="5">
        <v>0.29725400000000002</v>
      </c>
      <c r="K665" s="8"/>
      <c r="L665" s="23"/>
      <c r="M665" s="8"/>
      <c r="N665" s="8"/>
      <c r="O665" s="8"/>
      <c r="P665" s="8"/>
      <c r="Q665" s="23"/>
      <c r="R665" s="113"/>
      <c r="S665" s="113"/>
      <c r="T665" s="113"/>
      <c r="U665" s="113"/>
      <c r="V665" s="113"/>
      <c r="W665" s="113"/>
      <c r="X665" s="5">
        <f t="shared" si="164"/>
        <v>0</v>
      </c>
      <c r="Y665" s="302"/>
      <c r="Z665" s="5"/>
      <c r="AA665" s="94"/>
      <c r="AB665" s="311">
        <f t="shared" si="167"/>
        <v>0.87608999999999992</v>
      </c>
      <c r="AC665" s="296"/>
      <c r="AD665" s="113"/>
      <c r="AE665" s="5"/>
      <c r="AF665" s="5"/>
      <c r="AG665" s="5"/>
      <c r="AH665" s="5"/>
      <c r="AI665" s="5"/>
      <c r="AJ665" s="5"/>
      <c r="AK665" s="141"/>
      <c r="AL665" s="94"/>
      <c r="AM665" s="128"/>
      <c r="AN665" s="180"/>
      <c r="AO665" s="128"/>
      <c r="AP665" s="184"/>
      <c r="AQ665" s="128"/>
      <c r="AR665" s="184"/>
      <c r="AS665" s="128"/>
      <c r="AT665" s="184"/>
      <c r="AU665" s="128"/>
      <c r="AV665" s="184"/>
      <c r="AW665" s="128"/>
      <c r="AX665" s="184"/>
      <c r="AY665" s="111"/>
      <c r="AZ665" s="178"/>
      <c r="BC665" s="216"/>
      <c r="BD665" s="47"/>
      <c r="BF665" s="113"/>
      <c r="BG665" s="113"/>
      <c r="BH665" s="113"/>
      <c r="BI665" s="113"/>
      <c r="BJ665" s="113"/>
      <c r="BK665" s="113"/>
      <c r="BL665" s="5">
        <f t="shared" si="168"/>
        <v>0</v>
      </c>
    </row>
    <row r="666" spans="1:64" s="2" customFormat="1" ht="15.75" customHeight="1" outlineLevel="1" x14ac:dyDescent="0.2">
      <c r="A666" s="595"/>
      <c r="B666" s="602"/>
      <c r="C666" s="7" t="s">
        <v>1554</v>
      </c>
      <c r="D666" s="8"/>
      <c r="E666" s="23"/>
      <c r="F666" s="8"/>
      <c r="G666" s="8"/>
      <c r="H666" s="5"/>
      <c r="I666" s="5"/>
      <c r="J666" s="5"/>
      <c r="K666" s="23"/>
      <c r="L666" s="8"/>
      <c r="M666" s="8"/>
      <c r="N666" s="8"/>
      <c r="O666" s="8"/>
      <c r="P666" s="8"/>
      <c r="Q666" s="23"/>
      <c r="R666" s="113"/>
      <c r="S666" s="113"/>
      <c r="T666" s="113"/>
      <c r="U666" s="113"/>
      <c r="V666" s="113"/>
      <c r="W666" s="113"/>
      <c r="X666" s="5">
        <f t="shared" si="164"/>
        <v>0</v>
      </c>
      <c r="Y666" s="302"/>
      <c r="Z666" s="5"/>
      <c r="AA666" s="94"/>
      <c r="AB666" s="311">
        <f t="shared" si="167"/>
        <v>0</v>
      </c>
      <c r="AC666" s="296"/>
      <c r="AD666" s="113"/>
      <c r="AE666" s="5"/>
      <c r="AF666" s="5"/>
      <c r="AG666" s="5"/>
      <c r="AH666" s="5"/>
      <c r="AI666" s="5"/>
      <c r="AJ666" s="5"/>
      <c r="AK666" s="141"/>
      <c r="AL666" s="94"/>
      <c r="AM666" s="128"/>
      <c r="AN666" s="180"/>
      <c r="AO666" s="128"/>
      <c r="AP666" s="184"/>
      <c r="AQ666" s="128"/>
      <c r="AR666" s="184"/>
      <c r="AS666" s="128"/>
      <c r="AT666" s="184"/>
      <c r="AU666" s="128"/>
      <c r="AV666" s="184"/>
      <c r="AW666" s="128"/>
      <c r="AX666" s="184"/>
      <c r="AY666" s="111"/>
      <c r="AZ666" s="178"/>
      <c r="BC666" s="216"/>
      <c r="BD666" s="47"/>
      <c r="BF666" s="113"/>
      <c r="BG666" s="113"/>
      <c r="BH666" s="113"/>
      <c r="BI666" s="113"/>
      <c r="BJ666" s="113"/>
      <c r="BK666" s="113"/>
      <c r="BL666" s="5">
        <f t="shared" si="168"/>
        <v>0</v>
      </c>
    </row>
    <row r="667" spans="1:64" s="2" customFormat="1" ht="38.25" outlineLevel="1" x14ac:dyDescent="0.2">
      <c r="A667" s="593" t="s">
        <v>846</v>
      </c>
      <c r="B667" s="600" t="s">
        <v>1730</v>
      </c>
      <c r="C667" s="7" t="s">
        <v>487</v>
      </c>
      <c r="D667" s="8" t="s">
        <v>397</v>
      </c>
      <c r="E667" s="23" t="s">
        <v>359</v>
      </c>
      <c r="F667" s="8">
        <v>2013</v>
      </c>
      <c r="G667" s="8">
        <v>2014</v>
      </c>
      <c r="H667" s="5">
        <v>0.17624555</v>
      </c>
      <c r="I667" s="5">
        <v>0.01</v>
      </c>
      <c r="J667" s="5">
        <f>R667</f>
        <v>0.01</v>
      </c>
      <c r="K667" s="23" t="s">
        <v>359</v>
      </c>
      <c r="L667" s="8"/>
      <c r="M667" s="8"/>
      <c r="N667" s="8"/>
      <c r="O667" s="8"/>
      <c r="P667" s="8"/>
      <c r="Q667" s="23" t="s">
        <v>359</v>
      </c>
      <c r="R667" s="113">
        <v>0.01</v>
      </c>
      <c r="S667" s="113"/>
      <c r="T667" s="113"/>
      <c r="U667" s="113"/>
      <c r="V667" s="113"/>
      <c r="W667" s="113"/>
      <c r="X667" s="5">
        <f t="shared" si="164"/>
        <v>0.01</v>
      </c>
      <c r="Y667" s="302">
        <f>H667-H668-H669</f>
        <v>0</v>
      </c>
      <c r="Z667" s="5">
        <f>I667-I668-I669</f>
        <v>0</v>
      </c>
      <c r="AA667" s="94">
        <f>J667-J668-J669</f>
        <v>0</v>
      </c>
      <c r="AB667" s="311">
        <f t="shared" si="167"/>
        <v>0</v>
      </c>
      <c r="AC667" s="296"/>
      <c r="AD667" s="113"/>
      <c r="AE667" s="5"/>
      <c r="AF667" s="5">
        <f>H667</f>
        <v>0.17624555</v>
      </c>
      <c r="AG667" s="5"/>
      <c r="AH667" s="5"/>
      <c r="AI667" s="5"/>
      <c r="AJ667" s="5"/>
      <c r="AK667" s="141"/>
      <c r="AL667" s="94">
        <f>SUM(AF667:AK667)</f>
        <v>0.17624555</v>
      </c>
      <c r="AM667" s="128">
        <v>0.06</v>
      </c>
      <c r="AN667" s="180">
        <v>0</v>
      </c>
      <c r="AO667" s="128"/>
      <c r="AP667" s="184"/>
      <c r="AQ667" s="128"/>
      <c r="AR667" s="184"/>
      <c r="AS667" s="128"/>
      <c r="AT667" s="184"/>
      <c r="AU667" s="128"/>
      <c r="AV667" s="184"/>
      <c r="AW667" s="128"/>
      <c r="AX667" s="184"/>
      <c r="AY667" s="111">
        <f>AM667+AO667+AQ667+AS667+AU667+AW667</f>
        <v>0.06</v>
      </c>
      <c r="AZ667" s="178">
        <f>AN667+AP667+AR667+AT667+AV667+AX667</f>
        <v>0</v>
      </c>
      <c r="BC667" s="216"/>
      <c r="BD667" s="47"/>
      <c r="BF667" s="113">
        <v>0.01</v>
      </c>
      <c r="BG667" s="113"/>
      <c r="BH667" s="113"/>
      <c r="BI667" s="113"/>
      <c r="BJ667" s="113"/>
      <c r="BK667" s="113"/>
      <c r="BL667" s="5">
        <f t="shared" si="168"/>
        <v>0.01</v>
      </c>
    </row>
    <row r="668" spans="1:64" s="2" customFormat="1" ht="15.75" customHeight="1" outlineLevel="1" x14ac:dyDescent="0.2">
      <c r="A668" s="594"/>
      <c r="B668" s="601"/>
      <c r="C668" s="7" t="s">
        <v>1553</v>
      </c>
      <c r="D668" s="8"/>
      <c r="E668" s="23"/>
      <c r="F668" s="8"/>
      <c r="G668" s="8"/>
      <c r="H668" s="5"/>
      <c r="I668" s="5"/>
      <c r="J668" s="5"/>
      <c r="K668" s="8"/>
      <c r="L668" s="23"/>
      <c r="M668" s="8"/>
      <c r="N668" s="8"/>
      <c r="O668" s="8"/>
      <c r="P668" s="8"/>
      <c r="Q668" s="23"/>
      <c r="R668" s="113"/>
      <c r="S668" s="113"/>
      <c r="T668" s="113"/>
      <c r="U668" s="113"/>
      <c r="V668" s="113"/>
      <c r="W668" s="113"/>
      <c r="X668" s="5">
        <f t="shared" si="164"/>
        <v>0</v>
      </c>
      <c r="Y668" s="302"/>
      <c r="Z668" s="5"/>
      <c r="AA668" s="94"/>
      <c r="AB668" s="311">
        <f t="shared" si="167"/>
        <v>0</v>
      </c>
      <c r="AC668" s="296"/>
      <c r="AD668" s="113"/>
      <c r="AE668" s="5"/>
      <c r="AF668" s="5"/>
      <c r="AG668" s="5"/>
      <c r="AH668" s="5"/>
      <c r="AI668" s="5"/>
      <c r="AJ668" s="5"/>
      <c r="AK668" s="141"/>
      <c r="AL668" s="94"/>
      <c r="AM668" s="128"/>
      <c r="AN668" s="180"/>
      <c r="AO668" s="128"/>
      <c r="AP668" s="184"/>
      <c r="AQ668" s="128"/>
      <c r="AR668" s="184"/>
      <c r="AS668" s="128"/>
      <c r="AT668" s="184"/>
      <c r="AU668" s="128"/>
      <c r="AV668" s="184"/>
      <c r="AW668" s="128"/>
      <c r="AX668" s="184"/>
      <c r="AY668" s="111"/>
      <c r="AZ668" s="178"/>
      <c r="BC668" s="216"/>
      <c r="BD668" s="47"/>
      <c r="BF668" s="113"/>
      <c r="BG668" s="113"/>
      <c r="BH668" s="113"/>
      <c r="BI668" s="113"/>
      <c r="BJ668" s="113"/>
      <c r="BK668" s="113"/>
      <c r="BL668" s="5">
        <f t="shared" si="168"/>
        <v>0</v>
      </c>
    </row>
    <row r="669" spans="1:64" s="2" customFormat="1" ht="15.75" customHeight="1" outlineLevel="1" x14ac:dyDescent="0.2">
      <c r="A669" s="595"/>
      <c r="B669" s="602"/>
      <c r="C669" s="7" t="s">
        <v>1554</v>
      </c>
      <c r="D669" s="8"/>
      <c r="E669" s="23"/>
      <c r="F669" s="8"/>
      <c r="G669" s="8"/>
      <c r="H669" s="5">
        <f>H667</f>
        <v>0.17624555</v>
      </c>
      <c r="I669" s="5">
        <f>I667</f>
        <v>0.01</v>
      </c>
      <c r="J669" s="5">
        <f>J667</f>
        <v>0.01</v>
      </c>
      <c r="K669" s="23"/>
      <c r="L669" s="8"/>
      <c r="M669" s="8"/>
      <c r="N669" s="8"/>
      <c r="O669" s="8"/>
      <c r="P669" s="8"/>
      <c r="Q669" s="23"/>
      <c r="R669" s="113"/>
      <c r="S669" s="113"/>
      <c r="T669" s="113"/>
      <c r="U669" s="113"/>
      <c r="V669" s="113"/>
      <c r="W669" s="113"/>
      <c r="X669" s="5">
        <f t="shared" si="164"/>
        <v>0</v>
      </c>
      <c r="Y669" s="302"/>
      <c r="Z669" s="5"/>
      <c r="AA669" s="94"/>
      <c r="AB669" s="311">
        <f t="shared" si="167"/>
        <v>0.01</v>
      </c>
      <c r="AC669" s="296"/>
      <c r="AD669" s="113"/>
      <c r="AE669" s="5"/>
      <c r="AF669" s="5"/>
      <c r="AG669" s="5"/>
      <c r="AH669" s="5"/>
      <c r="AI669" s="5"/>
      <c r="AJ669" s="5"/>
      <c r="AK669" s="141"/>
      <c r="AL669" s="94"/>
      <c r="AM669" s="128"/>
      <c r="AN669" s="180"/>
      <c r="AO669" s="128"/>
      <c r="AP669" s="184"/>
      <c r="AQ669" s="128"/>
      <c r="AR669" s="184"/>
      <c r="AS669" s="128"/>
      <c r="AT669" s="184"/>
      <c r="AU669" s="128"/>
      <c r="AV669" s="184"/>
      <c r="AW669" s="128"/>
      <c r="AX669" s="184"/>
      <c r="AY669" s="111"/>
      <c r="AZ669" s="178"/>
      <c r="BC669" s="216"/>
      <c r="BD669" s="47"/>
      <c r="BF669" s="113"/>
      <c r="BG669" s="113"/>
      <c r="BH669" s="113"/>
      <c r="BI669" s="113"/>
      <c r="BJ669" s="113"/>
      <c r="BK669" s="113"/>
      <c r="BL669" s="5">
        <f t="shared" si="168"/>
        <v>0</v>
      </c>
    </row>
    <row r="670" spans="1:64" s="2" customFormat="1" ht="25.5" customHeight="1" outlineLevel="1" x14ac:dyDescent="0.2">
      <c r="A670" s="593" t="s">
        <v>847</v>
      </c>
      <c r="B670" s="600" t="s">
        <v>1731</v>
      </c>
      <c r="C670" s="7" t="s">
        <v>488</v>
      </c>
      <c r="D670" s="8" t="s">
        <v>397</v>
      </c>
      <c r="E670" s="23" t="s">
        <v>340</v>
      </c>
      <c r="F670" s="8">
        <v>2013</v>
      </c>
      <c r="G670" s="8">
        <v>2015</v>
      </c>
      <c r="H670" s="5">
        <v>0.42199409000000004</v>
      </c>
      <c r="I670" s="5">
        <v>9.9129999999999982E-2</v>
      </c>
      <c r="J670" s="5">
        <f>R670</f>
        <v>0.01</v>
      </c>
      <c r="K670" s="8"/>
      <c r="L670" s="23" t="s">
        <v>340</v>
      </c>
      <c r="M670" s="8"/>
      <c r="N670" s="8"/>
      <c r="O670" s="8"/>
      <c r="P670" s="8"/>
      <c r="Q670" s="23" t="s">
        <v>340</v>
      </c>
      <c r="R670" s="113">
        <v>0.01</v>
      </c>
      <c r="S670" s="113"/>
      <c r="T670" s="113"/>
      <c r="U670" s="113"/>
      <c r="V670" s="113"/>
      <c r="W670" s="113"/>
      <c r="X670" s="5">
        <f t="shared" si="164"/>
        <v>0.01</v>
      </c>
      <c r="Y670" s="302">
        <f>H670-H671-H672</f>
        <v>0</v>
      </c>
      <c r="Z670" s="5">
        <f>I670-I671-I672</f>
        <v>0</v>
      </c>
      <c r="AA670" s="94">
        <f>J670-J671-J672</f>
        <v>0</v>
      </c>
      <c r="AB670" s="311">
        <f t="shared" si="167"/>
        <v>8.9129999999999987E-2</v>
      </c>
      <c r="AC670" s="296"/>
      <c r="AD670" s="113"/>
      <c r="AE670" s="5"/>
      <c r="AF670" s="5"/>
      <c r="AG670" s="5">
        <f>H670</f>
        <v>0.42199409000000004</v>
      </c>
      <c r="AH670" s="5"/>
      <c r="AI670" s="5"/>
      <c r="AJ670" s="5"/>
      <c r="AK670" s="141"/>
      <c r="AL670" s="94">
        <f>SUM(AF670:AK670)</f>
        <v>0.42199409000000004</v>
      </c>
      <c r="AM670" s="128"/>
      <c r="AN670" s="180"/>
      <c r="AO670" s="128">
        <v>0.2</v>
      </c>
      <c r="AP670" s="184">
        <v>0</v>
      </c>
      <c r="AQ670" s="128"/>
      <c r="AR670" s="184"/>
      <c r="AS670" s="128"/>
      <c r="AT670" s="184"/>
      <c r="AU670" s="128"/>
      <c r="AV670" s="184"/>
      <c r="AW670" s="128"/>
      <c r="AX670" s="184"/>
      <c r="AY670" s="111">
        <f>AM670+AO670+AQ670+AS670+AU670+AW670</f>
        <v>0.2</v>
      </c>
      <c r="AZ670" s="178">
        <f>AN670+AP670+AR670+AT670+AV670+AX670</f>
        <v>0</v>
      </c>
      <c r="BC670" s="216"/>
      <c r="BD670" s="47"/>
      <c r="BF670" s="113">
        <v>0.01</v>
      </c>
      <c r="BG670" s="113"/>
      <c r="BH670" s="113"/>
      <c r="BI670" s="113"/>
      <c r="BJ670" s="113"/>
      <c r="BK670" s="113"/>
      <c r="BL670" s="5">
        <f t="shared" si="168"/>
        <v>0.01</v>
      </c>
    </row>
    <row r="671" spans="1:64" s="2" customFormat="1" ht="15.75" customHeight="1" outlineLevel="1" x14ac:dyDescent="0.2">
      <c r="A671" s="594"/>
      <c r="B671" s="601"/>
      <c r="C671" s="7" t="s">
        <v>1553</v>
      </c>
      <c r="D671" s="8"/>
      <c r="E671" s="23"/>
      <c r="F671" s="8"/>
      <c r="G671" s="8"/>
      <c r="H671" s="5"/>
      <c r="I671" s="5"/>
      <c r="J671" s="5"/>
      <c r="K671" s="8"/>
      <c r="L671" s="23"/>
      <c r="M671" s="8"/>
      <c r="N671" s="8"/>
      <c r="O671" s="8"/>
      <c r="P671" s="8"/>
      <c r="Q671" s="23"/>
      <c r="R671" s="113"/>
      <c r="S671" s="113"/>
      <c r="T671" s="113"/>
      <c r="U671" s="113"/>
      <c r="V671" s="113"/>
      <c r="W671" s="113"/>
      <c r="X671" s="5">
        <f>SUM(R671:W671)</f>
        <v>0</v>
      </c>
      <c r="Y671" s="302"/>
      <c r="Z671" s="5"/>
      <c r="AA671" s="94"/>
      <c r="AB671" s="311">
        <f t="shared" si="167"/>
        <v>0</v>
      </c>
      <c r="AC671" s="296"/>
      <c r="AD671" s="113"/>
      <c r="AE671" s="5"/>
      <c r="AF671" s="5"/>
      <c r="AG671" s="5"/>
      <c r="AH671" s="5"/>
      <c r="AI671" s="5"/>
      <c r="AJ671" s="5"/>
      <c r="AK671" s="141"/>
      <c r="AL671" s="94"/>
      <c r="AM671" s="128"/>
      <c r="AN671" s="180"/>
      <c r="AO671" s="128"/>
      <c r="AP671" s="184"/>
      <c r="AQ671" s="128"/>
      <c r="AR671" s="184"/>
      <c r="AS671" s="128"/>
      <c r="AT671" s="184"/>
      <c r="AU671" s="128"/>
      <c r="AV671" s="184"/>
      <c r="AW671" s="128"/>
      <c r="AX671" s="184"/>
      <c r="AY671" s="111"/>
      <c r="AZ671" s="178"/>
      <c r="BC671" s="216"/>
      <c r="BD671" s="47"/>
      <c r="BF671" s="113"/>
      <c r="BG671" s="113"/>
      <c r="BH671" s="113"/>
      <c r="BI671" s="113"/>
      <c r="BJ671" s="113"/>
      <c r="BK671" s="113"/>
      <c r="BL671" s="5">
        <f t="shared" ref="BL671:BL734" si="169">SUM(BF671:BK671)</f>
        <v>0</v>
      </c>
    </row>
    <row r="672" spans="1:64" s="2" customFormat="1" ht="15.75" customHeight="1" outlineLevel="1" x14ac:dyDescent="0.2">
      <c r="A672" s="595"/>
      <c r="B672" s="602"/>
      <c r="C672" s="7" t="s">
        <v>1554</v>
      </c>
      <c r="D672" s="8"/>
      <c r="E672" s="23"/>
      <c r="F672" s="8"/>
      <c r="G672" s="8"/>
      <c r="H672" s="5">
        <f>H670</f>
        <v>0.42199409000000004</v>
      </c>
      <c r="I672" s="5">
        <f>I670</f>
        <v>9.9129999999999982E-2</v>
      </c>
      <c r="J672" s="5">
        <f>J670</f>
        <v>0.01</v>
      </c>
      <c r="K672" s="23"/>
      <c r="L672" s="8"/>
      <c r="M672" s="8"/>
      <c r="N672" s="8"/>
      <c r="O672" s="8"/>
      <c r="P672" s="8"/>
      <c r="Q672" s="23"/>
      <c r="R672" s="113"/>
      <c r="S672" s="113"/>
      <c r="T672" s="113"/>
      <c r="U672" s="113"/>
      <c r="V672" s="113"/>
      <c r="W672" s="113"/>
      <c r="X672" s="5">
        <f>SUM(R672:W672)</f>
        <v>0</v>
      </c>
      <c r="Y672" s="302"/>
      <c r="Z672" s="5"/>
      <c r="AA672" s="94"/>
      <c r="AB672" s="311">
        <f t="shared" si="167"/>
        <v>9.9129999999999982E-2</v>
      </c>
      <c r="AC672" s="296"/>
      <c r="AD672" s="113"/>
      <c r="AE672" s="5"/>
      <c r="AF672" s="5"/>
      <c r="AG672" s="5"/>
      <c r="AH672" s="5"/>
      <c r="AI672" s="5"/>
      <c r="AJ672" s="5"/>
      <c r="AK672" s="141"/>
      <c r="AL672" s="94"/>
      <c r="AM672" s="128"/>
      <c r="AN672" s="180"/>
      <c r="AO672" s="128"/>
      <c r="AP672" s="184"/>
      <c r="AQ672" s="128"/>
      <c r="AR672" s="184"/>
      <c r="AS672" s="128"/>
      <c r="AT672" s="184"/>
      <c r="AU672" s="128"/>
      <c r="AV672" s="184"/>
      <c r="AW672" s="128"/>
      <c r="AX672" s="184"/>
      <c r="AY672" s="111"/>
      <c r="AZ672" s="178"/>
      <c r="BC672" s="216"/>
      <c r="BD672" s="47"/>
      <c r="BF672" s="113"/>
      <c r="BG672" s="113"/>
      <c r="BH672" s="113"/>
      <c r="BI672" s="113"/>
      <c r="BJ672" s="113"/>
      <c r="BK672" s="113"/>
      <c r="BL672" s="5">
        <f t="shared" si="169"/>
        <v>0</v>
      </c>
    </row>
    <row r="673" spans="1:64" s="2" customFormat="1" ht="25.5" customHeight="1" outlineLevel="1" x14ac:dyDescent="0.2">
      <c r="A673" s="593" t="s">
        <v>848</v>
      </c>
      <c r="B673" s="600" t="s">
        <v>1732</v>
      </c>
      <c r="C673" s="7" t="s">
        <v>489</v>
      </c>
      <c r="D673" s="8" t="s">
        <v>397</v>
      </c>
      <c r="E673" s="23" t="s">
        <v>333</v>
      </c>
      <c r="F673" s="8">
        <v>2013</v>
      </c>
      <c r="G673" s="8">
        <v>2015</v>
      </c>
      <c r="H673" s="5">
        <v>0.55852000000000002</v>
      </c>
      <c r="I673" s="5">
        <v>0.45652000000000004</v>
      </c>
      <c r="J673" s="5">
        <f>R673</f>
        <v>0.36686099999999999</v>
      </c>
      <c r="K673" s="8"/>
      <c r="L673" s="23" t="s">
        <v>333</v>
      </c>
      <c r="M673" s="8"/>
      <c r="N673" s="8"/>
      <c r="O673" s="8"/>
      <c r="P673" s="8"/>
      <c r="Q673" s="23" t="s">
        <v>333</v>
      </c>
      <c r="R673" s="113">
        <v>0.36686099999999999</v>
      </c>
      <c r="S673" s="113"/>
      <c r="T673" s="113"/>
      <c r="U673" s="113"/>
      <c r="V673" s="113"/>
      <c r="W673" s="113"/>
      <c r="X673" s="5">
        <f t="shared" si="164"/>
        <v>0.36686099999999999</v>
      </c>
      <c r="Y673" s="302">
        <f>H673-H674-H675</f>
        <v>0</v>
      </c>
      <c r="Z673" s="5">
        <f>I673-I674-I675</f>
        <v>0</v>
      </c>
      <c r="AA673" s="94">
        <f>J673-J674-J675</f>
        <v>0</v>
      </c>
      <c r="AB673" s="311">
        <f t="shared" si="167"/>
        <v>8.9659000000000044E-2</v>
      </c>
      <c r="AC673" s="296"/>
      <c r="AD673" s="113"/>
      <c r="AE673" s="5"/>
      <c r="AF673" s="5"/>
      <c r="AG673" s="5">
        <f>H673</f>
        <v>0.55852000000000002</v>
      </c>
      <c r="AH673" s="5"/>
      <c r="AI673" s="5"/>
      <c r="AJ673" s="5"/>
      <c r="AK673" s="141"/>
      <c r="AL673" s="94">
        <f>SUM(AF673:AK673)</f>
        <v>0.55852000000000002</v>
      </c>
      <c r="AM673" s="128"/>
      <c r="AN673" s="180"/>
      <c r="AO673" s="128">
        <v>0.3</v>
      </c>
      <c r="AP673" s="184">
        <v>0</v>
      </c>
      <c r="AQ673" s="128"/>
      <c r="AR673" s="184"/>
      <c r="AS673" s="128"/>
      <c r="AT673" s="184"/>
      <c r="AU673" s="128"/>
      <c r="AV673" s="184"/>
      <c r="AW673" s="128"/>
      <c r="AX673" s="184"/>
      <c r="AY673" s="111">
        <f>AM673+AO673+AQ673+AS673+AU673+AW673</f>
        <v>0.3</v>
      </c>
      <c r="AZ673" s="178">
        <f>AN673+AP673+AR673+AT673+AV673+AX673</f>
        <v>0</v>
      </c>
      <c r="BC673" s="216"/>
      <c r="BD673" s="47"/>
      <c r="BF673" s="113">
        <v>0.36686099999999999</v>
      </c>
      <c r="BG673" s="113"/>
      <c r="BH673" s="113"/>
      <c r="BI673" s="113"/>
      <c r="BJ673" s="113"/>
      <c r="BK673" s="113"/>
      <c r="BL673" s="5">
        <f t="shared" si="169"/>
        <v>0.36686099999999999</v>
      </c>
    </row>
    <row r="674" spans="1:64" s="2" customFormat="1" ht="15.75" customHeight="1" outlineLevel="1" x14ac:dyDescent="0.2">
      <c r="A674" s="594"/>
      <c r="B674" s="601"/>
      <c r="C674" s="7" t="s">
        <v>1553</v>
      </c>
      <c r="D674" s="8"/>
      <c r="E674" s="23"/>
      <c r="F674" s="8"/>
      <c r="G674" s="8"/>
      <c r="H674" s="5"/>
      <c r="I674" s="5"/>
      <c r="J674" s="5"/>
      <c r="K674" s="8"/>
      <c r="L674" s="23"/>
      <c r="M674" s="8"/>
      <c r="N674" s="8"/>
      <c r="O674" s="8"/>
      <c r="P674" s="8"/>
      <c r="Q674" s="23"/>
      <c r="R674" s="113"/>
      <c r="S674" s="113"/>
      <c r="T674" s="113"/>
      <c r="U674" s="113"/>
      <c r="V674" s="113"/>
      <c r="W674" s="113"/>
      <c r="X674" s="5">
        <f t="shared" si="164"/>
        <v>0</v>
      </c>
      <c r="Y674" s="302"/>
      <c r="Z674" s="5"/>
      <c r="AA674" s="94"/>
      <c r="AB674" s="311">
        <f t="shared" si="167"/>
        <v>0</v>
      </c>
      <c r="AC674" s="296"/>
      <c r="AD674" s="113"/>
      <c r="AE674" s="5"/>
      <c r="AF674" s="5"/>
      <c r="AG674" s="5"/>
      <c r="AH674" s="5"/>
      <c r="AI674" s="5"/>
      <c r="AJ674" s="5"/>
      <c r="AK674" s="141"/>
      <c r="AL674" s="94"/>
      <c r="AM674" s="128"/>
      <c r="AN674" s="180"/>
      <c r="AO674" s="128"/>
      <c r="AP674" s="184"/>
      <c r="AQ674" s="128"/>
      <c r="AR674" s="184"/>
      <c r="AS674" s="128"/>
      <c r="AT674" s="184"/>
      <c r="AU674" s="128"/>
      <c r="AV674" s="184"/>
      <c r="AW674" s="128"/>
      <c r="AX674" s="184"/>
      <c r="AY674" s="111"/>
      <c r="AZ674" s="178"/>
      <c r="BC674" s="216"/>
      <c r="BD674" s="47"/>
      <c r="BF674" s="113"/>
      <c r="BG674" s="113"/>
      <c r="BH674" s="113"/>
      <c r="BI674" s="113"/>
      <c r="BJ674" s="113"/>
      <c r="BK674" s="113"/>
      <c r="BL674" s="5">
        <f t="shared" si="169"/>
        <v>0</v>
      </c>
    </row>
    <row r="675" spans="1:64" s="2" customFormat="1" ht="15.75" customHeight="1" outlineLevel="1" x14ac:dyDescent="0.2">
      <c r="A675" s="595"/>
      <c r="B675" s="602"/>
      <c r="C675" s="7" t="s">
        <v>1554</v>
      </c>
      <c r="D675" s="8"/>
      <c r="E675" s="23"/>
      <c r="F675" s="8"/>
      <c r="G675" s="8"/>
      <c r="H675" s="5">
        <v>0.55852000000000002</v>
      </c>
      <c r="I675" s="5">
        <v>0.45652000000000004</v>
      </c>
      <c r="J675" s="5">
        <v>0.36686099999999999</v>
      </c>
      <c r="K675" s="23"/>
      <c r="L675" s="8"/>
      <c r="M675" s="8"/>
      <c r="N675" s="8"/>
      <c r="O675" s="8"/>
      <c r="P675" s="8"/>
      <c r="Q675" s="23"/>
      <c r="R675" s="113"/>
      <c r="S675" s="113"/>
      <c r="T675" s="113"/>
      <c r="U675" s="113"/>
      <c r="V675" s="113"/>
      <c r="W675" s="113"/>
      <c r="X675" s="5">
        <f t="shared" si="164"/>
        <v>0</v>
      </c>
      <c r="Y675" s="302"/>
      <c r="Z675" s="5"/>
      <c r="AA675" s="94"/>
      <c r="AB675" s="311">
        <f t="shared" si="167"/>
        <v>0.45652000000000004</v>
      </c>
      <c r="AC675" s="296"/>
      <c r="AD675" s="113"/>
      <c r="AE675" s="5"/>
      <c r="AF675" s="5"/>
      <c r="AG675" s="5"/>
      <c r="AH675" s="5"/>
      <c r="AI675" s="5"/>
      <c r="AJ675" s="5"/>
      <c r="AK675" s="141"/>
      <c r="AL675" s="94"/>
      <c r="AM675" s="128"/>
      <c r="AN675" s="180"/>
      <c r="AO675" s="128"/>
      <c r="AP675" s="184"/>
      <c r="AQ675" s="128"/>
      <c r="AR675" s="184"/>
      <c r="AS675" s="128"/>
      <c r="AT675" s="184"/>
      <c r="AU675" s="128"/>
      <c r="AV675" s="184"/>
      <c r="AW675" s="128"/>
      <c r="AX675" s="184"/>
      <c r="AY675" s="111"/>
      <c r="AZ675" s="178"/>
      <c r="BC675" s="216"/>
      <c r="BD675" s="47"/>
      <c r="BF675" s="113"/>
      <c r="BG675" s="113"/>
      <c r="BH675" s="113"/>
      <c r="BI675" s="113"/>
      <c r="BJ675" s="113"/>
      <c r="BK675" s="113"/>
      <c r="BL675" s="5">
        <f t="shared" si="169"/>
        <v>0</v>
      </c>
    </row>
    <row r="676" spans="1:64" s="2" customFormat="1" ht="51" outlineLevel="1" x14ac:dyDescent="0.2">
      <c r="A676" s="593" t="s">
        <v>849</v>
      </c>
      <c r="B676" s="600" t="s">
        <v>1733</v>
      </c>
      <c r="C676" s="7" t="s">
        <v>490</v>
      </c>
      <c r="D676" s="8" t="s">
        <v>397</v>
      </c>
      <c r="E676" s="23" t="s">
        <v>335</v>
      </c>
      <c r="F676" s="8">
        <v>2013</v>
      </c>
      <c r="G676" s="8">
        <v>2014</v>
      </c>
      <c r="H676" s="5">
        <v>1.8375665000000001</v>
      </c>
      <c r="I676" s="5">
        <v>0.12</v>
      </c>
      <c r="J676" s="5">
        <f>R676</f>
        <v>0.119745</v>
      </c>
      <c r="K676" s="23" t="s">
        <v>335</v>
      </c>
      <c r="L676" s="8"/>
      <c r="M676" s="8"/>
      <c r="N676" s="8"/>
      <c r="O676" s="8"/>
      <c r="P676" s="8"/>
      <c r="Q676" s="23" t="s">
        <v>335</v>
      </c>
      <c r="R676" s="113">
        <v>0.119745</v>
      </c>
      <c r="S676" s="113"/>
      <c r="T676" s="113"/>
      <c r="U676" s="113"/>
      <c r="V676" s="113"/>
      <c r="W676" s="113"/>
      <c r="X676" s="5">
        <f t="shared" si="164"/>
        <v>0.119745</v>
      </c>
      <c r="Y676" s="302">
        <f>H676-H677-H678</f>
        <v>0</v>
      </c>
      <c r="Z676" s="5">
        <f>I676-I677-I678</f>
        <v>0</v>
      </c>
      <c r="AA676" s="94">
        <f>J676-J677-J678</f>
        <v>0</v>
      </c>
      <c r="AB676" s="311">
        <f t="shared" si="167"/>
        <v>2.5499999999999134E-4</v>
      </c>
      <c r="AC676" s="296"/>
      <c r="AD676" s="113"/>
      <c r="AE676" s="5"/>
      <c r="AF676" s="5">
        <f>H676</f>
        <v>1.8375665000000001</v>
      </c>
      <c r="AG676" s="5"/>
      <c r="AH676" s="5"/>
      <c r="AI676" s="5"/>
      <c r="AJ676" s="5"/>
      <c r="AK676" s="141"/>
      <c r="AL676" s="94">
        <f>SUM(AF676:AK676)</f>
        <v>1.8375665000000001</v>
      </c>
      <c r="AM676" s="128">
        <v>0.1</v>
      </c>
      <c r="AN676" s="180">
        <v>0</v>
      </c>
      <c r="AO676" s="128"/>
      <c r="AP676" s="184"/>
      <c r="AQ676" s="128"/>
      <c r="AR676" s="184"/>
      <c r="AS676" s="128"/>
      <c r="AT676" s="184"/>
      <c r="AU676" s="128"/>
      <c r="AV676" s="184"/>
      <c r="AW676" s="128"/>
      <c r="AX676" s="184"/>
      <c r="AY676" s="111">
        <f>AM676+AO676+AQ676+AS676+AU676+AW676</f>
        <v>0.1</v>
      </c>
      <c r="AZ676" s="178">
        <f>AN676+AP676+AR676+AT676+AV676+AX676</f>
        <v>0</v>
      </c>
      <c r="BC676" s="216"/>
      <c r="BD676" s="47"/>
      <c r="BF676" s="113">
        <v>0.119745</v>
      </c>
      <c r="BG676" s="113"/>
      <c r="BH676" s="113"/>
      <c r="BI676" s="113"/>
      <c r="BJ676" s="113"/>
      <c r="BK676" s="113"/>
      <c r="BL676" s="5">
        <f t="shared" si="169"/>
        <v>0.119745</v>
      </c>
    </row>
    <row r="677" spans="1:64" s="2" customFormat="1" ht="15.75" customHeight="1" outlineLevel="1" x14ac:dyDescent="0.2">
      <c r="A677" s="594"/>
      <c r="B677" s="601"/>
      <c r="C677" s="7" t="s">
        <v>1553</v>
      </c>
      <c r="D677" s="8"/>
      <c r="E677" s="23"/>
      <c r="F677" s="8"/>
      <c r="G677" s="8"/>
      <c r="H677" s="5">
        <f>H676</f>
        <v>1.8375665000000001</v>
      </c>
      <c r="I677" s="5">
        <f>I676</f>
        <v>0.12</v>
      </c>
      <c r="J677" s="5">
        <f>J676</f>
        <v>0.119745</v>
      </c>
      <c r="K677" s="8"/>
      <c r="L677" s="23"/>
      <c r="M677" s="8"/>
      <c r="N677" s="8"/>
      <c r="O677" s="8"/>
      <c r="P677" s="8"/>
      <c r="Q677" s="23"/>
      <c r="R677" s="113"/>
      <c r="S677" s="113"/>
      <c r="T677" s="113"/>
      <c r="U677" s="113"/>
      <c r="V677" s="113"/>
      <c r="W677" s="113"/>
      <c r="X677" s="5">
        <f>SUM(R677:W677)</f>
        <v>0</v>
      </c>
      <c r="Y677" s="302"/>
      <c r="Z677" s="5"/>
      <c r="AA677" s="94"/>
      <c r="AB677" s="311">
        <f t="shared" si="167"/>
        <v>0.12</v>
      </c>
      <c r="AC677" s="296"/>
      <c r="AD677" s="113"/>
      <c r="AE677" s="5"/>
      <c r="AF677" s="5"/>
      <c r="AG677" s="5"/>
      <c r="AH677" s="5"/>
      <c r="AI677" s="5"/>
      <c r="AJ677" s="5"/>
      <c r="AK677" s="141"/>
      <c r="AL677" s="94"/>
      <c r="AM677" s="128"/>
      <c r="AN677" s="180"/>
      <c r="AO677" s="128"/>
      <c r="AP677" s="184"/>
      <c r="AQ677" s="128"/>
      <c r="AR677" s="184"/>
      <c r="AS677" s="128"/>
      <c r="AT677" s="184"/>
      <c r="AU677" s="128"/>
      <c r="AV677" s="184"/>
      <c r="AW677" s="128"/>
      <c r="AX677" s="184"/>
      <c r="AY677" s="111"/>
      <c r="AZ677" s="178"/>
      <c r="BC677" s="216"/>
      <c r="BD677" s="47"/>
      <c r="BF677" s="113"/>
      <c r="BG677" s="113"/>
      <c r="BH677" s="113"/>
      <c r="BI677" s="113"/>
      <c r="BJ677" s="113"/>
      <c r="BK677" s="113"/>
      <c r="BL677" s="5">
        <f t="shared" si="169"/>
        <v>0</v>
      </c>
    </row>
    <row r="678" spans="1:64" s="2" customFormat="1" ht="15.75" customHeight="1" outlineLevel="1" x14ac:dyDescent="0.2">
      <c r="A678" s="595"/>
      <c r="B678" s="602"/>
      <c r="C678" s="7" t="s">
        <v>1554</v>
      </c>
      <c r="D678" s="8"/>
      <c r="E678" s="23"/>
      <c r="F678" s="8"/>
      <c r="G678" s="8"/>
      <c r="H678" s="5"/>
      <c r="I678" s="5"/>
      <c r="J678" s="5"/>
      <c r="K678" s="23"/>
      <c r="L678" s="8"/>
      <c r="M678" s="8"/>
      <c r="N678" s="8"/>
      <c r="O678" s="8"/>
      <c r="P678" s="8"/>
      <c r="Q678" s="23"/>
      <c r="R678" s="113"/>
      <c r="S678" s="113"/>
      <c r="T678" s="113"/>
      <c r="U678" s="113"/>
      <c r="V678" s="113"/>
      <c r="W678" s="113"/>
      <c r="X678" s="5">
        <f>SUM(R678:W678)</f>
        <v>0</v>
      </c>
      <c r="Y678" s="302"/>
      <c r="Z678" s="5"/>
      <c r="AA678" s="94"/>
      <c r="AB678" s="311">
        <f t="shared" si="167"/>
        <v>0</v>
      </c>
      <c r="AC678" s="296"/>
      <c r="AD678" s="113"/>
      <c r="AE678" s="5"/>
      <c r="AF678" s="5"/>
      <c r="AG678" s="5"/>
      <c r="AH678" s="5"/>
      <c r="AI678" s="5"/>
      <c r="AJ678" s="5"/>
      <c r="AK678" s="141"/>
      <c r="AL678" s="94"/>
      <c r="AM678" s="128"/>
      <c r="AN678" s="180"/>
      <c r="AO678" s="128"/>
      <c r="AP678" s="184"/>
      <c r="AQ678" s="128"/>
      <c r="AR678" s="184"/>
      <c r="AS678" s="128"/>
      <c r="AT678" s="184"/>
      <c r="AU678" s="128"/>
      <c r="AV678" s="184"/>
      <c r="AW678" s="128"/>
      <c r="AX678" s="184"/>
      <c r="AY678" s="111"/>
      <c r="AZ678" s="178"/>
      <c r="BC678" s="216"/>
      <c r="BD678" s="47"/>
      <c r="BF678" s="113"/>
      <c r="BG678" s="113"/>
      <c r="BH678" s="113"/>
      <c r="BI678" s="113"/>
      <c r="BJ678" s="113"/>
      <c r="BK678" s="113"/>
      <c r="BL678" s="5">
        <f t="shared" si="169"/>
        <v>0</v>
      </c>
    </row>
    <row r="679" spans="1:64" s="2" customFormat="1" ht="76.5" customHeight="1" outlineLevel="1" x14ac:dyDescent="0.2">
      <c r="A679" s="593" t="s">
        <v>850</v>
      </c>
      <c r="B679" s="600" t="s">
        <v>1734</v>
      </c>
      <c r="C679" s="7" t="s">
        <v>491</v>
      </c>
      <c r="D679" s="8" t="s">
        <v>397</v>
      </c>
      <c r="E679" s="23" t="s">
        <v>347</v>
      </c>
      <c r="F679" s="8">
        <v>2013</v>
      </c>
      <c r="G679" s="8">
        <v>2015</v>
      </c>
      <c r="H679" s="5">
        <v>0.18414000000000003</v>
      </c>
      <c r="I679" s="5">
        <v>0.17652600000000002</v>
      </c>
      <c r="J679" s="5">
        <f>R679</f>
        <v>5.3283999999999998E-2</v>
      </c>
      <c r="K679" s="8"/>
      <c r="L679" s="23" t="s">
        <v>347</v>
      </c>
      <c r="M679" s="8"/>
      <c r="N679" s="8"/>
      <c r="O679" s="8"/>
      <c r="P679" s="8"/>
      <c r="Q679" s="23" t="s">
        <v>347</v>
      </c>
      <c r="R679" s="113">
        <v>5.3283999999999998E-2</v>
      </c>
      <c r="S679" s="113"/>
      <c r="T679" s="113"/>
      <c r="U679" s="113"/>
      <c r="V679" s="113"/>
      <c r="W679" s="113"/>
      <c r="X679" s="5">
        <f t="shared" si="164"/>
        <v>5.3283999999999998E-2</v>
      </c>
      <c r="Y679" s="302">
        <f>H679-H680-H681</f>
        <v>0</v>
      </c>
      <c r="Z679" s="5">
        <f>I679-I680-I681</f>
        <v>0</v>
      </c>
      <c r="AA679" s="94">
        <f>J679-J680-J681</f>
        <v>0</v>
      </c>
      <c r="AB679" s="311">
        <f t="shared" si="167"/>
        <v>0.12324200000000002</v>
      </c>
      <c r="AC679" s="296"/>
      <c r="AD679" s="113"/>
      <c r="AE679" s="5"/>
      <c r="AF679" s="5"/>
      <c r="AG679" s="5">
        <f>H679</f>
        <v>0.18414000000000003</v>
      </c>
      <c r="AH679" s="5"/>
      <c r="AI679" s="5"/>
      <c r="AJ679" s="5"/>
      <c r="AK679" s="141"/>
      <c r="AL679" s="94">
        <f>SUM(AF679:AK679)</f>
        <v>0.18414000000000003</v>
      </c>
      <c r="AM679" s="128"/>
      <c r="AN679" s="180"/>
      <c r="AO679" s="128">
        <v>0.05</v>
      </c>
      <c r="AP679" s="184">
        <v>0</v>
      </c>
      <c r="AQ679" s="128"/>
      <c r="AR679" s="184"/>
      <c r="AS679" s="128"/>
      <c r="AT679" s="184"/>
      <c r="AU679" s="128"/>
      <c r="AV679" s="184"/>
      <c r="AW679" s="128"/>
      <c r="AX679" s="184"/>
      <c r="AY679" s="111">
        <f>AM679+AO679+AQ679+AS679+AU679+AW679</f>
        <v>0.05</v>
      </c>
      <c r="AZ679" s="178">
        <f>AN679+AP679+AR679+AT679+AV679+AX679</f>
        <v>0</v>
      </c>
      <c r="BC679" s="216"/>
      <c r="BD679" s="47"/>
      <c r="BF679" s="113">
        <v>5.3283999999999998E-2</v>
      </c>
      <c r="BG679" s="113"/>
      <c r="BH679" s="113"/>
      <c r="BI679" s="113"/>
      <c r="BJ679" s="113"/>
      <c r="BK679" s="113"/>
      <c r="BL679" s="5">
        <f t="shared" si="169"/>
        <v>5.3283999999999998E-2</v>
      </c>
    </row>
    <row r="680" spans="1:64" s="2" customFormat="1" ht="15.75" customHeight="1" outlineLevel="1" x14ac:dyDescent="0.2">
      <c r="A680" s="594"/>
      <c r="B680" s="601"/>
      <c r="C680" s="7" t="s">
        <v>1553</v>
      </c>
      <c r="D680" s="8"/>
      <c r="E680" s="23"/>
      <c r="F680" s="8"/>
      <c r="G680" s="8"/>
      <c r="H680" s="5"/>
      <c r="I680" s="5"/>
      <c r="J680" s="5"/>
      <c r="K680" s="8"/>
      <c r="L680" s="23"/>
      <c r="M680" s="8"/>
      <c r="N680" s="8"/>
      <c r="O680" s="8"/>
      <c r="P680" s="8"/>
      <c r="Q680" s="23"/>
      <c r="R680" s="113"/>
      <c r="S680" s="113"/>
      <c r="T680" s="113"/>
      <c r="U680" s="113"/>
      <c r="V680" s="113"/>
      <c r="W680" s="113"/>
      <c r="X680" s="5">
        <f t="shared" si="164"/>
        <v>0</v>
      </c>
      <c r="Y680" s="302"/>
      <c r="Z680" s="5"/>
      <c r="AA680" s="94"/>
      <c r="AB680" s="311">
        <f t="shared" si="167"/>
        <v>0</v>
      </c>
      <c r="AC680" s="296"/>
      <c r="AD680" s="113"/>
      <c r="AE680" s="5"/>
      <c r="AF680" s="5"/>
      <c r="AG680" s="5"/>
      <c r="AH680" s="5"/>
      <c r="AI680" s="5"/>
      <c r="AJ680" s="5"/>
      <c r="AK680" s="141"/>
      <c r="AL680" s="94"/>
      <c r="AM680" s="128"/>
      <c r="AN680" s="180"/>
      <c r="AO680" s="128"/>
      <c r="AP680" s="184"/>
      <c r="AQ680" s="128"/>
      <c r="AR680" s="184"/>
      <c r="AS680" s="128"/>
      <c r="AT680" s="184"/>
      <c r="AU680" s="128"/>
      <c r="AV680" s="184"/>
      <c r="AW680" s="128"/>
      <c r="AX680" s="184"/>
      <c r="AY680" s="111"/>
      <c r="AZ680" s="178"/>
      <c r="BC680" s="216"/>
      <c r="BD680" s="47"/>
      <c r="BF680" s="113"/>
      <c r="BG680" s="113"/>
      <c r="BH680" s="113"/>
      <c r="BI680" s="113"/>
      <c r="BJ680" s="113"/>
      <c r="BK680" s="113"/>
      <c r="BL680" s="5">
        <f t="shared" si="169"/>
        <v>0</v>
      </c>
    </row>
    <row r="681" spans="1:64" s="2" customFormat="1" ht="15.75" customHeight="1" outlineLevel="1" x14ac:dyDescent="0.2">
      <c r="A681" s="595"/>
      <c r="B681" s="602"/>
      <c r="C681" s="7" t="s">
        <v>1554</v>
      </c>
      <c r="D681" s="8"/>
      <c r="E681" s="23"/>
      <c r="F681" s="8"/>
      <c r="G681" s="8"/>
      <c r="H681" s="5">
        <v>0.18414000000000003</v>
      </c>
      <c r="I681" s="5">
        <v>0.17652600000000002</v>
      </c>
      <c r="J681" s="5">
        <v>5.3283999999999998E-2</v>
      </c>
      <c r="K681" s="23"/>
      <c r="L681" s="8"/>
      <c r="M681" s="8"/>
      <c r="N681" s="8"/>
      <c r="O681" s="8"/>
      <c r="P681" s="8"/>
      <c r="Q681" s="23"/>
      <c r="R681" s="113"/>
      <c r="S681" s="113"/>
      <c r="T681" s="113"/>
      <c r="U681" s="113"/>
      <c r="V681" s="113"/>
      <c r="W681" s="113"/>
      <c r="X681" s="5">
        <f t="shared" si="164"/>
        <v>0</v>
      </c>
      <c r="Y681" s="302"/>
      <c r="Z681" s="5"/>
      <c r="AA681" s="94"/>
      <c r="AB681" s="311">
        <f t="shared" si="167"/>
        <v>0.17652600000000002</v>
      </c>
      <c r="AC681" s="296"/>
      <c r="AD681" s="113"/>
      <c r="AE681" s="5"/>
      <c r="AF681" s="5"/>
      <c r="AG681" s="5"/>
      <c r="AH681" s="5"/>
      <c r="AI681" s="5"/>
      <c r="AJ681" s="5"/>
      <c r="AK681" s="141"/>
      <c r="AL681" s="94"/>
      <c r="AM681" s="128"/>
      <c r="AN681" s="180"/>
      <c r="AO681" s="128"/>
      <c r="AP681" s="184"/>
      <c r="AQ681" s="128"/>
      <c r="AR681" s="184"/>
      <c r="AS681" s="128"/>
      <c r="AT681" s="184"/>
      <c r="AU681" s="128"/>
      <c r="AV681" s="184"/>
      <c r="AW681" s="128"/>
      <c r="AX681" s="184"/>
      <c r="AY681" s="111"/>
      <c r="AZ681" s="178"/>
      <c r="BC681" s="216"/>
      <c r="BD681" s="47"/>
      <c r="BF681" s="113"/>
      <c r="BG681" s="113"/>
      <c r="BH681" s="113"/>
      <c r="BI681" s="113"/>
      <c r="BJ681" s="113"/>
      <c r="BK681" s="113"/>
      <c r="BL681" s="5">
        <f t="shared" si="169"/>
        <v>0</v>
      </c>
    </row>
    <row r="682" spans="1:64" s="2" customFormat="1" ht="76.5" customHeight="1" outlineLevel="1" x14ac:dyDescent="0.2">
      <c r="A682" s="593" t="s">
        <v>851</v>
      </c>
      <c r="B682" s="600" t="s">
        <v>1735</v>
      </c>
      <c r="C682" s="7" t="s">
        <v>492</v>
      </c>
      <c r="D682" s="8" t="s">
        <v>397</v>
      </c>
      <c r="E682" s="23" t="s">
        <v>1241</v>
      </c>
      <c r="F682" s="8">
        <v>2013</v>
      </c>
      <c r="G682" s="8">
        <v>2015</v>
      </c>
      <c r="H682" s="5">
        <v>2.8039999999999999E-2</v>
      </c>
      <c r="I682" s="5">
        <v>1.9157E-2</v>
      </c>
      <c r="J682" s="5">
        <f>R682</f>
        <v>0.01</v>
      </c>
      <c r="K682" s="8"/>
      <c r="L682" s="23" t="s">
        <v>1241</v>
      </c>
      <c r="M682" s="8"/>
      <c r="N682" s="8"/>
      <c r="O682" s="8"/>
      <c r="P682" s="8"/>
      <c r="Q682" s="23" t="s">
        <v>1241</v>
      </c>
      <c r="R682" s="113">
        <v>0.01</v>
      </c>
      <c r="S682" s="113"/>
      <c r="T682" s="113"/>
      <c r="U682" s="113"/>
      <c r="V682" s="113"/>
      <c r="W682" s="113"/>
      <c r="X682" s="5">
        <f t="shared" si="164"/>
        <v>0.01</v>
      </c>
      <c r="Y682" s="302">
        <f>H682-H683-H684</f>
        <v>0</v>
      </c>
      <c r="Z682" s="5">
        <f>I682-I683-I684</f>
        <v>0</v>
      </c>
      <c r="AA682" s="94">
        <f>J682-J683-J684</f>
        <v>-9.9999999999999915E-4</v>
      </c>
      <c r="AB682" s="311">
        <f t="shared" si="167"/>
        <v>9.1570000000000002E-3</v>
      </c>
      <c r="AC682" s="296"/>
      <c r="AD682" s="113"/>
      <c r="AE682" s="5"/>
      <c r="AF682" s="5"/>
      <c r="AG682" s="5">
        <f>H682</f>
        <v>2.8039999999999999E-2</v>
      </c>
      <c r="AH682" s="5"/>
      <c r="AI682" s="5"/>
      <c r="AJ682" s="5"/>
      <c r="AK682" s="141"/>
      <c r="AL682" s="94">
        <f>SUM(AF682:AK682)</f>
        <v>2.8039999999999999E-2</v>
      </c>
      <c r="AM682" s="128"/>
      <c r="AN682" s="180"/>
      <c r="AO682" s="128">
        <v>0</v>
      </c>
      <c r="AP682" s="184">
        <v>0</v>
      </c>
      <c r="AQ682" s="128"/>
      <c r="AR682" s="184"/>
      <c r="AS682" s="128"/>
      <c r="AT682" s="184"/>
      <c r="AU682" s="128"/>
      <c r="AV682" s="184"/>
      <c r="AW682" s="128"/>
      <c r="AX682" s="184"/>
      <c r="AY682" s="111">
        <f>AM682+AO682+AQ682+AS682+AU682+AW682</f>
        <v>0</v>
      </c>
      <c r="AZ682" s="178">
        <f>AN682+AP682+AR682+AT682+AV682+AX682</f>
        <v>0</v>
      </c>
      <c r="BC682" s="216"/>
      <c r="BD682" s="47"/>
      <c r="BF682" s="113">
        <v>0.01</v>
      </c>
      <c r="BG682" s="113"/>
      <c r="BH682" s="113"/>
      <c r="BI682" s="113"/>
      <c r="BJ682" s="113"/>
      <c r="BK682" s="113"/>
      <c r="BL682" s="5">
        <f t="shared" si="169"/>
        <v>0.01</v>
      </c>
    </row>
    <row r="683" spans="1:64" s="2" customFormat="1" ht="15.75" customHeight="1" outlineLevel="1" x14ac:dyDescent="0.2">
      <c r="A683" s="594"/>
      <c r="B683" s="601"/>
      <c r="C683" s="7" t="s">
        <v>1553</v>
      </c>
      <c r="D683" s="8"/>
      <c r="E683" s="23"/>
      <c r="F683" s="8"/>
      <c r="G683" s="8"/>
      <c r="H683" s="5"/>
      <c r="I683" s="5"/>
      <c r="J683" s="5"/>
      <c r="K683" s="8"/>
      <c r="L683" s="23"/>
      <c r="M683" s="8"/>
      <c r="N683" s="8"/>
      <c r="O683" s="8"/>
      <c r="P683" s="8"/>
      <c r="Q683" s="23"/>
      <c r="R683" s="113"/>
      <c r="S683" s="113"/>
      <c r="T683" s="113"/>
      <c r="U683" s="113"/>
      <c r="V683" s="113"/>
      <c r="W683" s="113"/>
      <c r="X683" s="5">
        <f>SUM(R683:W683)</f>
        <v>0</v>
      </c>
      <c r="Y683" s="302"/>
      <c r="Z683" s="5"/>
      <c r="AA683" s="94"/>
      <c r="AB683" s="311">
        <f t="shared" si="167"/>
        <v>0</v>
      </c>
      <c r="AC683" s="296"/>
      <c r="AD683" s="113"/>
      <c r="AE683" s="5"/>
      <c r="AF683" s="5"/>
      <c r="AG683" s="5"/>
      <c r="AH683" s="5"/>
      <c r="AI683" s="5"/>
      <c r="AJ683" s="5"/>
      <c r="AK683" s="141"/>
      <c r="AL683" s="94"/>
      <c r="AM683" s="128"/>
      <c r="AN683" s="180"/>
      <c r="AO683" s="128"/>
      <c r="AP683" s="184"/>
      <c r="AQ683" s="128"/>
      <c r="AR683" s="184"/>
      <c r="AS683" s="128"/>
      <c r="AT683" s="184"/>
      <c r="AU683" s="128"/>
      <c r="AV683" s="184"/>
      <c r="AW683" s="128"/>
      <c r="AX683" s="184"/>
      <c r="AY683" s="111"/>
      <c r="AZ683" s="178"/>
      <c r="BC683" s="216"/>
      <c r="BD683" s="47"/>
      <c r="BF683" s="113"/>
      <c r="BG683" s="113"/>
      <c r="BH683" s="113"/>
      <c r="BI683" s="113"/>
      <c r="BJ683" s="113"/>
      <c r="BK683" s="113"/>
      <c r="BL683" s="5">
        <f t="shared" si="169"/>
        <v>0</v>
      </c>
    </row>
    <row r="684" spans="1:64" s="2" customFormat="1" ht="15.75" customHeight="1" outlineLevel="1" x14ac:dyDescent="0.2">
      <c r="A684" s="595"/>
      <c r="B684" s="602"/>
      <c r="C684" s="7" t="s">
        <v>1554</v>
      </c>
      <c r="D684" s="8"/>
      <c r="E684" s="23"/>
      <c r="F684" s="8"/>
      <c r="G684" s="8"/>
      <c r="H684" s="5">
        <v>2.8039999999999999E-2</v>
      </c>
      <c r="I684" s="5">
        <v>1.9157E-2</v>
      </c>
      <c r="J684" s="5">
        <v>1.0999999999999999E-2</v>
      </c>
      <c r="K684" s="23"/>
      <c r="L684" s="8"/>
      <c r="M684" s="8"/>
      <c r="N684" s="8"/>
      <c r="O684" s="8"/>
      <c r="P684" s="8"/>
      <c r="Q684" s="23"/>
      <c r="R684" s="113"/>
      <c r="S684" s="113"/>
      <c r="T684" s="113"/>
      <c r="U684" s="113"/>
      <c r="V684" s="113"/>
      <c r="W684" s="113"/>
      <c r="X684" s="5">
        <f>SUM(R684:W684)</f>
        <v>0</v>
      </c>
      <c r="Y684" s="302"/>
      <c r="Z684" s="5"/>
      <c r="AA684" s="94"/>
      <c r="AB684" s="311">
        <f t="shared" si="167"/>
        <v>1.9157E-2</v>
      </c>
      <c r="AC684" s="296"/>
      <c r="AD684" s="113"/>
      <c r="AE684" s="5"/>
      <c r="AF684" s="5"/>
      <c r="AG684" s="5"/>
      <c r="AH684" s="5"/>
      <c r="AI684" s="5"/>
      <c r="AJ684" s="5"/>
      <c r="AK684" s="141"/>
      <c r="AL684" s="94"/>
      <c r="AM684" s="128"/>
      <c r="AN684" s="180"/>
      <c r="AO684" s="128"/>
      <c r="AP684" s="184"/>
      <c r="AQ684" s="128"/>
      <c r="AR684" s="184"/>
      <c r="AS684" s="128"/>
      <c r="AT684" s="184"/>
      <c r="AU684" s="128"/>
      <c r="AV684" s="184"/>
      <c r="AW684" s="128"/>
      <c r="AX684" s="184"/>
      <c r="AY684" s="111"/>
      <c r="AZ684" s="178"/>
      <c r="BC684" s="216"/>
      <c r="BD684" s="47"/>
      <c r="BF684" s="113"/>
      <c r="BG684" s="113"/>
      <c r="BH684" s="113"/>
      <c r="BI684" s="113"/>
      <c r="BJ684" s="113"/>
      <c r="BK684" s="113"/>
      <c r="BL684" s="5">
        <f t="shared" si="169"/>
        <v>0</v>
      </c>
    </row>
    <row r="685" spans="1:64" s="2" customFormat="1" ht="63.75" outlineLevel="1" x14ac:dyDescent="0.2">
      <c r="A685" s="593" t="s">
        <v>852</v>
      </c>
      <c r="B685" s="600" t="s">
        <v>1736</v>
      </c>
      <c r="C685" s="7" t="s">
        <v>493</v>
      </c>
      <c r="D685" s="8" t="s">
        <v>397</v>
      </c>
      <c r="E685" s="23" t="s">
        <v>1241</v>
      </c>
      <c r="F685" s="8">
        <v>2013</v>
      </c>
      <c r="G685" s="8">
        <v>2014</v>
      </c>
      <c r="H685" s="5">
        <v>6.8400000000000002E-2</v>
      </c>
      <c r="I685" s="5">
        <v>0.01</v>
      </c>
      <c r="J685" s="5">
        <f>R685</f>
        <v>0.01</v>
      </c>
      <c r="K685" s="23" t="s">
        <v>1241</v>
      </c>
      <c r="L685" s="8"/>
      <c r="M685" s="8"/>
      <c r="N685" s="8"/>
      <c r="O685" s="8"/>
      <c r="P685" s="8"/>
      <c r="Q685" s="23" t="s">
        <v>1241</v>
      </c>
      <c r="R685" s="113">
        <v>0.01</v>
      </c>
      <c r="S685" s="113"/>
      <c r="T685" s="113"/>
      <c r="U685" s="113"/>
      <c r="V685" s="113"/>
      <c r="W685" s="113"/>
      <c r="X685" s="5">
        <f t="shared" ref="X685:X805" si="170">SUM(R685:W685)</f>
        <v>0.01</v>
      </c>
      <c r="Y685" s="302">
        <f>H685-H686-H687</f>
        <v>0</v>
      </c>
      <c r="Z685" s="5">
        <f>I685-I686-I687</f>
        <v>0</v>
      </c>
      <c r="AA685" s="94">
        <f>J685-J686-J687</f>
        <v>-9.9999999999999915E-4</v>
      </c>
      <c r="AB685" s="311">
        <f t="shared" si="167"/>
        <v>0</v>
      </c>
      <c r="AC685" s="296"/>
      <c r="AD685" s="113"/>
      <c r="AE685" s="5"/>
      <c r="AF685" s="5">
        <f>H685</f>
        <v>6.8400000000000002E-2</v>
      </c>
      <c r="AG685" s="5"/>
      <c r="AH685" s="5"/>
      <c r="AI685" s="5"/>
      <c r="AJ685" s="5"/>
      <c r="AK685" s="141"/>
      <c r="AL685" s="94">
        <f>SUM(AF685:AK685)</f>
        <v>6.8400000000000002E-2</v>
      </c>
      <c r="AM685" s="128">
        <v>0</v>
      </c>
      <c r="AN685" s="180">
        <v>0</v>
      </c>
      <c r="AO685" s="128"/>
      <c r="AP685" s="184"/>
      <c r="AQ685" s="128"/>
      <c r="AR685" s="184"/>
      <c r="AS685" s="128"/>
      <c r="AT685" s="184"/>
      <c r="AU685" s="128"/>
      <c r="AV685" s="184"/>
      <c r="AW685" s="128"/>
      <c r="AX685" s="184"/>
      <c r="AY685" s="111">
        <f>AM685+AO685+AQ685+AS685+AU685+AW685</f>
        <v>0</v>
      </c>
      <c r="AZ685" s="178">
        <f>AN685+AP685+AR685+AT685+AV685+AX685</f>
        <v>0</v>
      </c>
      <c r="BC685" s="216"/>
      <c r="BD685" s="47"/>
      <c r="BF685" s="113">
        <v>0.01</v>
      </c>
      <c r="BG685" s="113"/>
      <c r="BH685" s="113"/>
      <c r="BI685" s="113"/>
      <c r="BJ685" s="113"/>
      <c r="BK685" s="113"/>
      <c r="BL685" s="5">
        <f t="shared" si="169"/>
        <v>0.01</v>
      </c>
    </row>
    <row r="686" spans="1:64" s="2" customFormat="1" ht="15.75" customHeight="1" outlineLevel="1" x14ac:dyDescent="0.2">
      <c r="A686" s="594"/>
      <c r="B686" s="601"/>
      <c r="C686" s="7" t="s">
        <v>1553</v>
      </c>
      <c r="D686" s="8"/>
      <c r="E686" s="23"/>
      <c r="F686" s="8"/>
      <c r="G686" s="8"/>
      <c r="H686" s="5"/>
      <c r="I686" s="5"/>
      <c r="J686" s="5"/>
      <c r="K686" s="8"/>
      <c r="L686" s="23"/>
      <c r="M686" s="8"/>
      <c r="N686" s="8"/>
      <c r="O686" s="8"/>
      <c r="P686" s="8"/>
      <c r="Q686" s="23"/>
      <c r="R686" s="113"/>
      <c r="S686" s="113"/>
      <c r="T686" s="113"/>
      <c r="U686" s="113"/>
      <c r="V686" s="113"/>
      <c r="W686" s="113"/>
      <c r="X686" s="5">
        <f t="shared" si="170"/>
        <v>0</v>
      </c>
      <c r="Y686" s="302"/>
      <c r="Z686" s="5"/>
      <c r="AA686" s="94"/>
      <c r="AB686" s="311">
        <f t="shared" si="167"/>
        <v>0</v>
      </c>
      <c r="AC686" s="296"/>
      <c r="AD686" s="113"/>
      <c r="AE686" s="5"/>
      <c r="AF686" s="5"/>
      <c r="AG686" s="5"/>
      <c r="AH686" s="5"/>
      <c r="AI686" s="5"/>
      <c r="AJ686" s="5"/>
      <c r="AK686" s="141"/>
      <c r="AL686" s="94"/>
      <c r="AM686" s="128"/>
      <c r="AN686" s="180"/>
      <c r="AO686" s="128"/>
      <c r="AP686" s="184"/>
      <c r="AQ686" s="128"/>
      <c r="AR686" s="184"/>
      <c r="AS686" s="128"/>
      <c r="AT686" s="184"/>
      <c r="AU686" s="128"/>
      <c r="AV686" s="184"/>
      <c r="AW686" s="128"/>
      <c r="AX686" s="184"/>
      <c r="AY686" s="111"/>
      <c r="AZ686" s="178"/>
      <c r="BC686" s="216"/>
      <c r="BD686" s="47"/>
      <c r="BF686" s="113"/>
      <c r="BG686" s="113"/>
      <c r="BH686" s="113"/>
      <c r="BI686" s="113"/>
      <c r="BJ686" s="113"/>
      <c r="BK686" s="113"/>
      <c r="BL686" s="5">
        <f t="shared" si="169"/>
        <v>0</v>
      </c>
    </row>
    <row r="687" spans="1:64" s="2" customFormat="1" ht="15.75" customHeight="1" outlineLevel="1" x14ac:dyDescent="0.2">
      <c r="A687" s="595"/>
      <c r="B687" s="602"/>
      <c r="C687" s="7" t="s">
        <v>1554</v>
      </c>
      <c r="D687" s="8"/>
      <c r="E687" s="23"/>
      <c r="F687" s="8"/>
      <c r="G687" s="8"/>
      <c r="H687" s="5">
        <v>6.8400000000000002E-2</v>
      </c>
      <c r="I687" s="5">
        <v>0.01</v>
      </c>
      <c r="J687" s="5">
        <v>1.0999999999999999E-2</v>
      </c>
      <c r="K687" s="23"/>
      <c r="L687" s="8"/>
      <c r="M687" s="8"/>
      <c r="N687" s="8"/>
      <c r="O687" s="8"/>
      <c r="P687" s="8"/>
      <c r="Q687" s="23"/>
      <c r="R687" s="113"/>
      <c r="S687" s="113"/>
      <c r="T687" s="113"/>
      <c r="U687" s="113"/>
      <c r="V687" s="113"/>
      <c r="W687" s="113"/>
      <c r="X687" s="5">
        <f t="shared" si="170"/>
        <v>0</v>
      </c>
      <c r="Y687" s="302"/>
      <c r="Z687" s="5"/>
      <c r="AA687" s="94"/>
      <c r="AB687" s="311">
        <f t="shared" si="167"/>
        <v>0.01</v>
      </c>
      <c r="AC687" s="296"/>
      <c r="AD687" s="113"/>
      <c r="AE687" s="5"/>
      <c r="AF687" s="5"/>
      <c r="AG687" s="5"/>
      <c r="AH687" s="5"/>
      <c r="AI687" s="5"/>
      <c r="AJ687" s="5"/>
      <c r="AK687" s="141"/>
      <c r="AL687" s="94"/>
      <c r="AM687" s="128"/>
      <c r="AN687" s="180"/>
      <c r="AO687" s="128"/>
      <c r="AP687" s="184"/>
      <c r="AQ687" s="128"/>
      <c r="AR687" s="184"/>
      <c r="AS687" s="128"/>
      <c r="AT687" s="184"/>
      <c r="AU687" s="128"/>
      <c r="AV687" s="184"/>
      <c r="AW687" s="128"/>
      <c r="AX687" s="184"/>
      <c r="AY687" s="111"/>
      <c r="AZ687" s="178"/>
      <c r="BC687" s="216"/>
      <c r="BD687" s="47"/>
      <c r="BF687" s="113"/>
      <c r="BG687" s="113"/>
      <c r="BH687" s="113"/>
      <c r="BI687" s="113"/>
      <c r="BJ687" s="113"/>
      <c r="BK687" s="113"/>
      <c r="BL687" s="5">
        <f t="shared" si="169"/>
        <v>0</v>
      </c>
    </row>
    <row r="688" spans="1:64" s="2" customFormat="1" ht="63.75" customHeight="1" outlineLevel="1" x14ac:dyDescent="0.2">
      <c r="A688" s="593" t="s">
        <v>853</v>
      </c>
      <c r="B688" s="600" t="s">
        <v>1737</v>
      </c>
      <c r="C688" s="7" t="s">
        <v>494</v>
      </c>
      <c r="D688" s="8" t="s">
        <v>397</v>
      </c>
      <c r="E688" s="23" t="s">
        <v>333</v>
      </c>
      <c r="F688" s="8">
        <v>2013</v>
      </c>
      <c r="G688" s="8">
        <v>2015</v>
      </c>
      <c r="H688" s="5">
        <v>0.45242000000000004</v>
      </c>
      <c r="I688" s="5">
        <v>0.41872000000000004</v>
      </c>
      <c r="J688" s="5">
        <f>R688</f>
        <v>0.30016500000000002</v>
      </c>
      <c r="K688" s="8"/>
      <c r="L688" s="23" t="s">
        <v>333</v>
      </c>
      <c r="M688" s="8"/>
      <c r="N688" s="8"/>
      <c r="O688" s="8"/>
      <c r="P688" s="8"/>
      <c r="Q688" s="23" t="s">
        <v>333</v>
      </c>
      <c r="R688" s="113">
        <v>0.30016500000000002</v>
      </c>
      <c r="S688" s="113"/>
      <c r="T688" s="113"/>
      <c r="U688" s="113"/>
      <c r="V688" s="113"/>
      <c r="W688" s="113"/>
      <c r="X688" s="5">
        <f t="shared" si="170"/>
        <v>0.30016500000000002</v>
      </c>
      <c r="Y688" s="302">
        <f>H688-H689-H690</f>
        <v>0</v>
      </c>
      <c r="Z688" s="5">
        <f>I688-I689-I690</f>
        <v>0</v>
      </c>
      <c r="AA688" s="94">
        <f>J688-J689-J690</f>
        <v>0</v>
      </c>
      <c r="AB688" s="311">
        <f t="shared" si="167"/>
        <v>0.11855500000000002</v>
      </c>
      <c r="AC688" s="296"/>
      <c r="AD688" s="113"/>
      <c r="AE688" s="5"/>
      <c r="AF688" s="5"/>
      <c r="AG688" s="5">
        <f>H688</f>
        <v>0.45242000000000004</v>
      </c>
      <c r="AH688" s="5"/>
      <c r="AI688" s="5"/>
      <c r="AJ688" s="5"/>
      <c r="AK688" s="141"/>
      <c r="AL688" s="94">
        <f>SUM(AF688:AK688)</f>
        <v>0.45242000000000004</v>
      </c>
      <c r="AM688" s="128"/>
      <c r="AN688" s="180"/>
      <c r="AO688" s="128">
        <v>0.3</v>
      </c>
      <c r="AP688" s="184">
        <v>0</v>
      </c>
      <c r="AQ688" s="128"/>
      <c r="AR688" s="184"/>
      <c r="AS688" s="128"/>
      <c r="AT688" s="184"/>
      <c r="AU688" s="128"/>
      <c r="AV688" s="184"/>
      <c r="AW688" s="128"/>
      <c r="AX688" s="184"/>
      <c r="AY688" s="111">
        <f>AM688+AO688+AQ688+AS688+AU688+AW688</f>
        <v>0.3</v>
      </c>
      <c r="AZ688" s="178">
        <f>AN688+AP688+AR688+AT688+AV688+AX688</f>
        <v>0</v>
      </c>
      <c r="BC688" s="216"/>
      <c r="BD688" s="47"/>
      <c r="BF688" s="113">
        <v>0.30016500000000002</v>
      </c>
      <c r="BG688" s="113"/>
      <c r="BH688" s="113"/>
      <c r="BI688" s="113"/>
      <c r="BJ688" s="113"/>
      <c r="BK688" s="113"/>
      <c r="BL688" s="5">
        <f t="shared" si="169"/>
        <v>0.30016500000000002</v>
      </c>
    </row>
    <row r="689" spans="1:64" s="2" customFormat="1" ht="15.75" customHeight="1" outlineLevel="1" x14ac:dyDescent="0.2">
      <c r="A689" s="594"/>
      <c r="B689" s="601"/>
      <c r="C689" s="7" t="s">
        <v>1553</v>
      </c>
      <c r="D689" s="8"/>
      <c r="E689" s="23"/>
      <c r="F689" s="8"/>
      <c r="G689" s="8"/>
      <c r="H689" s="5"/>
      <c r="I689" s="5"/>
      <c r="J689" s="5"/>
      <c r="K689" s="8"/>
      <c r="L689" s="23"/>
      <c r="M689" s="8"/>
      <c r="N689" s="8"/>
      <c r="O689" s="8"/>
      <c r="P689" s="8"/>
      <c r="Q689" s="23"/>
      <c r="R689" s="113"/>
      <c r="S689" s="113"/>
      <c r="T689" s="113"/>
      <c r="U689" s="113"/>
      <c r="V689" s="113"/>
      <c r="W689" s="113"/>
      <c r="X689" s="5">
        <f>SUM(R689:W689)</f>
        <v>0</v>
      </c>
      <c r="Y689" s="302"/>
      <c r="Z689" s="5"/>
      <c r="AA689" s="94"/>
      <c r="AB689" s="311">
        <f t="shared" si="167"/>
        <v>0</v>
      </c>
      <c r="AC689" s="296"/>
      <c r="AD689" s="113"/>
      <c r="AE689" s="5"/>
      <c r="AF689" s="5"/>
      <c r="AG689" s="5"/>
      <c r="AH689" s="5"/>
      <c r="AI689" s="5"/>
      <c r="AJ689" s="5"/>
      <c r="AK689" s="141"/>
      <c r="AL689" s="94"/>
      <c r="AM689" s="128"/>
      <c r="AN689" s="180"/>
      <c r="AO689" s="128"/>
      <c r="AP689" s="184"/>
      <c r="AQ689" s="128"/>
      <c r="AR689" s="184"/>
      <c r="AS689" s="128"/>
      <c r="AT689" s="184"/>
      <c r="AU689" s="128"/>
      <c r="AV689" s="184"/>
      <c r="AW689" s="128"/>
      <c r="AX689" s="184"/>
      <c r="AY689" s="111"/>
      <c r="AZ689" s="178"/>
      <c r="BC689" s="216"/>
      <c r="BD689" s="47"/>
      <c r="BF689" s="113"/>
      <c r="BG689" s="113"/>
      <c r="BH689" s="113"/>
      <c r="BI689" s="113"/>
      <c r="BJ689" s="113"/>
      <c r="BK689" s="113"/>
      <c r="BL689" s="5">
        <f t="shared" si="169"/>
        <v>0</v>
      </c>
    </row>
    <row r="690" spans="1:64" s="2" customFormat="1" ht="15.75" customHeight="1" outlineLevel="1" x14ac:dyDescent="0.2">
      <c r="A690" s="595"/>
      <c r="B690" s="602"/>
      <c r="C690" s="7" t="s">
        <v>1554</v>
      </c>
      <c r="D690" s="8"/>
      <c r="E690" s="23"/>
      <c r="F690" s="8"/>
      <c r="G690" s="8"/>
      <c r="H690" s="5">
        <v>0.45242000000000004</v>
      </c>
      <c r="I690" s="5">
        <v>0.41872000000000004</v>
      </c>
      <c r="J690" s="5">
        <v>0.30016500000000002</v>
      </c>
      <c r="K690" s="23"/>
      <c r="L690" s="8"/>
      <c r="M690" s="8"/>
      <c r="N690" s="8"/>
      <c r="O690" s="8"/>
      <c r="P690" s="8"/>
      <c r="Q690" s="23"/>
      <c r="R690" s="113"/>
      <c r="S690" s="113"/>
      <c r="T690" s="113"/>
      <c r="U690" s="113"/>
      <c r="V690" s="113"/>
      <c r="W690" s="113"/>
      <c r="X690" s="5">
        <f>SUM(R690:W690)</f>
        <v>0</v>
      </c>
      <c r="Y690" s="302"/>
      <c r="Z690" s="5"/>
      <c r="AA690" s="94"/>
      <c r="AB690" s="311">
        <f t="shared" si="167"/>
        <v>0.41872000000000004</v>
      </c>
      <c r="AC690" s="296"/>
      <c r="AD690" s="113"/>
      <c r="AE690" s="5"/>
      <c r="AF690" s="5"/>
      <c r="AG690" s="5"/>
      <c r="AH690" s="5"/>
      <c r="AI690" s="5"/>
      <c r="AJ690" s="5"/>
      <c r="AK690" s="141"/>
      <c r="AL690" s="94"/>
      <c r="AM690" s="128"/>
      <c r="AN690" s="180"/>
      <c r="AO690" s="128"/>
      <c r="AP690" s="184"/>
      <c r="AQ690" s="128"/>
      <c r="AR690" s="184"/>
      <c r="AS690" s="128"/>
      <c r="AT690" s="184"/>
      <c r="AU690" s="128"/>
      <c r="AV690" s="184"/>
      <c r="AW690" s="128"/>
      <c r="AX690" s="184"/>
      <c r="AY690" s="111"/>
      <c r="AZ690" s="178"/>
      <c r="BC690" s="216"/>
      <c r="BD690" s="47"/>
      <c r="BF690" s="113"/>
      <c r="BG690" s="113"/>
      <c r="BH690" s="113"/>
      <c r="BI690" s="113"/>
      <c r="BJ690" s="113"/>
      <c r="BK690" s="113"/>
      <c r="BL690" s="5">
        <f t="shared" si="169"/>
        <v>0</v>
      </c>
    </row>
    <row r="691" spans="1:64" s="2" customFormat="1" ht="28.35" customHeight="1" outlineLevel="1" x14ac:dyDescent="0.2">
      <c r="A691" s="593" t="s">
        <v>854</v>
      </c>
      <c r="B691" s="600" t="s">
        <v>1738</v>
      </c>
      <c r="C691" s="7" t="s">
        <v>495</v>
      </c>
      <c r="D691" s="8" t="s">
        <v>397</v>
      </c>
      <c r="E691" s="23" t="s">
        <v>347</v>
      </c>
      <c r="F691" s="8">
        <v>2013</v>
      </c>
      <c r="G691" s="8">
        <v>2014</v>
      </c>
      <c r="H691" s="5">
        <v>0.20448917999999999</v>
      </c>
      <c r="I691" s="5">
        <v>4.8648000000000004E-2</v>
      </c>
      <c r="J691" s="5">
        <f>R691</f>
        <v>4.8648000000000004E-2</v>
      </c>
      <c r="K691" s="23" t="s">
        <v>347</v>
      </c>
      <c r="L691" s="8"/>
      <c r="M691" s="8"/>
      <c r="N691" s="8"/>
      <c r="O691" s="8"/>
      <c r="P691" s="8"/>
      <c r="Q691" s="23" t="s">
        <v>347</v>
      </c>
      <c r="R691" s="113">
        <v>4.8648000000000004E-2</v>
      </c>
      <c r="S691" s="113"/>
      <c r="T691" s="113"/>
      <c r="U691" s="113"/>
      <c r="V691" s="113"/>
      <c r="W691" s="113"/>
      <c r="X691" s="5">
        <f t="shared" si="170"/>
        <v>4.8648000000000004E-2</v>
      </c>
      <c r="Y691" s="302">
        <f>H691-H692-H693</f>
        <v>0</v>
      </c>
      <c r="Z691" s="5">
        <f>I691-I692-I693</f>
        <v>0</v>
      </c>
      <c r="AA691" s="94">
        <f>J691-J692-J693</f>
        <v>0</v>
      </c>
      <c r="AB691" s="311">
        <f t="shared" si="167"/>
        <v>0</v>
      </c>
      <c r="AC691" s="296"/>
      <c r="AD691" s="113"/>
      <c r="AE691" s="5"/>
      <c r="AF691" s="5">
        <f>H691</f>
        <v>0.20448917999999999</v>
      </c>
      <c r="AG691" s="5"/>
      <c r="AH691" s="5"/>
      <c r="AI691" s="5"/>
      <c r="AJ691" s="5"/>
      <c r="AK691" s="141"/>
      <c r="AL691" s="94">
        <f>SUM(AF691:AK691)</f>
        <v>0.20448917999999999</v>
      </c>
      <c r="AM691" s="128">
        <v>0.05</v>
      </c>
      <c r="AN691" s="180">
        <v>0</v>
      </c>
      <c r="AO691" s="128"/>
      <c r="AP691" s="184"/>
      <c r="AQ691" s="128"/>
      <c r="AR691" s="184"/>
      <c r="AS691" s="128"/>
      <c r="AT691" s="184"/>
      <c r="AU691" s="128"/>
      <c r="AV691" s="184"/>
      <c r="AW691" s="128"/>
      <c r="AX691" s="184"/>
      <c r="AY691" s="111">
        <f>AM691+AO691+AQ691+AS691+AU691+AW691</f>
        <v>0.05</v>
      </c>
      <c r="AZ691" s="178">
        <f>AN691+AP691+AR691+AT691+AV691+AX691</f>
        <v>0</v>
      </c>
      <c r="BC691" s="216"/>
      <c r="BD691" s="47"/>
      <c r="BF691" s="113">
        <v>4.8648000000000004E-2</v>
      </c>
      <c r="BG691" s="113"/>
      <c r="BH691" s="113"/>
      <c r="BI691" s="113"/>
      <c r="BJ691" s="113"/>
      <c r="BK691" s="113"/>
      <c r="BL691" s="5">
        <f t="shared" si="169"/>
        <v>4.8648000000000004E-2</v>
      </c>
    </row>
    <row r="692" spans="1:64" s="2" customFormat="1" ht="15.75" customHeight="1" outlineLevel="1" x14ac:dyDescent="0.2">
      <c r="A692" s="594"/>
      <c r="B692" s="601"/>
      <c r="C692" s="7" t="s">
        <v>1553</v>
      </c>
      <c r="D692" s="8"/>
      <c r="E692" s="23"/>
      <c r="F692" s="8"/>
      <c r="G692" s="8"/>
      <c r="H692" s="5">
        <f>H691</f>
        <v>0.20448917999999999</v>
      </c>
      <c r="I692" s="5">
        <f>I691</f>
        <v>4.8648000000000004E-2</v>
      </c>
      <c r="J692" s="5">
        <f>J691</f>
        <v>4.8648000000000004E-2</v>
      </c>
      <c r="K692" s="8"/>
      <c r="L692" s="23"/>
      <c r="M692" s="8"/>
      <c r="N692" s="8"/>
      <c r="O692" s="8"/>
      <c r="P692" s="8"/>
      <c r="Q692" s="23"/>
      <c r="R692" s="113"/>
      <c r="S692" s="113"/>
      <c r="T692" s="113"/>
      <c r="U692" s="113"/>
      <c r="V692" s="113"/>
      <c r="W692" s="113"/>
      <c r="X692" s="5">
        <f t="shared" si="170"/>
        <v>0</v>
      </c>
      <c r="Y692" s="302"/>
      <c r="Z692" s="5"/>
      <c r="AA692" s="94"/>
      <c r="AB692" s="311">
        <f t="shared" si="167"/>
        <v>4.8648000000000004E-2</v>
      </c>
      <c r="AC692" s="296"/>
      <c r="AD692" s="113"/>
      <c r="AE692" s="5"/>
      <c r="AF692" s="5"/>
      <c r="AG692" s="5"/>
      <c r="AH692" s="5"/>
      <c r="AI692" s="5"/>
      <c r="AJ692" s="5"/>
      <c r="AK692" s="141"/>
      <c r="AL692" s="94"/>
      <c r="AM692" s="128"/>
      <c r="AN692" s="180"/>
      <c r="AO692" s="128"/>
      <c r="AP692" s="184"/>
      <c r="AQ692" s="128"/>
      <c r="AR692" s="184"/>
      <c r="AS692" s="128"/>
      <c r="AT692" s="184"/>
      <c r="AU692" s="128"/>
      <c r="AV692" s="184"/>
      <c r="AW692" s="128"/>
      <c r="AX692" s="184"/>
      <c r="AY692" s="111"/>
      <c r="AZ692" s="178"/>
      <c r="BC692" s="216"/>
      <c r="BD692" s="47"/>
      <c r="BF692" s="113"/>
      <c r="BG692" s="113"/>
      <c r="BH692" s="113"/>
      <c r="BI692" s="113"/>
      <c r="BJ692" s="113"/>
      <c r="BK692" s="113"/>
      <c r="BL692" s="5">
        <f t="shared" si="169"/>
        <v>0</v>
      </c>
    </row>
    <row r="693" spans="1:64" s="2" customFormat="1" ht="15.75" customHeight="1" outlineLevel="1" x14ac:dyDescent="0.2">
      <c r="A693" s="595"/>
      <c r="B693" s="602"/>
      <c r="C693" s="7" t="s">
        <v>1554</v>
      </c>
      <c r="D693" s="8"/>
      <c r="E693" s="23"/>
      <c r="F693" s="8"/>
      <c r="G693" s="8"/>
      <c r="H693" s="5"/>
      <c r="I693" s="5"/>
      <c r="J693" s="5"/>
      <c r="K693" s="23"/>
      <c r="L693" s="8"/>
      <c r="M693" s="8"/>
      <c r="N693" s="8"/>
      <c r="O693" s="8"/>
      <c r="P693" s="8"/>
      <c r="Q693" s="23"/>
      <c r="R693" s="113"/>
      <c r="S693" s="113"/>
      <c r="T693" s="113"/>
      <c r="U693" s="113"/>
      <c r="V693" s="113"/>
      <c r="W693" s="113"/>
      <c r="X693" s="5">
        <f t="shared" si="170"/>
        <v>0</v>
      </c>
      <c r="Y693" s="302"/>
      <c r="Z693" s="5"/>
      <c r="AA693" s="94"/>
      <c r="AB693" s="311">
        <f t="shared" si="167"/>
        <v>0</v>
      </c>
      <c r="AC693" s="296"/>
      <c r="AD693" s="113"/>
      <c r="AE693" s="5"/>
      <c r="AF693" s="5"/>
      <c r="AG693" s="5"/>
      <c r="AH693" s="5"/>
      <c r="AI693" s="5"/>
      <c r="AJ693" s="5"/>
      <c r="AK693" s="141"/>
      <c r="AL693" s="94"/>
      <c r="AM693" s="128"/>
      <c r="AN693" s="180"/>
      <c r="AO693" s="128"/>
      <c r="AP693" s="184"/>
      <c r="AQ693" s="128"/>
      <c r="AR693" s="184"/>
      <c r="AS693" s="128"/>
      <c r="AT693" s="184"/>
      <c r="AU693" s="128"/>
      <c r="AV693" s="184"/>
      <c r="AW693" s="128"/>
      <c r="AX693" s="184"/>
      <c r="AY693" s="111"/>
      <c r="AZ693" s="178"/>
      <c r="BC693" s="216"/>
      <c r="BD693" s="47"/>
      <c r="BF693" s="113"/>
      <c r="BG693" s="113"/>
      <c r="BH693" s="113"/>
      <c r="BI693" s="113"/>
      <c r="BJ693" s="113"/>
      <c r="BK693" s="113"/>
      <c r="BL693" s="5">
        <f t="shared" si="169"/>
        <v>0</v>
      </c>
    </row>
    <row r="694" spans="1:64" s="2" customFormat="1" ht="94.5" customHeight="1" outlineLevel="1" x14ac:dyDescent="0.2">
      <c r="A694" s="593" t="s">
        <v>855</v>
      </c>
      <c r="B694" s="600" t="s">
        <v>1739</v>
      </c>
      <c r="C694" s="7" t="s">
        <v>1587</v>
      </c>
      <c r="D694" s="8" t="s">
        <v>397</v>
      </c>
      <c r="E694" s="23" t="s">
        <v>1241</v>
      </c>
      <c r="F694" s="8">
        <v>2013</v>
      </c>
      <c r="G694" s="8">
        <v>2015</v>
      </c>
      <c r="H694" s="5">
        <v>4.2683900000000004E-2</v>
      </c>
      <c r="I694" s="5">
        <v>2.6741999999999998E-2</v>
      </c>
      <c r="J694" s="5">
        <f>R694</f>
        <v>0.01</v>
      </c>
      <c r="K694" s="8"/>
      <c r="L694" s="23" t="s">
        <v>1241</v>
      </c>
      <c r="M694" s="8"/>
      <c r="N694" s="8"/>
      <c r="O694" s="8"/>
      <c r="P694" s="8"/>
      <c r="Q694" s="23" t="s">
        <v>1241</v>
      </c>
      <c r="R694" s="113">
        <v>0.01</v>
      </c>
      <c r="S694" s="113"/>
      <c r="T694" s="113"/>
      <c r="U694" s="113"/>
      <c r="V694" s="113"/>
      <c r="W694" s="113"/>
      <c r="X694" s="5">
        <f t="shared" si="170"/>
        <v>0.01</v>
      </c>
      <c r="Y694" s="302">
        <f>H694-H695-H696</f>
        <v>0</v>
      </c>
      <c r="Z694" s="5">
        <f>I694-I695-I696</f>
        <v>0</v>
      </c>
      <c r="AA694" s="94">
        <f>J694-J695-J696</f>
        <v>0</v>
      </c>
      <c r="AB694" s="311">
        <f t="shared" si="167"/>
        <v>1.6742E-2</v>
      </c>
      <c r="AC694" s="296"/>
      <c r="AD694" s="113"/>
      <c r="AE694" s="5"/>
      <c r="AF694" s="5"/>
      <c r="AG694" s="5">
        <f>H694</f>
        <v>4.2683900000000004E-2</v>
      </c>
      <c r="AH694" s="5"/>
      <c r="AI694" s="5"/>
      <c r="AJ694" s="5"/>
      <c r="AK694" s="141"/>
      <c r="AL694" s="94">
        <f>SUM(AF694:AK694)</f>
        <v>4.2683900000000004E-2</v>
      </c>
      <c r="AM694" s="128"/>
      <c r="AN694" s="180"/>
      <c r="AO694" s="128">
        <v>0</v>
      </c>
      <c r="AP694" s="184">
        <v>0</v>
      </c>
      <c r="AQ694" s="128"/>
      <c r="AR694" s="184"/>
      <c r="AS694" s="128"/>
      <c r="AT694" s="184"/>
      <c r="AU694" s="128"/>
      <c r="AV694" s="184"/>
      <c r="AW694" s="128"/>
      <c r="AX694" s="184"/>
      <c r="AY694" s="111">
        <f>AM694+AO694+AQ694+AS694+AU694+AW694</f>
        <v>0</v>
      </c>
      <c r="AZ694" s="178">
        <f>AN694+AP694+AR694+AT694+AV694+AX694</f>
        <v>0</v>
      </c>
      <c r="BC694" s="216"/>
      <c r="BD694" s="47"/>
      <c r="BF694" s="113">
        <v>0.01</v>
      </c>
      <c r="BG694" s="113"/>
      <c r="BH694" s="113"/>
      <c r="BI694" s="113"/>
      <c r="BJ694" s="113"/>
      <c r="BK694" s="113"/>
      <c r="BL694" s="5">
        <f t="shared" si="169"/>
        <v>0.01</v>
      </c>
    </row>
    <row r="695" spans="1:64" s="2" customFormat="1" ht="15.75" customHeight="1" outlineLevel="1" x14ac:dyDescent="0.2">
      <c r="A695" s="594"/>
      <c r="B695" s="601"/>
      <c r="C695" s="7" t="s">
        <v>1553</v>
      </c>
      <c r="D695" s="8"/>
      <c r="E695" s="23"/>
      <c r="F695" s="8"/>
      <c r="G695" s="8"/>
      <c r="H695" s="5"/>
      <c r="I695" s="5"/>
      <c r="J695" s="5"/>
      <c r="K695" s="8"/>
      <c r="L695" s="23"/>
      <c r="M695" s="8"/>
      <c r="N695" s="8"/>
      <c r="O695" s="8"/>
      <c r="P695" s="8"/>
      <c r="Q695" s="23"/>
      <c r="R695" s="113"/>
      <c r="S695" s="113"/>
      <c r="T695" s="113"/>
      <c r="U695" s="113"/>
      <c r="V695" s="113"/>
      <c r="W695" s="113"/>
      <c r="X695" s="5">
        <f>SUM(R695:W695)</f>
        <v>0</v>
      </c>
      <c r="Y695" s="302"/>
      <c r="Z695" s="5"/>
      <c r="AA695" s="94"/>
      <c r="AB695" s="311">
        <f t="shared" si="167"/>
        <v>0</v>
      </c>
      <c r="AC695" s="296"/>
      <c r="AD695" s="113"/>
      <c r="AE695" s="5"/>
      <c r="AF695" s="5"/>
      <c r="AG695" s="5"/>
      <c r="AH695" s="5"/>
      <c r="AI695" s="5"/>
      <c r="AJ695" s="5"/>
      <c r="AK695" s="141"/>
      <c r="AL695" s="94"/>
      <c r="AM695" s="128"/>
      <c r="AN695" s="180"/>
      <c r="AO695" s="128"/>
      <c r="AP695" s="184"/>
      <c r="AQ695" s="128"/>
      <c r="AR695" s="184"/>
      <c r="AS695" s="128"/>
      <c r="AT695" s="184"/>
      <c r="AU695" s="128"/>
      <c r="AV695" s="184"/>
      <c r="AW695" s="128"/>
      <c r="AX695" s="184"/>
      <c r="AY695" s="111"/>
      <c r="AZ695" s="178"/>
      <c r="BC695" s="216"/>
      <c r="BD695" s="47"/>
      <c r="BF695" s="113"/>
      <c r="BG695" s="113"/>
      <c r="BH695" s="113"/>
      <c r="BI695" s="113"/>
      <c r="BJ695" s="113"/>
      <c r="BK695" s="113"/>
      <c r="BL695" s="5">
        <f t="shared" si="169"/>
        <v>0</v>
      </c>
    </row>
    <row r="696" spans="1:64" s="2" customFormat="1" ht="15.75" customHeight="1" outlineLevel="1" x14ac:dyDescent="0.2">
      <c r="A696" s="595"/>
      <c r="B696" s="602"/>
      <c r="C696" s="7" t="s">
        <v>1554</v>
      </c>
      <c r="D696" s="8"/>
      <c r="E696" s="23"/>
      <c r="F696" s="8"/>
      <c r="G696" s="8"/>
      <c r="H696" s="5">
        <f>H694</f>
        <v>4.2683900000000004E-2</v>
      </c>
      <c r="I696" s="5">
        <f>I694</f>
        <v>2.6741999999999998E-2</v>
      </c>
      <c r="J696" s="5">
        <f>J694</f>
        <v>0.01</v>
      </c>
      <c r="K696" s="23"/>
      <c r="L696" s="8"/>
      <c r="M696" s="8"/>
      <c r="N696" s="8"/>
      <c r="O696" s="8"/>
      <c r="P696" s="8"/>
      <c r="Q696" s="23"/>
      <c r="R696" s="113"/>
      <c r="S696" s="113"/>
      <c r="T696" s="113"/>
      <c r="U696" s="113"/>
      <c r="V696" s="113"/>
      <c r="W696" s="113"/>
      <c r="X696" s="5">
        <f>SUM(R696:W696)</f>
        <v>0</v>
      </c>
      <c r="Y696" s="302"/>
      <c r="Z696" s="5"/>
      <c r="AA696" s="94"/>
      <c r="AB696" s="311">
        <f t="shared" si="167"/>
        <v>2.6741999999999998E-2</v>
      </c>
      <c r="AC696" s="296"/>
      <c r="AD696" s="113"/>
      <c r="AE696" s="5"/>
      <c r="AF696" s="5"/>
      <c r="AG696" s="5"/>
      <c r="AH696" s="5"/>
      <c r="AI696" s="5"/>
      <c r="AJ696" s="5"/>
      <c r="AK696" s="141"/>
      <c r="AL696" s="94"/>
      <c r="AM696" s="128"/>
      <c r="AN696" s="180"/>
      <c r="AO696" s="128"/>
      <c r="AP696" s="184"/>
      <c r="AQ696" s="128"/>
      <c r="AR696" s="184"/>
      <c r="AS696" s="128"/>
      <c r="AT696" s="184"/>
      <c r="AU696" s="128"/>
      <c r="AV696" s="184"/>
      <c r="AW696" s="128"/>
      <c r="AX696" s="184"/>
      <c r="AY696" s="111"/>
      <c r="AZ696" s="178"/>
      <c r="BC696" s="216"/>
      <c r="BD696" s="47"/>
      <c r="BF696" s="113"/>
      <c r="BG696" s="113"/>
      <c r="BH696" s="113"/>
      <c r="BI696" s="113"/>
      <c r="BJ696" s="113"/>
      <c r="BK696" s="113"/>
      <c r="BL696" s="5">
        <f t="shared" si="169"/>
        <v>0</v>
      </c>
    </row>
    <row r="697" spans="1:64" s="2" customFormat="1" ht="26.25" customHeight="1" outlineLevel="1" x14ac:dyDescent="0.2">
      <c r="A697" s="593" t="s">
        <v>856</v>
      </c>
      <c r="B697" s="600" t="s">
        <v>1740</v>
      </c>
      <c r="C697" s="7" t="s">
        <v>1588</v>
      </c>
      <c r="D697" s="8" t="s">
        <v>397</v>
      </c>
      <c r="E697" s="23" t="s">
        <v>335</v>
      </c>
      <c r="F697" s="8">
        <v>2013</v>
      </c>
      <c r="G697" s="8">
        <v>2015</v>
      </c>
      <c r="H697" s="5">
        <v>0.44134303999999996</v>
      </c>
      <c r="I697" s="5">
        <v>0.183641</v>
      </c>
      <c r="J697" s="5">
        <f>R697</f>
        <v>7.2005E-2</v>
      </c>
      <c r="K697" s="8"/>
      <c r="L697" s="23" t="s">
        <v>335</v>
      </c>
      <c r="M697" s="8"/>
      <c r="N697" s="8"/>
      <c r="O697" s="8"/>
      <c r="P697" s="8"/>
      <c r="Q697" s="23" t="s">
        <v>335</v>
      </c>
      <c r="R697" s="113">
        <v>7.2005E-2</v>
      </c>
      <c r="S697" s="113"/>
      <c r="T697" s="113"/>
      <c r="U697" s="113"/>
      <c r="V697" s="113"/>
      <c r="W697" s="113"/>
      <c r="X697" s="5">
        <f t="shared" si="170"/>
        <v>7.2005E-2</v>
      </c>
      <c r="Y697" s="302">
        <f>H697-H698-H699</f>
        <v>0</v>
      </c>
      <c r="Z697" s="5">
        <f>I697-I698-I699</f>
        <v>0</v>
      </c>
      <c r="AA697" s="94">
        <f>J697-J698-J699</f>
        <v>0</v>
      </c>
      <c r="AB697" s="311">
        <f t="shared" si="167"/>
        <v>0.111636</v>
      </c>
      <c r="AC697" s="296"/>
      <c r="AD697" s="113"/>
      <c r="AE697" s="5"/>
      <c r="AF697" s="5"/>
      <c r="AG697" s="5">
        <f>H697</f>
        <v>0.44134303999999996</v>
      </c>
      <c r="AH697" s="5"/>
      <c r="AI697" s="5"/>
      <c r="AJ697" s="5"/>
      <c r="AK697" s="141"/>
      <c r="AL697" s="94">
        <f>SUM(AF697:AK697)</f>
        <v>0.44134303999999996</v>
      </c>
      <c r="AM697" s="128"/>
      <c r="AN697" s="180"/>
      <c r="AO697" s="128">
        <v>0.1</v>
      </c>
      <c r="AP697" s="184">
        <v>0</v>
      </c>
      <c r="AQ697" s="128"/>
      <c r="AR697" s="184"/>
      <c r="AS697" s="128"/>
      <c r="AT697" s="184"/>
      <c r="AU697" s="128"/>
      <c r="AV697" s="184"/>
      <c r="AW697" s="128"/>
      <c r="AX697" s="184"/>
      <c r="AY697" s="111">
        <f>AM697+AO697+AQ697+AS697+AU697+AW697</f>
        <v>0.1</v>
      </c>
      <c r="AZ697" s="178">
        <f>AN697+AP697+AR697+AT697+AV697+AX697</f>
        <v>0</v>
      </c>
      <c r="BC697" s="216"/>
      <c r="BD697" s="47"/>
      <c r="BF697" s="113">
        <v>7.2005E-2</v>
      </c>
      <c r="BG697" s="113"/>
      <c r="BH697" s="113"/>
      <c r="BI697" s="113"/>
      <c r="BJ697" s="113"/>
      <c r="BK697" s="113"/>
      <c r="BL697" s="5">
        <f t="shared" si="169"/>
        <v>7.2005E-2</v>
      </c>
    </row>
    <row r="698" spans="1:64" s="2" customFormat="1" ht="15.75" customHeight="1" outlineLevel="1" x14ac:dyDescent="0.2">
      <c r="A698" s="594"/>
      <c r="B698" s="601"/>
      <c r="C698" s="7" t="s">
        <v>1553</v>
      </c>
      <c r="D698" s="8"/>
      <c r="E698" s="23"/>
      <c r="F698" s="8"/>
      <c r="G698" s="8"/>
      <c r="H698" s="5"/>
      <c r="I698" s="5"/>
      <c r="J698" s="5"/>
      <c r="K698" s="8"/>
      <c r="L698" s="23"/>
      <c r="M698" s="8"/>
      <c r="N698" s="8"/>
      <c r="O698" s="8"/>
      <c r="P698" s="8"/>
      <c r="Q698" s="23"/>
      <c r="R698" s="113"/>
      <c r="S698" s="113"/>
      <c r="T698" s="113"/>
      <c r="U698" s="113"/>
      <c r="V698" s="113"/>
      <c r="W698" s="113"/>
      <c r="X698" s="5">
        <f t="shared" si="170"/>
        <v>0</v>
      </c>
      <c r="Y698" s="302"/>
      <c r="Z698" s="5"/>
      <c r="AA698" s="94"/>
      <c r="AB698" s="311">
        <f t="shared" si="167"/>
        <v>0</v>
      </c>
      <c r="AC698" s="296"/>
      <c r="AD698" s="113"/>
      <c r="AE698" s="5"/>
      <c r="AF698" s="5"/>
      <c r="AG698" s="5"/>
      <c r="AH698" s="5"/>
      <c r="AI698" s="5"/>
      <c r="AJ698" s="5"/>
      <c r="AK698" s="141"/>
      <c r="AL698" s="94"/>
      <c r="AM698" s="128"/>
      <c r="AN698" s="180"/>
      <c r="AO698" s="128"/>
      <c r="AP698" s="184"/>
      <c r="AQ698" s="128"/>
      <c r="AR698" s="184"/>
      <c r="AS698" s="128"/>
      <c r="AT698" s="184"/>
      <c r="AU698" s="128"/>
      <c r="AV698" s="184"/>
      <c r="AW698" s="128"/>
      <c r="AX698" s="184"/>
      <c r="AY698" s="111"/>
      <c r="AZ698" s="178"/>
      <c r="BC698" s="216"/>
      <c r="BD698" s="47"/>
      <c r="BF698" s="113"/>
      <c r="BG698" s="113"/>
      <c r="BH698" s="113"/>
      <c r="BI698" s="113"/>
      <c r="BJ698" s="113"/>
      <c r="BK698" s="113"/>
      <c r="BL698" s="5">
        <f t="shared" si="169"/>
        <v>0</v>
      </c>
    </row>
    <row r="699" spans="1:64" s="2" customFormat="1" ht="15.75" customHeight="1" outlineLevel="1" x14ac:dyDescent="0.2">
      <c r="A699" s="595"/>
      <c r="B699" s="602"/>
      <c r="C699" s="7" t="s">
        <v>1554</v>
      </c>
      <c r="D699" s="8"/>
      <c r="E699" s="23"/>
      <c r="F699" s="8"/>
      <c r="G699" s="8"/>
      <c r="H699" s="5">
        <f>H697</f>
        <v>0.44134303999999996</v>
      </c>
      <c r="I699" s="5">
        <f>I697</f>
        <v>0.183641</v>
      </c>
      <c r="J699" s="5">
        <f>J697</f>
        <v>7.2005E-2</v>
      </c>
      <c r="K699" s="23"/>
      <c r="L699" s="8"/>
      <c r="M699" s="8"/>
      <c r="N699" s="8"/>
      <c r="O699" s="8"/>
      <c r="P699" s="8"/>
      <c r="Q699" s="23"/>
      <c r="R699" s="113"/>
      <c r="S699" s="113"/>
      <c r="T699" s="113"/>
      <c r="U699" s="113"/>
      <c r="V699" s="113"/>
      <c r="W699" s="113"/>
      <c r="X699" s="5">
        <f t="shared" si="170"/>
        <v>0</v>
      </c>
      <c r="Y699" s="302"/>
      <c r="Z699" s="5"/>
      <c r="AA699" s="94"/>
      <c r="AB699" s="311">
        <f t="shared" si="167"/>
        <v>0.183641</v>
      </c>
      <c r="AC699" s="296"/>
      <c r="AD699" s="113"/>
      <c r="AE699" s="5"/>
      <c r="AF699" s="5"/>
      <c r="AG699" s="5"/>
      <c r="AH699" s="5"/>
      <c r="AI699" s="5"/>
      <c r="AJ699" s="5"/>
      <c r="AK699" s="141"/>
      <c r="AL699" s="94"/>
      <c r="AM699" s="128"/>
      <c r="AN699" s="180"/>
      <c r="AO699" s="128"/>
      <c r="AP699" s="184"/>
      <c r="AQ699" s="128"/>
      <c r="AR699" s="184"/>
      <c r="AS699" s="128"/>
      <c r="AT699" s="184"/>
      <c r="AU699" s="128"/>
      <c r="AV699" s="184"/>
      <c r="AW699" s="128"/>
      <c r="AX699" s="184"/>
      <c r="AY699" s="111"/>
      <c r="AZ699" s="178"/>
      <c r="BC699" s="216"/>
      <c r="BD699" s="47"/>
      <c r="BF699" s="113"/>
      <c r="BG699" s="113"/>
      <c r="BH699" s="113"/>
      <c r="BI699" s="113"/>
      <c r="BJ699" s="113"/>
      <c r="BK699" s="113"/>
      <c r="BL699" s="5">
        <f t="shared" si="169"/>
        <v>0</v>
      </c>
    </row>
    <row r="700" spans="1:64" s="2" customFormat="1" ht="89.25" customHeight="1" outlineLevel="1" x14ac:dyDescent="0.2">
      <c r="A700" s="593" t="s">
        <v>857</v>
      </c>
      <c r="B700" s="600" t="s">
        <v>1741</v>
      </c>
      <c r="C700" s="7" t="s">
        <v>1589</v>
      </c>
      <c r="D700" s="8" t="s">
        <v>397</v>
      </c>
      <c r="E700" s="23" t="s">
        <v>347</v>
      </c>
      <c r="F700" s="8">
        <v>2013</v>
      </c>
      <c r="G700" s="8">
        <v>2015</v>
      </c>
      <c r="H700" s="5">
        <v>0.1061</v>
      </c>
      <c r="I700" s="5">
        <v>9.6772999999999998E-2</v>
      </c>
      <c r="J700" s="5">
        <f>R700</f>
        <v>6.6697000000000006E-2</v>
      </c>
      <c r="K700" s="8"/>
      <c r="L700" s="23" t="s">
        <v>347</v>
      </c>
      <c r="M700" s="8"/>
      <c r="N700" s="8"/>
      <c r="O700" s="8"/>
      <c r="P700" s="8"/>
      <c r="Q700" s="23" t="s">
        <v>347</v>
      </c>
      <c r="R700" s="113">
        <v>6.6697000000000006E-2</v>
      </c>
      <c r="S700" s="113"/>
      <c r="T700" s="113"/>
      <c r="U700" s="113"/>
      <c r="V700" s="113"/>
      <c r="W700" s="113"/>
      <c r="X700" s="5">
        <f t="shared" si="170"/>
        <v>6.6697000000000006E-2</v>
      </c>
      <c r="Y700" s="302">
        <f>H700-H701-H702</f>
        <v>0</v>
      </c>
      <c r="Z700" s="5">
        <f>I700-I701-I702</f>
        <v>0</v>
      </c>
      <c r="AA700" s="94">
        <f>J700-J701-J702</f>
        <v>0</v>
      </c>
      <c r="AB700" s="311">
        <f t="shared" si="167"/>
        <v>3.0075999999999992E-2</v>
      </c>
      <c r="AC700" s="296"/>
      <c r="AD700" s="113"/>
      <c r="AE700" s="5"/>
      <c r="AF700" s="5"/>
      <c r="AG700" s="5">
        <f>H700</f>
        <v>0.1061</v>
      </c>
      <c r="AH700" s="5"/>
      <c r="AI700" s="5"/>
      <c r="AJ700" s="5"/>
      <c r="AK700" s="141"/>
      <c r="AL700" s="94">
        <f>SUM(AF700:AK700)</f>
        <v>0.1061</v>
      </c>
      <c r="AM700" s="128"/>
      <c r="AN700" s="180"/>
      <c r="AO700" s="128">
        <v>0.05</v>
      </c>
      <c r="AP700" s="184">
        <v>0</v>
      </c>
      <c r="AQ700" s="128"/>
      <c r="AR700" s="184"/>
      <c r="AS700" s="128"/>
      <c r="AT700" s="184"/>
      <c r="AU700" s="128"/>
      <c r="AV700" s="184"/>
      <c r="AW700" s="128"/>
      <c r="AX700" s="184"/>
      <c r="AY700" s="111">
        <f>AM700+AO700+AQ700+AS700+AU700+AW700</f>
        <v>0.05</v>
      </c>
      <c r="AZ700" s="178">
        <f>AN700+AP700+AR700+AT700+AV700+AX700</f>
        <v>0</v>
      </c>
      <c r="BC700" s="216"/>
      <c r="BD700" s="47"/>
      <c r="BF700" s="113">
        <v>6.6697000000000006E-2</v>
      </c>
      <c r="BG700" s="113"/>
      <c r="BH700" s="113"/>
      <c r="BI700" s="113"/>
      <c r="BJ700" s="113"/>
      <c r="BK700" s="113"/>
      <c r="BL700" s="5">
        <f t="shared" si="169"/>
        <v>6.6697000000000006E-2</v>
      </c>
    </row>
    <row r="701" spans="1:64" s="2" customFormat="1" ht="15.75" customHeight="1" outlineLevel="1" x14ac:dyDescent="0.2">
      <c r="A701" s="594"/>
      <c r="B701" s="601"/>
      <c r="C701" s="7" t="s">
        <v>1553</v>
      </c>
      <c r="D701" s="8"/>
      <c r="E701" s="23"/>
      <c r="F701" s="8"/>
      <c r="G701" s="8"/>
      <c r="H701" s="5">
        <v>0.1061</v>
      </c>
      <c r="I701" s="5">
        <v>9.6772999999999998E-2</v>
      </c>
      <c r="J701" s="5">
        <v>6.6697000000000006E-2</v>
      </c>
      <c r="K701" s="8"/>
      <c r="L701" s="23"/>
      <c r="M701" s="8"/>
      <c r="N701" s="8"/>
      <c r="O701" s="8"/>
      <c r="P701" s="8"/>
      <c r="Q701" s="23"/>
      <c r="R701" s="113"/>
      <c r="S701" s="113"/>
      <c r="T701" s="113"/>
      <c r="U701" s="113"/>
      <c r="V701" s="113"/>
      <c r="W701" s="113"/>
      <c r="X701" s="5">
        <f>SUM(R701:W701)</f>
        <v>0</v>
      </c>
      <c r="Y701" s="302"/>
      <c r="Z701" s="5"/>
      <c r="AA701" s="94"/>
      <c r="AB701" s="311">
        <f t="shared" si="167"/>
        <v>9.6772999999999998E-2</v>
      </c>
      <c r="AC701" s="296"/>
      <c r="AD701" s="113"/>
      <c r="AE701" s="5"/>
      <c r="AF701" s="5"/>
      <c r="AG701" s="5"/>
      <c r="AH701" s="5"/>
      <c r="AI701" s="5"/>
      <c r="AJ701" s="5"/>
      <c r="AK701" s="141"/>
      <c r="AL701" s="94"/>
      <c r="AM701" s="128"/>
      <c r="AN701" s="180"/>
      <c r="AO701" s="128"/>
      <c r="AP701" s="184"/>
      <c r="AQ701" s="128"/>
      <c r="AR701" s="184"/>
      <c r="AS701" s="128"/>
      <c r="AT701" s="184"/>
      <c r="AU701" s="128"/>
      <c r="AV701" s="184"/>
      <c r="AW701" s="128"/>
      <c r="AX701" s="184"/>
      <c r="AY701" s="111"/>
      <c r="AZ701" s="178"/>
      <c r="BC701" s="216"/>
      <c r="BD701" s="47"/>
      <c r="BF701" s="113"/>
      <c r="BG701" s="113"/>
      <c r="BH701" s="113"/>
      <c r="BI701" s="113"/>
      <c r="BJ701" s="113"/>
      <c r="BK701" s="113"/>
      <c r="BL701" s="5">
        <f t="shared" si="169"/>
        <v>0</v>
      </c>
    </row>
    <row r="702" spans="1:64" s="2" customFormat="1" ht="15.75" customHeight="1" outlineLevel="1" x14ac:dyDescent="0.2">
      <c r="A702" s="595"/>
      <c r="B702" s="602"/>
      <c r="C702" s="7" t="s">
        <v>1554</v>
      </c>
      <c r="D702" s="8"/>
      <c r="E702" s="23"/>
      <c r="F702" s="8"/>
      <c r="G702" s="8"/>
      <c r="H702" s="5"/>
      <c r="I702" s="5"/>
      <c r="J702" s="5"/>
      <c r="K702" s="23"/>
      <c r="L702" s="8"/>
      <c r="M702" s="8"/>
      <c r="N702" s="8"/>
      <c r="O702" s="8"/>
      <c r="P702" s="8"/>
      <c r="Q702" s="23"/>
      <c r="R702" s="113"/>
      <c r="S702" s="113"/>
      <c r="T702" s="113"/>
      <c r="U702" s="113"/>
      <c r="V702" s="113"/>
      <c r="W702" s="113"/>
      <c r="X702" s="5">
        <f>SUM(R702:W702)</f>
        <v>0</v>
      </c>
      <c r="Y702" s="302"/>
      <c r="Z702" s="5"/>
      <c r="AA702" s="94"/>
      <c r="AB702" s="311">
        <f t="shared" si="167"/>
        <v>0</v>
      </c>
      <c r="AC702" s="296"/>
      <c r="AD702" s="113"/>
      <c r="AE702" s="5"/>
      <c r="AF702" s="5"/>
      <c r="AG702" s="5"/>
      <c r="AH702" s="5"/>
      <c r="AI702" s="5"/>
      <c r="AJ702" s="5"/>
      <c r="AK702" s="141"/>
      <c r="AL702" s="94"/>
      <c r="AM702" s="128"/>
      <c r="AN702" s="180"/>
      <c r="AO702" s="128"/>
      <c r="AP702" s="184"/>
      <c r="AQ702" s="128"/>
      <c r="AR702" s="184"/>
      <c r="AS702" s="128"/>
      <c r="AT702" s="184"/>
      <c r="AU702" s="128"/>
      <c r="AV702" s="184"/>
      <c r="AW702" s="128"/>
      <c r="AX702" s="184"/>
      <c r="AY702" s="111"/>
      <c r="AZ702" s="178"/>
      <c r="BC702" s="216"/>
      <c r="BD702" s="47"/>
      <c r="BF702" s="113"/>
      <c r="BG702" s="113"/>
      <c r="BH702" s="113"/>
      <c r="BI702" s="113"/>
      <c r="BJ702" s="113"/>
      <c r="BK702" s="113"/>
      <c r="BL702" s="5">
        <f t="shared" si="169"/>
        <v>0</v>
      </c>
    </row>
    <row r="703" spans="1:64" s="2" customFormat="1" ht="76.5" customHeight="1" outlineLevel="1" x14ac:dyDescent="0.2">
      <c r="A703" s="593" t="s">
        <v>858</v>
      </c>
      <c r="B703" s="600" t="s">
        <v>1742</v>
      </c>
      <c r="C703" s="7" t="s">
        <v>1590</v>
      </c>
      <c r="D703" s="8" t="s">
        <v>397</v>
      </c>
      <c r="E703" s="23" t="s">
        <v>353</v>
      </c>
      <c r="F703" s="8">
        <v>2013</v>
      </c>
      <c r="G703" s="8">
        <v>2015</v>
      </c>
      <c r="H703" s="5">
        <v>4.7928900000000003E-2</v>
      </c>
      <c r="I703" s="5">
        <v>1.9845000000000002E-2</v>
      </c>
      <c r="J703" s="5">
        <f>R703</f>
        <v>0.01</v>
      </c>
      <c r="K703" s="8"/>
      <c r="L703" s="23" t="s">
        <v>353</v>
      </c>
      <c r="M703" s="8"/>
      <c r="N703" s="8"/>
      <c r="O703" s="8"/>
      <c r="P703" s="8"/>
      <c r="Q703" s="23" t="s">
        <v>353</v>
      </c>
      <c r="R703" s="113">
        <v>0.01</v>
      </c>
      <c r="S703" s="113"/>
      <c r="T703" s="113"/>
      <c r="U703" s="113"/>
      <c r="V703" s="113"/>
      <c r="W703" s="113"/>
      <c r="X703" s="5">
        <f t="shared" si="170"/>
        <v>0.01</v>
      </c>
      <c r="Y703" s="302">
        <f>H703-H704-H705</f>
        <v>0</v>
      </c>
      <c r="Z703" s="5">
        <f>I703-I704-I705</f>
        <v>0</v>
      </c>
      <c r="AA703" s="94">
        <f>J703-J704-J705</f>
        <v>0</v>
      </c>
      <c r="AB703" s="311">
        <f t="shared" si="167"/>
        <v>9.8450000000000013E-3</v>
      </c>
      <c r="AC703" s="296"/>
      <c r="AD703" s="113"/>
      <c r="AE703" s="5"/>
      <c r="AF703" s="5"/>
      <c r="AG703" s="5">
        <f>H703</f>
        <v>4.7928900000000003E-2</v>
      </c>
      <c r="AH703" s="5"/>
      <c r="AI703" s="5"/>
      <c r="AJ703" s="5"/>
      <c r="AK703" s="141"/>
      <c r="AL703" s="94">
        <f>SUM(AF703:AK703)</f>
        <v>4.7928900000000003E-2</v>
      </c>
      <c r="AM703" s="128"/>
      <c r="AN703" s="180"/>
      <c r="AO703" s="128">
        <v>0.03</v>
      </c>
      <c r="AP703" s="184">
        <v>0</v>
      </c>
      <c r="AQ703" s="128"/>
      <c r="AR703" s="184"/>
      <c r="AS703" s="128"/>
      <c r="AT703" s="184"/>
      <c r="AU703" s="128"/>
      <c r="AV703" s="184"/>
      <c r="AW703" s="128"/>
      <c r="AX703" s="184"/>
      <c r="AY703" s="111">
        <f>AM703+AO703+AQ703+AS703+AU703+AW703</f>
        <v>0.03</v>
      </c>
      <c r="AZ703" s="178">
        <f>AN703+AP703+AR703+AT703+AV703+AX703</f>
        <v>0</v>
      </c>
      <c r="BC703" s="216"/>
      <c r="BD703" s="47"/>
      <c r="BF703" s="113">
        <v>0.01</v>
      </c>
      <c r="BG703" s="113"/>
      <c r="BH703" s="113"/>
      <c r="BI703" s="113"/>
      <c r="BJ703" s="113"/>
      <c r="BK703" s="113"/>
      <c r="BL703" s="5">
        <f t="shared" si="169"/>
        <v>0.01</v>
      </c>
    </row>
    <row r="704" spans="1:64" s="2" customFormat="1" ht="15.75" customHeight="1" outlineLevel="1" x14ac:dyDescent="0.2">
      <c r="A704" s="594"/>
      <c r="B704" s="601"/>
      <c r="C704" s="7" t="s">
        <v>1553</v>
      </c>
      <c r="D704" s="8"/>
      <c r="E704" s="23"/>
      <c r="F704" s="8"/>
      <c r="G704" s="8"/>
      <c r="H704" s="5"/>
      <c r="I704" s="5"/>
      <c r="J704" s="5"/>
      <c r="K704" s="8"/>
      <c r="L704" s="23"/>
      <c r="M704" s="8"/>
      <c r="N704" s="8"/>
      <c r="O704" s="8"/>
      <c r="P704" s="8"/>
      <c r="Q704" s="23"/>
      <c r="R704" s="113"/>
      <c r="S704" s="113"/>
      <c r="T704" s="113"/>
      <c r="U704" s="113"/>
      <c r="V704" s="113"/>
      <c r="W704" s="113"/>
      <c r="X704" s="5">
        <f t="shared" si="170"/>
        <v>0</v>
      </c>
      <c r="Y704" s="302"/>
      <c r="Z704" s="5"/>
      <c r="AA704" s="94"/>
      <c r="AB704" s="311">
        <f t="shared" si="167"/>
        <v>0</v>
      </c>
      <c r="AC704" s="296"/>
      <c r="AD704" s="113"/>
      <c r="AE704" s="5"/>
      <c r="AF704" s="5"/>
      <c r="AG704" s="5"/>
      <c r="AH704" s="5"/>
      <c r="AI704" s="5"/>
      <c r="AJ704" s="5"/>
      <c r="AK704" s="141"/>
      <c r="AL704" s="94"/>
      <c r="AM704" s="128"/>
      <c r="AN704" s="180"/>
      <c r="AO704" s="128"/>
      <c r="AP704" s="184"/>
      <c r="AQ704" s="128"/>
      <c r="AR704" s="184"/>
      <c r="AS704" s="128"/>
      <c r="AT704" s="184"/>
      <c r="AU704" s="128"/>
      <c r="AV704" s="184"/>
      <c r="AW704" s="128"/>
      <c r="AX704" s="184"/>
      <c r="AY704" s="111"/>
      <c r="AZ704" s="178"/>
      <c r="BC704" s="216"/>
      <c r="BD704" s="47"/>
      <c r="BF704" s="113"/>
      <c r="BG704" s="113"/>
      <c r="BH704" s="113"/>
      <c r="BI704" s="113"/>
      <c r="BJ704" s="113"/>
      <c r="BK704" s="113"/>
      <c r="BL704" s="5">
        <f t="shared" si="169"/>
        <v>0</v>
      </c>
    </row>
    <row r="705" spans="1:64" s="2" customFormat="1" ht="15.75" customHeight="1" outlineLevel="1" x14ac:dyDescent="0.2">
      <c r="A705" s="595"/>
      <c r="B705" s="602"/>
      <c r="C705" s="7" t="s">
        <v>1554</v>
      </c>
      <c r="D705" s="8"/>
      <c r="E705" s="23"/>
      <c r="F705" s="8"/>
      <c r="G705" s="8"/>
      <c r="H705" s="5">
        <f>H703</f>
        <v>4.7928900000000003E-2</v>
      </c>
      <c r="I705" s="5">
        <f>I703</f>
        <v>1.9845000000000002E-2</v>
      </c>
      <c r="J705" s="5">
        <f>J703</f>
        <v>0.01</v>
      </c>
      <c r="K705" s="23"/>
      <c r="L705" s="8"/>
      <c r="M705" s="8"/>
      <c r="N705" s="8"/>
      <c r="O705" s="8"/>
      <c r="P705" s="8"/>
      <c r="Q705" s="23"/>
      <c r="R705" s="113"/>
      <c r="S705" s="113"/>
      <c r="T705" s="113"/>
      <c r="U705" s="113"/>
      <c r="V705" s="113"/>
      <c r="W705" s="113"/>
      <c r="X705" s="5">
        <f t="shared" si="170"/>
        <v>0</v>
      </c>
      <c r="Y705" s="302"/>
      <c r="Z705" s="5"/>
      <c r="AA705" s="94"/>
      <c r="AB705" s="311">
        <f t="shared" si="167"/>
        <v>1.9845000000000002E-2</v>
      </c>
      <c r="AC705" s="296"/>
      <c r="AD705" s="113"/>
      <c r="AE705" s="5"/>
      <c r="AF705" s="5"/>
      <c r="AG705" s="5"/>
      <c r="AH705" s="5"/>
      <c r="AI705" s="5"/>
      <c r="AJ705" s="5"/>
      <c r="AK705" s="141"/>
      <c r="AL705" s="94"/>
      <c r="AM705" s="128"/>
      <c r="AN705" s="180"/>
      <c r="AO705" s="128"/>
      <c r="AP705" s="184"/>
      <c r="AQ705" s="128"/>
      <c r="AR705" s="184"/>
      <c r="AS705" s="128"/>
      <c r="AT705" s="184"/>
      <c r="AU705" s="128"/>
      <c r="AV705" s="184"/>
      <c r="AW705" s="128"/>
      <c r="AX705" s="184"/>
      <c r="AY705" s="111"/>
      <c r="AZ705" s="178"/>
      <c r="BC705" s="216"/>
      <c r="BD705" s="47"/>
      <c r="BF705" s="113"/>
      <c r="BG705" s="113"/>
      <c r="BH705" s="113"/>
      <c r="BI705" s="113"/>
      <c r="BJ705" s="113"/>
      <c r="BK705" s="113"/>
      <c r="BL705" s="5">
        <f t="shared" si="169"/>
        <v>0</v>
      </c>
    </row>
    <row r="706" spans="1:64" s="2" customFormat="1" ht="77.25" customHeight="1" outlineLevel="1" x14ac:dyDescent="0.2">
      <c r="A706" s="593" t="s">
        <v>859</v>
      </c>
      <c r="B706" s="600" t="s">
        <v>1743</v>
      </c>
      <c r="C706" s="7" t="s">
        <v>1591</v>
      </c>
      <c r="D706" s="8" t="s">
        <v>397</v>
      </c>
      <c r="E706" s="23" t="s">
        <v>346</v>
      </c>
      <c r="F706" s="8">
        <v>2013</v>
      </c>
      <c r="G706" s="8">
        <v>2015</v>
      </c>
      <c r="H706" s="5">
        <v>0.24023</v>
      </c>
      <c r="I706" s="5">
        <v>0.18551000000000001</v>
      </c>
      <c r="J706" s="5">
        <f>R706</f>
        <v>0.16676099999999999</v>
      </c>
      <c r="K706" s="8"/>
      <c r="L706" s="23" t="s">
        <v>346</v>
      </c>
      <c r="M706" s="8"/>
      <c r="N706" s="8"/>
      <c r="O706" s="8"/>
      <c r="P706" s="8"/>
      <c r="Q706" s="23" t="s">
        <v>346</v>
      </c>
      <c r="R706" s="113">
        <v>0.16676099999999999</v>
      </c>
      <c r="S706" s="113"/>
      <c r="T706" s="113"/>
      <c r="U706" s="113"/>
      <c r="V706" s="113"/>
      <c r="W706" s="113"/>
      <c r="X706" s="5">
        <f t="shared" si="170"/>
        <v>0.16676099999999999</v>
      </c>
      <c r="Y706" s="302">
        <f>H706-H707-H708</f>
        <v>0</v>
      </c>
      <c r="Z706" s="5">
        <f>I706-I707-I708</f>
        <v>0</v>
      </c>
      <c r="AA706" s="94">
        <f>J706-J707-J708</f>
        <v>0</v>
      </c>
      <c r="AB706" s="311">
        <f t="shared" si="167"/>
        <v>1.8749000000000016E-2</v>
      </c>
      <c r="AC706" s="296"/>
      <c r="AD706" s="113"/>
      <c r="AE706" s="5"/>
      <c r="AF706" s="5"/>
      <c r="AG706" s="5">
        <f>H706</f>
        <v>0.24023</v>
      </c>
      <c r="AH706" s="5"/>
      <c r="AI706" s="5"/>
      <c r="AJ706" s="5"/>
      <c r="AK706" s="141"/>
      <c r="AL706" s="94">
        <f>SUM(AF706:AK706)</f>
        <v>0.24023</v>
      </c>
      <c r="AM706" s="128"/>
      <c r="AN706" s="180"/>
      <c r="AO706" s="128">
        <v>0.15</v>
      </c>
      <c r="AP706" s="184">
        <v>0</v>
      </c>
      <c r="AQ706" s="128"/>
      <c r="AR706" s="184"/>
      <c r="AS706" s="128"/>
      <c r="AT706" s="184"/>
      <c r="AU706" s="128"/>
      <c r="AV706" s="184"/>
      <c r="AW706" s="128"/>
      <c r="AX706" s="184"/>
      <c r="AY706" s="111">
        <f>AM706+AO706+AQ706+AS706+AU706+AW706</f>
        <v>0.15</v>
      </c>
      <c r="AZ706" s="178">
        <f>AN706+AP706+AR706+AT706+AV706+AX706</f>
        <v>0</v>
      </c>
      <c r="BC706" s="216"/>
      <c r="BD706" s="47"/>
      <c r="BF706" s="113">
        <v>0.16676099999999999</v>
      </c>
      <c r="BG706" s="113"/>
      <c r="BH706" s="113"/>
      <c r="BI706" s="113"/>
      <c r="BJ706" s="113"/>
      <c r="BK706" s="113"/>
      <c r="BL706" s="5">
        <f t="shared" si="169"/>
        <v>0.16676099999999999</v>
      </c>
    </row>
    <row r="707" spans="1:64" s="2" customFormat="1" ht="15.75" customHeight="1" outlineLevel="1" x14ac:dyDescent="0.2">
      <c r="A707" s="594"/>
      <c r="B707" s="601"/>
      <c r="C707" s="7" t="s">
        <v>1553</v>
      </c>
      <c r="D707" s="8"/>
      <c r="E707" s="23"/>
      <c r="F707" s="8"/>
      <c r="G707" s="8"/>
      <c r="H707" s="5">
        <v>0.24023</v>
      </c>
      <c r="I707" s="5">
        <v>0.18551000000000001</v>
      </c>
      <c r="J707" s="5">
        <v>0.16676099999999999</v>
      </c>
      <c r="K707" s="8"/>
      <c r="L707" s="23"/>
      <c r="M707" s="8"/>
      <c r="N707" s="8"/>
      <c r="O707" s="8"/>
      <c r="P707" s="8"/>
      <c r="Q707" s="23"/>
      <c r="R707" s="113"/>
      <c r="S707" s="113"/>
      <c r="T707" s="113"/>
      <c r="U707" s="113"/>
      <c r="V707" s="113"/>
      <c r="W707" s="113"/>
      <c r="X707" s="5">
        <f>SUM(R707:W707)</f>
        <v>0</v>
      </c>
      <c r="Y707" s="302"/>
      <c r="Z707" s="5"/>
      <c r="AA707" s="94"/>
      <c r="AB707" s="311">
        <f t="shared" si="167"/>
        <v>0.18551000000000001</v>
      </c>
      <c r="AC707" s="296"/>
      <c r="AD707" s="113"/>
      <c r="AE707" s="5"/>
      <c r="AF707" s="5"/>
      <c r="AG707" s="5"/>
      <c r="AH707" s="5"/>
      <c r="AI707" s="5"/>
      <c r="AJ707" s="5"/>
      <c r="AK707" s="141"/>
      <c r="AL707" s="94"/>
      <c r="AM707" s="128"/>
      <c r="AN707" s="180"/>
      <c r="AO707" s="128"/>
      <c r="AP707" s="184"/>
      <c r="AQ707" s="128"/>
      <c r="AR707" s="184"/>
      <c r="AS707" s="128"/>
      <c r="AT707" s="184"/>
      <c r="AU707" s="128"/>
      <c r="AV707" s="184"/>
      <c r="AW707" s="128"/>
      <c r="AX707" s="184"/>
      <c r="AY707" s="111"/>
      <c r="AZ707" s="178"/>
      <c r="BC707" s="216"/>
      <c r="BD707" s="47"/>
      <c r="BF707" s="113"/>
      <c r="BG707" s="113"/>
      <c r="BH707" s="113"/>
      <c r="BI707" s="113"/>
      <c r="BJ707" s="113"/>
      <c r="BK707" s="113"/>
      <c r="BL707" s="5">
        <f t="shared" si="169"/>
        <v>0</v>
      </c>
    </row>
    <row r="708" spans="1:64" s="2" customFormat="1" ht="15.75" customHeight="1" outlineLevel="1" x14ac:dyDescent="0.2">
      <c r="A708" s="595"/>
      <c r="B708" s="602"/>
      <c r="C708" s="7" t="s">
        <v>1554</v>
      </c>
      <c r="D708" s="8"/>
      <c r="E708" s="23"/>
      <c r="F708" s="8"/>
      <c r="G708" s="8"/>
      <c r="H708" s="5"/>
      <c r="I708" s="5"/>
      <c r="J708" s="5"/>
      <c r="K708" s="23"/>
      <c r="L708" s="8"/>
      <c r="M708" s="8"/>
      <c r="N708" s="8"/>
      <c r="O708" s="8"/>
      <c r="P708" s="8"/>
      <c r="Q708" s="23"/>
      <c r="R708" s="113"/>
      <c r="S708" s="113"/>
      <c r="T708" s="113"/>
      <c r="U708" s="113"/>
      <c r="V708" s="113"/>
      <c r="W708" s="113"/>
      <c r="X708" s="5">
        <f>SUM(R708:W708)</f>
        <v>0</v>
      </c>
      <c r="Y708" s="302"/>
      <c r="Z708" s="5"/>
      <c r="AA708" s="94"/>
      <c r="AB708" s="311">
        <f t="shared" si="167"/>
        <v>0</v>
      </c>
      <c r="AC708" s="296"/>
      <c r="AD708" s="113"/>
      <c r="AE708" s="5"/>
      <c r="AF708" s="5"/>
      <c r="AG708" s="5"/>
      <c r="AH708" s="5"/>
      <c r="AI708" s="5"/>
      <c r="AJ708" s="5"/>
      <c r="AK708" s="141"/>
      <c r="AL708" s="94"/>
      <c r="AM708" s="128"/>
      <c r="AN708" s="180"/>
      <c r="AO708" s="128"/>
      <c r="AP708" s="184"/>
      <c r="AQ708" s="128"/>
      <c r="AR708" s="184"/>
      <c r="AS708" s="128"/>
      <c r="AT708" s="184"/>
      <c r="AU708" s="128"/>
      <c r="AV708" s="184"/>
      <c r="AW708" s="128"/>
      <c r="AX708" s="184"/>
      <c r="AY708" s="111"/>
      <c r="AZ708" s="178"/>
      <c r="BC708" s="216"/>
      <c r="BD708" s="47"/>
      <c r="BF708" s="113"/>
      <c r="BG708" s="113"/>
      <c r="BH708" s="113"/>
      <c r="BI708" s="113"/>
      <c r="BJ708" s="113"/>
      <c r="BK708" s="113"/>
      <c r="BL708" s="5">
        <f t="shared" si="169"/>
        <v>0</v>
      </c>
    </row>
    <row r="709" spans="1:64" s="2" customFormat="1" ht="25.5" customHeight="1" outlineLevel="1" x14ac:dyDescent="0.2">
      <c r="A709" s="593" t="s">
        <v>860</v>
      </c>
      <c r="B709" s="600" t="s">
        <v>1744</v>
      </c>
      <c r="C709" s="7" t="s">
        <v>1592</v>
      </c>
      <c r="D709" s="8" t="s">
        <v>397</v>
      </c>
      <c r="E709" s="23" t="s">
        <v>360</v>
      </c>
      <c r="F709" s="8">
        <v>2013</v>
      </c>
      <c r="G709" s="8">
        <v>2015</v>
      </c>
      <c r="H709" s="5">
        <v>1.69756</v>
      </c>
      <c r="I709" s="5">
        <v>0.94438900000000003</v>
      </c>
      <c r="J709" s="5">
        <f>R709</f>
        <v>0.94438900000000003</v>
      </c>
      <c r="K709" s="8"/>
      <c r="L709" s="23" t="s">
        <v>360</v>
      </c>
      <c r="M709" s="8"/>
      <c r="N709" s="8"/>
      <c r="O709" s="8"/>
      <c r="P709" s="8"/>
      <c r="Q709" s="23" t="s">
        <v>360</v>
      </c>
      <c r="R709" s="113">
        <v>0.94438900000000003</v>
      </c>
      <c r="S709" s="113"/>
      <c r="T709" s="113"/>
      <c r="U709" s="113"/>
      <c r="V709" s="113"/>
      <c r="W709" s="113"/>
      <c r="X709" s="5">
        <f t="shared" si="170"/>
        <v>0.94438900000000003</v>
      </c>
      <c r="Y709" s="302">
        <f>H709-H710-H711</f>
        <v>0</v>
      </c>
      <c r="Z709" s="5">
        <f>I709-I710-I711</f>
        <v>0</v>
      </c>
      <c r="AA709" s="94">
        <f>J709-J710-J711</f>
        <v>0</v>
      </c>
      <c r="AB709" s="311">
        <f t="shared" si="167"/>
        <v>0</v>
      </c>
      <c r="AC709" s="296"/>
      <c r="AD709" s="113"/>
      <c r="AE709" s="5"/>
      <c r="AF709" s="5"/>
      <c r="AG709" s="5">
        <f>H709</f>
        <v>1.69756</v>
      </c>
      <c r="AH709" s="5"/>
      <c r="AI709" s="5"/>
      <c r="AJ709" s="5"/>
      <c r="AK709" s="141"/>
      <c r="AL709" s="94">
        <f>SUM(AF709:AK709)</f>
        <v>1.69756</v>
      </c>
      <c r="AM709" s="128"/>
      <c r="AN709" s="180"/>
      <c r="AO709" s="128">
        <v>0.9</v>
      </c>
      <c r="AP709" s="184">
        <v>0</v>
      </c>
      <c r="AQ709" s="128"/>
      <c r="AR709" s="184"/>
      <c r="AS709" s="128"/>
      <c r="AT709" s="184"/>
      <c r="AU709" s="128"/>
      <c r="AV709" s="184"/>
      <c r="AW709" s="128"/>
      <c r="AX709" s="184"/>
      <c r="AY709" s="111">
        <f>AM709+AO709+AQ709+AS709+AU709+AW709</f>
        <v>0.9</v>
      </c>
      <c r="AZ709" s="178">
        <f>AN709+AP709+AR709+AT709+AV709+AX709</f>
        <v>0</v>
      </c>
      <c r="BC709" s="216"/>
      <c r="BD709" s="47"/>
      <c r="BF709" s="113">
        <v>0.94438900000000003</v>
      </c>
      <c r="BG709" s="113"/>
      <c r="BH709" s="113"/>
      <c r="BI709" s="113"/>
      <c r="BJ709" s="113"/>
      <c r="BK709" s="113"/>
      <c r="BL709" s="5">
        <f t="shared" si="169"/>
        <v>0.94438900000000003</v>
      </c>
    </row>
    <row r="710" spans="1:64" s="2" customFormat="1" ht="15.75" customHeight="1" outlineLevel="1" x14ac:dyDescent="0.2">
      <c r="A710" s="594"/>
      <c r="B710" s="601"/>
      <c r="C710" s="7" t="s">
        <v>1553</v>
      </c>
      <c r="D710" s="8"/>
      <c r="E710" s="23"/>
      <c r="F710" s="8"/>
      <c r="G710" s="8"/>
      <c r="H710" s="5"/>
      <c r="I710" s="5"/>
      <c r="J710" s="5"/>
      <c r="K710" s="8"/>
      <c r="L710" s="23"/>
      <c r="M710" s="8"/>
      <c r="N710" s="8"/>
      <c r="O710" s="8"/>
      <c r="P710" s="8"/>
      <c r="Q710" s="23"/>
      <c r="R710" s="113"/>
      <c r="S710" s="113"/>
      <c r="T710" s="113"/>
      <c r="U710" s="113"/>
      <c r="V710" s="113"/>
      <c r="W710" s="113"/>
      <c r="X710" s="5">
        <f t="shared" si="170"/>
        <v>0</v>
      </c>
      <c r="Y710" s="302"/>
      <c r="Z710" s="5"/>
      <c r="AA710" s="94"/>
      <c r="AB710" s="311">
        <f t="shared" si="167"/>
        <v>0</v>
      </c>
      <c r="AC710" s="296"/>
      <c r="AD710" s="113"/>
      <c r="AE710" s="5"/>
      <c r="AF710" s="5"/>
      <c r="AG710" s="5"/>
      <c r="AH710" s="5"/>
      <c r="AI710" s="5"/>
      <c r="AJ710" s="5"/>
      <c r="AK710" s="141"/>
      <c r="AL710" s="94"/>
      <c r="AM710" s="128"/>
      <c r="AN710" s="180"/>
      <c r="AO710" s="128"/>
      <c r="AP710" s="184"/>
      <c r="AQ710" s="128"/>
      <c r="AR710" s="184"/>
      <c r="AS710" s="128"/>
      <c r="AT710" s="184"/>
      <c r="AU710" s="128"/>
      <c r="AV710" s="184"/>
      <c r="AW710" s="128"/>
      <c r="AX710" s="184"/>
      <c r="AY710" s="111"/>
      <c r="AZ710" s="178"/>
      <c r="BC710" s="216"/>
      <c r="BD710" s="47"/>
      <c r="BF710" s="113"/>
      <c r="BG710" s="113"/>
      <c r="BH710" s="113"/>
      <c r="BI710" s="113"/>
      <c r="BJ710" s="113"/>
      <c r="BK710" s="113"/>
      <c r="BL710" s="5">
        <f t="shared" si="169"/>
        <v>0</v>
      </c>
    </row>
    <row r="711" spans="1:64" s="2" customFormat="1" ht="15.75" customHeight="1" outlineLevel="1" x14ac:dyDescent="0.2">
      <c r="A711" s="595"/>
      <c r="B711" s="602"/>
      <c r="C711" s="7" t="s">
        <v>1554</v>
      </c>
      <c r="D711" s="8"/>
      <c r="E711" s="23"/>
      <c r="F711" s="8"/>
      <c r="G711" s="8"/>
      <c r="H711" s="5">
        <v>1.69756</v>
      </c>
      <c r="I711" s="5">
        <f>I709</f>
        <v>0.94438900000000003</v>
      </c>
      <c r="J711" s="5">
        <v>0.94438900000000003</v>
      </c>
      <c r="K711" s="23"/>
      <c r="L711" s="8"/>
      <c r="M711" s="8"/>
      <c r="N711" s="8"/>
      <c r="O711" s="8"/>
      <c r="P711" s="8"/>
      <c r="Q711" s="23"/>
      <c r="R711" s="113"/>
      <c r="S711" s="113"/>
      <c r="T711" s="113"/>
      <c r="U711" s="113"/>
      <c r="V711" s="113"/>
      <c r="W711" s="113"/>
      <c r="X711" s="5">
        <f t="shared" si="170"/>
        <v>0</v>
      </c>
      <c r="Y711" s="302"/>
      <c r="Z711" s="5"/>
      <c r="AA711" s="94"/>
      <c r="AB711" s="311">
        <f t="shared" si="167"/>
        <v>0.94438900000000003</v>
      </c>
      <c r="AC711" s="296"/>
      <c r="AD711" s="113"/>
      <c r="AE711" s="5"/>
      <c r="AF711" s="5"/>
      <c r="AG711" s="5"/>
      <c r="AH711" s="5"/>
      <c r="AI711" s="5"/>
      <c r="AJ711" s="5"/>
      <c r="AK711" s="141"/>
      <c r="AL711" s="94"/>
      <c r="AM711" s="128"/>
      <c r="AN711" s="180"/>
      <c r="AO711" s="128"/>
      <c r="AP711" s="184"/>
      <c r="AQ711" s="128"/>
      <c r="AR711" s="184"/>
      <c r="AS711" s="128"/>
      <c r="AT711" s="184"/>
      <c r="AU711" s="128"/>
      <c r="AV711" s="184"/>
      <c r="AW711" s="128"/>
      <c r="AX711" s="184"/>
      <c r="AY711" s="111"/>
      <c r="AZ711" s="178"/>
      <c r="BC711" s="216"/>
      <c r="BD711" s="47"/>
      <c r="BF711" s="113"/>
      <c r="BG711" s="113"/>
      <c r="BH711" s="113"/>
      <c r="BI711" s="113"/>
      <c r="BJ711" s="113"/>
      <c r="BK711" s="113"/>
      <c r="BL711" s="5">
        <f t="shared" si="169"/>
        <v>0</v>
      </c>
    </row>
    <row r="712" spans="1:64" s="2" customFormat="1" ht="77.25" customHeight="1" outlineLevel="1" x14ac:dyDescent="0.2">
      <c r="A712" s="593" t="s">
        <v>861</v>
      </c>
      <c r="B712" s="600" t="s">
        <v>1745</v>
      </c>
      <c r="C712" s="7" t="s">
        <v>1593</v>
      </c>
      <c r="D712" s="8" t="s">
        <v>397</v>
      </c>
      <c r="E712" s="23" t="s">
        <v>359</v>
      </c>
      <c r="F712" s="8">
        <v>2013</v>
      </c>
      <c r="G712" s="8">
        <v>2015</v>
      </c>
      <c r="H712" s="5">
        <v>0.12030394</v>
      </c>
      <c r="I712" s="5">
        <v>4.6200000000000005E-2</v>
      </c>
      <c r="J712" s="5">
        <f>R712</f>
        <v>0.01</v>
      </c>
      <c r="K712" s="8"/>
      <c r="L712" s="23" t="s">
        <v>359</v>
      </c>
      <c r="M712" s="8"/>
      <c r="N712" s="8"/>
      <c r="O712" s="8"/>
      <c r="P712" s="8"/>
      <c r="Q712" s="23" t="s">
        <v>359</v>
      </c>
      <c r="R712" s="113">
        <v>0.01</v>
      </c>
      <c r="S712" s="113"/>
      <c r="T712" s="113"/>
      <c r="U712" s="113"/>
      <c r="V712" s="113"/>
      <c r="W712" s="113"/>
      <c r="X712" s="5">
        <f t="shared" si="170"/>
        <v>0.01</v>
      </c>
      <c r="Y712" s="302">
        <f>H712-H713-H714</f>
        <v>0</v>
      </c>
      <c r="Z712" s="5">
        <f>I712-I713-I714</f>
        <v>0</v>
      </c>
      <c r="AA712" s="94">
        <f>J712-J713-J714</f>
        <v>0</v>
      </c>
      <c r="AB712" s="311">
        <f t="shared" si="167"/>
        <v>3.6200000000000003E-2</v>
      </c>
      <c r="AC712" s="296"/>
      <c r="AD712" s="113"/>
      <c r="AE712" s="5"/>
      <c r="AF712" s="5"/>
      <c r="AG712" s="5">
        <f>H712</f>
        <v>0.12030394</v>
      </c>
      <c r="AH712" s="5"/>
      <c r="AI712" s="5"/>
      <c r="AJ712" s="5"/>
      <c r="AK712" s="141"/>
      <c r="AL712" s="94">
        <f>SUM(AF712:AK712)</f>
        <v>0.12030394</v>
      </c>
      <c r="AM712" s="128"/>
      <c r="AN712" s="180"/>
      <c r="AO712" s="128">
        <v>0.06</v>
      </c>
      <c r="AP712" s="184">
        <v>0</v>
      </c>
      <c r="AQ712" s="128"/>
      <c r="AR712" s="184"/>
      <c r="AS712" s="128"/>
      <c r="AT712" s="184"/>
      <c r="AU712" s="128"/>
      <c r="AV712" s="184"/>
      <c r="AW712" s="128"/>
      <c r="AX712" s="184"/>
      <c r="AY712" s="111">
        <f>AM712+AO712+AQ712+AS712+AU712+AW712</f>
        <v>0.06</v>
      </c>
      <c r="AZ712" s="178">
        <f>AN712+AP712+AR712+AT712+AV712+AX712</f>
        <v>0</v>
      </c>
      <c r="BC712" s="216"/>
      <c r="BD712" s="47"/>
      <c r="BF712" s="113">
        <v>0.01</v>
      </c>
      <c r="BG712" s="113"/>
      <c r="BH712" s="113"/>
      <c r="BI712" s="113"/>
      <c r="BJ712" s="113"/>
      <c r="BK712" s="113"/>
      <c r="BL712" s="5">
        <f t="shared" si="169"/>
        <v>0.01</v>
      </c>
    </row>
    <row r="713" spans="1:64" s="2" customFormat="1" ht="15.75" customHeight="1" outlineLevel="1" x14ac:dyDescent="0.2">
      <c r="A713" s="594"/>
      <c r="B713" s="601"/>
      <c r="C713" s="7" t="s">
        <v>1553</v>
      </c>
      <c r="D713" s="8"/>
      <c r="E713" s="23"/>
      <c r="F713" s="8"/>
      <c r="G713" s="8"/>
      <c r="H713" s="5">
        <f>H712</f>
        <v>0.12030394</v>
      </c>
      <c r="I713" s="5">
        <f>I712</f>
        <v>4.6200000000000005E-2</v>
      </c>
      <c r="J713" s="5">
        <f>J712</f>
        <v>0.01</v>
      </c>
      <c r="K713" s="8"/>
      <c r="L713" s="23"/>
      <c r="M713" s="8"/>
      <c r="N713" s="8"/>
      <c r="O713" s="8"/>
      <c r="P713" s="8"/>
      <c r="Q713" s="23"/>
      <c r="R713" s="113"/>
      <c r="S713" s="113"/>
      <c r="T713" s="113"/>
      <c r="U713" s="113"/>
      <c r="V713" s="113"/>
      <c r="W713" s="113"/>
      <c r="X713" s="5">
        <f>SUM(R713:W713)</f>
        <v>0</v>
      </c>
      <c r="Y713" s="302"/>
      <c r="Z713" s="5"/>
      <c r="AA713" s="94"/>
      <c r="AB713" s="311">
        <f t="shared" si="167"/>
        <v>4.6200000000000005E-2</v>
      </c>
      <c r="AC713" s="296"/>
      <c r="AD713" s="113"/>
      <c r="AE713" s="5"/>
      <c r="AF713" s="5"/>
      <c r="AG713" s="5"/>
      <c r="AH713" s="5"/>
      <c r="AI713" s="5"/>
      <c r="AJ713" s="5"/>
      <c r="AK713" s="141"/>
      <c r="AL713" s="94"/>
      <c r="AM713" s="128"/>
      <c r="AN713" s="180"/>
      <c r="AO713" s="128"/>
      <c r="AP713" s="184"/>
      <c r="AQ713" s="128"/>
      <c r="AR713" s="184"/>
      <c r="AS713" s="128"/>
      <c r="AT713" s="184"/>
      <c r="AU713" s="128"/>
      <c r="AV713" s="184"/>
      <c r="AW713" s="128"/>
      <c r="AX713" s="184"/>
      <c r="AY713" s="111"/>
      <c r="AZ713" s="178"/>
      <c r="BC713" s="216"/>
      <c r="BD713" s="47"/>
      <c r="BF713" s="113"/>
      <c r="BG713" s="113"/>
      <c r="BH713" s="113"/>
      <c r="BI713" s="113"/>
      <c r="BJ713" s="113"/>
      <c r="BK713" s="113"/>
      <c r="BL713" s="5">
        <f t="shared" si="169"/>
        <v>0</v>
      </c>
    </row>
    <row r="714" spans="1:64" s="2" customFormat="1" ht="15.75" customHeight="1" outlineLevel="1" x14ac:dyDescent="0.2">
      <c r="A714" s="595"/>
      <c r="B714" s="602"/>
      <c r="C714" s="7" t="s">
        <v>1554</v>
      </c>
      <c r="D714" s="8"/>
      <c r="E714" s="23"/>
      <c r="F714" s="8"/>
      <c r="G714" s="8"/>
      <c r="H714" s="5"/>
      <c r="I714" s="5"/>
      <c r="J714" s="5"/>
      <c r="K714" s="23"/>
      <c r="L714" s="8"/>
      <c r="M714" s="8"/>
      <c r="N714" s="8"/>
      <c r="O714" s="8"/>
      <c r="P714" s="8"/>
      <c r="Q714" s="23"/>
      <c r="R714" s="113"/>
      <c r="S714" s="113"/>
      <c r="T714" s="113"/>
      <c r="U714" s="113"/>
      <c r="V714" s="113"/>
      <c r="W714" s="113"/>
      <c r="X714" s="5">
        <f>SUM(R714:W714)</f>
        <v>0</v>
      </c>
      <c r="Y714" s="302"/>
      <c r="Z714" s="5"/>
      <c r="AA714" s="94"/>
      <c r="AB714" s="311">
        <f t="shared" si="167"/>
        <v>0</v>
      </c>
      <c r="AC714" s="296"/>
      <c r="AD714" s="113"/>
      <c r="AE714" s="5"/>
      <c r="AF714" s="5"/>
      <c r="AG714" s="5"/>
      <c r="AH714" s="5"/>
      <c r="AI714" s="5"/>
      <c r="AJ714" s="5"/>
      <c r="AK714" s="141"/>
      <c r="AL714" s="94"/>
      <c r="AM714" s="128"/>
      <c r="AN714" s="180"/>
      <c r="AO714" s="128"/>
      <c r="AP714" s="184"/>
      <c r="AQ714" s="128"/>
      <c r="AR714" s="184"/>
      <c r="AS714" s="128"/>
      <c r="AT714" s="184"/>
      <c r="AU714" s="128"/>
      <c r="AV714" s="184"/>
      <c r="AW714" s="128"/>
      <c r="AX714" s="184"/>
      <c r="AY714" s="111"/>
      <c r="AZ714" s="178"/>
      <c r="BC714" s="216"/>
      <c r="BD714" s="47"/>
      <c r="BF714" s="113"/>
      <c r="BG714" s="113"/>
      <c r="BH714" s="113"/>
      <c r="BI714" s="113"/>
      <c r="BJ714" s="113"/>
      <c r="BK714" s="113"/>
      <c r="BL714" s="5">
        <f t="shared" si="169"/>
        <v>0</v>
      </c>
    </row>
    <row r="715" spans="1:64" s="2" customFormat="1" ht="63.75" customHeight="1" outlineLevel="1" x14ac:dyDescent="0.2">
      <c r="A715" s="593" t="s">
        <v>862</v>
      </c>
      <c r="B715" s="600" t="s">
        <v>1746</v>
      </c>
      <c r="C715" s="7" t="s">
        <v>1594</v>
      </c>
      <c r="D715" s="8" t="s">
        <v>397</v>
      </c>
      <c r="E715" s="23" t="s">
        <v>1387</v>
      </c>
      <c r="F715" s="8">
        <v>2013</v>
      </c>
      <c r="G715" s="8">
        <v>2015</v>
      </c>
      <c r="H715" s="5">
        <v>0.56094000000000011</v>
      </c>
      <c r="I715" s="5">
        <v>0.51691300000000007</v>
      </c>
      <c r="J715" s="5">
        <f>R715</f>
        <v>0.01</v>
      </c>
      <c r="K715" s="8"/>
      <c r="L715" s="23" t="s">
        <v>1387</v>
      </c>
      <c r="M715" s="8"/>
      <c r="N715" s="8"/>
      <c r="O715" s="8"/>
      <c r="P715" s="8"/>
      <c r="Q715" s="23" t="s">
        <v>1387</v>
      </c>
      <c r="R715" s="113">
        <v>0.01</v>
      </c>
      <c r="S715" s="113"/>
      <c r="T715" s="113"/>
      <c r="U715" s="113"/>
      <c r="V715" s="113"/>
      <c r="W715" s="113"/>
      <c r="X715" s="5">
        <f t="shared" si="170"/>
        <v>0.01</v>
      </c>
      <c r="Y715" s="302">
        <f>H715-H716-H717</f>
        <v>0</v>
      </c>
      <c r="Z715" s="5">
        <f>I715-I716-I717</f>
        <v>0</v>
      </c>
      <c r="AA715" s="94">
        <f>J715-J716-J717</f>
        <v>0</v>
      </c>
      <c r="AB715" s="311">
        <f t="shared" si="167"/>
        <v>0.50691300000000006</v>
      </c>
      <c r="AC715" s="296"/>
      <c r="AD715" s="113"/>
      <c r="AE715" s="5"/>
      <c r="AF715" s="5"/>
      <c r="AG715" s="5">
        <f>H715</f>
        <v>0.56094000000000011</v>
      </c>
      <c r="AH715" s="5"/>
      <c r="AI715" s="5"/>
      <c r="AJ715" s="5"/>
      <c r="AK715" s="141"/>
      <c r="AL715" s="94">
        <f>SUM(AF715:AK715)</f>
        <v>0.56094000000000011</v>
      </c>
      <c r="AM715" s="128"/>
      <c r="AN715" s="180"/>
      <c r="AO715" s="128">
        <v>0.5</v>
      </c>
      <c r="AP715" s="184">
        <v>0</v>
      </c>
      <c r="AQ715" s="128"/>
      <c r="AR715" s="184"/>
      <c r="AS715" s="128"/>
      <c r="AT715" s="184"/>
      <c r="AU715" s="128"/>
      <c r="AV715" s="184"/>
      <c r="AW715" s="128"/>
      <c r="AX715" s="184"/>
      <c r="AY715" s="111">
        <f>AM715+AO715+AQ715+AS715+AU715+AW715</f>
        <v>0.5</v>
      </c>
      <c r="AZ715" s="178">
        <f>AN715+AP715+AR715+AT715+AV715+AX715</f>
        <v>0</v>
      </c>
      <c r="BC715" s="216"/>
      <c r="BD715" s="47"/>
      <c r="BF715" s="113">
        <v>0.01</v>
      </c>
      <c r="BG715" s="113"/>
      <c r="BH715" s="113"/>
      <c r="BI715" s="113"/>
      <c r="BJ715" s="113"/>
      <c r="BK715" s="113"/>
      <c r="BL715" s="5">
        <f t="shared" si="169"/>
        <v>0.01</v>
      </c>
    </row>
    <row r="716" spans="1:64" s="2" customFormat="1" ht="15.75" customHeight="1" outlineLevel="1" x14ac:dyDescent="0.2">
      <c r="A716" s="594"/>
      <c r="B716" s="601"/>
      <c r="C716" s="7" t="s">
        <v>1553</v>
      </c>
      <c r="D716" s="8"/>
      <c r="E716" s="23"/>
      <c r="F716" s="8"/>
      <c r="G716" s="8"/>
      <c r="H716" s="5">
        <v>0.56094000000000011</v>
      </c>
      <c r="I716" s="5">
        <v>0.51691300000000007</v>
      </c>
      <c r="J716" s="5">
        <v>0.01</v>
      </c>
      <c r="K716" s="8"/>
      <c r="L716" s="23"/>
      <c r="M716" s="8"/>
      <c r="N716" s="8"/>
      <c r="O716" s="8"/>
      <c r="P716" s="8"/>
      <c r="Q716" s="23"/>
      <c r="R716" s="113"/>
      <c r="S716" s="113"/>
      <c r="T716" s="113"/>
      <c r="U716" s="113"/>
      <c r="V716" s="113"/>
      <c r="W716" s="113"/>
      <c r="X716" s="5">
        <f t="shared" si="170"/>
        <v>0</v>
      </c>
      <c r="Y716" s="302"/>
      <c r="Z716" s="5"/>
      <c r="AA716" s="94"/>
      <c r="AB716" s="311">
        <f t="shared" si="167"/>
        <v>0.51691300000000007</v>
      </c>
      <c r="AC716" s="296"/>
      <c r="AD716" s="113"/>
      <c r="AE716" s="5"/>
      <c r="AF716" s="5"/>
      <c r="AG716" s="5"/>
      <c r="AH716" s="5"/>
      <c r="AI716" s="5"/>
      <c r="AJ716" s="5"/>
      <c r="AK716" s="141"/>
      <c r="AL716" s="94"/>
      <c r="AM716" s="128"/>
      <c r="AN716" s="180"/>
      <c r="AO716" s="128"/>
      <c r="AP716" s="184"/>
      <c r="AQ716" s="128"/>
      <c r="AR716" s="184"/>
      <c r="AS716" s="128"/>
      <c r="AT716" s="184"/>
      <c r="AU716" s="128"/>
      <c r="AV716" s="184"/>
      <c r="AW716" s="128"/>
      <c r="AX716" s="184"/>
      <c r="AY716" s="111"/>
      <c r="AZ716" s="178"/>
      <c r="BC716" s="216"/>
      <c r="BD716" s="47"/>
      <c r="BF716" s="113"/>
      <c r="BG716" s="113"/>
      <c r="BH716" s="113"/>
      <c r="BI716" s="113"/>
      <c r="BJ716" s="113"/>
      <c r="BK716" s="113"/>
      <c r="BL716" s="5">
        <f t="shared" si="169"/>
        <v>0</v>
      </c>
    </row>
    <row r="717" spans="1:64" s="2" customFormat="1" ht="15.75" customHeight="1" outlineLevel="1" x14ac:dyDescent="0.2">
      <c r="A717" s="595"/>
      <c r="B717" s="602"/>
      <c r="C717" s="7" t="s">
        <v>1554</v>
      </c>
      <c r="D717" s="8"/>
      <c r="E717" s="23"/>
      <c r="F717" s="8"/>
      <c r="G717" s="8"/>
      <c r="H717" s="5"/>
      <c r="I717" s="5"/>
      <c r="J717" s="5"/>
      <c r="K717" s="23"/>
      <c r="L717" s="8"/>
      <c r="M717" s="8"/>
      <c r="N717" s="8"/>
      <c r="O717" s="8"/>
      <c r="P717" s="8"/>
      <c r="Q717" s="23"/>
      <c r="R717" s="113"/>
      <c r="S717" s="113"/>
      <c r="T717" s="113"/>
      <c r="U717" s="113"/>
      <c r="V717" s="113"/>
      <c r="W717" s="113"/>
      <c r="X717" s="5">
        <f t="shared" si="170"/>
        <v>0</v>
      </c>
      <c r="Y717" s="302"/>
      <c r="Z717" s="5"/>
      <c r="AA717" s="94"/>
      <c r="AB717" s="311">
        <f t="shared" si="167"/>
        <v>0</v>
      </c>
      <c r="AC717" s="296"/>
      <c r="AD717" s="113"/>
      <c r="AE717" s="5"/>
      <c r="AF717" s="5"/>
      <c r="AG717" s="5"/>
      <c r="AH717" s="5"/>
      <c r="AI717" s="5"/>
      <c r="AJ717" s="5"/>
      <c r="AK717" s="141"/>
      <c r="AL717" s="94"/>
      <c r="AM717" s="128"/>
      <c r="AN717" s="180"/>
      <c r="AO717" s="128"/>
      <c r="AP717" s="184"/>
      <c r="AQ717" s="128"/>
      <c r="AR717" s="184"/>
      <c r="AS717" s="128"/>
      <c r="AT717" s="184"/>
      <c r="AU717" s="128"/>
      <c r="AV717" s="184"/>
      <c r="AW717" s="128"/>
      <c r="AX717" s="184"/>
      <c r="AY717" s="111"/>
      <c r="AZ717" s="178"/>
      <c r="BC717" s="216"/>
      <c r="BD717" s="47"/>
      <c r="BF717" s="113"/>
      <c r="BG717" s="113"/>
      <c r="BH717" s="113"/>
      <c r="BI717" s="113"/>
      <c r="BJ717" s="113"/>
      <c r="BK717" s="113"/>
      <c r="BL717" s="5">
        <f t="shared" si="169"/>
        <v>0</v>
      </c>
    </row>
    <row r="718" spans="1:64" s="2" customFormat="1" ht="51" customHeight="1" outlineLevel="1" x14ac:dyDescent="0.2">
      <c r="A718" s="593" t="s">
        <v>863</v>
      </c>
      <c r="B718" s="600" t="s">
        <v>1747</v>
      </c>
      <c r="C718" s="7" t="s">
        <v>1595</v>
      </c>
      <c r="D718" s="8" t="s">
        <v>397</v>
      </c>
      <c r="E718" s="23" t="s">
        <v>333</v>
      </c>
      <c r="F718" s="8">
        <v>2013</v>
      </c>
      <c r="G718" s="8">
        <v>2015</v>
      </c>
      <c r="H718" s="5">
        <v>0.63376818000000001</v>
      </c>
      <c r="I718" s="5">
        <v>0.24822800000000003</v>
      </c>
      <c r="J718" s="5">
        <f>R718</f>
        <v>0.01</v>
      </c>
      <c r="K718" s="8"/>
      <c r="L718" s="23" t="s">
        <v>333</v>
      </c>
      <c r="M718" s="8"/>
      <c r="N718" s="8"/>
      <c r="O718" s="8"/>
      <c r="P718" s="8"/>
      <c r="Q718" s="23" t="s">
        <v>333</v>
      </c>
      <c r="R718" s="113">
        <v>0.01</v>
      </c>
      <c r="S718" s="113"/>
      <c r="T718" s="113"/>
      <c r="U718" s="113"/>
      <c r="V718" s="113"/>
      <c r="W718" s="113"/>
      <c r="X718" s="5">
        <f t="shared" si="170"/>
        <v>0.01</v>
      </c>
      <c r="Y718" s="302">
        <f>H718-H719-H720</f>
        <v>0</v>
      </c>
      <c r="Z718" s="5">
        <f>I718-I719-I720</f>
        <v>0</v>
      </c>
      <c r="AA718" s="94">
        <f>J718-J719-J720</f>
        <v>0</v>
      </c>
      <c r="AB718" s="311">
        <f t="shared" si="167"/>
        <v>0.23822800000000002</v>
      </c>
      <c r="AC718" s="296"/>
      <c r="AD718" s="113"/>
      <c r="AE718" s="5"/>
      <c r="AF718" s="5"/>
      <c r="AG718" s="5">
        <f>H718</f>
        <v>0.63376818000000001</v>
      </c>
      <c r="AH718" s="5"/>
      <c r="AI718" s="5"/>
      <c r="AJ718" s="5"/>
      <c r="AK718" s="141"/>
      <c r="AL718" s="94">
        <f>SUM(AF718:AK718)</f>
        <v>0.63376818000000001</v>
      </c>
      <c r="AM718" s="128"/>
      <c r="AN718" s="180"/>
      <c r="AO718" s="128">
        <v>0.3</v>
      </c>
      <c r="AP718" s="184">
        <v>0</v>
      </c>
      <c r="AQ718" s="128"/>
      <c r="AR718" s="184"/>
      <c r="AS718" s="128"/>
      <c r="AT718" s="184"/>
      <c r="AU718" s="128"/>
      <c r="AV718" s="184"/>
      <c r="AW718" s="128"/>
      <c r="AX718" s="184"/>
      <c r="AY718" s="111">
        <f>AM718+AO718+AQ718+AS718+AU718+AW718</f>
        <v>0.3</v>
      </c>
      <c r="AZ718" s="178">
        <f>AN718+AP718+AR718+AT718+AV718+AX718</f>
        <v>0</v>
      </c>
      <c r="BC718" s="216"/>
      <c r="BD718" s="47"/>
      <c r="BF718" s="113">
        <v>0.01</v>
      </c>
      <c r="BG718" s="113"/>
      <c r="BH718" s="113"/>
      <c r="BI718" s="113"/>
      <c r="BJ718" s="113"/>
      <c r="BK718" s="113"/>
      <c r="BL718" s="5">
        <f t="shared" si="169"/>
        <v>0.01</v>
      </c>
    </row>
    <row r="719" spans="1:64" s="2" customFormat="1" ht="15.75" customHeight="1" outlineLevel="1" x14ac:dyDescent="0.2">
      <c r="A719" s="594"/>
      <c r="B719" s="601"/>
      <c r="C719" s="7" t="s">
        <v>1553</v>
      </c>
      <c r="D719" s="8"/>
      <c r="E719" s="23"/>
      <c r="F719" s="8"/>
      <c r="G719" s="8"/>
      <c r="H719" s="5"/>
      <c r="I719" s="5"/>
      <c r="J719" s="5"/>
      <c r="K719" s="8"/>
      <c r="L719" s="23"/>
      <c r="M719" s="8"/>
      <c r="N719" s="8"/>
      <c r="O719" s="8"/>
      <c r="P719" s="8"/>
      <c r="Q719" s="23"/>
      <c r="R719" s="113"/>
      <c r="S719" s="113"/>
      <c r="T719" s="113"/>
      <c r="U719" s="113"/>
      <c r="V719" s="113"/>
      <c r="W719" s="113"/>
      <c r="X719" s="5">
        <f>SUM(R719:W719)</f>
        <v>0</v>
      </c>
      <c r="Y719" s="302"/>
      <c r="Z719" s="5"/>
      <c r="AA719" s="94"/>
      <c r="AB719" s="311">
        <f t="shared" si="167"/>
        <v>0</v>
      </c>
      <c r="AC719" s="296"/>
      <c r="AD719" s="113"/>
      <c r="AE719" s="5"/>
      <c r="AF719" s="5"/>
      <c r="AG719" s="5"/>
      <c r="AH719" s="5"/>
      <c r="AI719" s="5"/>
      <c r="AJ719" s="5"/>
      <c r="AK719" s="141"/>
      <c r="AL719" s="94"/>
      <c r="AM719" s="128"/>
      <c r="AN719" s="180"/>
      <c r="AO719" s="128"/>
      <c r="AP719" s="184"/>
      <c r="AQ719" s="128"/>
      <c r="AR719" s="184"/>
      <c r="AS719" s="128"/>
      <c r="AT719" s="184"/>
      <c r="AU719" s="128"/>
      <c r="AV719" s="184"/>
      <c r="AW719" s="128"/>
      <c r="AX719" s="184"/>
      <c r="AY719" s="111"/>
      <c r="AZ719" s="178"/>
      <c r="BC719" s="216"/>
      <c r="BD719" s="47"/>
      <c r="BF719" s="113"/>
      <c r="BG719" s="113"/>
      <c r="BH719" s="113"/>
      <c r="BI719" s="113"/>
      <c r="BJ719" s="113"/>
      <c r="BK719" s="113"/>
      <c r="BL719" s="5">
        <f t="shared" si="169"/>
        <v>0</v>
      </c>
    </row>
    <row r="720" spans="1:64" s="2" customFormat="1" ht="15.75" customHeight="1" outlineLevel="1" x14ac:dyDescent="0.2">
      <c r="A720" s="595"/>
      <c r="B720" s="602"/>
      <c r="C720" s="7" t="s">
        <v>1554</v>
      </c>
      <c r="D720" s="8"/>
      <c r="E720" s="23"/>
      <c r="F720" s="8"/>
      <c r="G720" s="8"/>
      <c r="H720" s="5">
        <f>H718</f>
        <v>0.63376818000000001</v>
      </c>
      <c r="I720" s="5">
        <f>I718</f>
        <v>0.24822800000000003</v>
      </c>
      <c r="J720" s="5">
        <f>J718</f>
        <v>0.01</v>
      </c>
      <c r="K720" s="23"/>
      <c r="L720" s="8"/>
      <c r="M720" s="8"/>
      <c r="N720" s="8"/>
      <c r="O720" s="8"/>
      <c r="P720" s="8"/>
      <c r="Q720" s="23"/>
      <c r="R720" s="113"/>
      <c r="S720" s="113"/>
      <c r="T720" s="113"/>
      <c r="U720" s="113"/>
      <c r="V720" s="113"/>
      <c r="W720" s="113"/>
      <c r="X720" s="5">
        <f>SUM(R720:W720)</f>
        <v>0</v>
      </c>
      <c r="Y720" s="302"/>
      <c r="Z720" s="5"/>
      <c r="AA720" s="94"/>
      <c r="AB720" s="311">
        <f t="shared" si="167"/>
        <v>0.24822800000000003</v>
      </c>
      <c r="AC720" s="296"/>
      <c r="AD720" s="113"/>
      <c r="AE720" s="5"/>
      <c r="AF720" s="5"/>
      <c r="AG720" s="5"/>
      <c r="AH720" s="5"/>
      <c r="AI720" s="5"/>
      <c r="AJ720" s="5"/>
      <c r="AK720" s="141"/>
      <c r="AL720" s="94"/>
      <c r="AM720" s="128"/>
      <c r="AN720" s="180"/>
      <c r="AO720" s="128"/>
      <c r="AP720" s="184"/>
      <c r="AQ720" s="128"/>
      <c r="AR720" s="184"/>
      <c r="AS720" s="128"/>
      <c r="AT720" s="184"/>
      <c r="AU720" s="128"/>
      <c r="AV720" s="184"/>
      <c r="AW720" s="128"/>
      <c r="AX720" s="184"/>
      <c r="AY720" s="111"/>
      <c r="AZ720" s="178"/>
      <c r="BC720" s="216"/>
      <c r="BD720" s="47"/>
      <c r="BF720" s="113"/>
      <c r="BG720" s="113"/>
      <c r="BH720" s="113"/>
      <c r="BI720" s="113"/>
      <c r="BJ720" s="113"/>
      <c r="BK720" s="113"/>
      <c r="BL720" s="5">
        <f t="shared" si="169"/>
        <v>0</v>
      </c>
    </row>
    <row r="721" spans="1:64" s="2" customFormat="1" ht="102" customHeight="1" outlineLevel="1" x14ac:dyDescent="0.2">
      <c r="A721" s="593" t="s">
        <v>864</v>
      </c>
      <c r="B721" s="600" t="s">
        <v>1748</v>
      </c>
      <c r="C721" s="7" t="s">
        <v>1596</v>
      </c>
      <c r="D721" s="8" t="s">
        <v>397</v>
      </c>
      <c r="E721" s="23" t="s">
        <v>335</v>
      </c>
      <c r="F721" s="8">
        <v>2013</v>
      </c>
      <c r="G721" s="8">
        <v>2015</v>
      </c>
      <c r="H721" s="5">
        <v>0.12902000000000002</v>
      </c>
      <c r="I721" s="5">
        <v>0.10620599999999999</v>
      </c>
      <c r="J721" s="5">
        <f>R721</f>
        <v>0.01</v>
      </c>
      <c r="K721" s="8"/>
      <c r="L721" s="23" t="s">
        <v>335</v>
      </c>
      <c r="M721" s="8"/>
      <c r="N721" s="8"/>
      <c r="O721" s="8"/>
      <c r="P721" s="8"/>
      <c r="Q721" s="23" t="s">
        <v>335</v>
      </c>
      <c r="R721" s="113">
        <v>0.01</v>
      </c>
      <c r="S721" s="113"/>
      <c r="T721" s="113"/>
      <c r="U721" s="113"/>
      <c r="V721" s="113"/>
      <c r="W721" s="113"/>
      <c r="X721" s="5">
        <f t="shared" si="170"/>
        <v>0.01</v>
      </c>
      <c r="Y721" s="302">
        <f>H721-H722-H723</f>
        <v>0</v>
      </c>
      <c r="Z721" s="5">
        <f>I721-I722-I723</f>
        <v>0</v>
      </c>
      <c r="AA721" s="94">
        <f>J721-J722-J723</f>
        <v>-9.9999999999999915E-4</v>
      </c>
      <c r="AB721" s="311">
        <f t="shared" si="167"/>
        <v>9.6206E-2</v>
      </c>
      <c r="AC721" s="296"/>
      <c r="AD721" s="113"/>
      <c r="AE721" s="5"/>
      <c r="AF721" s="5"/>
      <c r="AG721" s="5">
        <f>H721</f>
        <v>0.12902000000000002</v>
      </c>
      <c r="AH721" s="5"/>
      <c r="AI721" s="5"/>
      <c r="AJ721" s="5"/>
      <c r="AK721" s="141"/>
      <c r="AL721" s="94">
        <f>SUM(AF721:AK721)</f>
        <v>0.12902000000000002</v>
      </c>
      <c r="AM721" s="128"/>
      <c r="AN721" s="180"/>
      <c r="AO721" s="128">
        <v>0.1</v>
      </c>
      <c r="AP721" s="184">
        <v>0</v>
      </c>
      <c r="AQ721" s="128"/>
      <c r="AR721" s="184"/>
      <c r="AS721" s="128"/>
      <c r="AT721" s="184"/>
      <c r="AU721" s="128"/>
      <c r="AV721" s="184"/>
      <c r="AW721" s="128"/>
      <c r="AX721" s="184"/>
      <c r="AY721" s="111">
        <f>AM721+AO721+AQ721+AS721+AU721+AW721</f>
        <v>0.1</v>
      </c>
      <c r="AZ721" s="178">
        <f>AN721+AP721+AR721+AT721+AV721+AX721</f>
        <v>0</v>
      </c>
      <c r="BC721" s="216"/>
      <c r="BD721" s="47"/>
      <c r="BF721" s="113">
        <v>0.01</v>
      </c>
      <c r="BG721" s="113"/>
      <c r="BH721" s="113"/>
      <c r="BI721" s="113"/>
      <c r="BJ721" s="113"/>
      <c r="BK721" s="113"/>
      <c r="BL721" s="5">
        <f t="shared" si="169"/>
        <v>0.01</v>
      </c>
    </row>
    <row r="722" spans="1:64" s="2" customFormat="1" ht="15.75" customHeight="1" outlineLevel="1" x14ac:dyDescent="0.2">
      <c r="A722" s="594"/>
      <c r="B722" s="601"/>
      <c r="C722" s="7" t="s">
        <v>1553</v>
      </c>
      <c r="D722" s="8"/>
      <c r="E722" s="23"/>
      <c r="F722" s="8"/>
      <c r="G722" s="8"/>
      <c r="H722" s="5">
        <v>0.12902000000000002</v>
      </c>
      <c r="I722" s="5">
        <v>0.10620599999999999</v>
      </c>
      <c r="J722" s="5">
        <v>1.0999999999999999E-2</v>
      </c>
      <c r="K722" s="8"/>
      <c r="L722" s="23"/>
      <c r="M722" s="8"/>
      <c r="N722" s="8"/>
      <c r="O722" s="8"/>
      <c r="P722" s="8"/>
      <c r="Q722" s="23"/>
      <c r="R722" s="113"/>
      <c r="S722" s="113"/>
      <c r="T722" s="113"/>
      <c r="U722" s="113"/>
      <c r="V722" s="113"/>
      <c r="W722" s="113"/>
      <c r="X722" s="5">
        <f t="shared" si="170"/>
        <v>0</v>
      </c>
      <c r="Y722" s="302"/>
      <c r="Z722" s="5"/>
      <c r="AA722" s="94"/>
      <c r="AB722" s="311">
        <f t="shared" si="167"/>
        <v>0.10620599999999999</v>
      </c>
      <c r="AC722" s="296"/>
      <c r="AD722" s="113"/>
      <c r="AE722" s="5"/>
      <c r="AF722" s="5"/>
      <c r="AG722" s="5"/>
      <c r="AH722" s="5"/>
      <c r="AI722" s="5"/>
      <c r="AJ722" s="5"/>
      <c r="AK722" s="141"/>
      <c r="AL722" s="94"/>
      <c r="AM722" s="128"/>
      <c r="AN722" s="180"/>
      <c r="AO722" s="128"/>
      <c r="AP722" s="184"/>
      <c r="AQ722" s="128"/>
      <c r="AR722" s="184"/>
      <c r="AS722" s="128"/>
      <c r="AT722" s="184"/>
      <c r="AU722" s="128"/>
      <c r="AV722" s="184"/>
      <c r="AW722" s="128"/>
      <c r="AX722" s="184"/>
      <c r="AY722" s="111"/>
      <c r="AZ722" s="178"/>
      <c r="BC722" s="216"/>
      <c r="BD722" s="47"/>
      <c r="BF722" s="113"/>
      <c r="BG722" s="113"/>
      <c r="BH722" s="113"/>
      <c r="BI722" s="113"/>
      <c r="BJ722" s="113"/>
      <c r="BK722" s="113"/>
      <c r="BL722" s="5">
        <f t="shared" si="169"/>
        <v>0</v>
      </c>
    </row>
    <row r="723" spans="1:64" s="2" customFormat="1" ht="15.75" customHeight="1" outlineLevel="1" x14ac:dyDescent="0.2">
      <c r="A723" s="595"/>
      <c r="B723" s="602"/>
      <c r="C723" s="7" t="s">
        <v>1554</v>
      </c>
      <c r="D723" s="8"/>
      <c r="E723" s="23"/>
      <c r="F723" s="8"/>
      <c r="G723" s="8"/>
      <c r="H723" s="5"/>
      <c r="I723" s="5"/>
      <c r="J723" s="5"/>
      <c r="K723" s="23"/>
      <c r="L723" s="8"/>
      <c r="M723" s="8"/>
      <c r="N723" s="8"/>
      <c r="O723" s="8"/>
      <c r="P723" s="8"/>
      <c r="Q723" s="23"/>
      <c r="R723" s="113"/>
      <c r="S723" s="113"/>
      <c r="T723" s="113"/>
      <c r="U723" s="113"/>
      <c r="V723" s="113"/>
      <c r="W723" s="113"/>
      <c r="X723" s="5">
        <f t="shared" si="170"/>
        <v>0</v>
      </c>
      <c r="Y723" s="302"/>
      <c r="Z723" s="5"/>
      <c r="AA723" s="94"/>
      <c r="AB723" s="311">
        <f t="shared" si="167"/>
        <v>0</v>
      </c>
      <c r="AC723" s="296"/>
      <c r="AD723" s="113"/>
      <c r="AE723" s="5"/>
      <c r="AF723" s="5"/>
      <c r="AG723" s="5"/>
      <c r="AH723" s="5"/>
      <c r="AI723" s="5"/>
      <c r="AJ723" s="5"/>
      <c r="AK723" s="141"/>
      <c r="AL723" s="94"/>
      <c r="AM723" s="128"/>
      <c r="AN723" s="180"/>
      <c r="AO723" s="128"/>
      <c r="AP723" s="184"/>
      <c r="AQ723" s="128"/>
      <c r="AR723" s="184"/>
      <c r="AS723" s="128"/>
      <c r="AT723" s="184"/>
      <c r="AU723" s="128"/>
      <c r="AV723" s="184"/>
      <c r="AW723" s="128"/>
      <c r="AX723" s="184"/>
      <c r="AY723" s="111"/>
      <c r="AZ723" s="178"/>
      <c r="BC723" s="216"/>
      <c r="BD723" s="47"/>
      <c r="BF723" s="113"/>
      <c r="BG723" s="113"/>
      <c r="BH723" s="113"/>
      <c r="BI723" s="113"/>
      <c r="BJ723" s="113"/>
      <c r="BK723" s="113"/>
      <c r="BL723" s="5">
        <f t="shared" si="169"/>
        <v>0</v>
      </c>
    </row>
    <row r="724" spans="1:64" s="2" customFormat="1" ht="76.5" customHeight="1" outlineLevel="1" x14ac:dyDescent="0.2">
      <c r="A724" s="593" t="s">
        <v>865</v>
      </c>
      <c r="B724" s="600" t="s">
        <v>1749</v>
      </c>
      <c r="C724" s="7" t="s">
        <v>1597</v>
      </c>
      <c r="D724" s="8" t="s">
        <v>397</v>
      </c>
      <c r="E724" s="23" t="s">
        <v>359</v>
      </c>
      <c r="F724" s="8">
        <v>2013</v>
      </c>
      <c r="G724" s="8">
        <v>2015</v>
      </c>
      <c r="H724" s="5">
        <v>7.4843710000000008E-2</v>
      </c>
      <c r="I724" s="5">
        <v>1.3220000000000003E-2</v>
      </c>
      <c r="J724" s="5">
        <f>R724</f>
        <v>0.01</v>
      </c>
      <c r="K724" s="8"/>
      <c r="L724" s="23" t="s">
        <v>359</v>
      </c>
      <c r="M724" s="8"/>
      <c r="N724" s="8"/>
      <c r="O724" s="8"/>
      <c r="P724" s="8"/>
      <c r="Q724" s="23" t="s">
        <v>359</v>
      </c>
      <c r="R724" s="113">
        <v>0.01</v>
      </c>
      <c r="S724" s="113"/>
      <c r="T724" s="113"/>
      <c r="U724" s="113"/>
      <c r="V724" s="113"/>
      <c r="W724" s="113"/>
      <c r="X724" s="5">
        <f t="shared" si="170"/>
        <v>0.01</v>
      </c>
      <c r="Y724" s="302">
        <f>H724-H725-H726</f>
        <v>0</v>
      </c>
      <c r="Z724" s="5">
        <f>I724-I725-I726</f>
        <v>0</v>
      </c>
      <c r="AA724" s="94">
        <f>J724-J725-J726</f>
        <v>0</v>
      </c>
      <c r="AB724" s="311">
        <f t="shared" si="167"/>
        <v>3.2200000000000024E-3</v>
      </c>
      <c r="AC724" s="296"/>
      <c r="AD724" s="113"/>
      <c r="AE724" s="5"/>
      <c r="AF724" s="5"/>
      <c r="AG724" s="5">
        <f>H724</f>
        <v>7.4843710000000008E-2</v>
      </c>
      <c r="AH724" s="5"/>
      <c r="AI724" s="5"/>
      <c r="AJ724" s="5"/>
      <c r="AK724" s="141"/>
      <c r="AL724" s="94">
        <f>SUM(AF724:AK724)</f>
        <v>7.4843710000000008E-2</v>
      </c>
      <c r="AM724" s="128"/>
      <c r="AN724" s="180"/>
      <c r="AO724" s="128">
        <v>0.06</v>
      </c>
      <c r="AP724" s="184">
        <v>0</v>
      </c>
      <c r="AQ724" s="128"/>
      <c r="AR724" s="184"/>
      <c r="AS724" s="128"/>
      <c r="AT724" s="184"/>
      <c r="AU724" s="128"/>
      <c r="AV724" s="184"/>
      <c r="AW724" s="128"/>
      <c r="AX724" s="184"/>
      <c r="AY724" s="111">
        <f>AM724+AO724+AQ724+AS724+AU724+AW724</f>
        <v>0.06</v>
      </c>
      <c r="AZ724" s="178">
        <f>AN724+AP724+AR724+AT724+AV724+AX724</f>
        <v>0</v>
      </c>
      <c r="BC724" s="216"/>
      <c r="BD724" s="47"/>
      <c r="BF724" s="113">
        <v>0.01</v>
      </c>
      <c r="BG724" s="113"/>
      <c r="BH724" s="113"/>
      <c r="BI724" s="113"/>
      <c r="BJ724" s="113"/>
      <c r="BK724" s="113"/>
      <c r="BL724" s="5">
        <f t="shared" si="169"/>
        <v>0.01</v>
      </c>
    </row>
    <row r="725" spans="1:64" s="2" customFormat="1" ht="15.75" customHeight="1" outlineLevel="1" x14ac:dyDescent="0.2">
      <c r="A725" s="594"/>
      <c r="B725" s="601"/>
      <c r="C725" s="7" t="s">
        <v>1553</v>
      </c>
      <c r="D725" s="8"/>
      <c r="E725" s="23"/>
      <c r="F725" s="8"/>
      <c r="G725" s="8"/>
      <c r="H725" s="5">
        <f>H724</f>
        <v>7.4843710000000008E-2</v>
      </c>
      <c r="I725" s="5">
        <f>I724</f>
        <v>1.3220000000000003E-2</v>
      </c>
      <c r="J725" s="5">
        <f>J724</f>
        <v>0.01</v>
      </c>
      <c r="K725" s="8"/>
      <c r="L725" s="23"/>
      <c r="M725" s="8"/>
      <c r="N725" s="8"/>
      <c r="O725" s="8"/>
      <c r="P725" s="8"/>
      <c r="Q725" s="23"/>
      <c r="R725" s="113"/>
      <c r="S725" s="113"/>
      <c r="T725" s="113"/>
      <c r="U725" s="113"/>
      <c r="V725" s="113"/>
      <c r="W725" s="113"/>
      <c r="X725" s="5">
        <f>SUM(R725:W725)</f>
        <v>0</v>
      </c>
      <c r="Y725" s="302"/>
      <c r="Z725" s="5"/>
      <c r="AA725" s="94"/>
      <c r="AB725" s="311">
        <f t="shared" ref="AB725:AB788" si="171">I725-X725</f>
        <v>1.3220000000000003E-2</v>
      </c>
      <c r="AC725" s="296"/>
      <c r="AD725" s="113"/>
      <c r="AE725" s="5"/>
      <c r="AF725" s="5"/>
      <c r="AG725" s="5"/>
      <c r="AH725" s="5"/>
      <c r="AI725" s="5"/>
      <c r="AJ725" s="5"/>
      <c r="AK725" s="141"/>
      <c r="AL725" s="94"/>
      <c r="AM725" s="128"/>
      <c r="AN725" s="180"/>
      <c r="AO725" s="128"/>
      <c r="AP725" s="184"/>
      <c r="AQ725" s="128"/>
      <c r="AR725" s="184"/>
      <c r="AS725" s="128"/>
      <c r="AT725" s="184"/>
      <c r="AU725" s="128"/>
      <c r="AV725" s="184"/>
      <c r="AW725" s="128"/>
      <c r="AX725" s="184"/>
      <c r="AY725" s="111"/>
      <c r="AZ725" s="178"/>
      <c r="BC725" s="216"/>
      <c r="BD725" s="47"/>
      <c r="BF725" s="113"/>
      <c r="BG725" s="113"/>
      <c r="BH725" s="113"/>
      <c r="BI725" s="113"/>
      <c r="BJ725" s="113"/>
      <c r="BK725" s="113"/>
      <c r="BL725" s="5">
        <f t="shared" si="169"/>
        <v>0</v>
      </c>
    </row>
    <row r="726" spans="1:64" s="2" customFormat="1" ht="15.75" customHeight="1" outlineLevel="1" x14ac:dyDescent="0.2">
      <c r="A726" s="595"/>
      <c r="B726" s="602"/>
      <c r="C726" s="7" t="s">
        <v>1554</v>
      </c>
      <c r="D726" s="8"/>
      <c r="E726" s="23"/>
      <c r="F726" s="8"/>
      <c r="G726" s="8"/>
      <c r="H726" s="5"/>
      <c r="I726" s="5"/>
      <c r="J726" s="5"/>
      <c r="K726" s="23"/>
      <c r="L726" s="8"/>
      <c r="M726" s="8"/>
      <c r="N726" s="8"/>
      <c r="O726" s="8"/>
      <c r="P726" s="8"/>
      <c r="Q726" s="23"/>
      <c r="R726" s="113"/>
      <c r="S726" s="113"/>
      <c r="T726" s="113"/>
      <c r="U726" s="113"/>
      <c r="V726" s="113"/>
      <c r="W726" s="113"/>
      <c r="X726" s="5">
        <f>SUM(R726:W726)</f>
        <v>0</v>
      </c>
      <c r="Y726" s="302"/>
      <c r="Z726" s="5"/>
      <c r="AA726" s="94"/>
      <c r="AB726" s="311">
        <f t="shared" si="171"/>
        <v>0</v>
      </c>
      <c r="AC726" s="296"/>
      <c r="AD726" s="113"/>
      <c r="AE726" s="5"/>
      <c r="AF726" s="5"/>
      <c r="AG726" s="5"/>
      <c r="AH726" s="5"/>
      <c r="AI726" s="5"/>
      <c r="AJ726" s="5"/>
      <c r="AK726" s="141"/>
      <c r="AL726" s="94"/>
      <c r="AM726" s="128"/>
      <c r="AN726" s="180"/>
      <c r="AO726" s="128"/>
      <c r="AP726" s="184"/>
      <c r="AQ726" s="128"/>
      <c r="AR726" s="184"/>
      <c r="AS726" s="128"/>
      <c r="AT726" s="184"/>
      <c r="AU726" s="128"/>
      <c r="AV726" s="184"/>
      <c r="AW726" s="128"/>
      <c r="AX726" s="184"/>
      <c r="AY726" s="111"/>
      <c r="AZ726" s="178"/>
      <c r="BC726" s="216"/>
      <c r="BD726" s="47"/>
      <c r="BF726" s="113"/>
      <c r="BG726" s="113"/>
      <c r="BH726" s="113"/>
      <c r="BI726" s="113"/>
      <c r="BJ726" s="113"/>
      <c r="BK726" s="113"/>
      <c r="BL726" s="5">
        <f t="shared" si="169"/>
        <v>0</v>
      </c>
    </row>
    <row r="727" spans="1:64" s="2" customFormat="1" ht="63.75" customHeight="1" outlineLevel="1" x14ac:dyDescent="0.2">
      <c r="A727" s="593" t="s">
        <v>866</v>
      </c>
      <c r="B727" s="600" t="s">
        <v>1750</v>
      </c>
      <c r="C727" s="7" t="s">
        <v>1598</v>
      </c>
      <c r="D727" s="8" t="s">
        <v>397</v>
      </c>
      <c r="E727" s="23" t="s">
        <v>1241</v>
      </c>
      <c r="F727" s="8">
        <v>2013</v>
      </c>
      <c r="G727" s="8">
        <v>2015</v>
      </c>
      <c r="H727" s="5">
        <v>4.2019580000000001E-2</v>
      </c>
      <c r="I727" s="5">
        <v>2.6724999999999999E-2</v>
      </c>
      <c r="J727" s="5">
        <f>R727</f>
        <v>0.01</v>
      </c>
      <c r="K727" s="8"/>
      <c r="L727" s="23" t="s">
        <v>1241</v>
      </c>
      <c r="M727" s="8"/>
      <c r="N727" s="8"/>
      <c r="O727" s="8"/>
      <c r="P727" s="8"/>
      <c r="Q727" s="23" t="s">
        <v>1241</v>
      </c>
      <c r="R727" s="113">
        <v>0.01</v>
      </c>
      <c r="S727" s="113"/>
      <c r="T727" s="113"/>
      <c r="U727" s="113"/>
      <c r="V727" s="113"/>
      <c r="W727" s="113"/>
      <c r="X727" s="5">
        <f t="shared" si="170"/>
        <v>0.01</v>
      </c>
      <c r="Y727" s="302">
        <f>H727-H728-H729</f>
        <v>0</v>
      </c>
      <c r="Z727" s="5">
        <f>I727-I728-I729</f>
        <v>0</v>
      </c>
      <c r="AA727" s="94">
        <f>J727-J728-J729</f>
        <v>0</v>
      </c>
      <c r="AB727" s="311">
        <f t="shared" si="171"/>
        <v>1.6724999999999997E-2</v>
      </c>
      <c r="AC727" s="296"/>
      <c r="AD727" s="113"/>
      <c r="AE727" s="5"/>
      <c r="AF727" s="5"/>
      <c r="AG727" s="5">
        <f>H727</f>
        <v>4.2019580000000001E-2</v>
      </c>
      <c r="AH727" s="5"/>
      <c r="AI727" s="5"/>
      <c r="AJ727" s="5"/>
      <c r="AK727" s="141"/>
      <c r="AL727" s="94">
        <f>SUM(AF727:AK727)</f>
        <v>4.2019580000000001E-2</v>
      </c>
      <c r="AM727" s="128"/>
      <c r="AN727" s="180"/>
      <c r="AO727" s="128">
        <v>0</v>
      </c>
      <c r="AP727" s="184">
        <v>0</v>
      </c>
      <c r="AQ727" s="128"/>
      <c r="AR727" s="184"/>
      <c r="AS727" s="128"/>
      <c r="AT727" s="184"/>
      <c r="AU727" s="128"/>
      <c r="AV727" s="184"/>
      <c r="AW727" s="128"/>
      <c r="AX727" s="184"/>
      <c r="AY727" s="111">
        <f>AM727+AO727+AQ727+AS727+AU727+AW727</f>
        <v>0</v>
      </c>
      <c r="AZ727" s="178">
        <f>AN727+AP727+AR727+AT727+AV727+AX727</f>
        <v>0</v>
      </c>
      <c r="BC727" s="216"/>
      <c r="BD727" s="47"/>
      <c r="BF727" s="113">
        <v>0.01</v>
      </c>
      <c r="BG727" s="113"/>
      <c r="BH727" s="113"/>
      <c r="BI727" s="113"/>
      <c r="BJ727" s="113"/>
      <c r="BK727" s="113"/>
      <c r="BL727" s="5">
        <f t="shared" si="169"/>
        <v>0.01</v>
      </c>
    </row>
    <row r="728" spans="1:64" s="2" customFormat="1" ht="15.75" customHeight="1" outlineLevel="1" x14ac:dyDescent="0.2">
      <c r="A728" s="594"/>
      <c r="B728" s="601"/>
      <c r="C728" s="7" t="s">
        <v>1553</v>
      </c>
      <c r="D728" s="8"/>
      <c r="E728" s="23"/>
      <c r="F728" s="8"/>
      <c r="G728" s="8"/>
      <c r="H728" s="5"/>
      <c r="I728" s="5"/>
      <c r="J728" s="5"/>
      <c r="K728" s="8"/>
      <c r="L728" s="23"/>
      <c r="M728" s="8"/>
      <c r="N728" s="8"/>
      <c r="O728" s="8"/>
      <c r="P728" s="8"/>
      <c r="Q728" s="23"/>
      <c r="R728" s="113"/>
      <c r="S728" s="113"/>
      <c r="T728" s="113"/>
      <c r="U728" s="113"/>
      <c r="V728" s="113"/>
      <c r="W728" s="113"/>
      <c r="X728" s="5">
        <f t="shared" si="170"/>
        <v>0</v>
      </c>
      <c r="Y728" s="302"/>
      <c r="Z728" s="5"/>
      <c r="AA728" s="94"/>
      <c r="AB728" s="311">
        <f t="shared" si="171"/>
        <v>0</v>
      </c>
      <c r="AC728" s="296"/>
      <c r="AD728" s="113"/>
      <c r="AE728" s="5"/>
      <c r="AF728" s="5"/>
      <c r="AG728" s="5"/>
      <c r="AH728" s="5"/>
      <c r="AI728" s="5"/>
      <c r="AJ728" s="5"/>
      <c r="AK728" s="141"/>
      <c r="AL728" s="94"/>
      <c r="AM728" s="128"/>
      <c r="AN728" s="180"/>
      <c r="AO728" s="128"/>
      <c r="AP728" s="184"/>
      <c r="AQ728" s="128"/>
      <c r="AR728" s="184"/>
      <c r="AS728" s="128"/>
      <c r="AT728" s="184"/>
      <c r="AU728" s="128"/>
      <c r="AV728" s="184"/>
      <c r="AW728" s="128"/>
      <c r="AX728" s="184"/>
      <c r="AY728" s="111"/>
      <c r="AZ728" s="178"/>
      <c r="BC728" s="216"/>
      <c r="BD728" s="47"/>
      <c r="BF728" s="113"/>
      <c r="BG728" s="113"/>
      <c r="BH728" s="113"/>
      <c r="BI728" s="113"/>
      <c r="BJ728" s="113"/>
      <c r="BK728" s="113"/>
      <c r="BL728" s="5">
        <f t="shared" si="169"/>
        <v>0</v>
      </c>
    </row>
    <row r="729" spans="1:64" s="2" customFormat="1" ht="15.75" customHeight="1" outlineLevel="1" x14ac:dyDescent="0.2">
      <c r="A729" s="595"/>
      <c r="B729" s="602"/>
      <c r="C729" s="7" t="s">
        <v>1554</v>
      </c>
      <c r="D729" s="8"/>
      <c r="E729" s="23"/>
      <c r="F729" s="8"/>
      <c r="G729" s="8"/>
      <c r="H729" s="5">
        <f>H727</f>
        <v>4.2019580000000001E-2</v>
      </c>
      <c r="I729" s="5">
        <f>I727</f>
        <v>2.6724999999999999E-2</v>
      </c>
      <c r="J729" s="5">
        <f>J727</f>
        <v>0.01</v>
      </c>
      <c r="K729" s="23"/>
      <c r="L729" s="8"/>
      <c r="M729" s="8"/>
      <c r="N729" s="8"/>
      <c r="O729" s="8"/>
      <c r="P729" s="8"/>
      <c r="Q729" s="23"/>
      <c r="R729" s="113"/>
      <c r="S729" s="113"/>
      <c r="T729" s="113"/>
      <c r="U729" s="113"/>
      <c r="V729" s="113"/>
      <c r="W729" s="113"/>
      <c r="X729" s="5">
        <f t="shared" si="170"/>
        <v>0</v>
      </c>
      <c r="Y729" s="302"/>
      <c r="Z729" s="5"/>
      <c r="AA729" s="94"/>
      <c r="AB729" s="311">
        <f t="shared" si="171"/>
        <v>2.6724999999999999E-2</v>
      </c>
      <c r="AC729" s="296"/>
      <c r="AD729" s="113"/>
      <c r="AE729" s="5"/>
      <c r="AF729" s="5"/>
      <c r="AG729" s="5"/>
      <c r="AH729" s="5"/>
      <c r="AI729" s="5"/>
      <c r="AJ729" s="5"/>
      <c r="AK729" s="141"/>
      <c r="AL729" s="94"/>
      <c r="AM729" s="128"/>
      <c r="AN729" s="180"/>
      <c r="AO729" s="128"/>
      <c r="AP729" s="184"/>
      <c r="AQ729" s="128"/>
      <c r="AR729" s="184"/>
      <c r="AS729" s="128"/>
      <c r="AT729" s="184"/>
      <c r="AU729" s="128"/>
      <c r="AV729" s="184"/>
      <c r="AW729" s="128"/>
      <c r="AX729" s="184"/>
      <c r="AY729" s="111"/>
      <c r="AZ729" s="178"/>
      <c r="BC729" s="216"/>
      <c r="BD729" s="47"/>
      <c r="BF729" s="113"/>
      <c r="BG729" s="113"/>
      <c r="BH729" s="113"/>
      <c r="BI729" s="113"/>
      <c r="BJ729" s="113"/>
      <c r="BK729" s="113"/>
      <c r="BL729" s="5">
        <f t="shared" si="169"/>
        <v>0</v>
      </c>
    </row>
    <row r="730" spans="1:64" s="2" customFormat="1" ht="63.75" customHeight="1" outlineLevel="1" x14ac:dyDescent="0.2">
      <c r="A730" s="593" t="s">
        <v>867</v>
      </c>
      <c r="B730" s="600" t="s">
        <v>1751</v>
      </c>
      <c r="C730" s="7" t="s">
        <v>1599</v>
      </c>
      <c r="D730" s="8" t="s">
        <v>397</v>
      </c>
      <c r="E730" s="23" t="s">
        <v>1241</v>
      </c>
      <c r="F730" s="8">
        <v>2013</v>
      </c>
      <c r="G730" s="8">
        <v>2015</v>
      </c>
      <c r="H730" s="5">
        <v>2.8039999999999999E-2</v>
      </c>
      <c r="I730" s="5">
        <v>2.6877000000000002E-2</v>
      </c>
      <c r="J730" s="5">
        <f>R730</f>
        <v>0.01</v>
      </c>
      <c r="K730" s="8"/>
      <c r="L730" s="23" t="s">
        <v>1241</v>
      </c>
      <c r="M730" s="8"/>
      <c r="N730" s="8"/>
      <c r="O730" s="8"/>
      <c r="P730" s="8"/>
      <c r="Q730" s="23" t="s">
        <v>1241</v>
      </c>
      <c r="R730" s="113">
        <v>0.01</v>
      </c>
      <c r="S730" s="113"/>
      <c r="T730" s="113"/>
      <c r="U730" s="113"/>
      <c r="V730" s="113"/>
      <c r="W730" s="113"/>
      <c r="X730" s="5">
        <f t="shared" si="170"/>
        <v>0.01</v>
      </c>
      <c r="Y730" s="302">
        <f>H730-H731-H732</f>
        <v>0</v>
      </c>
      <c r="Z730" s="5">
        <f>I730-I731-I732</f>
        <v>0</v>
      </c>
      <c r="AA730" s="94">
        <f>J730-J731-J732</f>
        <v>-9.9999999999999915E-4</v>
      </c>
      <c r="AB730" s="311">
        <f t="shared" si="171"/>
        <v>1.6877000000000003E-2</v>
      </c>
      <c r="AC730" s="296"/>
      <c r="AD730" s="113"/>
      <c r="AE730" s="5"/>
      <c r="AF730" s="5"/>
      <c r="AG730" s="5">
        <f>H730</f>
        <v>2.8039999999999999E-2</v>
      </c>
      <c r="AH730" s="5"/>
      <c r="AI730" s="5"/>
      <c r="AJ730" s="5"/>
      <c r="AK730" s="141"/>
      <c r="AL730" s="94">
        <f>SUM(AF730:AK730)</f>
        <v>2.8039999999999999E-2</v>
      </c>
      <c r="AM730" s="128"/>
      <c r="AN730" s="180"/>
      <c r="AO730" s="128">
        <v>0</v>
      </c>
      <c r="AP730" s="184">
        <v>0</v>
      </c>
      <c r="AQ730" s="128"/>
      <c r="AR730" s="184"/>
      <c r="AS730" s="128"/>
      <c r="AT730" s="184"/>
      <c r="AU730" s="128"/>
      <c r="AV730" s="184"/>
      <c r="AW730" s="128"/>
      <c r="AX730" s="184"/>
      <c r="AY730" s="111">
        <f>AM730+AO730+AQ730+AS730+AU730+AW730</f>
        <v>0</v>
      </c>
      <c r="AZ730" s="178">
        <f>AN730+AP730+AR730+AT730+AV730+AX730</f>
        <v>0</v>
      </c>
      <c r="BC730" s="216"/>
      <c r="BD730" s="47"/>
      <c r="BF730" s="113">
        <v>0.01</v>
      </c>
      <c r="BG730" s="113"/>
      <c r="BH730" s="113"/>
      <c r="BI730" s="113"/>
      <c r="BJ730" s="113"/>
      <c r="BK730" s="113"/>
      <c r="BL730" s="5">
        <f t="shared" si="169"/>
        <v>0.01</v>
      </c>
    </row>
    <row r="731" spans="1:64" s="2" customFormat="1" ht="15.75" customHeight="1" outlineLevel="1" x14ac:dyDescent="0.2">
      <c r="A731" s="594"/>
      <c r="B731" s="601"/>
      <c r="C731" s="7" t="s">
        <v>1553</v>
      </c>
      <c r="D731" s="8"/>
      <c r="E731" s="23"/>
      <c r="F731" s="8"/>
      <c r="G731" s="8"/>
      <c r="H731" s="5"/>
      <c r="I731" s="5"/>
      <c r="J731" s="5"/>
      <c r="K731" s="8"/>
      <c r="L731" s="23"/>
      <c r="M731" s="8"/>
      <c r="N731" s="8"/>
      <c r="O731" s="8"/>
      <c r="P731" s="8"/>
      <c r="Q731" s="23"/>
      <c r="R731" s="113"/>
      <c r="S731" s="113"/>
      <c r="T731" s="113"/>
      <c r="U731" s="113"/>
      <c r="V731" s="113"/>
      <c r="W731" s="113"/>
      <c r="X731" s="5">
        <f>SUM(R731:W731)</f>
        <v>0</v>
      </c>
      <c r="Y731" s="302"/>
      <c r="Z731" s="5"/>
      <c r="AA731" s="94"/>
      <c r="AB731" s="311">
        <f t="shared" si="171"/>
        <v>0</v>
      </c>
      <c r="AC731" s="296"/>
      <c r="AD731" s="113"/>
      <c r="AE731" s="5"/>
      <c r="AF731" s="5"/>
      <c r="AG731" s="5"/>
      <c r="AH731" s="5"/>
      <c r="AI731" s="5"/>
      <c r="AJ731" s="5"/>
      <c r="AK731" s="141"/>
      <c r="AL731" s="94"/>
      <c r="AM731" s="128"/>
      <c r="AN731" s="180"/>
      <c r="AO731" s="128"/>
      <c r="AP731" s="184"/>
      <c r="AQ731" s="128"/>
      <c r="AR731" s="184"/>
      <c r="AS731" s="128"/>
      <c r="AT731" s="184"/>
      <c r="AU731" s="128"/>
      <c r="AV731" s="184"/>
      <c r="AW731" s="128"/>
      <c r="AX731" s="184"/>
      <c r="AY731" s="111"/>
      <c r="AZ731" s="178"/>
      <c r="BC731" s="216"/>
      <c r="BD731" s="47"/>
      <c r="BF731" s="113"/>
      <c r="BG731" s="113"/>
      <c r="BH731" s="113"/>
      <c r="BI731" s="113"/>
      <c r="BJ731" s="113"/>
      <c r="BK731" s="113"/>
      <c r="BL731" s="5">
        <f t="shared" si="169"/>
        <v>0</v>
      </c>
    </row>
    <row r="732" spans="1:64" s="2" customFormat="1" ht="15.75" customHeight="1" outlineLevel="1" x14ac:dyDescent="0.2">
      <c r="A732" s="595"/>
      <c r="B732" s="602"/>
      <c r="C732" s="7" t="s">
        <v>1554</v>
      </c>
      <c r="D732" s="8"/>
      <c r="E732" s="23"/>
      <c r="F732" s="8"/>
      <c r="G732" s="8"/>
      <c r="H732" s="5">
        <v>2.8039999999999999E-2</v>
      </c>
      <c r="I732" s="5">
        <v>2.6877000000000002E-2</v>
      </c>
      <c r="J732" s="5">
        <v>1.0999999999999999E-2</v>
      </c>
      <c r="K732" s="23"/>
      <c r="L732" s="8"/>
      <c r="M732" s="8"/>
      <c r="N732" s="8"/>
      <c r="O732" s="8"/>
      <c r="P732" s="8"/>
      <c r="Q732" s="23"/>
      <c r="R732" s="113"/>
      <c r="S732" s="113"/>
      <c r="T732" s="113"/>
      <c r="U732" s="113"/>
      <c r="V732" s="113"/>
      <c r="W732" s="113"/>
      <c r="X732" s="5">
        <f>SUM(R732:W732)</f>
        <v>0</v>
      </c>
      <c r="Y732" s="302"/>
      <c r="Z732" s="5"/>
      <c r="AA732" s="94"/>
      <c r="AB732" s="311">
        <f t="shared" si="171"/>
        <v>2.6877000000000002E-2</v>
      </c>
      <c r="AC732" s="296"/>
      <c r="AD732" s="113"/>
      <c r="AE732" s="5"/>
      <c r="AF732" s="5"/>
      <c r="AG732" s="5"/>
      <c r="AH732" s="5"/>
      <c r="AI732" s="5"/>
      <c r="AJ732" s="5"/>
      <c r="AK732" s="141"/>
      <c r="AL732" s="94"/>
      <c r="AM732" s="128"/>
      <c r="AN732" s="180"/>
      <c r="AO732" s="128"/>
      <c r="AP732" s="184"/>
      <c r="AQ732" s="128"/>
      <c r="AR732" s="184"/>
      <c r="AS732" s="128"/>
      <c r="AT732" s="184"/>
      <c r="AU732" s="128"/>
      <c r="AV732" s="184"/>
      <c r="AW732" s="128"/>
      <c r="AX732" s="184"/>
      <c r="AY732" s="111"/>
      <c r="AZ732" s="178"/>
      <c r="BC732" s="216"/>
      <c r="BD732" s="47"/>
      <c r="BF732" s="113"/>
      <c r="BG732" s="113"/>
      <c r="BH732" s="113"/>
      <c r="BI732" s="113"/>
      <c r="BJ732" s="113"/>
      <c r="BK732" s="113"/>
      <c r="BL732" s="5">
        <f t="shared" si="169"/>
        <v>0</v>
      </c>
    </row>
    <row r="733" spans="1:64" s="2" customFormat="1" ht="77.25" customHeight="1" outlineLevel="1" x14ac:dyDescent="0.2">
      <c r="A733" s="593" t="s">
        <v>868</v>
      </c>
      <c r="B733" s="600" t="s">
        <v>1752</v>
      </c>
      <c r="C733" s="7" t="s">
        <v>1600</v>
      </c>
      <c r="D733" s="8" t="s">
        <v>397</v>
      </c>
      <c r="E733" s="23" t="s">
        <v>1241</v>
      </c>
      <c r="F733" s="8">
        <v>2013</v>
      </c>
      <c r="G733" s="8">
        <v>2015</v>
      </c>
      <c r="H733" s="5">
        <v>2.8039999999999999E-2</v>
      </c>
      <c r="I733" s="5">
        <v>2.8039999999999999E-2</v>
      </c>
      <c r="J733" s="5">
        <f>R733</f>
        <v>0.01</v>
      </c>
      <c r="K733" s="8"/>
      <c r="L733" s="23" t="s">
        <v>1241</v>
      </c>
      <c r="M733" s="8"/>
      <c r="N733" s="8"/>
      <c r="O733" s="8"/>
      <c r="P733" s="8"/>
      <c r="Q733" s="23" t="s">
        <v>1241</v>
      </c>
      <c r="R733" s="113">
        <v>0.01</v>
      </c>
      <c r="S733" s="113"/>
      <c r="T733" s="113"/>
      <c r="U733" s="113"/>
      <c r="V733" s="113"/>
      <c r="W733" s="113"/>
      <c r="X733" s="5">
        <f t="shared" si="170"/>
        <v>0.01</v>
      </c>
      <c r="Y733" s="302">
        <f>H733-H734-H735</f>
        <v>0</v>
      </c>
      <c r="Z733" s="5">
        <f>I733-I734-I735</f>
        <v>1.1629999999999974E-3</v>
      </c>
      <c r="AA733" s="94">
        <f>J733-J734-J735</f>
        <v>-9.9999999999999915E-4</v>
      </c>
      <c r="AB733" s="311">
        <f t="shared" si="171"/>
        <v>1.804E-2</v>
      </c>
      <c r="AC733" s="296"/>
      <c r="AD733" s="113"/>
      <c r="AE733" s="5"/>
      <c r="AF733" s="5"/>
      <c r="AG733" s="5">
        <f>H733</f>
        <v>2.8039999999999999E-2</v>
      </c>
      <c r="AH733" s="5"/>
      <c r="AI733" s="5"/>
      <c r="AJ733" s="5"/>
      <c r="AK733" s="141"/>
      <c r="AL733" s="94">
        <f>SUM(AF733:AK733)</f>
        <v>2.8039999999999999E-2</v>
      </c>
      <c r="AM733" s="128"/>
      <c r="AN733" s="180"/>
      <c r="AO733" s="128">
        <v>0</v>
      </c>
      <c r="AP733" s="184">
        <v>0</v>
      </c>
      <c r="AQ733" s="128"/>
      <c r="AR733" s="184"/>
      <c r="AS733" s="128"/>
      <c r="AT733" s="184"/>
      <c r="AU733" s="128"/>
      <c r="AV733" s="184"/>
      <c r="AW733" s="128"/>
      <c r="AX733" s="184"/>
      <c r="AY733" s="111">
        <f>AM733+AO733+AQ733+AS733+AU733+AW733</f>
        <v>0</v>
      </c>
      <c r="AZ733" s="178">
        <f>AN733+AP733+AR733+AT733+AV733+AX733</f>
        <v>0</v>
      </c>
      <c r="BC733" s="216"/>
      <c r="BD733" s="47"/>
      <c r="BF733" s="113">
        <v>0.01</v>
      </c>
      <c r="BG733" s="113"/>
      <c r="BH733" s="113"/>
      <c r="BI733" s="113"/>
      <c r="BJ733" s="113"/>
      <c r="BK733" s="113"/>
      <c r="BL733" s="5">
        <f t="shared" si="169"/>
        <v>0.01</v>
      </c>
    </row>
    <row r="734" spans="1:64" s="2" customFormat="1" ht="15.75" customHeight="1" outlineLevel="1" x14ac:dyDescent="0.2">
      <c r="A734" s="594"/>
      <c r="B734" s="601"/>
      <c r="C734" s="7" t="s">
        <v>1553</v>
      </c>
      <c r="D734" s="8"/>
      <c r="E734" s="23"/>
      <c r="F734" s="8"/>
      <c r="G734" s="8"/>
      <c r="H734" s="5"/>
      <c r="I734" s="5"/>
      <c r="J734" s="5"/>
      <c r="K734" s="8"/>
      <c r="L734" s="23"/>
      <c r="M734" s="8"/>
      <c r="N734" s="8"/>
      <c r="O734" s="8"/>
      <c r="P734" s="8"/>
      <c r="Q734" s="23"/>
      <c r="R734" s="113"/>
      <c r="S734" s="113"/>
      <c r="T734" s="113"/>
      <c r="U734" s="113"/>
      <c r="V734" s="113"/>
      <c r="W734" s="113"/>
      <c r="X734" s="5">
        <f t="shared" si="170"/>
        <v>0</v>
      </c>
      <c r="Y734" s="302"/>
      <c r="Z734" s="5"/>
      <c r="AA734" s="94"/>
      <c r="AB734" s="311">
        <f t="shared" si="171"/>
        <v>0</v>
      </c>
      <c r="AC734" s="296"/>
      <c r="AD734" s="113"/>
      <c r="AE734" s="5"/>
      <c r="AF734" s="5"/>
      <c r="AG734" s="5"/>
      <c r="AH734" s="5"/>
      <c r="AI734" s="5"/>
      <c r="AJ734" s="5"/>
      <c r="AK734" s="141"/>
      <c r="AL734" s="94"/>
      <c r="AM734" s="128"/>
      <c r="AN734" s="180"/>
      <c r="AO734" s="128"/>
      <c r="AP734" s="184"/>
      <c r="AQ734" s="128"/>
      <c r="AR734" s="184"/>
      <c r="AS734" s="128"/>
      <c r="AT734" s="184"/>
      <c r="AU734" s="128"/>
      <c r="AV734" s="184"/>
      <c r="AW734" s="128"/>
      <c r="AX734" s="184"/>
      <c r="AY734" s="111"/>
      <c r="AZ734" s="178"/>
      <c r="BC734" s="216"/>
      <c r="BD734" s="47"/>
      <c r="BF734" s="113"/>
      <c r="BG734" s="113"/>
      <c r="BH734" s="113"/>
      <c r="BI734" s="113"/>
      <c r="BJ734" s="113"/>
      <c r="BK734" s="113"/>
      <c r="BL734" s="5">
        <f t="shared" si="169"/>
        <v>0</v>
      </c>
    </row>
    <row r="735" spans="1:64" s="2" customFormat="1" ht="15.75" customHeight="1" outlineLevel="1" x14ac:dyDescent="0.2">
      <c r="A735" s="595"/>
      <c r="B735" s="602"/>
      <c r="C735" s="7" t="s">
        <v>1554</v>
      </c>
      <c r="D735" s="8"/>
      <c r="E735" s="23"/>
      <c r="F735" s="8"/>
      <c r="G735" s="8"/>
      <c r="H735" s="5">
        <v>2.8039999999999999E-2</v>
      </c>
      <c r="I735" s="5">
        <v>2.6877000000000002E-2</v>
      </c>
      <c r="J735" s="5">
        <v>1.0999999999999999E-2</v>
      </c>
      <c r="K735" s="23"/>
      <c r="L735" s="8"/>
      <c r="M735" s="8"/>
      <c r="N735" s="8"/>
      <c r="O735" s="8"/>
      <c r="P735" s="8"/>
      <c r="Q735" s="23"/>
      <c r="R735" s="113"/>
      <c r="S735" s="113"/>
      <c r="T735" s="113"/>
      <c r="U735" s="113"/>
      <c r="V735" s="113"/>
      <c r="W735" s="113"/>
      <c r="X735" s="5">
        <f t="shared" si="170"/>
        <v>0</v>
      </c>
      <c r="Y735" s="302"/>
      <c r="Z735" s="5"/>
      <c r="AA735" s="94"/>
      <c r="AB735" s="311">
        <f t="shared" si="171"/>
        <v>2.6877000000000002E-2</v>
      </c>
      <c r="AC735" s="296"/>
      <c r="AD735" s="113"/>
      <c r="AE735" s="5"/>
      <c r="AF735" s="5"/>
      <c r="AG735" s="5"/>
      <c r="AH735" s="5"/>
      <c r="AI735" s="5"/>
      <c r="AJ735" s="5"/>
      <c r="AK735" s="141"/>
      <c r="AL735" s="94"/>
      <c r="AM735" s="128"/>
      <c r="AN735" s="180"/>
      <c r="AO735" s="128"/>
      <c r="AP735" s="184"/>
      <c r="AQ735" s="128"/>
      <c r="AR735" s="184"/>
      <c r="AS735" s="128"/>
      <c r="AT735" s="184"/>
      <c r="AU735" s="128"/>
      <c r="AV735" s="184"/>
      <c r="AW735" s="128"/>
      <c r="AX735" s="184"/>
      <c r="AY735" s="111"/>
      <c r="AZ735" s="178"/>
      <c r="BC735" s="216"/>
      <c r="BD735" s="47"/>
      <c r="BF735" s="113"/>
      <c r="BG735" s="113"/>
      <c r="BH735" s="113"/>
      <c r="BI735" s="113"/>
      <c r="BJ735" s="113"/>
      <c r="BK735" s="113"/>
      <c r="BL735" s="5">
        <f t="shared" ref="BL735:BL798" si="172">SUM(BF735:BK735)</f>
        <v>0</v>
      </c>
    </row>
    <row r="736" spans="1:64" s="2" customFormat="1" ht="39" customHeight="1" outlineLevel="1" x14ac:dyDescent="0.2">
      <c r="A736" s="593" t="s">
        <v>869</v>
      </c>
      <c r="B736" s="600" t="s">
        <v>1753</v>
      </c>
      <c r="C736" s="7" t="s">
        <v>1601</v>
      </c>
      <c r="D736" s="8" t="s">
        <v>397</v>
      </c>
      <c r="E736" s="23" t="s">
        <v>335</v>
      </c>
      <c r="F736" s="8">
        <v>2013</v>
      </c>
      <c r="G736" s="8">
        <v>2015</v>
      </c>
      <c r="H736" s="5">
        <v>0.33462000000000003</v>
      </c>
      <c r="I736" s="5">
        <v>0.28581600000000001</v>
      </c>
      <c r="J736" s="5">
        <f>R736</f>
        <v>8.7774000000000005E-2</v>
      </c>
      <c r="K736" s="8"/>
      <c r="L736" s="23" t="s">
        <v>335</v>
      </c>
      <c r="M736" s="8"/>
      <c r="N736" s="8"/>
      <c r="O736" s="8"/>
      <c r="P736" s="8"/>
      <c r="Q736" s="23" t="s">
        <v>335</v>
      </c>
      <c r="R736" s="113">
        <v>8.7774000000000005E-2</v>
      </c>
      <c r="S736" s="113"/>
      <c r="T736" s="113"/>
      <c r="U736" s="113"/>
      <c r="V736" s="113"/>
      <c r="W736" s="113"/>
      <c r="X736" s="5">
        <f t="shared" si="170"/>
        <v>8.7774000000000005E-2</v>
      </c>
      <c r="Y736" s="302">
        <f>H736-H737-H738</f>
        <v>0</v>
      </c>
      <c r="Z736" s="5">
        <f>I736-I737-I738</f>
        <v>0</v>
      </c>
      <c r="AA736" s="94">
        <f>J736-J737-J738</f>
        <v>0</v>
      </c>
      <c r="AB736" s="311">
        <f t="shared" si="171"/>
        <v>0.198042</v>
      </c>
      <c r="AC736" s="296"/>
      <c r="AD736" s="113"/>
      <c r="AE736" s="5"/>
      <c r="AF736" s="5"/>
      <c r="AG736" s="5">
        <f>H736</f>
        <v>0.33462000000000003</v>
      </c>
      <c r="AH736" s="5"/>
      <c r="AI736" s="5"/>
      <c r="AJ736" s="5"/>
      <c r="AK736" s="141"/>
      <c r="AL736" s="94">
        <f>SUM(AF736:AK736)</f>
        <v>0.33462000000000003</v>
      </c>
      <c r="AM736" s="128"/>
      <c r="AN736" s="180"/>
      <c r="AO736" s="128">
        <v>0.1</v>
      </c>
      <c r="AP736" s="184">
        <v>0</v>
      </c>
      <c r="AQ736" s="128"/>
      <c r="AR736" s="184"/>
      <c r="AS736" s="128"/>
      <c r="AT736" s="184"/>
      <c r="AU736" s="128"/>
      <c r="AV736" s="184"/>
      <c r="AW736" s="128"/>
      <c r="AX736" s="184"/>
      <c r="AY736" s="111">
        <f>AM736+AO736+AQ736+AS736+AU736+AW736</f>
        <v>0.1</v>
      </c>
      <c r="AZ736" s="178">
        <f>AN736+AP736+AR736+AT736+AV736+AX736</f>
        <v>0</v>
      </c>
      <c r="BC736" s="216"/>
      <c r="BD736" s="47"/>
      <c r="BF736" s="113">
        <v>8.7774000000000005E-2</v>
      </c>
      <c r="BG736" s="113"/>
      <c r="BH736" s="113"/>
      <c r="BI736" s="113"/>
      <c r="BJ736" s="113"/>
      <c r="BK736" s="113"/>
      <c r="BL736" s="5">
        <f t="shared" si="172"/>
        <v>8.7774000000000005E-2</v>
      </c>
    </row>
    <row r="737" spans="1:64" s="2" customFormat="1" ht="15.75" customHeight="1" outlineLevel="1" x14ac:dyDescent="0.2">
      <c r="A737" s="594"/>
      <c r="B737" s="601"/>
      <c r="C737" s="7" t="s">
        <v>1553</v>
      </c>
      <c r="D737" s="8"/>
      <c r="E737" s="23"/>
      <c r="F737" s="8"/>
      <c r="G737" s="8"/>
      <c r="H737" s="5"/>
      <c r="I737" s="5"/>
      <c r="J737" s="5"/>
      <c r="K737" s="8"/>
      <c r="L737" s="23"/>
      <c r="M737" s="8"/>
      <c r="N737" s="8"/>
      <c r="O737" s="8"/>
      <c r="P737" s="8"/>
      <c r="Q737" s="23"/>
      <c r="R737" s="113"/>
      <c r="S737" s="113"/>
      <c r="T737" s="113"/>
      <c r="U737" s="113"/>
      <c r="V737" s="113"/>
      <c r="W737" s="113"/>
      <c r="X737" s="5">
        <f>SUM(R737:W737)</f>
        <v>0</v>
      </c>
      <c r="Y737" s="302"/>
      <c r="Z737" s="5"/>
      <c r="AA737" s="94"/>
      <c r="AB737" s="311">
        <f t="shared" si="171"/>
        <v>0</v>
      </c>
      <c r="AC737" s="296"/>
      <c r="AD737" s="113"/>
      <c r="AE737" s="5"/>
      <c r="AF737" s="5"/>
      <c r="AG737" s="5"/>
      <c r="AH737" s="5"/>
      <c r="AI737" s="5"/>
      <c r="AJ737" s="5"/>
      <c r="AK737" s="141"/>
      <c r="AL737" s="94"/>
      <c r="AM737" s="128"/>
      <c r="AN737" s="180"/>
      <c r="AO737" s="128"/>
      <c r="AP737" s="184"/>
      <c r="AQ737" s="128"/>
      <c r="AR737" s="184"/>
      <c r="AS737" s="128"/>
      <c r="AT737" s="184"/>
      <c r="AU737" s="128"/>
      <c r="AV737" s="184"/>
      <c r="AW737" s="128"/>
      <c r="AX737" s="184"/>
      <c r="AY737" s="111"/>
      <c r="AZ737" s="178"/>
      <c r="BC737" s="216"/>
      <c r="BD737" s="47"/>
      <c r="BF737" s="113"/>
      <c r="BG737" s="113"/>
      <c r="BH737" s="113"/>
      <c r="BI737" s="113"/>
      <c r="BJ737" s="113"/>
      <c r="BK737" s="113"/>
      <c r="BL737" s="5">
        <f t="shared" si="172"/>
        <v>0</v>
      </c>
    </row>
    <row r="738" spans="1:64" s="2" customFormat="1" ht="15.75" customHeight="1" outlineLevel="1" x14ac:dyDescent="0.2">
      <c r="A738" s="595"/>
      <c r="B738" s="602"/>
      <c r="C738" s="7" t="s">
        <v>1554</v>
      </c>
      <c r="D738" s="8"/>
      <c r="E738" s="23"/>
      <c r="F738" s="8"/>
      <c r="G738" s="8"/>
      <c r="H738" s="5">
        <v>0.33462000000000003</v>
      </c>
      <c r="I738" s="5">
        <v>0.28581600000000001</v>
      </c>
      <c r="J738" s="5">
        <v>8.7774000000000005E-2</v>
      </c>
      <c r="K738" s="23"/>
      <c r="L738" s="8"/>
      <c r="M738" s="8"/>
      <c r="N738" s="8"/>
      <c r="O738" s="8"/>
      <c r="P738" s="8"/>
      <c r="Q738" s="23"/>
      <c r="R738" s="113"/>
      <c r="S738" s="113"/>
      <c r="T738" s="113"/>
      <c r="U738" s="113"/>
      <c r="V738" s="113"/>
      <c r="W738" s="113"/>
      <c r="X738" s="5">
        <f>SUM(R738:W738)</f>
        <v>0</v>
      </c>
      <c r="Y738" s="302"/>
      <c r="Z738" s="5"/>
      <c r="AA738" s="94"/>
      <c r="AB738" s="311">
        <f t="shared" si="171"/>
        <v>0.28581600000000001</v>
      </c>
      <c r="AC738" s="296"/>
      <c r="AD738" s="113"/>
      <c r="AE738" s="5"/>
      <c r="AF738" s="5"/>
      <c r="AG738" s="5"/>
      <c r="AH738" s="5"/>
      <c r="AI738" s="5"/>
      <c r="AJ738" s="5"/>
      <c r="AK738" s="141"/>
      <c r="AL738" s="94"/>
      <c r="AM738" s="128"/>
      <c r="AN738" s="180"/>
      <c r="AO738" s="128"/>
      <c r="AP738" s="184"/>
      <c r="AQ738" s="128"/>
      <c r="AR738" s="184"/>
      <c r="AS738" s="128"/>
      <c r="AT738" s="184"/>
      <c r="AU738" s="128"/>
      <c r="AV738" s="184"/>
      <c r="AW738" s="128"/>
      <c r="AX738" s="184"/>
      <c r="AY738" s="111"/>
      <c r="AZ738" s="178"/>
      <c r="BC738" s="216"/>
      <c r="BD738" s="47"/>
      <c r="BF738" s="113"/>
      <c r="BG738" s="113"/>
      <c r="BH738" s="113"/>
      <c r="BI738" s="113"/>
      <c r="BJ738" s="113"/>
      <c r="BK738" s="113"/>
      <c r="BL738" s="5">
        <f t="shared" si="172"/>
        <v>0</v>
      </c>
    </row>
    <row r="739" spans="1:64" s="2" customFormat="1" ht="63.75" customHeight="1" outlineLevel="1" x14ac:dyDescent="0.2">
      <c r="A739" s="593" t="s">
        <v>870</v>
      </c>
      <c r="B739" s="600" t="s">
        <v>1754</v>
      </c>
      <c r="C739" s="7" t="s">
        <v>1602</v>
      </c>
      <c r="D739" s="8" t="s">
        <v>397</v>
      </c>
      <c r="E739" s="23" t="s">
        <v>10</v>
      </c>
      <c r="F739" s="8">
        <v>2013</v>
      </c>
      <c r="G739" s="8">
        <v>2015</v>
      </c>
      <c r="H739" s="5">
        <v>1.56094</v>
      </c>
      <c r="I739" s="5">
        <v>0.96197900000000003</v>
      </c>
      <c r="J739" s="5">
        <f>R739</f>
        <v>0.96197900000000003</v>
      </c>
      <c r="K739" s="8"/>
      <c r="L739" s="23" t="s">
        <v>10</v>
      </c>
      <c r="M739" s="8"/>
      <c r="N739" s="8"/>
      <c r="O739" s="8"/>
      <c r="P739" s="8"/>
      <c r="Q739" s="23" t="s">
        <v>10</v>
      </c>
      <c r="R739" s="113">
        <v>0.96197900000000003</v>
      </c>
      <c r="S739" s="113"/>
      <c r="T739" s="113"/>
      <c r="U739" s="113"/>
      <c r="V739" s="113"/>
      <c r="W739" s="113"/>
      <c r="X739" s="5">
        <f t="shared" si="170"/>
        <v>0.96197900000000003</v>
      </c>
      <c r="Y739" s="302">
        <f>H739-H740-H741</f>
        <v>0</v>
      </c>
      <c r="Z739" s="5">
        <f>I739-I740-I741</f>
        <v>0</v>
      </c>
      <c r="AA739" s="94">
        <f>J739-J740-J741</f>
        <v>0</v>
      </c>
      <c r="AB739" s="311">
        <f t="shared" si="171"/>
        <v>0</v>
      </c>
      <c r="AC739" s="296"/>
      <c r="AD739" s="113"/>
      <c r="AE739" s="5"/>
      <c r="AF739" s="5"/>
      <c r="AG739" s="5">
        <f>H739</f>
        <v>1.56094</v>
      </c>
      <c r="AH739" s="5"/>
      <c r="AI739" s="5"/>
      <c r="AJ739" s="5"/>
      <c r="AK739" s="141"/>
      <c r="AL739" s="94">
        <f>SUM(AF739:AK739)</f>
        <v>1.56094</v>
      </c>
      <c r="AM739" s="128"/>
      <c r="AN739" s="180"/>
      <c r="AO739" s="128">
        <v>0.5</v>
      </c>
      <c r="AP739" s="184">
        <v>0.25</v>
      </c>
      <c r="AQ739" s="128"/>
      <c r="AR739" s="184"/>
      <c r="AS739" s="128"/>
      <c r="AT739" s="184"/>
      <c r="AU739" s="128"/>
      <c r="AV739" s="184"/>
      <c r="AW739" s="128"/>
      <c r="AX739" s="184"/>
      <c r="AY739" s="111">
        <f>AM739+AO739+AQ739+AS739+AU739+AW739</f>
        <v>0.5</v>
      </c>
      <c r="AZ739" s="178">
        <f>AN739+AP739+AR739+AT739+AV739+AX739</f>
        <v>0.25</v>
      </c>
      <c r="BC739" s="216"/>
      <c r="BD739" s="47"/>
      <c r="BF739" s="113">
        <v>0.96197900000000003</v>
      </c>
      <c r="BG739" s="113"/>
      <c r="BH739" s="113"/>
      <c r="BI739" s="113"/>
      <c r="BJ739" s="113"/>
      <c r="BK739" s="113"/>
      <c r="BL739" s="5">
        <f t="shared" si="172"/>
        <v>0.96197900000000003</v>
      </c>
    </row>
    <row r="740" spans="1:64" s="2" customFormat="1" ht="15.75" customHeight="1" outlineLevel="1" x14ac:dyDescent="0.2">
      <c r="A740" s="594"/>
      <c r="B740" s="601"/>
      <c r="C740" s="7" t="s">
        <v>1553</v>
      </c>
      <c r="D740" s="8"/>
      <c r="E740" s="23"/>
      <c r="F740" s="8"/>
      <c r="G740" s="8"/>
      <c r="H740" s="5"/>
      <c r="I740" s="5"/>
      <c r="J740" s="5"/>
      <c r="K740" s="8"/>
      <c r="L740" s="23"/>
      <c r="M740" s="8"/>
      <c r="N740" s="8"/>
      <c r="O740" s="8"/>
      <c r="P740" s="8"/>
      <c r="Q740" s="23"/>
      <c r="R740" s="113"/>
      <c r="S740" s="113"/>
      <c r="T740" s="113"/>
      <c r="U740" s="113"/>
      <c r="V740" s="113"/>
      <c r="W740" s="113"/>
      <c r="X740" s="5">
        <f t="shared" si="170"/>
        <v>0</v>
      </c>
      <c r="Y740" s="302"/>
      <c r="Z740" s="5"/>
      <c r="AA740" s="94"/>
      <c r="AB740" s="311">
        <f t="shared" si="171"/>
        <v>0</v>
      </c>
      <c r="AC740" s="296"/>
      <c r="AD740" s="113"/>
      <c r="AE740" s="5"/>
      <c r="AF740" s="5"/>
      <c r="AG740" s="5"/>
      <c r="AH740" s="5"/>
      <c r="AI740" s="5"/>
      <c r="AJ740" s="5"/>
      <c r="AK740" s="141"/>
      <c r="AL740" s="94"/>
      <c r="AM740" s="128"/>
      <c r="AN740" s="180"/>
      <c r="AO740" s="128"/>
      <c r="AP740" s="184"/>
      <c r="AQ740" s="128"/>
      <c r="AR740" s="184"/>
      <c r="AS740" s="128"/>
      <c r="AT740" s="184"/>
      <c r="AU740" s="128"/>
      <c r="AV740" s="184"/>
      <c r="AW740" s="128"/>
      <c r="AX740" s="184"/>
      <c r="AY740" s="111"/>
      <c r="AZ740" s="178"/>
      <c r="BC740" s="47"/>
      <c r="BD740" s="47"/>
      <c r="BF740" s="113"/>
      <c r="BG740" s="113"/>
      <c r="BH740" s="113"/>
      <c r="BI740" s="113"/>
      <c r="BJ740" s="113"/>
      <c r="BK740" s="113"/>
      <c r="BL740" s="5">
        <f t="shared" si="172"/>
        <v>0</v>
      </c>
    </row>
    <row r="741" spans="1:64" s="203" customFormat="1" ht="15.75" customHeight="1" outlineLevel="1" x14ac:dyDescent="0.2">
      <c r="A741" s="595"/>
      <c r="B741" s="602"/>
      <c r="C741" s="7" t="s">
        <v>1554</v>
      </c>
      <c r="D741" s="8"/>
      <c r="E741" s="23"/>
      <c r="F741" s="8"/>
      <c r="G741" s="8"/>
      <c r="H741" s="5">
        <v>1.56094</v>
      </c>
      <c r="I741" s="5">
        <f>I739</f>
        <v>0.96197900000000003</v>
      </c>
      <c r="J741" s="5">
        <v>0.96197900000000003</v>
      </c>
      <c r="K741" s="23"/>
      <c r="L741" s="8"/>
      <c r="M741" s="8"/>
      <c r="N741" s="8"/>
      <c r="O741" s="8"/>
      <c r="P741" s="8"/>
      <c r="Q741" s="23"/>
      <c r="R741" s="113"/>
      <c r="S741" s="113"/>
      <c r="T741" s="113"/>
      <c r="U741" s="113"/>
      <c r="V741" s="113"/>
      <c r="W741" s="113"/>
      <c r="X741" s="5">
        <f t="shared" si="170"/>
        <v>0</v>
      </c>
      <c r="Y741" s="302"/>
      <c r="Z741" s="5"/>
      <c r="AA741" s="94"/>
      <c r="AB741" s="311">
        <f t="shared" si="171"/>
        <v>0.96197900000000003</v>
      </c>
      <c r="AC741" s="296"/>
      <c r="AD741" s="113"/>
      <c r="AE741" s="5"/>
      <c r="AF741" s="5"/>
      <c r="AG741" s="5"/>
      <c r="AH741" s="5"/>
      <c r="AI741" s="5"/>
      <c r="AJ741" s="5"/>
      <c r="AK741" s="141"/>
      <c r="AL741" s="94"/>
      <c r="AM741" s="128"/>
      <c r="AN741" s="180"/>
      <c r="AO741" s="128"/>
      <c r="AP741" s="184"/>
      <c r="AQ741" s="128"/>
      <c r="AR741" s="184"/>
      <c r="AS741" s="128"/>
      <c r="AT741" s="184"/>
      <c r="AU741" s="128"/>
      <c r="AV741" s="184"/>
      <c r="AW741" s="128"/>
      <c r="AX741" s="184"/>
      <c r="AY741" s="111"/>
      <c r="AZ741" s="178"/>
      <c r="BF741" s="113"/>
      <c r="BG741" s="113"/>
      <c r="BH741" s="113"/>
      <c r="BI741" s="113"/>
      <c r="BJ741" s="113"/>
      <c r="BK741" s="113"/>
      <c r="BL741" s="5">
        <f t="shared" si="172"/>
        <v>0</v>
      </c>
    </row>
    <row r="742" spans="1:64" s="203" customFormat="1" ht="51" outlineLevel="1" x14ac:dyDescent="0.2">
      <c r="A742" s="593" t="s">
        <v>872</v>
      </c>
      <c r="B742" s="600" t="s">
        <v>1755</v>
      </c>
      <c r="C742" s="7" t="s">
        <v>542</v>
      </c>
      <c r="D742" s="8" t="s">
        <v>397</v>
      </c>
      <c r="E742" s="23" t="s">
        <v>335</v>
      </c>
      <c r="F742" s="8">
        <v>2013</v>
      </c>
      <c r="G742" s="8">
        <v>2014</v>
      </c>
      <c r="H742" s="5">
        <v>1.5601349999999998</v>
      </c>
      <c r="I742" s="5">
        <v>0.01</v>
      </c>
      <c r="J742" s="5">
        <f>R742</f>
        <v>0.01</v>
      </c>
      <c r="K742" s="23" t="s">
        <v>335</v>
      </c>
      <c r="L742" s="8"/>
      <c r="M742" s="8"/>
      <c r="N742" s="8"/>
      <c r="O742" s="8"/>
      <c r="P742" s="8"/>
      <c r="Q742" s="23" t="s">
        <v>335</v>
      </c>
      <c r="R742" s="113">
        <v>0.01</v>
      </c>
      <c r="S742" s="113"/>
      <c r="T742" s="113"/>
      <c r="U742" s="113"/>
      <c r="V742" s="113"/>
      <c r="W742" s="113"/>
      <c r="X742" s="5">
        <f t="shared" si="170"/>
        <v>0.01</v>
      </c>
      <c r="Y742" s="302">
        <f>H742-H743-H744</f>
        <v>0</v>
      </c>
      <c r="Z742" s="5">
        <f>I742-I743-I744</f>
        <v>0</v>
      </c>
      <c r="AA742" s="94">
        <f>J742-J743-J744</f>
        <v>-9.9999999999999915E-4</v>
      </c>
      <c r="AB742" s="311">
        <f t="shared" si="171"/>
        <v>0</v>
      </c>
      <c r="AC742" s="296"/>
      <c r="AD742" s="113"/>
      <c r="AE742" s="5"/>
      <c r="AF742" s="5">
        <f>H742</f>
        <v>1.5601349999999998</v>
      </c>
      <c r="AG742" s="5"/>
      <c r="AH742" s="5"/>
      <c r="AI742" s="5"/>
      <c r="AJ742" s="5"/>
      <c r="AK742" s="141"/>
      <c r="AL742" s="94">
        <f>SUM(AF742:AK742)</f>
        <v>1.5601349999999998</v>
      </c>
      <c r="AM742" s="128">
        <v>0.1</v>
      </c>
      <c r="AN742" s="180">
        <v>0</v>
      </c>
      <c r="AO742" s="128"/>
      <c r="AP742" s="184"/>
      <c r="AQ742" s="128"/>
      <c r="AR742" s="184"/>
      <c r="AS742" s="128"/>
      <c r="AT742" s="184"/>
      <c r="AU742" s="128"/>
      <c r="AV742" s="184"/>
      <c r="AW742" s="128"/>
      <c r="AX742" s="184"/>
      <c r="AY742" s="111">
        <f>AM742+AO742+AQ742+AS742+AU742+AW742</f>
        <v>0.1</v>
      </c>
      <c r="AZ742" s="178">
        <f>AN742+AP742+AR742+AT742+AV742+AX742</f>
        <v>0</v>
      </c>
      <c r="BF742" s="113">
        <v>0.01</v>
      </c>
      <c r="BG742" s="113"/>
      <c r="BH742" s="113"/>
      <c r="BI742" s="113"/>
      <c r="BJ742" s="113"/>
      <c r="BK742" s="113"/>
      <c r="BL742" s="5">
        <f t="shared" si="172"/>
        <v>0.01</v>
      </c>
    </row>
    <row r="743" spans="1:64" s="203" customFormat="1" ht="15.75" customHeight="1" outlineLevel="1" x14ac:dyDescent="0.2">
      <c r="A743" s="594"/>
      <c r="B743" s="601"/>
      <c r="C743" s="7" t="s">
        <v>1553</v>
      </c>
      <c r="D743" s="8"/>
      <c r="E743" s="23"/>
      <c r="F743" s="8"/>
      <c r="G743" s="8"/>
      <c r="H743" s="5"/>
      <c r="I743" s="5"/>
      <c r="J743" s="5"/>
      <c r="K743" s="8"/>
      <c r="L743" s="23"/>
      <c r="M743" s="8"/>
      <c r="N743" s="8"/>
      <c r="O743" s="8"/>
      <c r="P743" s="8"/>
      <c r="Q743" s="23"/>
      <c r="R743" s="113"/>
      <c r="S743" s="113"/>
      <c r="T743" s="113"/>
      <c r="U743" s="113"/>
      <c r="V743" s="113"/>
      <c r="W743" s="113"/>
      <c r="X743" s="5">
        <f>SUM(R743:W743)</f>
        <v>0</v>
      </c>
      <c r="Y743" s="302"/>
      <c r="Z743" s="5"/>
      <c r="AA743" s="94"/>
      <c r="AB743" s="311">
        <f t="shared" si="171"/>
        <v>0</v>
      </c>
      <c r="AC743" s="296"/>
      <c r="AD743" s="113"/>
      <c r="AE743" s="5"/>
      <c r="AF743" s="5"/>
      <c r="AG743" s="5"/>
      <c r="AH743" s="5"/>
      <c r="AI743" s="5"/>
      <c r="AJ743" s="5"/>
      <c r="AK743" s="141"/>
      <c r="AL743" s="94"/>
      <c r="AM743" s="128"/>
      <c r="AN743" s="180"/>
      <c r="AO743" s="128"/>
      <c r="AP743" s="184"/>
      <c r="AQ743" s="128"/>
      <c r="AR743" s="184"/>
      <c r="AS743" s="128"/>
      <c r="AT743" s="184"/>
      <c r="AU743" s="128"/>
      <c r="AV743" s="184"/>
      <c r="AW743" s="128"/>
      <c r="AX743" s="184"/>
      <c r="AY743" s="111"/>
      <c r="AZ743" s="178"/>
      <c r="BF743" s="113"/>
      <c r="BG743" s="113"/>
      <c r="BH743" s="113"/>
      <c r="BI743" s="113"/>
      <c r="BJ743" s="113"/>
      <c r="BK743" s="113"/>
      <c r="BL743" s="5">
        <f t="shared" si="172"/>
        <v>0</v>
      </c>
    </row>
    <row r="744" spans="1:64" s="204" customFormat="1" ht="15.75" customHeight="1" outlineLevel="1" x14ac:dyDescent="0.2">
      <c r="A744" s="595"/>
      <c r="B744" s="602"/>
      <c r="C744" s="7" t="s">
        <v>1554</v>
      </c>
      <c r="D744" s="8"/>
      <c r="E744" s="23"/>
      <c r="F744" s="8"/>
      <c r="G744" s="8"/>
      <c r="H744" s="5">
        <v>1.5601349999999998</v>
      </c>
      <c r="I744" s="5">
        <v>0.01</v>
      </c>
      <c r="J744" s="5">
        <v>1.0999999999999999E-2</v>
      </c>
      <c r="K744" s="23"/>
      <c r="L744" s="8"/>
      <c r="M744" s="8"/>
      <c r="N744" s="8"/>
      <c r="O744" s="8"/>
      <c r="P744" s="8"/>
      <c r="Q744" s="23"/>
      <c r="R744" s="113"/>
      <c r="S744" s="113"/>
      <c r="T744" s="113"/>
      <c r="U744" s="113"/>
      <c r="V744" s="113"/>
      <c r="W744" s="113"/>
      <c r="X744" s="5">
        <f>SUM(R744:W744)</f>
        <v>0</v>
      </c>
      <c r="Y744" s="302"/>
      <c r="Z744" s="5"/>
      <c r="AA744" s="94"/>
      <c r="AB744" s="311">
        <f t="shared" si="171"/>
        <v>0.01</v>
      </c>
      <c r="AC744" s="296"/>
      <c r="AD744" s="113"/>
      <c r="AE744" s="5"/>
      <c r="AF744" s="5"/>
      <c r="AG744" s="5"/>
      <c r="AH744" s="5"/>
      <c r="AI744" s="5"/>
      <c r="AJ744" s="5"/>
      <c r="AK744" s="141"/>
      <c r="AL744" s="94"/>
      <c r="AM744" s="128"/>
      <c r="AN744" s="180"/>
      <c r="AO744" s="128"/>
      <c r="AP744" s="184"/>
      <c r="AQ744" s="128"/>
      <c r="AR744" s="184"/>
      <c r="AS744" s="128"/>
      <c r="AT744" s="184"/>
      <c r="AU744" s="128"/>
      <c r="AV744" s="184"/>
      <c r="AW744" s="128"/>
      <c r="AX744" s="184"/>
      <c r="AY744" s="111"/>
      <c r="AZ744" s="178"/>
      <c r="BF744" s="113"/>
      <c r="BG744" s="113"/>
      <c r="BH744" s="113"/>
      <c r="BI744" s="113"/>
      <c r="BJ744" s="113"/>
      <c r="BK744" s="113"/>
      <c r="BL744" s="5">
        <f t="shared" si="172"/>
        <v>0</v>
      </c>
    </row>
    <row r="745" spans="1:64" s="204" customFormat="1" ht="76.5" outlineLevel="1" x14ac:dyDescent="0.2">
      <c r="A745" s="593" t="s">
        <v>874</v>
      </c>
      <c r="B745" s="600" t="s">
        <v>871</v>
      </c>
      <c r="C745" s="7" t="s">
        <v>543</v>
      </c>
      <c r="D745" s="8" t="s">
        <v>397</v>
      </c>
      <c r="E745" s="23" t="s">
        <v>335</v>
      </c>
      <c r="F745" s="8">
        <v>2010</v>
      </c>
      <c r="G745" s="8">
        <v>2014</v>
      </c>
      <c r="H745" s="5">
        <v>0.12877</v>
      </c>
      <c r="I745" s="5">
        <v>0.01</v>
      </c>
      <c r="J745" s="5">
        <f>R745</f>
        <v>0.01</v>
      </c>
      <c r="K745" s="23" t="s">
        <v>335</v>
      </c>
      <c r="L745" s="8"/>
      <c r="M745" s="8"/>
      <c r="N745" s="8"/>
      <c r="O745" s="8"/>
      <c r="P745" s="8"/>
      <c r="Q745" s="23" t="s">
        <v>335</v>
      </c>
      <c r="R745" s="113">
        <v>0.01</v>
      </c>
      <c r="S745" s="113"/>
      <c r="T745" s="113"/>
      <c r="U745" s="113"/>
      <c r="V745" s="113"/>
      <c r="W745" s="113"/>
      <c r="X745" s="5">
        <f t="shared" si="170"/>
        <v>0.01</v>
      </c>
      <c r="Y745" s="302">
        <f>H745-H746-H747</f>
        <v>0</v>
      </c>
      <c r="Z745" s="5">
        <f>I745-I746-I747</f>
        <v>0</v>
      </c>
      <c r="AA745" s="94">
        <f>J745-J746-J747</f>
        <v>-9.9999999999999915E-4</v>
      </c>
      <c r="AB745" s="311">
        <f t="shared" si="171"/>
        <v>0</v>
      </c>
      <c r="AC745" s="296"/>
      <c r="AD745" s="113"/>
      <c r="AE745" s="5"/>
      <c r="AF745" s="5">
        <f>H745</f>
        <v>0.12877</v>
      </c>
      <c r="AG745" s="5"/>
      <c r="AH745" s="5"/>
      <c r="AI745" s="5"/>
      <c r="AJ745" s="5"/>
      <c r="AK745" s="141"/>
      <c r="AL745" s="94">
        <f>SUM(AF745:AK745)</f>
        <v>0.12877</v>
      </c>
      <c r="AM745" s="128">
        <v>0.1</v>
      </c>
      <c r="AN745" s="180">
        <v>0</v>
      </c>
      <c r="AO745" s="128"/>
      <c r="AP745" s="184"/>
      <c r="AQ745" s="128"/>
      <c r="AR745" s="184"/>
      <c r="AS745" s="128"/>
      <c r="AT745" s="184"/>
      <c r="AU745" s="128"/>
      <c r="AV745" s="184"/>
      <c r="AW745" s="128"/>
      <c r="AX745" s="184"/>
      <c r="AY745" s="111">
        <f>AM745+AO745+AQ745+AS745+AU745+AW745</f>
        <v>0.1</v>
      </c>
      <c r="AZ745" s="178">
        <f>AN745+AP745+AR745+AT745+AV745+AX745</f>
        <v>0</v>
      </c>
      <c r="BF745" s="113">
        <v>0.01</v>
      </c>
      <c r="BG745" s="113"/>
      <c r="BH745" s="113"/>
      <c r="BI745" s="113"/>
      <c r="BJ745" s="113"/>
      <c r="BK745" s="113"/>
      <c r="BL745" s="5">
        <f t="shared" si="172"/>
        <v>0.01</v>
      </c>
    </row>
    <row r="746" spans="1:64" s="204" customFormat="1" ht="15.75" customHeight="1" outlineLevel="1" x14ac:dyDescent="0.2">
      <c r="A746" s="594"/>
      <c r="B746" s="601"/>
      <c r="C746" s="7" t="s">
        <v>1553</v>
      </c>
      <c r="D746" s="8"/>
      <c r="E746" s="23"/>
      <c r="F746" s="8"/>
      <c r="G746" s="8"/>
      <c r="H746" s="5"/>
      <c r="I746" s="5"/>
      <c r="J746" s="5"/>
      <c r="K746" s="8"/>
      <c r="L746" s="23"/>
      <c r="M746" s="8"/>
      <c r="N746" s="8"/>
      <c r="O746" s="8"/>
      <c r="P746" s="8"/>
      <c r="Q746" s="23"/>
      <c r="R746" s="113"/>
      <c r="S746" s="113"/>
      <c r="T746" s="113"/>
      <c r="U746" s="113"/>
      <c r="V746" s="113"/>
      <c r="W746" s="113"/>
      <c r="X746" s="5">
        <f t="shared" si="170"/>
        <v>0</v>
      </c>
      <c r="Y746" s="302"/>
      <c r="Z746" s="5"/>
      <c r="AA746" s="94"/>
      <c r="AB746" s="311">
        <f t="shared" si="171"/>
        <v>0</v>
      </c>
      <c r="AC746" s="296"/>
      <c r="AD746" s="113"/>
      <c r="AE746" s="5"/>
      <c r="AF746" s="5"/>
      <c r="AG746" s="5"/>
      <c r="AH746" s="5"/>
      <c r="AI746" s="5"/>
      <c r="AJ746" s="5"/>
      <c r="AK746" s="141"/>
      <c r="AL746" s="94"/>
      <c r="AM746" s="128"/>
      <c r="AN746" s="180"/>
      <c r="AO746" s="128"/>
      <c r="AP746" s="184"/>
      <c r="AQ746" s="128"/>
      <c r="AR746" s="184"/>
      <c r="AS746" s="128"/>
      <c r="AT746" s="184"/>
      <c r="AU746" s="128"/>
      <c r="AV746" s="184"/>
      <c r="AW746" s="128"/>
      <c r="AX746" s="184"/>
      <c r="AY746" s="111"/>
      <c r="AZ746" s="178"/>
      <c r="BF746" s="113"/>
      <c r="BG746" s="113"/>
      <c r="BH746" s="113"/>
      <c r="BI746" s="113"/>
      <c r="BJ746" s="113"/>
      <c r="BK746" s="113"/>
      <c r="BL746" s="5">
        <f t="shared" si="172"/>
        <v>0</v>
      </c>
    </row>
    <row r="747" spans="1:64" s="204" customFormat="1" ht="15.75" customHeight="1" outlineLevel="1" x14ac:dyDescent="0.2">
      <c r="A747" s="595"/>
      <c r="B747" s="602"/>
      <c r="C747" s="7" t="s">
        <v>1554</v>
      </c>
      <c r="D747" s="8"/>
      <c r="E747" s="23"/>
      <c r="F747" s="8"/>
      <c r="G747" s="8"/>
      <c r="H747" s="5">
        <v>0.12877</v>
      </c>
      <c r="I747" s="5">
        <v>0.01</v>
      </c>
      <c r="J747" s="5">
        <v>1.0999999999999999E-2</v>
      </c>
      <c r="K747" s="23"/>
      <c r="L747" s="8"/>
      <c r="M747" s="8"/>
      <c r="N747" s="8"/>
      <c r="O747" s="8"/>
      <c r="P747" s="8"/>
      <c r="Q747" s="23"/>
      <c r="R747" s="113"/>
      <c r="S747" s="113"/>
      <c r="T747" s="113"/>
      <c r="U747" s="113"/>
      <c r="V747" s="113"/>
      <c r="W747" s="113"/>
      <c r="X747" s="5">
        <f t="shared" si="170"/>
        <v>0</v>
      </c>
      <c r="Y747" s="302"/>
      <c r="Z747" s="5"/>
      <c r="AA747" s="94"/>
      <c r="AB747" s="311">
        <f t="shared" si="171"/>
        <v>0.01</v>
      </c>
      <c r="AC747" s="296"/>
      <c r="AD747" s="113"/>
      <c r="AE747" s="5"/>
      <c r="AF747" s="5"/>
      <c r="AG747" s="5"/>
      <c r="AH747" s="5"/>
      <c r="AI747" s="5"/>
      <c r="AJ747" s="5"/>
      <c r="AK747" s="141"/>
      <c r="AL747" s="94"/>
      <c r="AM747" s="128"/>
      <c r="AN747" s="180"/>
      <c r="AO747" s="128"/>
      <c r="AP747" s="184"/>
      <c r="AQ747" s="128"/>
      <c r="AR747" s="184"/>
      <c r="AS747" s="128"/>
      <c r="AT747" s="184"/>
      <c r="AU747" s="128"/>
      <c r="AV747" s="184"/>
      <c r="AW747" s="128"/>
      <c r="AX747" s="184"/>
      <c r="AY747" s="111"/>
      <c r="AZ747" s="178"/>
      <c r="BF747" s="113"/>
      <c r="BG747" s="113"/>
      <c r="BH747" s="113"/>
      <c r="BI747" s="113"/>
      <c r="BJ747" s="113"/>
      <c r="BK747" s="113"/>
      <c r="BL747" s="5">
        <f t="shared" si="172"/>
        <v>0</v>
      </c>
    </row>
    <row r="748" spans="1:64" s="204" customFormat="1" ht="76.5" outlineLevel="1" x14ac:dyDescent="0.2">
      <c r="A748" s="593" t="s">
        <v>876</v>
      </c>
      <c r="B748" s="600" t="s">
        <v>873</v>
      </c>
      <c r="C748" s="7" t="s">
        <v>544</v>
      </c>
      <c r="D748" s="8" t="s">
        <v>397</v>
      </c>
      <c r="E748" s="23" t="s">
        <v>347</v>
      </c>
      <c r="F748" s="8">
        <v>2010</v>
      </c>
      <c r="G748" s="8">
        <v>2014</v>
      </c>
      <c r="H748" s="5">
        <v>6.747800000000001E-2</v>
      </c>
      <c r="I748" s="5">
        <v>0.01</v>
      </c>
      <c r="J748" s="5">
        <f>R748</f>
        <v>0.01</v>
      </c>
      <c r="K748" s="23" t="s">
        <v>347</v>
      </c>
      <c r="L748" s="8"/>
      <c r="M748" s="8"/>
      <c r="N748" s="8"/>
      <c r="O748" s="8"/>
      <c r="P748" s="8"/>
      <c r="Q748" s="23" t="s">
        <v>347</v>
      </c>
      <c r="R748" s="113">
        <v>0.01</v>
      </c>
      <c r="S748" s="113"/>
      <c r="T748" s="113"/>
      <c r="U748" s="113"/>
      <c r="V748" s="113"/>
      <c r="W748" s="113"/>
      <c r="X748" s="5">
        <f t="shared" si="170"/>
        <v>0.01</v>
      </c>
      <c r="Y748" s="302">
        <f>H748-H749-H750</f>
        <v>0</v>
      </c>
      <c r="Z748" s="5">
        <f>I748-I749-I750</f>
        <v>0</v>
      </c>
      <c r="AA748" s="94">
        <f>J748-J749-J750</f>
        <v>-9.9999999999999915E-4</v>
      </c>
      <c r="AB748" s="311">
        <f t="shared" si="171"/>
        <v>0</v>
      </c>
      <c r="AC748" s="296"/>
      <c r="AD748" s="113"/>
      <c r="AE748" s="5"/>
      <c r="AF748" s="5">
        <f>H748</f>
        <v>6.747800000000001E-2</v>
      </c>
      <c r="AG748" s="5"/>
      <c r="AH748" s="5"/>
      <c r="AI748" s="5"/>
      <c r="AJ748" s="5"/>
      <c r="AK748" s="141"/>
      <c r="AL748" s="94">
        <f>SUM(AF748:AK748)</f>
        <v>6.747800000000001E-2</v>
      </c>
      <c r="AM748" s="128">
        <v>0.05</v>
      </c>
      <c r="AN748" s="180">
        <v>0</v>
      </c>
      <c r="AO748" s="128"/>
      <c r="AP748" s="184"/>
      <c r="AQ748" s="128"/>
      <c r="AR748" s="184"/>
      <c r="AS748" s="128"/>
      <c r="AT748" s="184"/>
      <c r="AU748" s="128"/>
      <c r="AV748" s="184"/>
      <c r="AW748" s="128"/>
      <c r="AX748" s="184"/>
      <c r="AY748" s="111">
        <f>AM748+AO748+AQ748+AS748+AU748+AW748</f>
        <v>0.05</v>
      </c>
      <c r="AZ748" s="178">
        <f>AN748+AP748+AR748+AT748+AV748+AX748</f>
        <v>0</v>
      </c>
      <c r="BF748" s="113">
        <v>0.01</v>
      </c>
      <c r="BG748" s="113"/>
      <c r="BH748" s="113"/>
      <c r="BI748" s="113"/>
      <c r="BJ748" s="113"/>
      <c r="BK748" s="113"/>
      <c r="BL748" s="5">
        <f t="shared" si="172"/>
        <v>0.01</v>
      </c>
    </row>
    <row r="749" spans="1:64" s="204" customFormat="1" ht="15.75" customHeight="1" outlineLevel="1" x14ac:dyDescent="0.2">
      <c r="A749" s="594"/>
      <c r="B749" s="601"/>
      <c r="C749" s="7" t="s">
        <v>1553</v>
      </c>
      <c r="D749" s="8"/>
      <c r="E749" s="23"/>
      <c r="F749" s="8"/>
      <c r="G749" s="8"/>
      <c r="H749" s="5"/>
      <c r="I749" s="5"/>
      <c r="J749" s="5"/>
      <c r="K749" s="8"/>
      <c r="L749" s="23"/>
      <c r="M749" s="8"/>
      <c r="N749" s="8"/>
      <c r="O749" s="8"/>
      <c r="P749" s="8"/>
      <c r="Q749" s="23"/>
      <c r="R749" s="113"/>
      <c r="S749" s="113"/>
      <c r="T749" s="113"/>
      <c r="U749" s="113"/>
      <c r="V749" s="113"/>
      <c r="W749" s="113"/>
      <c r="X749" s="5">
        <f>SUM(R749:W749)</f>
        <v>0</v>
      </c>
      <c r="Y749" s="302"/>
      <c r="Z749" s="5"/>
      <c r="AA749" s="94"/>
      <c r="AB749" s="311">
        <f t="shared" si="171"/>
        <v>0</v>
      </c>
      <c r="AC749" s="296"/>
      <c r="AD749" s="113"/>
      <c r="AE749" s="5"/>
      <c r="AF749" s="5"/>
      <c r="AG749" s="5"/>
      <c r="AH749" s="5"/>
      <c r="AI749" s="5"/>
      <c r="AJ749" s="5"/>
      <c r="AK749" s="141"/>
      <c r="AL749" s="94"/>
      <c r="AM749" s="128"/>
      <c r="AN749" s="180"/>
      <c r="AO749" s="128"/>
      <c r="AP749" s="184"/>
      <c r="AQ749" s="128"/>
      <c r="AR749" s="184"/>
      <c r="AS749" s="128"/>
      <c r="AT749" s="184"/>
      <c r="AU749" s="128"/>
      <c r="AV749" s="184"/>
      <c r="AW749" s="128"/>
      <c r="AX749" s="184"/>
      <c r="AY749" s="111"/>
      <c r="AZ749" s="178"/>
      <c r="BF749" s="113"/>
      <c r="BG749" s="113"/>
      <c r="BH749" s="113"/>
      <c r="BI749" s="113"/>
      <c r="BJ749" s="113"/>
      <c r="BK749" s="113"/>
      <c r="BL749" s="5">
        <f t="shared" si="172"/>
        <v>0</v>
      </c>
    </row>
    <row r="750" spans="1:64" s="204" customFormat="1" ht="15.75" customHeight="1" outlineLevel="1" x14ac:dyDescent="0.2">
      <c r="A750" s="595"/>
      <c r="B750" s="602"/>
      <c r="C750" s="7" t="s">
        <v>1554</v>
      </c>
      <c r="D750" s="8"/>
      <c r="E750" s="23"/>
      <c r="F750" s="8"/>
      <c r="G750" s="8"/>
      <c r="H750" s="5">
        <v>6.747800000000001E-2</v>
      </c>
      <c r="I750" s="5">
        <v>0.01</v>
      </c>
      <c r="J750" s="5">
        <v>1.0999999999999999E-2</v>
      </c>
      <c r="K750" s="23"/>
      <c r="L750" s="8"/>
      <c r="M750" s="8"/>
      <c r="N750" s="8"/>
      <c r="O750" s="8"/>
      <c r="P750" s="8"/>
      <c r="Q750" s="23"/>
      <c r="R750" s="113"/>
      <c r="S750" s="113"/>
      <c r="T750" s="113"/>
      <c r="U750" s="113"/>
      <c r="V750" s="113"/>
      <c r="W750" s="113"/>
      <c r="X750" s="5">
        <f>SUM(R750:W750)</f>
        <v>0</v>
      </c>
      <c r="Y750" s="302"/>
      <c r="Z750" s="5"/>
      <c r="AA750" s="94"/>
      <c r="AB750" s="311">
        <f t="shared" si="171"/>
        <v>0.01</v>
      </c>
      <c r="AC750" s="296"/>
      <c r="AD750" s="113"/>
      <c r="AE750" s="5"/>
      <c r="AF750" s="5"/>
      <c r="AG750" s="5"/>
      <c r="AH750" s="5"/>
      <c r="AI750" s="5"/>
      <c r="AJ750" s="5"/>
      <c r="AK750" s="141"/>
      <c r="AL750" s="94"/>
      <c r="AM750" s="128"/>
      <c r="AN750" s="180"/>
      <c r="AO750" s="128"/>
      <c r="AP750" s="184"/>
      <c r="AQ750" s="128"/>
      <c r="AR750" s="184"/>
      <c r="AS750" s="128"/>
      <c r="AT750" s="184"/>
      <c r="AU750" s="128"/>
      <c r="AV750" s="184"/>
      <c r="AW750" s="128"/>
      <c r="AX750" s="184"/>
      <c r="AY750" s="111"/>
      <c r="AZ750" s="178"/>
      <c r="BF750" s="113"/>
      <c r="BG750" s="113"/>
      <c r="BH750" s="113"/>
      <c r="BI750" s="113"/>
      <c r="BJ750" s="113"/>
      <c r="BK750" s="113"/>
      <c r="BL750" s="5">
        <f t="shared" si="172"/>
        <v>0</v>
      </c>
    </row>
    <row r="751" spans="1:64" s="81" customFormat="1" ht="114.75" outlineLevel="1" x14ac:dyDescent="0.2">
      <c r="A751" s="593" t="s">
        <v>880</v>
      </c>
      <c r="B751" s="600" t="s">
        <v>875</v>
      </c>
      <c r="C751" s="7" t="s">
        <v>545</v>
      </c>
      <c r="D751" s="8" t="s">
        <v>397</v>
      </c>
      <c r="E751" s="23" t="s">
        <v>340</v>
      </c>
      <c r="F751" s="8">
        <v>2011</v>
      </c>
      <c r="G751" s="8">
        <v>2014</v>
      </c>
      <c r="H751" s="5">
        <v>1.0054959999999999</v>
      </c>
      <c r="I751" s="5">
        <v>0.01</v>
      </c>
      <c r="J751" s="5">
        <f>R751</f>
        <v>0.01</v>
      </c>
      <c r="K751" s="23" t="s">
        <v>340</v>
      </c>
      <c r="L751" s="8"/>
      <c r="M751" s="8"/>
      <c r="N751" s="8"/>
      <c r="O751" s="8"/>
      <c r="P751" s="8"/>
      <c r="Q751" s="23" t="s">
        <v>340</v>
      </c>
      <c r="R751" s="113">
        <v>0.01</v>
      </c>
      <c r="S751" s="113"/>
      <c r="T751" s="113"/>
      <c r="U751" s="113"/>
      <c r="V751" s="113"/>
      <c r="W751" s="113"/>
      <c r="X751" s="5">
        <f t="shared" si="170"/>
        <v>0.01</v>
      </c>
      <c r="Y751" s="302">
        <f>H751-H752-H753</f>
        <v>0</v>
      </c>
      <c r="Z751" s="5">
        <f>I751-I752-I753</f>
        <v>0</v>
      </c>
      <c r="AA751" s="94">
        <f>J751-J752-J753</f>
        <v>-9.9999999999999915E-4</v>
      </c>
      <c r="AB751" s="311">
        <f t="shared" si="171"/>
        <v>0</v>
      </c>
      <c r="AC751" s="296"/>
      <c r="AD751" s="113"/>
      <c r="AE751" s="5"/>
      <c r="AF751" s="5">
        <f>H751</f>
        <v>1.0054959999999999</v>
      </c>
      <c r="AG751" s="5"/>
      <c r="AH751" s="5"/>
      <c r="AI751" s="5"/>
      <c r="AJ751" s="5"/>
      <c r="AK751" s="141"/>
      <c r="AL751" s="94">
        <f>SUM(AF751:AK751)</f>
        <v>1.0054959999999999</v>
      </c>
      <c r="AM751" s="128">
        <v>0.2</v>
      </c>
      <c r="AN751" s="180">
        <v>0</v>
      </c>
      <c r="AO751" s="128"/>
      <c r="AP751" s="184"/>
      <c r="AQ751" s="128"/>
      <c r="AR751" s="184"/>
      <c r="AS751" s="128"/>
      <c r="AT751" s="184"/>
      <c r="AU751" s="128"/>
      <c r="AV751" s="184"/>
      <c r="AW751" s="128"/>
      <c r="AX751" s="184"/>
      <c r="AY751" s="111">
        <f>AM751+AO751+AQ751+AS751+AU751+AW751</f>
        <v>0.2</v>
      </c>
      <c r="AZ751" s="178">
        <f>AN751+AP751+AR751+AT751+AV751+AX751</f>
        <v>0</v>
      </c>
      <c r="BC751" s="204"/>
      <c r="BD751" s="204"/>
      <c r="BF751" s="113">
        <v>0.01</v>
      </c>
      <c r="BG751" s="113"/>
      <c r="BH751" s="113"/>
      <c r="BI751" s="113"/>
      <c r="BJ751" s="113"/>
      <c r="BK751" s="113"/>
      <c r="BL751" s="5">
        <f t="shared" si="172"/>
        <v>0.01</v>
      </c>
    </row>
    <row r="752" spans="1:64" s="81" customFormat="1" ht="15.75" customHeight="1" outlineLevel="1" x14ac:dyDescent="0.2">
      <c r="A752" s="594"/>
      <c r="B752" s="601"/>
      <c r="C752" s="7" t="s">
        <v>1553</v>
      </c>
      <c r="D752" s="8"/>
      <c r="E752" s="23"/>
      <c r="F752" s="8"/>
      <c r="G752" s="8"/>
      <c r="H752" s="5"/>
      <c r="I752" s="5"/>
      <c r="J752" s="5"/>
      <c r="K752" s="8"/>
      <c r="L752" s="23"/>
      <c r="M752" s="8"/>
      <c r="N752" s="8"/>
      <c r="O752" s="8"/>
      <c r="P752" s="8"/>
      <c r="Q752" s="23"/>
      <c r="R752" s="113"/>
      <c r="S752" s="113"/>
      <c r="T752" s="113"/>
      <c r="U752" s="113"/>
      <c r="V752" s="113"/>
      <c r="W752" s="113"/>
      <c r="X752" s="5">
        <f t="shared" si="170"/>
        <v>0</v>
      </c>
      <c r="Y752" s="302"/>
      <c r="Z752" s="5"/>
      <c r="AA752" s="94"/>
      <c r="AB752" s="311">
        <f t="shared" si="171"/>
        <v>0</v>
      </c>
      <c r="AC752" s="296"/>
      <c r="AD752" s="113"/>
      <c r="AE752" s="5"/>
      <c r="AF752" s="5"/>
      <c r="AG752" s="5"/>
      <c r="AH752" s="5"/>
      <c r="AI752" s="5"/>
      <c r="AJ752" s="5"/>
      <c r="AK752" s="141"/>
      <c r="AL752" s="94"/>
      <c r="AM752" s="128"/>
      <c r="AN752" s="180"/>
      <c r="AO752" s="128"/>
      <c r="AP752" s="184"/>
      <c r="AQ752" s="128"/>
      <c r="AR752" s="184"/>
      <c r="AS752" s="128"/>
      <c r="AT752" s="184"/>
      <c r="AU752" s="128"/>
      <c r="AV752" s="184"/>
      <c r="AW752" s="128"/>
      <c r="AX752" s="184"/>
      <c r="AY752" s="111"/>
      <c r="AZ752" s="178"/>
      <c r="BC752" s="204"/>
      <c r="BD752" s="204"/>
      <c r="BF752" s="113"/>
      <c r="BG752" s="113"/>
      <c r="BH752" s="113"/>
      <c r="BI752" s="113"/>
      <c r="BJ752" s="113"/>
      <c r="BK752" s="113"/>
      <c r="BL752" s="5">
        <f t="shared" si="172"/>
        <v>0</v>
      </c>
    </row>
    <row r="753" spans="1:64" s="81" customFormat="1" ht="15.75" customHeight="1" outlineLevel="1" x14ac:dyDescent="0.2">
      <c r="A753" s="595"/>
      <c r="B753" s="602"/>
      <c r="C753" s="7" t="s">
        <v>1554</v>
      </c>
      <c r="D753" s="8"/>
      <c r="E753" s="23"/>
      <c r="F753" s="8"/>
      <c r="G753" s="8"/>
      <c r="H753" s="5">
        <v>1.0054959999999999</v>
      </c>
      <c r="I753" s="5">
        <f>I751</f>
        <v>0.01</v>
      </c>
      <c r="J753" s="5">
        <v>1.0999999999999999E-2</v>
      </c>
      <c r="K753" s="23"/>
      <c r="L753" s="8"/>
      <c r="M753" s="8"/>
      <c r="N753" s="8"/>
      <c r="O753" s="8"/>
      <c r="P753" s="8"/>
      <c r="Q753" s="23"/>
      <c r="R753" s="113"/>
      <c r="S753" s="113"/>
      <c r="T753" s="113"/>
      <c r="U753" s="113"/>
      <c r="V753" s="113"/>
      <c r="W753" s="113"/>
      <c r="X753" s="5">
        <f t="shared" si="170"/>
        <v>0</v>
      </c>
      <c r="Y753" s="302"/>
      <c r="Z753" s="5"/>
      <c r="AA753" s="94"/>
      <c r="AB753" s="311">
        <f t="shared" si="171"/>
        <v>0.01</v>
      </c>
      <c r="AC753" s="296"/>
      <c r="AD753" s="113"/>
      <c r="AE753" s="5"/>
      <c r="AF753" s="5"/>
      <c r="AG753" s="5"/>
      <c r="AH753" s="5"/>
      <c r="AI753" s="5"/>
      <c r="AJ753" s="5"/>
      <c r="AK753" s="141"/>
      <c r="AL753" s="94"/>
      <c r="AM753" s="128"/>
      <c r="AN753" s="180"/>
      <c r="AO753" s="128"/>
      <c r="AP753" s="184"/>
      <c r="AQ753" s="128"/>
      <c r="AR753" s="184"/>
      <c r="AS753" s="128"/>
      <c r="AT753" s="184"/>
      <c r="AU753" s="128"/>
      <c r="AV753" s="184"/>
      <c r="AW753" s="128"/>
      <c r="AX753" s="184"/>
      <c r="AY753" s="111"/>
      <c r="AZ753" s="178"/>
      <c r="BC753" s="204"/>
      <c r="BD753" s="204"/>
      <c r="BF753" s="113"/>
      <c r="BG753" s="113"/>
      <c r="BH753" s="113"/>
      <c r="BI753" s="113"/>
      <c r="BJ753" s="113"/>
      <c r="BK753" s="113"/>
      <c r="BL753" s="5">
        <f t="shared" si="172"/>
        <v>0</v>
      </c>
    </row>
    <row r="754" spans="1:64" s="81" customFormat="1" ht="89.25" outlineLevel="1" x14ac:dyDescent="0.2">
      <c r="A754" s="593" t="s">
        <v>882</v>
      </c>
      <c r="B754" s="600" t="s">
        <v>877</v>
      </c>
      <c r="C754" s="7" t="s">
        <v>610</v>
      </c>
      <c r="D754" s="8" t="s">
        <v>397</v>
      </c>
      <c r="E754" s="23" t="s">
        <v>333</v>
      </c>
      <c r="F754" s="8">
        <v>2010</v>
      </c>
      <c r="G754" s="8">
        <v>2014</v>
      </c>
      <c r="H754" s="5">
        <v>0.69660752000000004</v>
      </c>
      <c r="I754" s="5">
        <v>0.01</v>
      </c>
      <c r="J754" s="5">
        <f>R754</f>
        <v>0.01</v>
      </c>
      <c r="K754" s="23" t="s">
        <v>333</v>
      </c>
      <c r="L754" s="8"/>
      <c r="M754" s="8"/>
      <c r="N754" s="8"/>
      <c r="O754" s="8"/>
      <c r="P754" s="8"/>
      <c r="Q754" s="23" t="s">
        <v>333</v>
      </c>
      <c r="R754" s="113">
        <v>0.01</v>
      </c>
      <c r="S754" s="113"/>
      <c r="T754" s="113"/>
      <c r="U754" s="113"/>
      <c r="V754" s="113"/>
      <c r="W754" s="113"/>
      <c r="X754" s="5">
        <f t="shared" si="170"/>
        <v>0.01</v>
      </c>
      <c r="Y754" s="302">
        <f>H754-H755-H756</f>
        <v>0</v>
      </c>
      <c r="Z754" s="5">
        <f>I754-I755-I756</f>
        <v>0</v>
      </c>
      <c r="AA754" s="94">
        <f>J754-J755-J756</f>
        <v>0</v>
      </c>
      <c r="AB754" s="311">
        <f t="shared" si="171"/>
        <v>0</v>
      </c>
      <c r="AC754" s="296"/>
      <c r="AD754" s="113"/>
      <c r="AE754" s="5"/>
      <c r="AF754" s="5">
        <f>H754</f>
        <v>0.69660752000000004</v>
      </c>
      <c r="AG754" s="5"/>
      <c r="AH754" s="5"/>
      <c r="AI754" s="5"/>
      <c r="AJ754" s="5"/>
      <c r="AK754" s="141"/>
      <c r="AL754" s="94">
        <f>SUM(AF754:AK754)</f>
        <v>0.69660752000000004</v>
      </c>
      <c r="AM754" s="128">
        <v>0.3</v>
      </c>
      <c r="AN754" s="180">
        <v>0</v>
      </c>
      <c r="AO754" s="128"/>
      <c r="AP754" s="184"/>
      <c r="AQ754" s="128"/>
      <c r="AR754" s="184"/>
      <c r="AS754" s="128"/>
      <c r="AT754" s="184"/>
      <c r="AU754" s="128"/>
      <c r="AV754" s="184"/>
      <c r="AW754" s="128"/>
      <c r="AX754" s="184"/>
      <c r="AY754" s="111">
        <f>AM754+AO754+AQ754+AS754+AU754+AW754</f>
        <v>0.3</v>
      </c>
      <c r="AZ754" s="178">
        <f>AN754+AP754+AR754+AT754+AV754+AX754</f>
        <v>0</v>
      </c>
      <c r="BC754" s="204"/>
      <c r="BD754" s="204"/>
      <c r="BF754" s="113">
        <v>0.01</v>
      </c>
      <c r="BG754" s="113"/>
      <c r="BH754" s="113"/>
      <c r="BI754" s="113"/>
      <c r="BJ754" s="113"/>
      <c r="BK754" s="113"/>
      <c r="BL754" s="5">
        <f t="shared" si="172"/>
        <v>0.01</v>
      </c>
    </row>
    <row r="755" spans="1:64" s="81" customFormat="1" ht="15.75" customHeight="1" outlineLevel="1" x14ac:dyDescent="0.2">
      <c r="A755" s="594"/>
      <c r="B755" s="601"/>
      <c r="C755" s="7" t="s">
        <v>1553</v>
      </c>
      <c r="D755" s="8"/>
      <c r="E755" s="23"/>
      <c r="F755" s="8"/>
      <c r="G755" s="8"/>
      <c r="H755" s="5"/>
      <c r="I755" s="5"/>
      <c r="J755" s="5"/>
      <c r="K755" s="8"/>
      <c r="L755" s="23"/>
      <c r="M755" s="8"/>
      <c r="N755" s="8"/>
      <c r="O755" s="8"/>
      <c r="P755" s="8"/>
      <c r="Q755" s="23"/>
      <c r="R755" s="113"/>
      <c r="S755" s="113"/>
      <c r="T755" s="113"/>
      <c r="U755" s="113"/>
      <c r="V755" s="113"/>
      <c r="W755" s="113"/>
      <c r="X755" s="5">
        <f>SUM(R755:W755)</f>
        <v>0</v>
      </c>
      <c r="Y755" s="302"/>
      <c r="Z755" s="5"/>
      <c r="AA755" s="94"/>
      <c r="AB755" s="311">
        <f t="shared" si="171"/>
        <v>0</v>
      </c>
      <c r="AC755" s="296"/>
      <c r="AD755" s="113"/>
      <c r="AE755" s="5"/>
      <c r="AF755" s="5"/>
      <c r="AG755" s="5"/>
      <c r="AH755" s="5"/>
      <c r="AI755" s="5"/>
      <c r="AJ755" s="5"/>
      <c r="AK755" s="141"/>
      <c r="AL755" s="94"/>
      <c r="AM755" s="128"/>
      <c r="AN755" s="180"/>
      <c r="AO755" s="128"/>
      <c r="AP755" s="184"/>
      <c r="AQ755" s="128"/>
      <c r="AR755" s="184"/>
      <c r="AS755" s="128"/>
      <c r="AT755" s="184"/>
      <c r="AU755" s="128"/>
      <c r="AV755" s="184"/>
      <c r="AW755" s="128"/>
      <c r="AX755" s="184"/>
      <c r="AY755" s="111"/>
      <c r="AZ755" s="178"/>
      <c r="BC755" s="204"/>
      <c r="BD755" s="204"/>
      <c r="BF755" s="113"/>
      <c r="BG755" s="113"/>
      <c r="BH755" s="113"/>
      <c r="BI755" s="113"/>
      <c r="BJ755" s="113"/>
      <c r="BK755" s="113"/>
      <c r="BL755" s="5">
        <f t="shared" si="172"/>
        <v>0</v>
      </c>
    </row>
    <row r="756" spans="1:64" s="81" customFormat="1" ht="15.75" customHeight="1" outlineLevel="1" x14ac:dyDescent="0.2">
      <c r="A756" s="595"/>
      <c r="B756" s="602"/>
      <c r="C756" s="7" t="s">
        <v>1554</v>
      </c>
      <c r="D756" s="8"/>
      <c r="E756" s="23"/>
      <c r="F756" s="8"/>
      <c r="G756" s="8"/>
      <c r="H756" s="5">
        <f>H754</f>
        <v>0.69660752000000004</v>
      </c>
      <c r="I756" s="5">
        <f>I754</f>
        <v>0.01</v>
      </c>
      <c r="J756" s="5">
        <f>J754</f>
        <v>0.01</v>
      </c>
      <c r="K756" s="23"/>
      <c r="L756" s="8"/>
      <c r="M756" s="8"/>
      <c r="N756" s="8"/>
      <c r="O756" s="8"/>
      <c r="P756" s="8"/>
      <c r="Q756" s="23"/>
      <c r="R756" s="113"/>
      <c r="S756" s="113"/>
      <c r="T756" s="113"/>
      <c r="U756" s="113"/>
      <c r="V756" s="113"/>
      <c r="W756" s="113"/>
      <c r="X756" s="5">
        <f>SUM(R756:W756)</f>
        <v>0</v>
      </c>
      <c r="Y756" s="302"/>
      <c r="Z756" s="5"/>
      <c r="AA756" s="94"/>
      <c r="AB756" s="311">
        <f t="shared" si="171"/>
        <v>0.01</v>
      </c>
      <c r="AC756" s="296"/>
      <c r="AD756" s="113"/>
      <c r="AE756" s="5"/>
      <c r="AF756" s="5"/>
      <c r="AG756" s="5"/>
      <c r="AH756" s="5"/>
      <c r="AI756" s="5"/>
      <c r="AJ756" s="5"/>
      <c r="AK756" s="141"/>
      <c r="AL756" s="94"/>
      <c r="AM756" s="128"/>
      <c r="AN756" s="180"/>
      <c r="AO756" s="128"/>
      <c r="AP756" s="184"/>
      <c r="AQ756" s="128"/>
      <c r="AR756" s="184"/>
      <c r="AS756" s="128"/>
      <c r="AT756" s="184"/>
      <c r="AU756" s="128"/>
      <c r="AV756" s="184"/>
      <c r="AW756" s="128"/>
      <c r="AX756" s="184"/>
      <c r="AY756" s="111"/>
      <c r="AZ756" s="178"/>
      <c r="BC756" s="204"/>
      <c r="BD756" s="204"/>
      <c r="BF756" s="113"/>
      <c r="BG756" s="113"/>
      <c r="BH756" s="113"/>
      <c r="BI756" s="113"/>
      <c r="BJ756" s="113"/>
      <c r="BK756" s="113"/>
      <c r="BL756" s="5">
        <f t="shared" si="172"/>
        <v>0</v>
      </c>
    </row>
    <row r="757" spans="1:64" s="81" customFormat="1" ht="51" outlineLevel="1" x14ac:dyDescent="0.2">
      <c r="A757" s="593" t="s">
        <v>884</v>
      </c>
      <c r="B757" s="600" t="s">
        <v>878</v>
      </c>
      <c r="C757" s="7" t="s">
        <v>885</v>
      </c>
      <c r="D757" s="8" t="s">
        <v>397</v>
      </c>
      <c r="E757" s="23" t="s">
        <v>1387</v>
      </c>
      <c r="F757" s="8">
        <v>2009</v>
      </c>
      <c r="G757" s="8">
        <v>2014</v>
      </c>
      <c r="H757" s="5">
        <v>1.2756871399999998</v>
      </c>
      <c r="I757" s="5">
        <v>0.01</v>
      </c>
      <c r="J757" s="5">
        <f>R757</f>
        <v>0.01</v>
      </c>
      <c r="K757" s="23" t="s">
        <v>1387</v>
      </c>
      <c r="L757" s="8"/>
      <c r="M757" s="8"/>
      <c r="N757" s="8"/>
      <c r="O757" s="8"/>
      <c r="P757" s="8"/>
      <c r="Q757" s="23" t="s">
        <v>1387</v>
      </c>
      <c r="R757" s="113">
        <v>0.01</v>
      </c>
      <c r="S757" s="113"/>
      <c r="T757" s="113"/>
      <c r="U757" s="113"/>
      <c r="V757" s="113"/>
      <c r="W757" s="113"/>
      <c r="X757" s="5">
        <f t="shared" si="170"/>
        <v>0.01</v>
      </c>
      <c r="Y757" s="302">
        <f>H757-H758-H759</f>
        <v>0</v>
      </c>
      <c r="Z757" s="5">
        <f>I757-I758-I759</f>
        <v>0</v>
      </c>
      <c r="AA757" s="94">
        <f>J757-J758-J759</f>
        <v>0</v>
      </c>
      <c r="AB757" s="311">
        <f t="shared" si="171"/>
        <v>0</v>
      </c>
      <c r="AC757" s="296"/>
      <c r="AD757" s="113"/>
      <c r="AE757" s="5"/>
      <c r="AF757" s="5">
        <f>H757</f>
        <v>1.2756871399999998</v>
      </c>
      <c r="AG757" s="5"/>
      <c r="AH757" s="5"/>
      <c r="AI757" s="5"/>
      <c r="AJ757" s="5"/>
      <c r="AK757" s="141"/>
      <c r="AL757" s="94">
        <f>SUM(AF757:AK757)</f>
        <v>1.2756871399999998</v>
      </c>
      <c r="AM757" s="128">
        <v>0.5</v>
      </c>
      <c r="AN757" s="180">
        <v>0</v>
      </c>
      <c r="AO757" s="128"/>
      <c r="AP757" s="184"/>
      <c r="AQ757" s="128"/>
      <c r="AR757" s="184"/>
      <c r="AS757" s="128"/>
      <c r="AT757" s="184"/>
      <c r="AU757" s="128"/>
      <c r="AV757" s="184"/>
      <c r="AW757" s="128"/>
      <c r="AX757" s="184"/>
      <c r="AY757" s="111">
        <f>AM757+AO757+AQ757+AS757+AU757+AW757</f>
        <v>0.5</v>
      </c>
      <c r="AZ757" s="178">
        <f>AN757+AP757+AR757+AT757+AV757+AX757</f>
        <v>0</v>
      </c>
      <c r="BC757" s="204"/>
      <c r="BD757" s="204"/>
      <c r="BF757" s="113">
        <v>0.01</v>
      </c>
      <c r="BG757" s="113"/>
      <c r="BH757" s="113"/>
      <c r="BI757" s="113"/>
      <c r="BJ757" s="113"/>
      <c r="BK757" s="113"/>
      <c r="BL757" s="5">
        <f t="shared" si="172"/>
        <v>0.01</v>
      </c>
    </row>
    <row r="758" spans="1:64" s="81" customFormat="1" ht="15.75" customHeight="1" outlineLevel="1" x14ac:dyDescent="0.2">
      <c r="A758" s="594"/>
      <c r="B758" s="601"/>
      <c r="C758" s="7" t="s">
        <v>1553</v>
      </c>
      <c r="D758" s="8"/>
      <c r="E758" s="23"/>
      <c r="F758" s="8"/>
      <c r="G758" s="8"/>
      <c r="H758" s="5"/>
      <c r="I758" s="5"/>
      <c r="J758" s="5"/>
      <c r="K758" s="8"/>
      <c r="L758" s="23"/>
      <c r="M758" s="8"/>
      <c r="N758" s="8"/>
      <c r="O758" s="8"/>
      <c r="P758" s="8"/>
      <c r="Q758" s="23"/>
      <c r="R758" s="113"/>
      <c r="S758" s="113"/>
      <c r="T758" s="113"/>
      <c r="U758" s="113"/>
      <c r="V758" s="113"/>
      <c r="W758" s="113"/>
      <c r="X758" s="5">
        <f t="shared" si="170"/>
        <v>0</v>
      </c>
      <c r="Y758" s="302"/>
      <c r="Z758" s="5"/>
      <c r="AA758" s="94"/>
      <c r="AB758" s="311">
        <f t="shared" si="171"/>
        <v>0</v>
      </c>
      <c r="AC758" s="296"/>
      <c r="AD758" s="113"/>
      <c r="AE758" s="5"/>
      <c r="AF758" s="5"/>
      <c r="AG758" s="5"/>
      <c r="AH758" s="5"/>
      <c r="AI758" s="5"/>
      <c r="AJ758" s="5"/>
      <c r="AK758" s="141"/>
      <c r="AL758" s="94"/>
      <c r="AM758" s="128"/>
      <c r="AN758" s="180"/>
      <c r="AO758" s="128"/>
      <c r="AP758" s="184"/>
      <c r="AQ758" s="128"/>
      <c r="AR758" s="184"/>
      <c r="AS758" s="128"/>
      <c r="AT758" s="184"/>
      <c r="AU758" s="128"/>
      <c r="AV758" s="184"/>
      <c r="AW758" s="128"/>
      <c r="AX758" s="184"/>
      <c r="AY758" s="111"/>
      <c r="AZ758" s="178"/>
      <c r="BC758" s="204"/>
      <c r="BD758" s="204"/>
      <c r="BF758" s="113"/>
      <c r="BG758" s="113"/>
      <c r="BH758" s="113"/>
      <c r="BI758" s="113"/>
      <c r="BJ758" s="113"/>
      <c r="BK758" s="113"/>
      <c r="BL758" s="5">
        <f t="shared" si="172"/>
        <v>0</v>
      </c>
    </row>
    <row r="759" spans="1:64" s="81" customFormat="1" ht="15.75" customHeight="1" outlineLevel="1" x14ac:dyDescent="0.2">
      <c r="A759" s="595"/>
      <c r="B759" s="602"/>
      <c r="C759" s="7" t="s">
        <v>1554</v>
      </c>
      <c r="D759" s="8"/>
      <c r="E759" s="23"/>
      <c r="F759" s="8"/>
      <c r="G759" s="8"/>
      <c r="H759" s="5">
        <f>H757</f>
        <v>1.2756871399999998</v>
      </c>
      <c r="I759" s="5">
        <f>I757</f>
        <v>0.01</v>
      </c>
      <c r="J759" s="5">
        <f>J757</f>
        <v>0.01</v>
      </c>
      <c r="K759" s="23"/>
      <c r="L759" s="8"/>
      <c r="M759" s="8"/>
      <c r="N759" s="8"/>
      <c r="O759" s="8"/>
      <c r="P759" s="8"/>
      <c r="Q759" s="23"/>
      <c r="R759" s="113"/>
      <c r="S759" s="113"/>
      <c r="T759" s="113"/>
      <c r="U759" s="113"/>
      <c r="V759" s="113"/>
      <c r="W759" s="113"/>
      <c r="X759" s="5">
        <f t="shared" si="170"/>
        <v>0</v>
      </c>
      <c r="Y759" s="302"/>
      <c r="Z759" s="5"/>
      <c r="AA759" s="94"/>
      <c r="AB759" s="311">
        <f t="shared" si="171"/>
        <v>0.01</v>
      </c>
      <c r="AC759" s="296"/>
      <c r="AD759" s="113"/>
      <c r="AE759" s="5"/>
      <c r="AF759" s="5"/>
      <c r="AG759" s="5"/>
      <c r="AH759" s="5"/>
      <c r="AI759" s="5"/>
      <c r="AJ759" s="5"/>
      <c r="AK759" s="141"/>
      <c r="AL759" s="94"/>
      <c r="AM759" s="128"/>
      <c r="AN759" s="180"/>
      <c r="AO759" s="128"/>
      <c r="AP759" s="184"/>
      <c r="AQ759" s="128"/>
      <c r="AR759" s="184"/>
      <c r="AS759" s="128"/>
      <c r="AT759" s="184"/>
      <c r="AU759" s="128"/>
      <c r="AV759" s="184"/>
      <c r="AW759" s="128"/>
      <c r="AX759" s="184"/>
      <c r="AY759" s="111"/>
      <c r="AZ759" s="178"/>
      <c r="BC759" s="204"/>
      <c r="BD759" s="204"/>
      <c r="BF759" s="113"/>
      <c r="BG759" s="113"/>
      <c r="BH759" s="113"/>
      <c r="BI759" s="113"/>
      <c r="BJ759" s="113"/>
      <c r="BK759" s="113"/>
      <c r="BL759" s="5">
        <f t="shared" si="172"/>
        <v>0</v>
      </c>
    </row>
    <row r="760" spans="1:64" s="81" customFormat="1" ht="51" outlineLevel="1" x14ac:dyDescent="0.2">
      <c r="A760" s="593" t="s">
        <v>887</v>
      </c>
      <c r="B760" s="600" t="s">
        <v>879</v>
      </c>
      <c r="C760" s="7" t="s">
        <v>546</v>
      </c>
      <c r="D760" s="8" t="s">
        <v>397</v>
      </c>
      <c r="E760" s="23" t="s">
        <v>333</v>
      </c>
      <c r="F760" s="8">
        <v>2011</v>
      </c>
      <c r="G760" s="8">
        <v>2014</v>
      </c>
      <c r="H760" s="5">
        <v>0.42932699999999996</v>
      </c>
      <c r="I760" s="5">
        <v>0.01</v>
      </c>
      <c r="J760" s="5">
        <f>R760</f>
        <v>0.01</v>
      </c>
      <c r="K760" s="23" t="s">
        <v>333</v>
      </c>
      <c r="L760" s="8"/>
      <c r="M760" s="8"/>
      <c r="N760" s="8"/>
      <c r="O760" s="8"/>
      <c r="P760" s="8"/>
      <c r="Q760" s="23" t="s">
        <v>333</v>
      </c>
      <c r="R760" s="113">
        <v>0.01</v>
      </c>
      <c r="S760" s="113"/>
      <c r="T760" s="113"/>
      <c r="U760" s="113"/>
      <c r="V760" s="113"/>
      <c r="W760" s="113"/>
      <c r="X760" s="5">
        <f t="shared" si="170"/>
        <v>0.01</v>
      </c>
      <c r="Y760" s="302">
        <f>H760-H761-H762</f>
        <v>0</v>
      </c>
      <c r="Z760" s="5">
        <f>I760-I761-I762</f>
        <v>0</v>
      </c>
      <c r="AA760" s="94">
        <f>J760-J761-J762</f>
        <v>-9.9999999999999915E-4</v>
      </c>
      <c r="AB760" s="311">
        <f t="shared" si="171"/>
        <v>0</v>
      </c>
      <c r="AC760" s="296"/>
      <c r="AD760" s="113"/>
      <c r="AE760" s="5"/>
      <c r="AF760" s="5">
        <f>H760</f>
        <v>0.42932699999999996</v>
      </c>
      <c r="AG760" s="5"/>
      <c r="AH760" s="5"/>
      <c r="AI760" s="5"/>
      <c r="AJ760" s="5"/>
      <c r="AK760" s="141"/>
      <c r="AL760" s="94">
        <f>SUM(AF760:AK760)</f>
        <v>0.42932699999999996</v>
      </c>
      <c r="AM760" s="128">
        <v>0.3</v>
      </c>
      <c r="AN760" s="180">
        <v>0</v>
      </c>
      <c r="AO760" s="128"/>
      <c r="AP760" s="184"/>
      <c r="AQ760" s="128"/>
      <c r="AR760" s="184"/>
      <c r="AS760" s="128"/>
      <c r="AT760" s="184"/>
      <c r="AU760" s="128"/>
      <c r="AV760" s="184"/>
      <c r="AW760" s="128"/>
      <c r="AX760" s="184"/>
      <c r="AY760" s="111">
        <f>AM760+AO760+AQ760+AS760+AU760+AW760</f>
        <v>0.3</v>
      </c>
      <c r="AZ760" s="178">
        <f>AN760+AP760+AR760+AT760+AV760+AX760</f>
        <v>0</v>
      </c>
      <c r="BC760" s="204"/>
      <c r="BD760" s="204"/>
      <c r="BF760" s="113">
        <v>0.01</v>
      </c>
      <c r="BG760" s="113"/>
      <c r="BH760" s="113"/>
      <c r="BI760" s="113"/>
      <c r="BJ760" s="113"/>
      <c r="BK760" s="113"/>
      <c r="BL760" s="5">
        <f t="shared" si="172"/>
        <v>0.01</v>
      </c>
    </row>
    <row r="761" spans="1:64" s="2" customFormat="1" ht="15.75" customHeight="1" outlineLevel="1" x14ac:dyDescent="0.2">
      <c r="A761" s="594"/>
      <c r="B761" s="601"/>
      <c r="C761" s="7" t="s">
        <v>1553</v>
      </c>
      <c r="D761" s="8"/>
      <c r="E761" s="23"/>
      <c r="F761" s="8"/>
      <c r="G761" s="8"/>
      <c r="H761" s="5"/>
      <c r="I761" s="5"/>
      <c r="J761" s="5"/>
      <c r="K761" s="8"/>
      <c r="L761" s="23"/>
      <c r="M761" s="8"/>
      <c r="N761" s="8"/>
      <c r="O761" s="8"/>
      <c r="P761" s="8"/>
      <c r="Q761" s="23"/>
      <c r="R761" s="113"/>
      <c r="S761" s="113"/>
      <c r="T761" s="113"/>
      <c r="U761" s="113"/>
      <c r="V761" s="113"/>
      <c r="W761" s="113"/>
      <c r="X761" s="5">
        <f>SUM(R761:W761)</f>
        <v>0</v>
      </c>
      <c r="Y761" s="302"/>
      <c r="Z761" s="5"/>
      <c r="AA761" s="94"/>
      <c r="AB761" s="311">
        <f t="shared" si="171"/>
        <v>0</v>
      </c>
      <c r="AC761" s="296"/>
      <c r="AD761" s="113"/>
      <c r="AE761" s="5"/>
      <c r="AF761" s="5"/>
      <c r="AG761" s="5"/>
      <c r="AH761" s="5"/>
      <c r="AI761" s="5"/>
      <c r="AJ761" s="5"/>
      <c r="AK761" s="141"/>
      <c r="AL761" s="94"/>
      <c r="AM761" s="128"/>
      <c r="AN761" s="180"/>
      <c r="AO761" s="128"/>
      <c r="AP761" s="184"/>
      <c r="AQ761" s="128"/>
      <c r="AR761" s="184"/>
      <c r="AS761" s="128"/>
      <c r="AT761" s="184"/>
      <c r="AU761" s="128"/>
      <c r="AV761" s="184"/>
      <c r="AW761" s="128"/>
      <c r="AX761" s="184"/>
      <c r="AY761" s="111"/>
      <c r="AZ761" s="178"/>
      <c r="BC761" s="47"/>
      <c r="BD761" s="47"/>
      <c r="BF761" s="113"/>
      <c r="BG761" s="113"/>
      <c r="BH761" s="113"/>
      <c r="BI761" s="113"/>
      <c r="BJ761" s="113"/>
      <c r="BK761" s="113"/>
      <c r="BL761" s="5">
        <f t="shared" si="172"/>
        <v>0</v>
      </c>
    </row>
    <row r="762" spans="1:64" s="2" customFormat="1" ht="15.75" customHeight="1" outlineLevel="1" x14ac:dyDescent="0.2">
      <c r="A762" s="595"/>
      <c r="B762" s="602"/>
      <c r="C762" s="7" t="s">
        <v>1554</v>
      </c>
      <c r="D762" s="8"/>
      <c r="E762" s="23"/>
      <c r="F762" s="8"/>
      <c r="G762" s="8"/>
      <c r="H762" s="5">
        <v>0.42932699999999996</v>
      </c>
      <c r="I762" s="5">
        <f>I760</f>
        <v>0.01</v>
      </c>
      <c r="J762" s="5">
        <v>1.0999999999999999E-2</v>
      </c>
      <c r="K762" s="23"/>
      <c r="L762" s="8"/>
      <c r="M762" s="8"/>
      <c r="N762" s="8"/>
      <c r="O762" s="8"/>
      <c r="P762" s="8"/>
      <c r="Q762" s="23"/>
      <c r="R762" s="113"/>
      <c r="S762" s="113"/>
      <c r="T762" s="113"/>
      <c r="U762" s="113"/>
      <c r="V762" s="113"/>
      <c r="W762" s="113"/>
      <c r="X762" s="5">
        <f>SUM(R762:W762)</f>
        <v>0</v>
      </c>
      <c r="Y762" s="302"/>
      <c r="Z762" s="5"/>
      <c r="AA762" s="94"/>
      <c r="AB762" s="311">
        <f t="shared" si="171"/>
        <v>0.01</v>
      </c>
      <c r="AC762" s="296"/>
      <c r="AD762" s="113"/>
      <c r="AE762" s="5"/>
      <c r="AF762" s="5"/>
      <c r="AG762" s="5"/>
      <c r="AH762" s="5"/>
      <c r="AI762" s="5"/>
      <c r="AJ762" s="5"/>
      <c r="AK762" s="141"/>
      <c r="AL762" s="94"/>
      <c r="AM762" s="128"/>
      <c r="AN762" s="180"/>
      <c r="AO762" s="128"/>
      <c r="AP762" s="184"/>
      <c r="AQ762" s="128"/>
      <c r="AR762" s="184"/>
      <c r="AS762" s="128"/>
      <c r="AT762" s="184"/>
      <c r="AU762" s="128"/>
      <c r="AV762" s="184"/>
      <c r="AW762" s="128"/>
      <c r="AX762" s="184"/>
      <c r="AY762" s="111"/>
      <c r="AZ762" s="178"/>
      <c r="BC762" s="47"/>
      <c r="BD762" s="47"/>
      <c r="BF762" s="113"/>
      <c r="BG762" s="113"/>
      <c r="BH762" s="113"/>
      <c r="BI762" s="113"/>
      <c r="BJ762" s="113"/>
      <c r="BK762" s="113"/>
      <c r="BL762" s="5">
        <f t="shared" si="172"/>
        <v>0</v>
      </c>
    </row>
    <row r="763" spans="1:64" s="2" customFormat="1" ht="38.25" customHeight="1" outlineLevel="1" x14ac:dyDescent="0.2">
      <c r="A763" s="593" t="s">
        <v>889</v>
      </c>
      <c r="B763" s="600" t="s">
        <v>881</v>
      </c>
      <c r="C763" s="7" t="s">
        <v>890</v>
      </c>
      <c r="D763" s="8" t="s">
        <v>397</v>
      </c>
      <c r="E763" s="23" t="s">
        <v>340</v>
      </c>
      <c r="F763" s="8">
        <v>2013</v>
      </c>
      <c r="G763" s="8">
        <v>2015</v>
      </c>
      <c r="H763" s="5">
        <v>0.51</v>
      </c>
      <c r="I763" s="5">
        <v>0.45966699999999999</v>
      </c>
      <c r="J763" s="5">
        <f>R763</f>
        <v>0.38839000000000001</v>
      </c>
      <c r="K763" s="8"/>
      <c r="L763" s="23" t="s">
        <v>340</v>
      </c>
      <c r="M763" s="8"/>
      <c r="N763" s="8"/>
      <c r="O763" s="8"/>
      <c r="P763" s="8"/>
      <c r="Q763" s="23" t="s">
        <v>340</v>
      </c>
      <c r="R763" s="113">
        <v>0.38839000000000001</v>
      </c>
      <c r="S763" s="113"/>
      <c r="T763" s="113"/>
      <c r="U763" s="113"/>
      <c r="V763" s="113"/>
      <c r="W763" s="113"/>
      <c r="X763" s="5">
        <f t="shared" si="170"/>
        <v>0.38839000000000001</v>
      </c>
      <c r="Y763" s="302">
        <f>H763-H764-H765</f>
        <v>0</v>
      </c>
      <c r="Z763" s="5">
        <f>I763-I764-I765</f>
        <v>0</v>
      </c>
      <c r="AA763" s="94">
        <f>J763-J764-J765</f>
        <v>0</v>
      </c>
      <c r="AB763" s="311">
        <f t="shared" si="171"/>
        <v>7.1276999999999979E-2</v>
      </c>
      <c r="AC763" s="296"/>
      <c r="AD763" s="113"/>
      <c r="AE763" s="5"/>
      <c r="AF763" s="5"/>
      <c r="AG763" s="5">
        <f>H763</f>
        <v>0.51</v>
      </c>
      <c r="AH763" s="5"/>
      <c r="AI763" s="5"/>
      <c r="AJ763" s="5"/>
      <c r="AK763" s="141"/>
      <c r="AL763" s="94">
        <f>SUM(AF763:AK763)</f>
        <v>0.51</v>
      </c>
      <c r="AM763" s="128"/>
      <c r="AN763" s="180"/>
      <c r="AO763" s="128">
        <v>0.2</v>
      </c>
      <c r="AP763" s="184">
        <v>0</v>
      </c>
      <c r="AQ763" s="128"/>
      <c r="AR763" s="184"/>
      <c r="AS763" s="128"/>
      <c r="AT763" s="184"/>
      <c r="AU763" s="128"/>
      <c r="AV763" s="184"/>
      <c r="AW763" s="128"/>
      <c r="AX763" s="184"/>
      <c r="AY763" s="111">
        <f>AM763+AO763+AQ763+AS763+AU763+AW763</f>
        <v>0.2</v>
      </c>
      <c r="AZ763" s="178">
        <f>AN763+AP763+AR763+AT763+AV763+AX763</f>
        <v>0</v>
      </c>
      <c r="BC763" s="47"/>
      <c r="BD763" s="47"/>
      <c r="BF763" s="113">
        <v>0.38839000000000001</v>
      </c>
      <c r="BG763" s="113"/>
      <c r="BH763" s="113"/>
      <c r="BI763" s="113"/>
      <c r="BJ763" s="113"/>
      <c r="BK763" s="113"/>
      <c r="BL763" s="5">
        <f t="shared" si="172"/>
        <v>0.38839000000000001</v>
      </c>
    </row>
    <row r="764" spans="1:64" s="2" customFormat="1" ht="14.1" customHeight="1" outlineLevel="1" x14ac:dyDescent="0.2">
      <c r="A764" s="594"/>
      <c r="B764" s="601"/>
      <c r="C764" s="7" t="s">
        <v>1553</v>
      </c>
      <c r="D764" s="8"/>
      <c r="E764" s="23"/>
      <c r="F764" s="8"/>
      <c r="G764" s="8"/>
      <c r="H764" s="5"/>
      <c r="I764" s="5"/>
      <c r="J764" s="5"/>
      <c r="K764" s="8"/>
      <c r="L764" s="23"/>
      <c r="M764" s="8"/>
      <c r="N764" s="8"/>
      <c r="O764" s="8"/>
      <c r="P764" s="8"/>
      <c r="Q764" s="23"/>
      <c r="R764" s="113"/>
      <c r="S764" s="113"/>
      <c r="T764" s="113"/>
      <c r="U764" s="113"/>
      <c r="V764" s="113"/>
      <c r="W764" s="113"/>
      <c r="X764" s="5">
        <f t="shared" si="170"/>
        <v>0</v>
      </c>
      <c r="Y764" s="302"/>
      <c r="Z764" s="5"/>
      <c r="AA764" s="94"/>
      <c r="AB764" s="311">
        <f t="shared" si="171"/>
        <v>0</v>
      </c>
      <c r="AC764" s="296"/>
      <c r="AD764" s="113"/>
      <c r="AE764" s="5"/>
      <c r="AF764" s="5"/>
      <c r="AG764" s="5"/>
      <c r="AH764" s="5"/>
      <c r="AI764" s="5"/>
      <c r="AJ764" s="5"/>
      <c r="AK764" s="141"/>
      <c r="AL764" s="94"/>
      <c r="AM764" s="128"/>
      <c r="AN764" s="180"/>
      <c r="AO764" s="128"/>
      <c r="AP764" s="184"/>
      <c r="AQ764" s="128"/>
      <c r="AR764" s="184"/>
      <c r="AS764" s="128"/>
      <c r="AT764" s="184"/>
      <c r="AU764" s="128"/>
      <c r="AV764" s="184"/>
      <c r="AW764" s="128"/>
      <c r="AX764" s="184"/>
      <c r="AY764" s="111"/>
      <c r="AZ764" s="178"/>
      <c r="BC764" s="47"/>
      <c r="BD764" s="47"/>
      <c r="BF764" s="113"/>
      <c r="BG764" s="113"/>
      <c r="BH764" s="113"/>
      <c r="BI764" s="113"/>
      <c r="BJ764" s="113"/>
      <c r="BK764" s="113"/>
      <c r="BL764" s="5">
        <f t="shared" si="172"/>
        <v>0</v>
      </c>
    </row>
    <row r="765" spans="1:64" s="2" customFormat="1" ht="14.1" customHeight="1" outlineLevel="1" x14ac:dyDescent="0.2">
      <c r="A765" s="595"/>
      <c r="B765" s="602"/>
      <c r="C765" s="7" t="s">
        <v>1554</v>
      </c>
      <c r="D765" s="8"/>
      <c r="E765" s="23"/>
      <c r="F765" s="8"/>
      <c r="G765" s="8"/>
      <c r="H765" s="5">
        <v>0.51</v>
      </c>
      <c r="I765" s="5">
        <v>0.45966699999999999</v>
      </c>
      <c r="J765" s="5">
        <v>0.38839000000000001</v>
      </c>
      <c r="K765" s="23"/>
      <c r="L765" s="8"/>
      <c r="M765" s="8"/>
      <c r="N765" s="8"/>
      <c r="O765" s="8"/>
      <c r="P765" s="8"/>
      <c r="Q765" s="23"/>
      <c r="R765" s="113"/>
      <c r="S765" s="113"/>
      <c r="T765" s="113"/>
      <c r="U765" s="113"/>
      <c r="V765" s="113"/>
      <c r="W765" s="113"/>
      <c r="X765" s="5">
        <f t="shared" si="170"/>
        <v>0</v>
      </c>
      <c r="Y765" s="302"/>
      <c r="Z765" s="5"/>
      <c r="AA765" s="94"/>
      <c r="AB765" s="311">
        <f t="shared" si="171"/>
        <v>0.45966699999999999</v>
      </c>
      <c r="AC765" s="296"/>
      <c r="AD765" s="113"/>
      <c r="AE765" s="5"/>
      <c r="AF765" s="5"/>
      <c r="AG765" s="5"/>
      <c r="AH765" s="5"/>
      <c r="AI765" s="5"/>
      <c r="AJ765" s="5"/>
      <c r="AK765" s="141"/>
      <c r="AL765" s="94"/>
      <c r="AM765" s="128"/>
      <c r="AN765" s="180"/>
      <c r="AO765" s="128"/>
      <c r="AP765" s="184"/>
      <c r="AQ765" s="128"/>
      <c r="AR765" s="184"/>
      <c r="AS765" s="128"/>
      <c r="AT765" s="184"/>
      <c r="AU765" s="128"/>
      <c r="AV765" s="184"/>
      <c r="AW765" s="128"/>
      <c r="AX765" s="184"/>
      <c r="AY765" s="111"/>
      <c r="AZ765" s="178"/>
      <c r="BC765" s="47"/>
      <c r="BD765" s="47"/>
      <c r="BF765" s="113"/>
      <c r="BG765" s="113"/>
      <c r="BH765" s="113"/>
      <c r="BI765" s="113"/>
      <c r="BJ765" s="113"/>
      <c r="BK765" s="113"/>
      <c r="BL765" s="5">
        <f t="shared" si="172"/>
        <v>0</v>
      </c>
    </row>
    <row r="766" spans="1:64" s="2" customFormat="1" ht="39.950000000000003" customHeight="1" outlineLevel="1" x14ac:dyDescent="0.2">
      <c r="A766" s="593" t="s">
        <v>892</v>
      </c>
      <c r="B766" s="600" t="s">
        <v>883</v>
      </c>
      <c r="C766" s="7" t="s">
        <v>893</v>
      </c>
      <c r="D766" s="8" t="s">
        <v>397</v>
      </c>
      <c r="E766" s="23" t="s">
        <v>13</v>
      </c>
      <c r="F766" s="8">
        <v>2013</v>
      </c>
      <c r="G766" s="8">
        <v>2014</v>
      </c>
      <c r="H766" s="5">
        <v>2.0270000000000001</v>
      </c>
      <c r="I766" s="5">
        <v>0.57084500000000005</v>
      </c>
      <c r="J766" s="5">
        <f>R766</f>
        <v>0.57084500000000005</v>
      </c>
      <c r="K766" s="23" t="s">
        <v>13</v>
      </c>
      <c r="L766" s="8"/>
      <c r="M766" s="8"/>
      <c r="N766" s="8"/>
      <c r="O766" s="8"/>
      <c r="P766" s="8"/>
      <c r="Q766" s="23" t="s">
        <v>13</v>
      </c>
      <c r="R766" s="113">
        <v>0.57084500000000005</v>
      </c>
      <c r="S766" s="113"/>
      <c r="T766" s="113"/>
      <c r="U766" s="113"/>
      <c r="V766" s="113"/>
      <c r="W766" s="113"/>
      <c r="X766" s="5">
        <f t="shared" si="170"/>
        <v>0.57084500000000005</v>
      </c>
      <c r="Y766" s="302">
        <f>H766-H767-H768</f>
        <v>0</v>
      </c>
      <c r="Z766" s="5">
        <f>I766-I767-I768</f>
        <v>0</v>
      </c>
      <c r="AA766" s="94">
        <f>J766-J767-J768</f>
        <v>0</v>
      </c>
      <c r="AB766" s="311">
        <f t="shared" si="171"/>
        <v>0</v>
      </c>
      <c r="AC766" s="296"/>
      <c r="AD766" s="113"/>
      <c r="AE766" s="5"/>
      <c r="AF766" s="5">
        <f>H766</f>
        <v>2.0270000000000001</v>
      </c>
      <c r="AG766" s="5"/>
      <c r="AH766" s="5"/>
      <c r="AI766" s="5"/>
      <c r="AJ766" s="5"/>
      <c r="AK766" s="141"/>
      <c r="AL766" s="94">
        <f>SUM(AF766:AK766)</f>
        <v>2.0270000000000001</v>
      </c>
      <c r="AM766" s="128">
        <v>0.3</v>
      </c>
      <c r="AN766" s="180">
        <v>0.4</v>
      </c>
      <c r="AO766" s="128"/>
      <c r="AP766" s="184"/>
      <c r="AQ766" s="128"/>
      <c r="AR766" s="184"/>
      <c r="AS766" s="128"/>
      <c r="AT766" s="184"/>
      <c r="AU766" s="128"/>
      <c r="AV766" s="184"/>
      <c r="AW766" s="128"/>
      <c r="AX766" s="184"/>
      <c r="AY766" s="111">
        <f>AM766+AO766+AQ766+AS766+AU766+AW766</f>
        <v>0.3</v>
      </c>
      <c r="AZ766" s="178">
        <f>AN766+AP766+AR766+AT766+AV766+AX766</f>
        <v>0.4</v>
      </c>
      <c r="BC766" s="47"/>
      <c r="BD766" s="47"/>
      <c r="BF766" s="113">
        <v>0.57084500000000005</v>
      </c>
      <c r="BG766" s="113"/>
      <c r="BH766" s="113"/>
      <c r="BI766" s="113"/>
      <c r="BJ766" s="113"/>
      <c r="BK766" s="113"/>
      <c r="BL766" s="5">
        <f t="shared" si="172"/>
        <v>0.57084500000000005</v>
      </c>
    </row>
    <row r="767" spans="1:64" s="2" customFormat="1" ht="14.1" customHeight="1" outlineLevel="1" x14ac:dyDescent="0.2">
      <c r="A767" s="594"/>
      <c r="B767" s="601"/>
      <c r="C767" s="7" t="s">
        <v>1553</v>
      </c>
      <c r="D767" s="8"/>
      <c r="E767" s="23"/>
      <c r="F767" s="8"/>
      <c r="G767" s="8"/>
      <c r="H767" s="5"/>
      <c r="I767" s="5"/>
      <c r="J767" s="5"/>
      <c r="K767" s="8"/>
      <c r="L767" s="23"/>
      <c r="M767" s="8"/>
      <c r="N767" s="8"/>
      <c r="O767" s="8"/>
      <c r="P767" s="8"/>
      <c r="Q767" s="23"/>
      <c r="R767" s="113"/>
      <c r="S767" s="113"/>
      <c r="T767" s="113"/>
      <c r="U767" s="113"/>
      <c r="V767" s="113"/>
      <c r="W767" s="113"/>
      <c r="X767" s="5">
        <f>SUM(R767:W767)</f>
        <v>0</v>
      </c>
      <c r="Y767" s="302"/>
      <c r="Z767" s="5"/>
      <c r="AA767" s="94"/>
      <c r="AB767" s="311">
        <f t="shared" si="171"/>
        <v>0</v>
      </c>
      <c r="AC767" s="296"/>
      <c r="AD767" s="113"/>
      <c r="AE767" s="5"/>
      <c r="AF767" s="5"/>
      <c r="AG767" s="5"/>
      <c r="AH767" s="5"/>
      <c r="AI767" s="5"/>
      <c r="AJ767" s="5"/>
      <c r="AK767" s="141"/>
      <c r="AL767" s="94"/>
      <c r="AM767" s="128"/>
      <c r="AN767" s="180"/>
      <c r="AO767" s="128"/>
      <c r="AP767" s="184"/>
      <c r="AQ767" s="128"/>
      <c r="AR767" s="184"/>
      <c r="AS767" s="128"/>
      <c r="AT767" s="184"/>
      <c r="AU767" s="128"/>
      <c r="AV767" s="184"/>
      <c r="AW767" s="128"/>
      <c r="AX767" s="184"/>
      <c r="AY767" s="111"/>
      <c r="AZ767" s="178"/>
      <c r="BC767" s="47"/>
      <c r="BD767" s="47"/>
      <c r="BF767" s="113"/>
      <c r="BG767" s="113"/>
      <c r="BH767" s="113"/>
      <c r="BI767" s="113"/>
      <c r="BJ767" s="113"/>
      <c r="BK767" s="113"/>
      <c r="BL767" s="5">
        <f t="shared" si="172"/>
        <v>0</v>
      </c>
    </row>
    <row r="768" spans="1:64" s="2" customFormat="1" ht="14.1" customHeight="1" outlineLevel="1" x14ac:dyDescent="0.2">
      <c r="A768" s="595"/>
      <c r="B768" s="602"/>
      <c r="C768" s="7" t="s">
        <v>1554</v>
      </c>
      <c r="D768" s="8"/>
      <c r="E768" s="23"/>
      <c r="F768" s="8"/>
      <c r="G768" s="8"/>
      <c r="H768" s="5">
        <v>2.0270000000000001</v>
      </c>
      <c r="I768" s="5">
        <f>I766</f>
        <v>0.57084500000000005</v>
      </c>
      <c r="J768" s="5">
        <v>0.57084500000000005</v>
      </c>
      <c r="K768" s="23"/>
      <c r="L768" s="8"/>
      <c r="M768" s="8"/>
      <c r="N768" s="8"/>
      <c r="O768" s="8"/>
      <c r="P768" s="8"/>
      <c r="Q768" s="23"/>
      <c r="R768" s="113"/>
      <c r="S768" s="113"/>
      <c r="T768" s="113"/>
      <c r="U768" s="113"/>
      <c r="V768" s="113"/>
      <c r="W768" s="113"/>
      <c r="X768" s="5">
        <f>SUM(R768:W768)</f>
        <v>0</v>
      </c>
      <c r="Y768" s="302"/>
      <c r="Z768" s="5"/>
      <c r="AA768" s="94"/>
      <c r="AB768" s="311">
        <f t="shared" si="171"/>
        <v>0.57084500000000005</v>
      </c>
      <c r="AC768" s="296"/>
      <c r="AD768" s="113"/>
      <c r="AE768" s="5"/>
      <c r="AF768" s="5"/>
      <c r="AG768" s="5"/>
      <c r="AH768" s="5"/>
      <c r="AI768" s="5"/>
      <c r="AJ768" s="5"/>
      <c r="AK768" s="141"/>
      <c r="AL768" s="94"/>
      <c r="AM768" s="128"/>
      <c r="AN768" s="180"/>
      <c r="AO768" s="128"/>
      <c r="AP768" s="184"/>
      <c r="AQ768" s="128"/>
      <c r="AR768" s="184"/>
      <c r="AS768" s="128"/>
      <c r="AT768" s="184"/>
      <c r="AU768" s="128"/>
      <c r="AV768" s="184"/>
      <c r="AW768" s="128"/>
      <c r="AX768" s="184"/>
      <c r="AY768" s="111"/>
      <c r="AZ768" s="178"/>
      <c r="BC768" s="47"/>
      <c r="BD768" s="47"/>
      <c r="BF768" s="113"/>
      <c r="BG768" s="113"/>
      <c r="BH768" s="113"/>
      <c r="BI768" s="113"/>
      <c r="BJ768" s="113"/>
      <c r="BK768" s="113"/>
      <c r="BL768" s="5">
        <f t="shared" si="172"/>
        <v>0</v>
      </c>
    </row>
    <row r="769" spans="1:64" s="2" customFormat="1" ht="51" outlineLevel="1" x14ac:dyDescent="0.2">
      <c r="A769" s="593" t="s">
        <v>895</v>
      </c>
      <c r="B769" s="600" t="s">
        <v>886</v>
      </c>
      <c r="C769" s="7" t="s">
        <v>896</v>
      </c>
      <c r="D769" s="8" t="s">
        <v>397</v>
      </c>
      <c r="E769" s="23" t="s">
        <v>1241</v>
      </c>
      <c r="F769" s="8">
        <v>2013</v>
      </c>
      <c r="G769" s="8">
        <v>2014</v>
      </c>
      <c r="H769" s="5">
        <v>1.0289999999999999</v>
      </c>
      <c r="I769" s="5">
        <v>0.02</v>
      </c>
      <c r="J769" s="5">
        <f>R769</f>
        <v>0.02</v>
      </c>
      <c r="K769" s="23" t="s">
        <v>1241</v>
      </c>
      <c r="L769" s="8"/>
      <c r="M769" s="8"/>
      <c r="N769" s="8"/>
      <c r="O769" s="8"/>
      <c r="P769" s="8"/>
      <c r="Q769" s="23" t="s">
        <v>1241</v>
      </c>
      <c r="R769" s="113">
        <v>0.02</v>
      </c>
      <c r="S769" s="113"/>
      <c r="T769" s="113"/>
      <c r="U769" s="113"/>
      <c r="V769" s="113"/>
      <c r="W769" s="113"/>
      <c r="X769" s="5">
        <f t="shared" si="170"/>
        <v>0.02</v>
      </c>
      <c r="Y769" s="302">
        <f>H769-H770-H771</f>
        <v>0</v>
      </c>
      <c r="Z769" s="5">
        <f>I769-I770-I771</f>
        <v>0</v>
      </c>
      <c r="AA769" s="94">
        <f>J769-J770-J771</f>
        <v>0</v>
      </c>
      <c r="AB769" s="311">
        <f t="shared" si="171"/>
        <v>0</v>
      </c>
      <c r="AC769" s="296"/>
      <c r="AD769" s="113"/>
      <c r="AE769" s="5"/>
      <c r="AF769" s="5">
        <f>H769</f>
        <v>1.0289999999999999</v>
      </c>
      <c r="AG769" s="5"/>
      <c r="AH769" s="5"/>
      <c r="AI769" s="5"/>
      <c r="AJ769" s="5"/>
      <c r="AK769" s="141"/>
      <c r="AL769" s="94">
        <f>SUM(AF769:AK769)</f>
        <v>1.0289999999999999</v>
      </c>
      <c r="AM769" s="128">
        <v>0</v>
      </c>
      <c r="AN769" s="180">
        <v>0</v>
      </c>
      <c r="AO769" s="128"/>
      <c r="AP769" s="184"/>
      <c r="AQ769" s="128"/>
      <c r="AR769" s="184"/>
      <c r="AS769" s="128"/>
      <c r="AT769" s="184"/>
      <c r="AU769" s="128"/>
      <c r="AV769" s="184"/>
      <c r="AW769" s="128"/>
      <c r="AX769" s="184"/>
      <c r="AY769" s="111">
        <f>AM769+AO769+AQ769+AS769+AU769+AW769</f>
        <v>0</v>
      </c>
      <c r="AZ769" s="178">
        <f>AN769+AP769+AR769+AT769+AV769+AX769</f>
        <v>0</v>
      </c>
      <c r="BC769" s="47"/>
      <c r="BD769" s="47"/>
      <c r="BF769" s="113">
        <v>0.02</v>
      </c>
      <c r="BG769" s="113"/>
      <c r="BH769" s="113"/>
      <c r="BI769" s="113"/>
      <c r="BJ769" s="113"/>
      <c r="BK769" s="113"/>
      <c r="BL769" s="5">
        <f t="shared" si="172"/>
        <v>0.02</v>
      </c>
    </row>
    <row r="770" spans="1:64" s="2" customFormat="1" ht="15.75" customHeight="1" outlineLevel="1" x14ac:dyDescent="0.2">
      <c r="A770" s="594"/>
      <c r="B770" s="601"/>
      <c r="C770" s="7" t="s">
        <v>1553</v>
      </c>
      <c r="D770" s="8"/>
      <c r="E770" s="23"/>
      <c r="F770" s="8"/>
      <c r="G770" s="8"/>
      <c r="H770" s="5"/>
      <c r="I770" s="5"/>
      <c r="J770" s="5"/>
      <c r="K770" s="8"/>
      <c r="L770" s="23"/>
      <c r="M770" s="8"/>
      <c r="N770" s="8"/>
      <c r="O770" s="8"/>
      <c r="P770" s="8"/>
      <c r="Q770" s="23"/>
      <c r="R770" s="113"/>
      <c r="S770" s="113"/>
      <c r="T770" s="113"/>
      <c r="U770" s="113"/>
      <c r="V770" s="113"/>
      <c r="W770" s="113"/>
      <c r="X770" s="5">
        <f t="shared" si="170"/>
        <v>0</v>
      </c>
      <c r="Y770" s="302"/>
      <c r="Z770" s="5"/>
      <c r="AA770" s="94"/>
      <c r="AB770" s="311">
        <f t="shared" si="171"/>
        <v>0</v>
      </c>
      <c r="AC770" s="296"/>
      <c r="AD770" s="113"/>
      <c r="AE770" s="5"/>
      <c r="AF770" s="5"/>
      <c r="AG770" s="5"/>
      <c r="AH770" s="5"/>
      <c r="AI770" s="5"/>
      <c r="AJ770" s="5"/>
      <c r="AK770" s="141"/>
      <c r="AL770" s="94"/>
      <c r="AM770" s="128"/>
      <c r="AN770" s="180"/>
      <c r="AO770" s="128"/>
      <c r="AP770" s="184"/>
      <c r="AQ770" s="128"/>
      <c r="AR770" s="184"/>
      <c r="AS770" s="128"/>
      <c r="AT770" s="184"/>
      <c r="AU770" s="128"/>
      <c r="AV770" s="184"/>
      <c r="AW770" s="128"/>
      <c r="AX770" s="184"/>
      <c r="AY770" s="111"/>
      <c r="AZ770" s="178"/>
      <c r="BC770" s="47"/>
      <c r="BD770" s="47"/>
      <c r="BF770" s="113"/>
      <c r="BG770" s="113"/>
      <c r="BH770" s="113"/>
      <c r="BI770" s="113"/>
      <c r="BJ770" s="113"/>
      <c r="BK770" s="113"/>
      <c r="BL770" s="5">
        <f t="shared" si="172"/>
        <v>0</v>
      </c>
    </row>
    <row r="771" spans="1:64" s="2" customFormat="1" ht="15.75" customHeight="1" outlineLevel="1" x14ac:dyDescent="0.2">
      <c r="A771" s="595"/>
      <c r="B771" s="602"/>
      <c r="C771" s="7" t="s">
        <v>1554</v>
      </c>
      <c r="D771" s="8"/>
      <c r="E771" s="23"/>
      <c r="F771" s="8"/>
      <c r="G771" s="8"/>
      <c r="H771" s="5">
        <v>1.0289999999999999</v>
      </c>
      <c r="I771" s="5">
        <f>I769</f>
        <v>0.02</v>
      </c>
      <c r="J771" s="5">
        <v>0.02</v>
      </c>
      <c r="K771" s="23"/>
      <c r="L771" s="8"/>
      <c r="M771" s="8"/>
      <c r="N771" s="8"/>
      <c r="O771" s="8"/>
      <c r="P771" s="8"/>
      <c r="Q771" s="23"/>
      <c r="R771" s="113"/>
      <c r="S771" s="113"/>
      <c r="T771" s="113"/>
      <c r="U771" s="113"/>
      <c r="V771" s="113"/>
      <c r="W771" s="113"/>
      <c r="X771" s="5">
        <f t="shared" si="170"/>
        <v>0</v>
      </c>
      <c r="Y771" s="302"/>
      <c r="Z771" s="5"/>
      <c r="AA771" s="94"/>
      <c r="AB771" s="311">
        <f t="shared" si="171"/>
        <v>0.02</v>
      </c>
      <c r="AC771" s="296"/>
      <c r="AD771" s="113"/>
      <c r="AE771" s="5"/>
      <c r="AF771" s="5"/>
      <c r="AG771" s="5"/>
      <c r="AH771" s="5"/>
      <c r="AI771" s="5"/>
      <c r="AJ771" s="5"/>
      <c r="AK771" s="141"/>
      <c r="AL771" s="94"/>
      <c r="AM771" s="128"/>
      <c r="AN771" s="180"/>
      <c r="AO771" s="128"/>
      <c r="AP771" s="184"/>
      <c r="AQ771" s="128"/>
      <c r="AR771" s="184"/>
      <c r="AS771" s="128"/>
      <c r="AT771" s="184"/>
      <c r="AU771" s="128"/>
      <c r="AV771" s="184"/>
      <c r="AW771" s="128"/>
      <c r="AX771" s="184"/>
      <c r="AY771" s="111"/>
      <c r="AZ771" s="178"/>
      <c r="BC771" s="47"/>
      <c r="BD771" s="47"/>
      <c r="BF771" s="113"/>
      <c r="BG771" s="113"/>
      <c r="BH771" s="113"/>
      <c r="BI771" s="113"/>
      <c r="BJ771" s="113"/>
      <c r="BK771" s="113"/>
      <c r="BL771" s="5">
        <f t="shared" si="172"/>
        <v>0</v>
      </c>
    </row>
    <row r="772" spans="1:64" s="2" customFormat="1" ht="76.5" customHeight="1" outlineLevel="1" x14ac:dyDescent="0.2">
      <c r="A772" s="593" t="s">
        <v>900</v>
      </c>
      <c r="B772" s="600" t="s">
        <v>888</v>
      </c>
      <c r="C772" s="7" t="s">
        <v>227</v>
      </c>
      <c r="D772" s="8" t="s">
        <v>397</v>
      </c>
      <c r="E772" s="23" t="s">
        <v>335</v>
      </c>
      <c r="F772" s="8">
        <v>2013</v>
      </c>
      <c r="G772" s="8">
        <v>2015</v>
      </c>
      <c r="H772" s="5">
        <v>0.11</v>
      </c>
      <c r="I772" s="5">
        <v>0.10163</v>
      </c>
      <c r="J772" s="5">
        <f>R772</f>
        <v>5.1398000000000006E-2</v>
      </c>
      <c r="K772" s="8"/>
      <c r="L772" s="23" t="s">
        <v>335</v>
      </c>
      <c r="M772" s="8"/>
      <c r="N772" s="8"/>
      <c r="O772" s="8"/>
      <c r="P772" s="8"/>
      <c r="Q772" s="23" t="s">
        <v>335</v>
      </c>
      <c r="R772" s="113">
        <v>5.1398000000000006E-2</v>
      </c>
      <c r="S772" s="113"/>
      <c r="T772" s="113"/>
      <c r="U772" s="113"/>
      <c r="V772" s="113"/>
      <c r="W772" s="113"/>
      <c r="X772" s="5">
        <f t="shared" si="170"/>
        <v>5.1398000000000006E-2</v>
      </c>
      <c r="Y772" s="302">
        <f>H772-H773-H774</f>
        <v>0</v>
      </c>
      <c r="Z772" s="5">
        <f>I772-I773-I774</f>
        <v>0</v>
      </c>
      <c r="AA772" s="94">
        <f>J772-J773-J774</f>
        <v>0</v>
      </c>
      <c r="AB772" s="311">
        <f t="shared" si="171"/>
        <v>5.0231999999999992E-2</v>
      </c>
      <c r="AC772" s="296"/>
      <c r="AD772" s="113"/>
      <c r="AE772" s="5"/>
      <c r="AF772" s="5"/>
      <c r="AG772" s="5">
        <f>H772</f>
        <v>0.11</v>
      </c>
      <c r="AH772" s="5"/>
      <c r="AI772" s="5"/>
      <c r="AJ772" s="5"/>
      <c r="AK772" s="141"/>
      <c r="AL772" s="94">
        <f>SUM(AF772:AK772)</f>
        <v>0.11</v>
      </c>
      <c r="AM772" s="128"/>
      <c r="AN772" s="180"/>
      <c r="AO772" s="128">
        <v>0.1</v>
      </c>
      <c r="AP772" s="184">
        <v>0</v>
      </c>
      <c r="AQ772" s="128"/>
      <c r="AR772" s="184"/>
      <c r="AS772" s="128"/>
      <c r="AT772" s="184"/>
      <c r="AU772" s="128"/>
      <c r="AV772" s="184"/>
      <c r="AW772" s="128"/>
      <c r="AX772" s="184"/>
      <c r="AY772" s="111">
        <f>AM772+AO772+AQ772+AS772+AU772+AW772</f>
        <v>0.1</v>
      </c>
      <c r="AZ772" s="178">
        <f>AN772+AP772+AR772+AT772+AV772+AX772</f>
        <v>0</v>
      </c>
      <c r="BC772" s="47"/>
      <c r="BD772" s="47"/>
      <c r="BF772" s="113">
        <v>5.1398000000000006E-2</v>
      </c>
      <c r="BG772" s="113"/>
      <c r="BH772" s="113"/>
      <c r="BI772" s="113"/>
      <c r="BJ772" s="113"/>
      <c r="BK772" s="113"/>
      <c r="BL772" s="5">
        <f t="shared" si="172"/>
        <v>5.1398000000000006E-2</v>
      </c>
    </row>
    <row r="773" spans="1:64" s="2" customFormat="1" ht="15.75" customHeight="1" outlineLevel="1" x14ac:dyDescent="0.2">
      <c r="A773" s="594"/>
      <c r="B773" s="601"/>
      <c r="C773" s="7" t="s">
        <v>1553</v>
      </c>
      <c r="D773" s="8"/>
      <c r="E773" s="23"/>
      <c r="F773" s="8"/>
      <c r="G773" s="8"/>
      <c r="H773" s="5">
        <v>0.11</v>
      </c>
      <c r="I773" s="5">
        <v>0.10163</v>
      </c>
      <c r="J773" s="5">
        <v>5.1398000000000006E-2</v>
      </c>
      <c r="K773" s="8"/>
      <c r="L773" s="23"/>
      <c r="M773" s="8"/>
      <c r="N773" s="8"/>
      <c r="O773" s="8"/>
      <c r="P773" s="8"/>
      <c r="Q773" s="23"/>
      <c r="R773" s="113"/>
      <c r="S773" s="113"/>
      <c r="T773" s="113"/>
      <c r="U773" s="113"/>
      <c r="V773" s="113"/>
      <c r="W773" s="113"/>
      <c r="X773" s="5">
        <f>SUM(R773:W773)</f>
        <v>0</v>
      </c>
      <c r="Y773" s="302"/>
      <c r="Z773" s="5"/>
      <c r="AA773" s="94"/>
      <c r="AB773" s="311">
        <f t="shared" si="171"/>
        <v>0.10163</v>
      </c>
      <c r="AC773" s="296"/>
      <c r="AD773" s="113"/>
      <c r="AE773" s="5"/>
      <c r="AF773" s="5"/>
      <c r="AG773" s="5"/>
      <c r="AH773" s="5"/>
      <c r="AI773" s="5"/>
      <c r="AJ773" s="5"/>
      <c r="AK773" s="141"/>
      <c r="AL773" s="94"/>
      <c r="AM773" s="128"/>
      <c r="AN773" s="180"/>
      <c r="AO773" s="128"/>
      <c r="AP773" s="184"/>
      <c r="AQ773" s="128"/>
      <c r="AR773" s="184"/>
      <c r="AS773" s="128"/>
      <c r="AT773" s="184"/>
      <c r="AU773" s="128"/>
      <c r="AV773" s="184"/>
      <c r="AW773" s="128"/>
      <c r="AX773" s="184"/>
      <c r="AY773" s="111"/>
      <c r="AZ773" s="178"/>
      <c r="BC773" s="47"/>
      <c r="BD773" s="47"/>
      <c r="BF773" s="113"/>
      <c r="BG773" s="113"/>
      <c r="BH773" s="113"/>
      <c r="BI773" s="113"/>
      <c r="BJ773" s="113"/>
      <c r="BK773" s="113"/>
      <c r="BL773" s="5">
        <f t="shared" si="172"/>
        <v>0</v>
      </c>
    </row>
    <row r="774" spans="1:64" s="2" customFormat="1" ht="15.75" customHeight="1" outlineLevel="1" x14ac:dyDescent="0.2">
      <c r="A774" s="595"/>
      <c r="B774" s="602"/>
      <c r="C774" s="7" t="s">
        <v>1554</v>
      </c>
      <c r="D774" s="8"/>
      <c r="E774" s="23"/>
      <c r="F774" s="8"/>
      <c r="G774" s="8"/>
      <c r="H774" s="5"/>
      <c r="I774" s="5"/>
      <c r="J774" s="5"/>
      <c r="K774" s="23"/>
      <c r="L774" s="8"/>
      <c r="M774" s="8"/>
      <c r="N774" s="8"/>
      <c r="O774" s="8"/>
      <c r="P774" s="8"/>
      <c r="Q774" s="23"/>
      <c r="R774" s="113"/>
      <c r="S774" s="113"/>
      <c r="T774" s="113"/>
      <c r="U774" s="113"/>
      <c r="V774" s="113"/>
      <c r="W774" s="113"/>
      <c r="X774" s="5">
        <f>SUM(R774:W774)</f>
        <v>0</v>
      </c>
      <c r="Y774" s="302"/>
      <c r="Z774" s="5"/>
      <c r="AA774" s="94"/>
      <c r="AB774" s="311">
        <f t="shared" si="171"/>
        <v>0</v>
      </c>
      <c r="AC774" s="296"/>
      <c r="AD774" s="113"/>
      <c r="AE774" s="5"/>
      <c r="AF774" s="5"/>
      <c r="AG774" s="5"/>
      <c r="AH774" s="5"/>
      <c r="AI774" s="5"/>
      <c r="AJ774" s="5"/>
      <c r="AK774" s="141"/>
      <c r="AL774" s="94"/>
      <c r="AM774" s="128"/>
      <c r="AN774" s="180"/>
      <c r="AO774" s="128"/>
      <c r="AP774" s="184"/>
      <c r="AQ774" s="128"/>
      <c r="AR774" s="184"/>
      <c r="AS774" s="128"/>
      <c r="AT774" s="184"/>
      <c r="AU774" s="128"/>
      <c r="AV774" s="184"/>
      <c r="AW774" s="128"/>
      <c r="AX774" s="184"/>
      <c r="AY774" s="111"/>
      <c r="AZ774" s="178"/>
      <c r="BC774" s="47"/>
      <c r="BD774" s="47"/>
      <c r="BF774" s="113"/>
      <c r="BG774" s="113"/>
      <c r="BH774" s="113"/>
      <c r="BI774" s="113"/>
      <c r="BJ774" s="113"/>
      <c r="BK774" s="113"/>
      <c r="BL774" s="5">
        <f t="shared" si="172"/>
        <v>0</v>
      </c>
    </row>
    <row r="775" spans="1:64" s="2" customFormat="1" ht="76.5" outlineLevel="1" x14ac:dyDescent="0.2">
      <c r="A775" s="593" t="s">
        <v>229</v>
      </c>
      <c r="B775" s="600" t="s">
        <v>891</v>
      </c>
      <c r="C775" s="7" t="s">
        <v>230</v>
      </c>
      <c r="D775" s="8" t="s">
        <v>397</v>
      </c>
      <c r="E775" s="23" t="s">
        <v>346</v>
      </c>
      <c r="F775" s="8">
        <v>2013</v>
      </c>
      <c r="G775" s="8">
        <v>2014</v>
      </c>
      <c r="H775" s="5">
        <v>0.42351333000000002</v>
      </c>
      <c r="I775" s="5">
        <v>0.208151</v>
      </c>
      <c r="J775" s="5">
        <f>R775</f>
        <v>0.208151</v>
      </c>
      <c r="K775" s="23" t="s">
        <v>346</v>
      </c>
      <c r="L775" s="8"/>
      <c r="M775" s="8"/>
      <c r="N775" s="8"/>
      <c r="O775" s="8"/>
      <c r="P775" s="8"/>
      <c r="Q775" s="23" t="s">
        <v>346</v>
      </c>
      <c r="R775" s="113">
        <v>0.208151</v>
      </c>
      <c r="S775" s="113"/>
      <c r="T775" s="113"/>
      <c r="U775" s="113"/>
      <c r="V775" s="113"/>
      <c r="W775" s="113"/>
      <c r="X775" s="5">
        <f t="shared" si="170"/>
        <v>0.208151</v>
      </c>
      <c r="Y775" s="302">
        <f>H775-H776-H777</f>
        <v>0</v>
      </c>
      <c r="Z775" s="5">
        <f>I775-I776-I777</f>
        <v>0</v>
      </c>
      <c r="AA775" s="94">
        <f>J775-J776-J777</f>
        <v>0</v>
      </c>
      <c r="AB775" s="311">
        <f t="shared" si="171"/>
        <v>0</v>
      </c>
      <c r="AC775" s="296"/>
      <c r="AD775" s="113"/>
      <c r="AE775" s="5"/>
      <c r="AF775" s="5">
        <f>H775</f>
        <v>0.42351333000000002</v>
      </c>
      <c r="AG775" s="5"/>
      <c r="AH775" s="5"/>
      <c r="AI775" s="5"/>
      <c r="AJ775" s="5"/>
      <c r="AK775" s="141"/>
      <c r="AL775" s="94">
        <f>SUM(AF775:AK775)</f>
        <v>0.42351333000000002</v>
      </c>
      <c r="AM775" s="128">
        <v>0.15</v>
      </c>
      <c r="AN775" s="180">
        <v>0</v>
      </c>
      <c r="AO775" s="128"/>
      <c r="AP775" s="184"/>
      <c r="AQ775" s="128"/>
      <c r="AR775" s="184"/>
      <c r="AS775" s="128"/>
      <c r="AT775" s="184"/>
      <c r="AU775" s="128"/>
      <c r="AV775" s="184"/>
      <c r="AW775" s="128"/>
      <c r="AX775" s="184"/>
      <c r="AY775" s="111">
        <f>AM775+AO775+AQ775+AS775+AU775+AW775</f>
        <v>0.15</v>
      </c>
      <c r="AZ775" s="178">
        <f>AN775+AP775+AR775+AT775+AV775+AX775</f>
        <v>0</v>
      </c>
      <c r="BC775" s="47"/>
      <c r="BD775" s="47"/>
      <c r="BF775" s="113">
        <v>0.208151</v>
      </c>
      <c r="BG775" s="113"/>
      <c r="BH775" s="113"/>
      <c r="BI775" s="113"/>
      <c r="BJ775" s="113"/>
      <c r="BK775" s="113"/>
      <c r="BL775" s="5">
        <f t="shared" si="172"/>
        <v>0.208151</v>
      </c>
    </row>
    <row r="776" spans="1:64" s="2" customFormat="1" ht="15.75" customHeight="1" outlineLevel="1" x14ac:dyDescent="0.2">
      <c r="A776" s="594"/>
      <c r="B776" s="601"/>
      <c r="C776" s="7" t="s">
        <v>1553</v>
      </c>
      <c r="D776" s="8"/>
      <c r="E776" s="23"/>
      <c r="F776" s="8"/>
      <c r="G776" s="8"/>
      <c r="H776" s="5"/>
      <c r="I776" s="5"/>
      <c r="J776" s="5"/>
      <c r="K776" s="8"/>
      <c r="L776" s="23"/>
      <c r="M776" s="8"/>
      <c r="N776" s="8"/>
      <c r="O776" s="8"/>
      <c r="P776" s="8"/>
      <c r="Q776" s="23"/>
      <c r="R776" s="113"/>
      <c r="S776" s="113"/>
      <c r="T776" s="113"/>
      <c r="U776" s="113"/>
      <c r="V776" s="113"/>
      <c r="W776" s="113"/>
      <c r="X776" s="5">
        <f t="shared" si="170"/>
        <v>0</v>
      </c>
      <c r="Y776" s="302"/>
      <c r="Z776" s="5"/>
      <c r="AA776" s="94"/>
      <c r="AB776" s="311">
        <f t="shared" si="171"/>
        <v>0</v>
      </c>
      <c r="AC776" s="296"/>
      <c r="AD776" s="113"/>
      <c r="AE776" s="5"/>
      <c r="AF776" s="5"/>
      <c r="AG776" s="5"/>
      <c r="AH776" s="5"/>
      <c r="AI776" s="5"/>
      <c r="AJ776" s="5"/>
      <c r="AK776" s="141"/>
      <c r="AL776" s="94"/>
      <c r="AM776" s="128"/>
      <c r="AN776" s="180"/>
      <c r="AO776" s="128"/>
      <c r="AP776" s="184"/>
      <c r="AQ776" s="128"/>
      <c r="AR776" s="184"/>
      <c r="AS776" s="128"/>
      <c r="AT776" s="184"/>
      <c r="AU776" s="128"/>
      <c r="AV776" s="184"/>
      <c r="AW776" s="128"/>
      <c r="AX776" s="184"/>
      <c r="AY776" s="111"/>
      <c r="AZ776" s="178"/>
      <c r="BC776" s="47"/>
      <c r="BD776" s="47"/>
      <c r="BF776" s="113"/>
      <c r="BG776" s="113"/>
      <c r="BH776" s="113"/>
      <c r="BI776" s="113"/>
      <c r="BJ776" s="113"/>
      <c r="BK776" s="113"/>
      <c r="BL776" s="5">
        <f t="shared" si="172"/>
        <v>0</v>
      </c>
    </row>
    <row r="777" spans="1:64" s="2" customFormat="1" ht="15.75" customHeight="1" outlineLevel="1" x14ac:dyDescent="0.2">
      <c r="A777" s="595"/>
      <c r="B777" s="602"/>
      <c r="C777" s="7" t="s">
        <v>1554</v>
      </c>
      <c r="D777" s="8"/>
      <c r="E777" s="23"/>
      <c r="F777" s="8"/>
      <c r="G777" s="8"/>
      <c r="H777" s="5">
        <f>H775</f>
        <v>0.42351333000000002</v>
      </c>
      <c r="I777" s="5">
        <f>I775</f>
        <v>0.208151</v>
      </c>
      <c r="J777" s="5">
        <f>J775</f>
        <v>0.208151</v>
      </c>
      <c r="K777" s="23"/>
      <c r="L777" s="8"/>
      <c r="M777" s="8"/>
      <c r="N777" s="8"/>
      <c r="O777" s="8"/>
      <c r="P777" s="8"/>
      <c r="Q777" s="23"/>
      <c r="R777" s="113"/>
      <c r="S777" s="113"/>
      <c r="T777" s="113"/>
      <c r="U777" s="113"/>
      <c r="V777" s="113"/>
      <c r="W777" s="113"/>
      <c r="X777" s="5">
        <f t="shared" si="170"/>
        <v>0</v>
      </c>
      <c r="Y777" s="302"/>
      <c r="Z777" s="5"/>
      <c r="AA777" s="94"/>
      <c r="AB777" s="311">
        <f t="shared" si="171"/>
        <v>0.208151</v>
      </c>
      <c r="AC777" s="296"/>
      <c r="AD777" s="113"/>
      <c r="AE777" s="5"/>
      <c r="AF777" s="5"/>
      <c r="AG777" s="5"/>
      <c r="AH777" s="5"/>
      <c r="AI777" s="5"/>
      <c r="AJ777" s="5"/>
      <c r="AK777" s="141"/>
      <c r="AL777" s="94"/>
      <c r="AM777" s="128"/>
      <c r="AN777" s="180"/>
      <c r="AO777" s="128"/>
      <c r="AP777" s="184"/>
      <c r="AQ777" s="128"/>
      <c r="AR777" s="184"/>
      <c r="AS777" s="128"/>
      <c r="AT777" s="184"/>
      <c r="AU777" s="128"/>
      <c r="AV777" s="184"/>
      <c r="AW777" s="128"/>
      <c r="AX777" s="184"/>
      <c r="AY777" s="111"/>
      <c r="AZ777" s="178"/>
      <c r="BC777" s="47"/>
      <c r="BD777" s="47"/>
      <c r="BF777" s="113"/>
      <c r="BG777" s="113"/>
      <c r="BH777" s="113"/>
      <c r="BI777" s="113"/>
      <c r="BJ777" s="113"/>
      <c r="BK777" s="113"/>
      <c r="BL777" s="5">
        <f t="shared" si="172"/>
        <v>0</v>
      </c>
    </row>
    <row r="778" spans="1:64" s="2" customFormat="1" ht="76.5" customHeight="1" outlineLevel="1" x14ac:dyDescent="0.2">
      <c r="A778" s="593" t="s">
        <v>232</v>
      </c>
      <c r="B778" s="600" t="s">
        <v>894</v>
      </c>
      <c r="C778" s="7" t="s">
        <v>233</v>
      </c>
      <c r="D778" s="8" t="s">
        <v>397</v>
      </c>
      <c r="E778" s="23" t="s">
        <v>333</v>
      </c>
      <c r="F778" s="8">
        <v>2013</v>
      </c>
      <c r="G778" s="8">
        <v>2015</v>
      </c>
      <c r="H778" s="5">
        <v>0.41000000000000003</v>
      </c>
      <c r="I778" s="5">
        <v>0.385243</v>
      </c>
      <c r="J778" s="5">
        <f>R778</f>
        <v>3.9119000000000001E-2</v>
      </c>
      <c r="K778" s="8"/>
      <c r="L778" s="23" t="s">
        <v>333</v>
      </c>
      <c r="M778" s="8"/>
      <c r="N778" s="8"/>
      <c r="O778" s="8"/>
      <c r="P778" s="8"/>
      <c r="Q778" s="23" t="s">
        <v>333</v>
      </c>
      <c r="R778" s="113">
        <v>3.9119000000000001E-2</v>
      </c>
      <c r="S778" s="113"/>
      <c r="T778" s="113"/>
      <c r="U778" s="113"/>
      <c r="V778" s="113"/>
      <c r="W778" s="113"/>
      <c r="X778" s="5">
        <f t="shared" si="170"/>
        <v>3.9119000000000001E-2</v>
      </c>
      <c r="Y778" s="302">
        <f>H778-H779-H780</f>
        <v>0</v>
      </c>
      <c r="Z778" s="5">
        <f>I778-I779-I780</f>
        <v>0</v>
      </c>
      <c r="AA778" s="94">
        <f>J778-J779-J780</f>
        <v>0</v>
      </c>
      <c r="AB778" s="311">
        <f t="shared" si="171"/>
        <v>0.34612399999999999</v>
      </c>
      <c r="AC778" s="296"/>
      <c r="AD778" s="113"/>
      <c r="AE778" s="5"/>
      <c r="AF778" s="5"/>
      <c r="AG778" s="5">
        <f>H778</f>
        <v>0.41000000000000003</v>
      </c>
      <c r="AH778" s="5"/>
      <c r="AI778" s="5"/>
      <c r="AJ778" s="5"/>
      <c r="AK778" s="141"/>
      <c r="AL778" s="94">
        <f>SUM(AF778:AK778)</f>
        <v>0.41000000000000003</v>
      </c>
      <c r="AM778" s="128"/>
      <c r="AN778" s="180"/>
      <c r="AO778" s="128">
        <v>0.3</v>
      </c>
      <c r="AP778" s="184">
        <v>0</v>
      </c>
      <c r="AQ778" s="128"/>
      <c r="AR778" s="184"/>
      <c r="AS778" s="128"/>
      <c r="AT778" s="184"/>
      <c r="AU778" s="128"/>
      <c r="AV778" s="184"/>
      <c r="AW778" s="128"/>
      <c r="AX778" s="184"/>
      <c r="AY778" s="111">
        <f>AM778+AO778+AQ778+AS778+AU778+AW778</f>
        <v>0.3</v>
      </c>
      <c r="AZ778" s="178">
        <f>AN778+AP778+AR778+AT778+AV778+AX778</f>
        <v>0</v>
      </c>
      <c r="BC778" s="47"/>
      <c r="BD778" s="47"/>
      <c r="BF778" s="113">
        <v>3.9119000000000001E-2</v>
      </c>
      <c r="BG778" s="113"/>
      <c r="BH778" s="113"/>
      <c r="BI778" s="113"/>
      <c r="BJ778" s="113"/>
      <c r="BK778" s="113"/>
      <c r="BL778" s="5">
        <f t="shared" si="172"/>
        <v>3.9119000000000001E-2</v>
      </c>
    </row>
    <row r="779" spans="1:64" s="2" customFormat="1" ht="15.75" customHeight="1" outlineLevel="1" x14ac:dyDescent="0.2">
      <c r="A779" s="594"/>
      <c r="B779" s="601"/>
      <c r="C779" s="7" t="s">
        <v>1553</v>
      </c>
      <c r="D779" s="8"/>
      <c r="E779" s="23"/>
      <c r="F779" s="8"/>
      <c r="G779" s="8"/>
      <c r="H779" s="5"/>
      <c r="I779" s="5"/>
      <c r="J779" s="5"/>
      <c r="K779" s="8"/>
      <c r="L779" s="23"/>
      <c r="M779" s="8"/>
      <c r="N779" s="8"/>
      <c r="O779" s="8"/>
      <c r="P779" s="8"/>
      <c r="Q779" s="23"/>
      <c r="R779" s="113"/>
      <c r="S779" s="113"/>
      <c r="T779" s="113"/>
      <c r="U779" s="113"/>
      <c r="V779" s="113"/>
      <c r="W779" s="113"/>
      <c r="X779" s="5">
        <f>SUM(R779:W779)</f>
        <v>0</v>
      </c>
      <c r="Y779" s="302"/>
      <c r="Z779" s="5"/>
      <c r="AA779" s="94"/>
      <c r="AB779" s="311">
        <f t="shared" si="171"/>
        <v>0</v>
      </c>
      <c r="AC779" s="296"/>
      <c r="AD779" s="113"/>
      <c r="AE779" s="5"/>
      <c r="AF779" s="5"/>
      <c r="AG779" s="5"/>
      <c r="AH779" s="5"/>
      <c r="AI779" s="5"/>
      <c r="AJ779" s="5"/>
      <c r="AK779" s="141"/>
      <c r="AL779" s="94"/>
      <c r="AM779" s="128"/>
      <c r="AN779" s="180"/>
      <c r="AO779" s="128"/>
      <c r="AP779" s="184"/>
      <c r="AQ779" s="128"/>
      <c r="AR779" s="184"/>
      <c r="AS779" s="128"/>
      <c r="AT779" s="184"/>
      <c r="AU779" s="128"/>
      <c r="AV779" s="184"/>
      <c r="AW779" s="128"/>
      <c r="AX779" s="184"/>
      <c r="AY779" s="111"/>
      <c r="AZ779" s="178"/>
      <c r="BC779" s="47"/>
      <c r="BD779" s="47"/>
      <c r="BF779" s="113"/>
      <c r="BG779" s="113"/>
      <c r="BH779" s="113"/>
      <c r="BI779" s="113"/>
      <c r="BJ779" s="113"/>
      <c r="BK779" s="113"/>
      <c r="BL779" s="5">
        <f t="shared" si="172"/>
        <v>0</v>
      </c>
    </row>
    <row r="780" spans="1:64" s="2" customFormat="1" ht="15.75" customHeight="1" outlineLevel="1" x14ac:dyDescent="0.2">
      <c r="A780" s="595"/>
      <c r="B780" s="602"/>
      <c r="C780" s="7" t="s">
        <v>1554</v>
      </c>
      <c r="D780" s="8"/>
      <c r="E780" s="23"/>
      <c r="F780" s="8"/>
      <c r="G780" s="8"/>
      <c r="H780" s="5">
        <v>0.41000000000000003</v>
      </c>
      <c r="I780" s="5">
        <v>0.385243</v>
      </c>
      <c r="J780" s="5">
        <v>3.9119000000000001E-2</v>
      </c>
      <c r="K780" s="23"/>
      <c r="L780" s="8"/>
      <c r="M780" s="8"/>
      <c r="N780" s="8"/>
      <c r="O780" s="8"/>
      <c r="P780" s="8"/>
      <c r="Q780" s="23"/>
      <c r="R780" s="113"/>
      <c r="S780" s="113"/>
      <c r="T780" s="113"/>
      <c r="U780" s="113"/>
      <c r="V780" s="113"/>
      <c r="W780" s="113"/>
      <c r="X780" s="5">
        <f>SUM(R780:W780)</f>
        <v>0</v>
      </c>
      <c r="Y780" s="302"/>
      <c r="Z780" s="5"/>
      <c r="AA780" s="94"/>
      <c r="AB780" s="311">
        <f t="shared" si="171"/>
        <v>0.385243</v>
      </c>
      <c r="AC780" s="296"/>
      <c r="AD780" s="113"/>
      <c r="AE780" s="5"/>
      <c r="AF780" s="5"/>
      <c r="AG780" s="5"/>
      <c r="AH780" s="5"/>
      <c r="AI780" s="5"/>
      <c r="AJ780" s="5"/>
      <c r="AK780" s="141"/>
      <c r="AL780" s="94"/>
      <c r="AM780" s="128"/>
      <c r="AN780" s="180"/>
      <c r="AO780" s="128"/>
      <c r="AP780" s="184"/>
      <c r="AQ780" s="128"/>
      <c r="AR780" s="184"/>
      <c r="AS780" s="128"/>
      <c r="AT780" s="184"/>
      <c r="AU780" s="128"/>
      <c r="AV780" s="184"/>
      <c r="AW780" s="128"/>
      <c r="AX780" s="184"/>
      <c r="AY780" s="111"/>
      <c r="AZ780" s="178"/>
      <c r="BC780" s="47"/>
      <c r="BD780" s="47"/>
      <c r="BF780" s="113"/>
      <c r="BG780" s="113"/>
      <c r="BH780" s="113"/>
      <c r="BI780" s="113"/>
      <c r="BJ780" s="113"/>
      <c r="BK780" s="113"/>
      <c r="BL780" s="5">
        <f t="shared" si="172"/>
        <v>0</v>
      </c>
    </row>
    <row r="781" spans="1:64" s="2" customFormat="1" ht="38.25" customHeight="1" outlineLevel="1" x14ac:dyDescent="0.2">
      <c r="A781" s="593" t="s">
        <v>235</v>
      </c>
      <c r="B781" s="600" t="s">
        <v>897</v>
      </c>
      <c r="C781" s="7" t="s">
        <v>547</v>
      </c>
      <c r="D781" s="8" t="s">
        <v>397</v>
      </c>
      <c r="E781" s="23" t="s">
        <v>343</v>
      </c>
      <c r="F781" s="8">
        <v>2012</v>
      </c>
      <c r="G781" s="8">
        <v>2015</v>
      </c>
      <c r="H781" s="5">
        <v>0.52362359999999997</v>
      </c>
      <c r="I781" s="5">
        <v>0.34476600000000002</v>
      </c>
      <c r="J781" s="5">
        <f>R781</f>
        <v>0.34476600000000002</v>
      </c>
      <c r="K781" s="8"/>
      <c r="L781" s="23" t="s">
        <v>343</v>
      </c>
      <c r="M781" s="8"/>
      <c r="N781" s="8"/>
      <c r="O781" s="8"/>
      <c r="P781" s="8"/>
      <c r="Q781" s="23" t="s">
        <v>343</v>
      </c>
      <c r="R781" s="113">
        <v>0.34476600000000002</v>
      </c>
      <c r="S781" s="113"/>
      <c r="T781" s="113"/>
      <c r="U781" s="113"/>
      <c r="V781" s="113"/>
      <c r="W781" s="113"/>
      <c r="X781" s="5">
        <f t="shared" si="170"/>
        <v>0.34476600000000002</v>
      </c>
      <c r="Y781" s="302">
        <f>H781-H782-H783</f>
        <v>0</v>
      </c>
      <c r="Z781" s="5">
        <f>I781-I782-I783</f>
        <v>0</v>
      </c>
      <c r="AA781" s="94">
        <f>J781-J782-J783</f>
        <v>0</v>
      </c>
      <c r="AB781" s="311">
        <f t="shared" si="171"/>
        <v>0</v>
      </c>
      <c r="AC781" s="296"/>
      <c r="AD781" s="113"/>
      <c r="AE781" s="5"/>
      <c r="AF781" s="5"/>
      <c r="AG781" s="5">
        <f>H781</f>
        <v>0.52362359999999997</v>
      </c>
      <c r="AH781" s="5"/>
      <c r="AI781" s="5"/>
      <c r="AJ781" s="5"/>
      <c r="AK781" s="141"/>
      <c r="AL781" s="94">
        <f>SUM(AF781:AK781)</f>
        <v>0.52362359999999997</v>
      </c>
      <c r="AM781" s="128"/>
      <c r="AN781" s="180"/>
      <c r="AO781" s="128">
        <v>0.4</v>
      </c>
      <c r="AP781" s="184">
        <v>0</v>
      </c>
      <c r="AQ781" s="128"/>
      <c r="AR781" s="184"/>
      <c r="AS781" s="128"/>
      <c r="AT781" s="184"/>
      <c r="AU781" s="128"/>
      <c r="AV781" s="184"/>
      <c r="AW781" s="128"/>
      <c r="AX781" s="184"/>
      <c r="AY781" s="111">
        <f>AM781+AO781+AQ781+AS781+AU781+AW781</f>
        <v>0.4</v>
      </c>
      <c r="AZ781" s="178">
        <f>AN781+AP781+AR781+AT781+AV781+AX781</f>
        <v>0</v>
      </c>
      <c r="BC781" s="47"/>
      <c r="BD781" s="47"/>
      <c r="BF781" s="113">
        <v>0.34476600000000002</v>
      </c>
      <c r="BG781" s="113"/>
      <c r="BH781" s="113"/>
      <c r="BI781" s="113"/>
      <c r="BJ781" s="113"/>
      <c r="BK781" s="113"/>
      <c r="BL781" s="5">
        <f t="shared" si="172"/>
        <v>0.34476600000000002</v>
      </c>
    </row>
    <row r="782" spans="1:64" s="2" customFormat="1" ht="15.75" customHeight="1" outlineLevel="1" x14ac:dyDescent="0.2">
      <c r="A782" s="594"/>
      <c r="B782" s="601"/>
      <c r="C782" s="7" t="s">
        <v>1553</v>
      </c>
      <c r="D782" s="8"/>
      <c r="E782" s="23"/>
      <c r="F782" s="8"/>
      <c r="G782" s="8"/>
      <c r="H782" s="5"/>
      <c r="I782" s="5"/>
      <c r="J782" s="5"/>
      <c r="K782" s="8"/>
      <c r="L782" s="23"/>
      <c r="M782" s="8"/>
      <c r="N782" s="8"/>
      <c r="O782" s="8"/>
      <c r="P782" s="8"/>
      <c r="Q782" s="23"/>
      <c r="R782" s="113"/>
      <c r="S782" s="113"/>
      <c r="T782" s="113"/>
      <c r="U782" s="113"/>
      <c r="V782" s="113"/>
      <c r="W782" s="113"/>
      <c r="X782" s="5">
        <f t="shared" si="170"/>
        <v>0</v>
      </c>
      <c r="Y782" s="302"/>
      <c r="Z782" s="5"/>
      <c r="AA782" s="94"/>
      <c r="AB782" s="311">
        <f t="shared" si="171"/>
        <v>0</v>
      </c>
      <c r="AC782" s="296"/>
      <c r="AD782" s="113"/>
      <c r="AE782" s="5"/>
      <c r="AF782" s="5"/>
      <c r="AG782" s="5"/>
      <c r="AH782" s="5"/>
      <c r="AI782" s="5"/>
      <c r="AJ782" s="5"/>
      <c r="AK782" s="141"/>
      <c r="AL782" s="94"/>
      <c r="AM782" s="128"/>
      <c r="AN782" s="180"/>
      <c r="AO782" s="128"/>
      <c r="AP782" s="184"/>
      <c r="AQ782" s="128"/>
      <c r="AR782" s="184"/>
      <c r="AS782" s="128"/>
      <c r="AT782" s="184"/>
      <c r="AU782" s="128"/>
      <c r="AV782" s="184"/>
      <c r="AW782" s="128"/>
      <c r="AX782" s="184"/>
      <c r="AY782" s="111"/>
      <c r="AZ782" s="178"/>
      <c r="BC782" s="47"/>
      <c r="BD782" s="47"/>
      <c r="BF782" s="113"/>
      <c r="BG782" s="113"/>
      <c r="BH782" s="113"/>
      <c r="BI782" s="113"/>
      <c r="BJ782" s="113"/>
      <c r="BK782" s="113"/>
      <c r="BL782" s="5">
        <f t="shared" si="172"/>
        <v>0</v>
      </c>
    </row>
    <row r="783" spans="1:64" s="2" customFormat="1" ht="15.75" customHeight="1" outlineLevel="1" x14ac:dyDescent="0.2">
      <c r="A783" s="595"/>
      <c r="B783" s="602"/>
      <c r="C783" s="7" t="s">
        <v>1554</v>
      </c>
      <c r="D783" s="8"/>
      <c r="E783" s="23"/>
      <c r="F783" s="8"/>
      <c r="G783" s="8"/>
      <c r="H783" s="5">
        <f>H781</f>
        <v>0.52362359999999997</v>
      </c>
      <c r="I783" s="5">
        <f>I781</f>
        <v>0.34476600000000002</v>
      </c>
      <c r="J783" s="5">
        <f>J781</f>
        <v>0.34476600000000002</v>
      </c>
      <c r="K783" s="23"/>
      <c r="L783" s="8"/>
      <c r="M783" s="8"/>
      <c r="N783" s="8"/>
      <c r="O783" s="8"/>
      <c r="P783" s="8"/>
      <c r="Q783" s="23"/>
      <c r="R783" s="113"/>
      <c r="S783" s="113"/>
      <c r="T783" s="113"/>
      <c r="U783" s="113"/>
      <c r="V783" s="113"/>
      <c r="W783" s="113"/>
      <c r="X783" s="5">
        <f t="shared" si="170"/>
        <v>0</v>
      </c>
      <c r="Y783" s="302"/>
      <c r="Z783" s="5"/>
      <c r="AA783" s="94"/>
      <c r="AB783" s="311">
        <f t="shared" si="171"/>
        <v>0.34476600000000002</v>
      </c>
      <c r="AC783" s="296"/>
      <c r="AD783" s="113"/>
      <c r="AE783" s="5"/>
      <c r="AF783" s="5"/>
      <c r="AG783" s="5"/>
      <c r="AH783" s="5"/>
      <c r="AI783" s="5"/>
      <c r="AJ783" s="5"/>
      <c r="AK783" s="141"/>
      <c r="AL783" s="94"/>
      <c r="AM783" s="128"/>
      <c r="AN783" s="180"/>
      <c r="AO783" s="128"/>
      <c r="AP783" s="184"/>
      <c r="AQ783" s="128"/>
      <c r="AR783" s="184"/>
      <c r="AS783" s="128"/>
      <c r="AT783" s="184"/>
      <c r="AU783" s="128"/>
      <c r="AV783" s="184"/>
      <c r="AW783" s="128"/>
      <c r="AX783" s="184"/>
      <c r="AY783" s="111"/>
      <c r="AZ783" s="178"/>
      <c r="BC783" s="47"/>
      <c r="BD783" s="47"/>
      <c r="BF783" s="113"/>
      <c r="BG783" s="113"/>
      <c r="BH783" s="113"/>
      <c r="BI783" s="113"/>
      <c r="BJ783" s="113"/>
      <c r="BK783" s="113"/>
      <c r="BL783" s="5">
        <f t="shared" si="172"/>
        <v>0</v>
      </c>
    </row>
    <row r="784" spans="1:64" s="2" customFormat="1" ht="25.5" outlineLevel="1" x14ac:dyDescent="0.2">
      <c r="A784" s="593" t="s">
        <v>237</v>
      </c>
      <c r="B784" s="600" t="s">
        <v>898</v>
      </c>
      <c r="C784" s="7" t="s">
        <v>548</v>
      </c>
      <c r="D784" s="8" t="s">
        <v>397</v>
      </c>
      <c r="E784" s="23" t="s">
        <v>1241</v>
      </c>
      <c r="F784" s="8">
        <v>2011</v>
      </c>
      <c r="G784" s="8">
        <v>2014</v>
      </c>
      <c r="H784" s="5">
        <v>0.17861900000000003</v>
      </c>
      <c r="I784" s="5">
        <v>0.01</v>
      </c>
      <c r="J784" s="5">
        <f>R784</f>
        <v>0.01</v>
      </c>
      <c r="K784" s="23" t="s">
        <v>1241</v>
      </c>
      <c r="L784" s="8"/>
      <c r="M784" s="8"/>
      <c r="N784" s="8"/>
      <c r="O784" s="8"/>
      <c r="P784" s="8"/>
      <c r="Q784" s="23" t="s">
        <v>1241</v>
      </c>
      <c r="R784" s="113">
        <v>0.01</v>
      </c>
      <c r="S784" s="113"/>
      <c r="T784" s="113"/>
      <c r="U784" s="113"/>
      <c r="V784" s="113"/>
      <c r="W784" s="113"/>
      <c r="X784" s="5">
        <f t="shared" si="170"/>
        <v>0.01</v>
      </c>
      <c r="Y784" s="302">
        <f>H784-H785-H786</f>
        <v>0</v>
      </c>
      <c r="Z784" s="5">
        <f>I784-I785-I786</f>
        <v>0</v>
      </c>
      <c r="AA784" s="94">
        <f>J784-J785-J786</f>
        <v>-9.9999999999999915E-4</v>
      </c>
      <c r="AB784" s="311">
        <f t="shared" si="171"/>
        <v>0</v>
      </c>
      <c r="AC784" s="296"/>
      <c r="AD784" s="113"/>
      <c r="AE784" s="5"/>
      <c r="AF784" s="5">
        <f>H784</f>
        <v>0.17861900000000003</v>
      </c>
      <c r="AG784" s="5"/>
      <c r="AH784" s="5"/>
      <c r="AI784" s="5"/>
      <c r="AJ784" s="5"/>
      <c r="AK784" s="141"/>
      <c r="AL784" s="94">
        <f>SUM(AF784:AK784)</f>
        <v>0.17861900000000003</v>
      </c>
      <c r="AM784" s="128">
        <v>0</v>
      </c>
      <c r="AN784" s="180">
        <v>0</v>
      </c>
      <c r="AO784" s="128"/>
      <c r="AP784" s="184"/>
      <c r="AQ784" s="128"/>
      <c r="AR784" s="184"/>
      <c r="AS784" s="128"/>
      <c r="AT784" s="184"/>
      <c r="AU784" s="128"/>
      <c r="AV784" s="184"/>
      <c r="AW784" s="128"/>
      <c r="AX784" s="184"/>
      <c r="AY784" s="111">
        <f>AM784+AO784+AQ784+AS784+AU784+AW784</f>
        <v>0</v>
      </c>
      <c r="AZ784" s="178">
        <f>AN784+AP784+AR784+AT784+AV784+AX784</f>
        <v>0</v>
      </c>
      <c r="BC784" s="47"/>
      <c r="BD784" s="47"/>
      <c r="BF784" s="113">
        <v>0.01</v>
      </c>
      <c r="BG784" s="113"/>
      <c r="BH784" s="113"/>
      <c r="BI784" s="113"/>
      <c r="BJ784" s="113"/>
      <c r="BK784" s="113"/>
      <c r="BL784" s="5">
        <f t="shared" si="172"/>
        <v>0.01</v>
      </c>
    </row>
    <row r="785" spans="1:64" s="2" customFormat="1" ht="15.75" customHeight="1" outlineLevel="1" x14ac:dyDescent="0.2">
      <c r="A785" s="594"/>
      <c r="B785" s="601"/>
      <c r="C785" s="7" t="s">
        <v>1553</v>
      </c>
      <c r="D785" s="8"/>
      <c r="E785" s="23"/>
      <c r="F785" s="8"/>
      <c r="G785" s="8"/>
      <c r="H785" s="5"/>
      <c r="I785" s="5"/>
      <c r="J785" s="5"/>
      <c r="K785" s="8"/>
      <c r="L785" s="23"/>
      <c r="M785" s="8"/>
      <c r="N785" s="8"/>
      <c r="O785" s="8"/>
      <c r="P785" s="8"/>
      <c r="Q785" s="23"/>
      <c r="R785" s="113"/>
      <c r="S785" s="113"/>
      <c r="T785" s="113"/>
      <c r="U785" s="113"/>
      <c r="V785" s="113"/>
      <c r="W785" s="113"/>
      <c r="X785" s="5">
        <f>SUM(R785:W785)</f>
        <v>0</v>
      </c>
      <c r="Y785" s="302"/>
      <c r="Z785" s="5"/>
      <c r="AA785" s="94"/>
      <c r="AB785" s="311">
        <f t="shared" si="171"/>
        <v>0</v>
      </c>
      <c r="AC785" s="296"/>
      <c r="AD785" s="113"/>
      <c r="AE785" s="5"/>
      <c r="AF785" s="5"/>
      <c r="AG785" s="5"/>
      <c r="AH785" s="5"/>
      <c r="AI785" s="5"/>
      <c r="AJ785" s="5"/>
      <c r="AK785" s="141"/>
      <c r="AL785" s="94"/>
      <c r="AM785" s="128"/>
      <c r="AN785" s="180"/>
      <c r="AO785" s="128"/>
      <c r="AP785" s="184"/>
      <c r="AQ785" s="128"/>
      <c r="AR785" s="184"/>
      <c r="AS785" s="128"/>
      <c r="AT785" s="184"/>
      <c r="AU785" s="128"/>
      <c r="AV785" s="184"/>
      <c r="AW785" s="128"/>
      <c r="AX785" s="184"/>
      <c r="AY785" s="111"/>
      <c r="AZ785" s="178"/>
      <c r="BC785" s="47"/>
      <c r="BD785" s="47"/>
      <c r="BF785" s="113"/>
      <c r="BG785" s="113"/>
      <c r="BH785" s="113"/>
      <c r="BI785" s="113"/>
      <c r="BJ785" s="113"/>
      <c r="BK785" s="113"/>
      <c r="BL785" s="5">
        <f t="shared" si="172"/>
        <v>0</v>
      </c>
    </row>
    <row r="786" spans="1:64" s="2" customFormat="1" ht="15.75" customHeight="1" outlineLevel="1" x14ac:dyDescent="0.2">
      <c r="A786" s="595"/>
      <c r="B786" s="602"/>
      <c r="C786" s="7" t="s">
        <v>1554</v>
      </c>
      <c r="D786" s="8"/>
      <c r="E786" s="23"/>
      <c r="F786" s="8"/>
      <c r="G786" s="8"/>
      <c r="H786" s="5">
        <v>0.17861900000000003</v>
      </c>
      <c r="I786" s="5">
        <f>I784</f>
        <v>0.01</v>
      </c>
      <c r="J786" s="5">
        <v>1.0999999999999999E-2</v>
      </c>
      <c r="K786" s="23"/>
      <c r="L786" s="8"/>
      <c r="M786" s="8"/>
      <c r="N786" s="8"/>
      <c r="O786" s="8"/>
      <c r="P786" s="8"/>
      <c r="Q786" s="23"/>
      <c r="R786" s="113"/>
      <c r="S786" s="113"/>
      <c r="T786" s="113"/>
      <c r="U786" s="113"/>
      <c r="V786" s="113"/>
      <c r="W786" s="113"/>
      <c r="X786" s="5">
        <f>SUM(R786:W786)</f>
        <v>0</v>
      </c>
      <c r="Y786" s="302"/>
      <c r="Z786" s="5"/>
      <c r="AA786" s="94"/>
      <c r="AB786" s="311">
        <f t="shared" si="171"/>
        <v>0.01</v>
      </c>
      <c r="AC786" s="296"/>
      <c r="AD786" s="113"/>
      <c r="AE786" s="5"/>
      <c r="AF786" s="5"/>
      <c r="AG786" s="5"/>
      <c r="AH786" s="5"/>
      <c r="AI786" s="5"/>
      <c r="AJ786" s="5"/>
      <c r="AK786" s="141"/>
      <c r="AL786" s="94"/>
      <c r="AM786" s="128"/>
      <c r="AN786" s="180"/>
      <c r="AO786" s="128"/>
      <c r="AP786" s="184"/>
      <c r="AQ786" s="128"/>
      <c r="AR786" s="184"/>
      <c r="AS786" s="128"/>
      <c r="AT786" s="184"/>
      <c r="AU786" s="128"/>
      <c r="AV786" s="184"/>
      <c r="AW786" s="128"/>
      <c r="AX786" s="184"/>
      <c r="AY786" s="111"/>
      <c r="AZ786" s="178"/>
      <c r="BC786" s="47"/>
      <c r="BD786" s="47"/>
      <c r="BF786" s="113"/>
      <c r="BG786" s="113"/>
      <c r="BH786" s="113"/>
      <c r="BI786" s="113"/>
      <c r="BJ786" s="113"/>
      <c r="BK786" s="113"/>
      <c r="BL786" s="5">
        <f t="shared" si="172"/>
        <v>0</v>
      </c>
    </row>
    <row r="787" spans="1:64" s="2" customFormat="1" ht="51" outlineLevel="1" x14ac:dyDescent="0.2">
      <c r="A787" s="593" t="s">
        <v>239</v>
      </c>
      <c r="B787" s="600" t="s">
        <v>899</v>
      </c>
      <c r="C787" s="7" t="s">
        <v>611</v>
      </c>
      <c r="D787" s="8" t="s">
        <v>397</v>
      </c>
      <c r="E787" s="23" t="s">
        <v>340</v>
      </c>
      <c r="F787" s="8">
        <v>2010</v>
      </c>
      <c r="G787" s="8">
        <v>2014</v>
      </c>
      <c r="H787" s="5">
        <v>9.8032999999999995E-2</v>
      </c>
      <c r="I787" s="5">
        <v>0.01</v>
      </c>
      <c r="J787" s="5">
        <f>R787</f>
        <v>0.01</v>
      </c>
      <c r="K787" s="23" t="s">
        <v>340</v>
      </c>
      <c r="L787" s="8"/>
      <c r="M787" s="8"/>
      <c r="N787" s="8"/>
      <c r="O787" s="8"/>
      <c r="P787" s="8"/>
      <c r="Q787" s="23" t="s">
        <v>340</v>
      </c>
      <c r="R787" s="113">
        <v>0.01</v>
      </c>
      <c r="S787" s="113"/>
      <c r="T787" s="113"/>
      <c r="U787" s="113"/>
      <c r="V787" s="113"/>
      <c r="W787" s="113"/>
      <c r="X787" s="5">
        <f t="shared" si="170"/>
        <v>0.01</v>
      </c>
      <c r="Y787" s="302">
        <f>H787-H788-H789</f>
        <v>2.6730000000000087E-3</v>
      </c>
      <c r="Z787" s="5">
        <f>I787-I788-I789</f>
        <v>0</v>
      </c>
      <c r="AA787" s="94">
        <f>J787-J788-J789</f>
        <v>-9.9999999999999915E-4</v>
      </c>
      <c r="AB787" s="311">
        <f t="shared" si="171"/>
        <v>0</v>
      </c>
      <c r="AC787" s="296"/>
      <c r="AD787" s="113"/>
      <c r="AE787" s="5"/>
      <c r="AF787" s="5">
        <f>H787</f>
        <v>9.8032999999999995E-2</v>
      </c>
      <c r="AG787" s="5"/>
      <c r="AH787" s="5"/>
      <c r="AI787" s="5"/>
      <c r="AJ787" s="5"/>
      <c r="AK787" s="141"/>
      <c r="AL787" s="94">
        <f>SUM(AF787:AK787)</f>
        <v>9.8032999999999995E-2</v>
      </c>
      <c r="AM787" s="128">
        <v>0.2</v>
      </c>
      <c r="AN787" s="180">
        <v>0</v>
      </c>
      <c r="AO787" s="128"/>
      <c r="AP787" s="184"/>
      <c r="AQ787" s="128"/>
      <c r="AR787" s="184"/>
      <c r="AS787" s="128"/>
      <c r="AT787" s="184"/>
      <c r="AU787" s="128"/>
      <c r="AV787" s="184"/>
      <c r="AW787" s="128"/>
      <c r="AX787" s="184"/>
      <c r="AY787" s="111">
        <f>AM787+AO787+AQ787+AS787+AU787+AW787</f>
        <v>0.2</v>
      </c>
      <c r="AZ787" s="178">
        <f>AN787+AP787+AR787+AT787+AV787+AX787</f>
        <v>0</v>
      </c>
      <c r="BC787" s="47"/>
      <c r="BD787" s="47"/>
      <c r="BF787" s="113">
        <v>0.01</v>
      </c>
      <c r="BG787" s="113"/>
      <c r="BH787" s="113"/>
      <c r="BI787" s="113"/>
      <c r="BJ787" s="113"/>
      <c r="BK787" s="113"/>
      <c r="BL787" s="5">
        <f t="shared" si="172"/>
        <v>0.01</v>
      </c>
    </row>
    <row r="788" spans="1:64" s="2" customFormat="1" ht="14.1" customHeight="1" outlineLevel="1" x14ac:dyDescent="0.2">
      <c r="A788" s="594"/>
      <c r="B788" s="601"/>
      <c r="C788" s="7" t="s">
        <v>1553</v>
      </c>
      <c r="D788" s="8"/>
      <c r="E788" s="23"/>
      <c r="F788" s="8"/>
      <c r="G788" s="8"/>
      <c r="H788" s="5"/>
      <c r="I788" s="5"/>
      <c r="J788" s="5"/>
      <c r="K788" s="8"/>
      <c r="L788" s="23"/>
      <c r="M788" s="8"/>
      <c r="N788" s="8"/>
      <c r="O788" s="8"/>
      <c r="P788" s="8"/>
      <c r="Q788" s="23"/>
      <c r="R788" s="113"/>
      <c r="S788" s="113"/>
      <c r="T788" s="113"/>
      <c r="U788" s="113"/>
      <c r="V788" s="113"/>
      <c r="W788" s="113"/>
      <c r="X788" s="5">
        <f t="shared" si="170"/>
        <v>0</v>
      </c>
      <c r="Y788" s="302"/>
      <c r="Z788" s="5"/>
      <c r="AA788" s="94"/>
      <c r="AB788" s="311">
        <f t="shared" si="171"/>
        <v>0</v>
      </c>
      <c r="AC788" s="296"/>
      <c r="AD788" s="113"/>
      <c r="AE788" s="5"/>
      <c r="AF788" s="5"/>
      <c r="AG788" s="5"/>
      <c r="AH788" s="5"/>
      <c r="AI788" s="5"/>
      <c r="AJ788" s="5"/>
      <c r="AK788" s="141"/>
      <c r="AL788" s="94"/>
      <c r="AM788" s="128"/>
      <c r="AN788" s="180"/>
      <c r="AO788" s="128"/>
      <c r="AP788" s="184"/>
      <c r="AQ788" s="128"/>
      <c r="AR788" s="184"/>
      <c r="AS788" s="128"/>
      <c r="AT788" s="184"/>
      <c r="AU788" s="128"/>
      <c r="AV788" s="184"/>
      <c r="AW788" s="128"/>
      <c r="AX788" s="184"/>
      <c r="AY788" s="111"/>
      <c r="AZ788" s="178"/>
      <c r="BC788" s="47"/>
      <c r="BD788" s="47"/>
      <c r="BF788" s="113"/>
      <c r="BG788" s="113"/>
      <c r="BH788" s="113"/>
      <c r="BI788" s="113"/>
      <c r="BJ788" s="113"/>
      <c r="BK788" s="113"/>
      <c r="BL788" s="5">
        <f t="shared" si="172"/>
        <v>0</v>
      </c>
    </row>
    <row r="789" spans="1:64" s="2" customFormat="1" ht="14.1" customHeight="1" outlineLevel="1" x14ac:dyDescent="0.2">
      <c r="A789" s="595"/>
      <c r="B789" s="602"/>
      <c r="C789" s="7" t="s">
        <v>1554</v>
      </c>
      <c r="D789" s="8"/>
      <c r="E789" s="23"/>
      <c r="F789" s="8"/>
      <c r="G789" s="8"/>
      <c r="H789" s="5">
        <v>9.5359999999999986E-2</v>
      </c>
      <c r="I789" s="5">
        <f>I787</f>
        <v>0.01</v>
      </c>
      <c r="J789" s="5">
        <v>1.0999999999999999E-2</v>
      </c>
      <c r="K789" s="23"/>
      <c r="L789" s="8"/>
      <c r="M789" s="8"/>
      <c r="N789" s="8"/>
      <c r="O789" s="8"/>
      <c r="P789" s="8"/>
      <c r="Q789" s="23"/>
      <c r="R789" s="113"/>
      <c r="S789" s="113"/>
      <c r="T789" s="113"/>
      <c r="U789" s="113"/>
      <c r="V789" s="113"/>
      <c r="W789" s="113"/>
      <c r="X789" s="5">
        <f t="shared" si="170"/>
        <v>0</v>
      </c>
      <c r="Y789" s="302"/>
      <c r="Z789" s="5"/>
      <c r="AA789" s="94"/>
      <c r="AB789" s="311">
        <f t="shared" ref="AB789:AB852" si="173">I789-X789</f>
        <v>0.01</v>
      </c>
      <c r="AC789" s="296"/>
      <c r="AD789" s="113"/>
      <c r="AE789" s="5"/>
      <c r="AF789" s="5"/>
      <c r="AG789" s="5"/>
      <c r="AH789" s="5"/>
      <c r="AI789" s="5"/>
      <c r="AJ789" s="5"/>
      <c r="AK789" s="141"/>
      <c r="AL789" s="94"/>
      <c r="AM789" s="128"/>
      <c r="AN789" s="180"/>
      <c r="AO789" s="128"/>
      <c r="AP789" s="184"/>
      <c r="AQ789" s="128"/>
      <c r="AR789" s="184"/>
      <c r="AS789" s="128"/>
      <c r="AT789" s="184"/>
      <c r="AU789" s="128"/>
      <c r="AV789" s="184"/>
      <c r="AW789" s="128"/>
      <c r="AX789" s="184"/>
      <c r="AY789" s="111"/>
      <c r="AZ789" s="178"/>
      <c r="BC789" s="47"/>
      <c r="BD789" s="47"/>
      <c r="BF789" s="113"/>
      <c r="BG789" s="113"/>
      <c r="BH789" s="113"/>
      <c r="BI789" s="113"/>
      <c r="BJ789" s="113"/>
      <c r="BK789" s="113"/>
      <c r="BL789" s="5">
        <f t="shared" si="172"/>
        <v>0</v>
      </c>
    </row>
    <row r="790" spans="1:64" s="2" customFormat="1" ht="63.75" outlineLevel="1" x14ac:dyDescent="0.2">
      <c r="A790" s="593" t="s">
        <v>241</v>
      </c>
      <c r="B790" s="600" t="s">
        <v>228</v>
      </c>
      <c r="C790" s="7" t="s">
        <v>549</v>
      </c>
      <c r="D790" s="8" t="s">
        <v>397</v>
      </c>
      <c r="E790" s="23" t="s">
        <v>335</v>
      </c>
      <c r="F790" s="8">
        <v>2011</v>
      </c>
      <c r="G790" s="8">
        <v>2014</v>
      </c>
      <c r="H790" s="5">
        <v>9.1999999999999998E-2</v>
      </c>
      <c r="I790" s="5">
        <v>0.01</v>
      </c>
      <c r="J790" s="5">
        <f>R790</f>
        <v>0.01</v>
      </c>
      <c r="K790" s="23" t="s">
        <v>335</v>
      </c>
      <c r="L790" s="8"/>
      <c r="M790" s="8"/>
      <c r="N790" s="8"/>
      <c r="O790" s="8"/>
      <c r="P790" s="8"/>
      <c r="Q790" s="23" t="s">
        <v>335</v>
      </c>
      <c r="R790" s="113">
        <v>0.01</v>
      </c>
      <c r="S790" s="113"/>
      <c r="T790" s="113"/>
      <c r="U790" s="113"/>
      <c r="V790" s="113"/>
      <c r="W790" s="113"/>
      <c r="X790" s="5">
        <f t="shared" si="170"/>
        <v>0.01</v>
      </c>
      <c r="Y790" s="302">
        <f>H790-H791-H792</f>
        <v>0</v>
      </c>
      <c r="Z790" s="5">
        <f>I790-I791-I792</f>
        <v>0</v>
      </c>
      <c r="AA790" s="94">
        <f>J790-J791-J792</f>
        <v>-9.9999999999999915E-4</v>
      </c>
      <c r="AB790" s="311">
        <f t="shared" si="173"/>
        <v>0</v>
      </c>
      <c r="AC790" s="296"/>
      <c r="AD790" s="113"/>
      <c r="AE790" s="5"/>
      <c r="AF790" s="5">
        <f>H790</f>
        <v>9.1999999999999998E-2</v>
      </c>
      <c r="AG790" s="5"/>
      <c r="AH790" s="5"/>
      <c r="AI790" s="5"/>
      <c r="AJ790" s="5"/>
      <c r="AK790" s="141"/>
      <c r="AL790" s="94">
        <f>SUM(AF790:AK790)</f>
        <v>9.1999999999999998E-2</v>
      </c>
      <c r="AM790" s="128">
        <v>0.1</v>
      </c>
      <c r="AN790" s="180">
        <v>0</v>
      </c>
      <c r="AO790" s="128"/>
      <c r="AP790" s="184"/>
      <c r="AQ790" s="128"/>
      <c r="AR790" s="184"/>
      <c r="AS790" s="128"/>
      <c r="AT790" s="184"/>
      <c r="AU790" s="128"/>
      <c r="AV790" s="184"/>
      <c r="AW790" s="128"/>
      <c r="AX790" s="184"/>
      <c r="AY790" s="111">
        <f>AM790+AO790+AQ790+AS790+AU790+AW790</f>
        <v>0.1</v>
      </c>
      <c r="AZ790" s="178">
        <f>AN790+AP790+AR790+AT790+AV790+AX790</f>
        <v>0</v>
      </c>
      <c r="BC790" s="47"/>
      <c r="BD790" s="47"/>
      <c r="BF790" s="113">
        <v>0.01</v>
      </c>
      <c r="BG790" s="113"/>
      <c r="BH790" s="113"/>
      <c r="BI790" s="113"/>
      <c r="BJ790" s="113"/>
      <c r="BK790" s="113"/>
      <c r="BL790" s="5">
        <f t="shared" si="172"/>
        <v>0.01</v>
      </c>
    </row>
    <row r="791" spans="1:64" s="2" customFormat="1" ht="14.1" customHeight="1" outlineLevel="1" x14ac:dyDescent="0.2">
      <c r="A791" s="594"/>
      <c r="B791" s="601"/>
      <c r="C791" s="7" t="s">
        <v>1553</v>
      </c>
      <c r="D791" s="8"/>
      <c r="E791" s="23"/>
      <c r="F791" s="8"/>
      <c r="G791" s="8"/>
      <c r="H791" s="5">
        <v>9.1999999999999998E-2</v>
      </c>
      <c r="I791" s="5">
        <f>I790</f>
        <v>0.01</v>
      </c>
      <c r="J791" s="5">
        <v>1.0999999999999999E-2</v>
      </c>
      <c r="K791" s="8"/>
      <c r="L791" s="23"/>
      <c r="M791" s="8"/>
      <c r="N791" s="8"/>
      <c r="O791" s="8"/>
      <c r="P791" s="8"/>
      <c r="Q791" s="23"/>
      <c r="R791" s="113"/>
      <c r="S791" s="113"/>
      <c r="T791" s="113"/>
      <c r="U791" s="113"/>
      <c r="V791" s="113"/>
      <c r="W791" s="113"/>
      <c r="X791" s="5">
        <f>SUM(R791:W791)</f>
        <v>0</v>
      </c>
      <c r="Y791" s="302"/>
      <c r="Z791" s="5"/>
      <c r="AA791" s="94"/>
      <c r="AB791" s="311">
        <f t="shared" si="173"/>
        <v>0.01</v>
      </c>
      <c r="AC791" s="296"/>
      <c r="AD791" s="113"/>
      <c r="AE791" s="5"/>
      <c r="AF791" s="5"/>
      <c r="AG791" s="5"/>
      <c r="AH791" s="5"/>
      <c r="AI791" s="5"/>
      <c r="AJ791" s="5"/>
      <c r="AK791" s="141"/>
      <c r="AL791" s="94"/>
      <c r="AM791" s="128"/>
      <c r="AN791" s="180"/>
      <c r="AO791" s="128"/>
      <c r="AP791" s="184"/>
      <c r="AQ791" s="128"/>
      <c r="AR791" s="184"/>
      <c r="AS791" s="128"/>
      <c r="AT791" s="184"/>
      <c r="AU791" s="128"/>
      <c r="AV791" s="184"/>
      <c r="AW791" s="128"/>
      <c r="AX791" s="184"/>
      <c r="AY791" s="111"/>
      <c r="AZ791" s="178"/>
      <c r="BC791" s="47"/>
      <c r="BD791" s="47"/>
      <c r="BF791" s="113"/>
      <c r="BG791" s="113"/>
      <c r="BH791" s="113"/>
      <c r="BI791" s="113"/>
      <c r="BJ791" s="113"/>
      <c r="BK791" s="113"/>
      <c r="BL791" s="5">
        <f t="shared" si="172"/>
        <v>0</v>
      </c>
    </row>
    <row r="792" spans="1:64" s="2" customFormat="1" ht="14.1" customHeight="1" outlineLevel="1" x14ac:dyDescent="0.2">
      <c r="A792" s="595"/>
      <c r="B792" s="602"/>
      <c r="C792" s="7" t="s">
        <v>1554</v>
      </c>
      <c r="D792" s="8"/>
      <c r="E792" s="23"/>
      <c r="F792" s="8"/>
      <c r="G792" s="8"/>
      <c r="H792" s="5"/>
      <c r="I792" s="5"/>
      <c r="J792" s="5"/>
      <c r="K792" s="23"/>
      <c r="L792" s="8"/>
      <c r="M792" s="8"/>
      <c r="N792" s="8"/>
      <c r="O792" s="8"/>
      <c r="P792" s="8"/>
      <c r="Q792" s="23"/>
      <c r="R792" s="113"/>
      <c r="S792" s="113"/>
      <c r="T792" s="113"/>
      <c r="U792" s="113"/>
      <c r="V792" s="113"/>
      <c r="W792" s="113"/>
      <c r="X792" s="5">
        <f>SUM(R792:W792)</f>
        <v>0</v>
      </c>
      <c r="Y792" s="302"/>
      <c r="Z792" s="5"/>
      <c r="AA792" s="94"/>
      <c r="AB792" s="311">
        <f t="shared" si="173"/>
        <v>0</v>
      </c>
      <c r="AC792" s="296"/>
      <c r="AD792" s="113"/>
      <c r="AE792" s="5"/>
      <c r="AF792" s="5"/>
      <c r="AG792" s="5"/>
      <c r="AH792" s="5"/>
      <c r="AI792" s="5"/>
      <c r="AJ792" s="5"/>
      <c r="AK792" s="141"/>
      <c r="AL792" s="94"/>
      <c r="AM792" s="128"/>
      <c r="AN792" s="180"/>
      <c r="AO792" s="128"/>
      <c r="AP792" s="184"/>
      <c r="AQ792" s="128"/>
      <c r="AR792" s="184"/>
      <c r="AS792" s="128"/>
      <c r="AT792" s="184"/>
      <c r="AU792" s="128"/>
      <c r="AV792" s="184"/>
      <c r="AW792" s="128"/>
      <c r="AX792" s="184"/>
      <c r="AY792" s="111"/>
      <c r="AZ792" s="178"/>
      <c r="BC792" s="47"/>
      <c r="BD792" s="47"/>
      <c r="BF792" s="113"/>
      <c r="BG792" s="113"/>
      <c r="BH792" s="113"/>
      <c r="BI792" s="113"/>
      <c r="BJ792" s="113"/>
      <c r="BK792" s="113"/>
      <c r="BL792" s="5">
        <f t="shared" si="172"/>
        <v>0</v>
      </c>
    </row>
    <row r="793" spans="1:64" s="2" customFormat="1" ht="38.25" outlineLevel="1" x14ac:dyDescent="0.2">
      <c r="A793" s="593" t="s">
        <v>243</v>
      </c>
      <c r="B793" s="600" t="s">
        <v>231</v>
      </c>
      <c r="C793" s="7" t="s">
        <v>550</v>
      </c>
      <c r="D793" s="8" t="s">
        <v>397</v>
      </c>
      <c r="E793" s="23" t="s">
        <v>340</v>
      </c>
      <c r="F793" s="8">
        <v>2011</v>
      </c>
      <c r="G793" s="8">
        <v>2014</v>
      </c>
      <c r="H793" s="5">
        <v>6.7899000000000001E-2</v>
      </c>
      <c r="I793" s="5">
        <v>0.01</v>
      </c>
      <c r="J793" s="5">
        <f>R793</f>
        <v>0.01</v>
      </c>
      <c r="K793" s="23" t="s">
        <v>340</v>
      </c>
      <c r="L793" s="8"/>
      <c r="M793" s="8"/>
      <c r="N793" s="8"/>
      <c r="O793" s="8"/>
      <c r="P793" s="8"/>
      <c r="Q793" s="23" t="s">
        <v>340</v>
      </c>
      <c r="R793" s="113">
        <v>0.01</v>
      </c>
      <c r="S793" s="113"/>
      <c r="T793" s="113"/>
      <c r="U793" s="113"/>
      <c r="V793" s="113"/>
      <c r="W793" s="113"/>
      <c r="X793" s="5">
        <f t="shared" si="170"/>
        <v>0.01</v>
      </c>
      <c r="Y793" s="302">
        <f>H793-H794-H795</f>
        <v>0</v>
      </c>
      <c r="Z793" s="5">
        <f>I793-I794-I795</f>
        <v>4.0000000000000001E-3</v>
      </c>
      <c r="AA793" s="94">
        <f>J793-J794-J795</f>
        <v>0</v>
      </c>
      <c r="AB793" s="311">
        <f t="shared" si="173"/>
        <v>0</v>
      </c>
      <c r="AC793" s="296"/>
      <c r="AD793" s="113"/>
      <c r="AE793" s="5"/>
      <c r="AF793" s="5">
        <f>H793</f>
        <v>6.7899000000000001E-2</v>
      </c>
      <c r="AG793" s="5"/>
      <c r="AH793" s="5"/>
      <c r="AI793" s="5"/>
      <c r="AJ793" s="5"/>
      <c r="AK793" s="141"/>
      <c r="AL793" s="94">
        <f>SUM(AF793:AK793)</f>
        <v>6.7899000000000001E-2</v>
      </c>
      <c r="AM793" s="128">
        <v>0.2</v>
      </c>
      <c r="AN793" s="180">
        <v>0</v>
      </c>
      <c r="AO793" s="128"/>
      <c r="AP793" s="184"/>
      <c r="AQ793" s="128"/>
      <c r="AR793" s="184"/>
      <c r="AS793" s="128"/>
      <c r="AT793" s="184"/>
      <c r="AU793" s="128"/>
      <c r="AV793" s="184"/>
      <c r="AW793" s="128"/>
      <c r="AX793" s="184"/>
      <c r="AY793" s="111">
        <f>AM793+AO793+AQ793+AS793+AU793+AW793</f>
        <v>0.2</v>
      </c>
      <c r="AZ793" s="178">
        <f>AN793+AP793+AR793+AT793+AV793+AX793</f>
        <v>0</v>
      </c>
      <c r="BC793" s="47"/>
      <c r="BD793" s="47"/>
      <c r="BF793" s="113">
        <v>0.01</v>
      </c>
      <c r="BG793" s="113"/>
      <c r="BH793" s="113"/>
      <c r="BI793" s="113"/>
      <c r="BJ793" s="113"/>
      <c r="BK793" s="113"/>
      <c r="BL793" s="5">
        <f t="shared" si="172"/>
        <v>0.01</v>
      </c>
    </row>
    <row r="794" spans="1:64" s="2" customFormat="1" ht="14.1" customHeight="1" outlineLevel="1" x14ac:dyDescent="0.2">
      <c r="A794" s="594"/>
      <c r="B794" s="601"/>
      <c r="C794" s="7" t="s">
        <v>1553</v>
      </c>
      <c r="D794" s="8"/>
      <c r="E794" s="23"/>
      <c r="F794" s="8"/>
      <c r="G794" s="8"/>
      <c r="H794" s="5">
        <v>6.7899000000000001E-2</v>
      </c>
      <c r="I794" s="5">
        <v>6.0000000000000001E-3</v>
      </c>
      <c r="J794" s="5">
        <f>R793</f>
        <v>0.01</v>
      </c>
      <c r="K794" s="8"/>
      <c r="L794" s="23"/>
      <c r="M794" s="8"/>
      <c r="N794" s="8"/>
      <c r="O794" s="8"/>
      <c r="P794" s="8"/>
      <c r="Q794" s="23"/>
      <c r="R794" s="113"/>
      <c r="S794" s="113"/>
      <c r="T794" s="113"/>
      <c r="U794" s="113"/>
      <c r="V794" s="113"/>
      <c r="W794" s="113"/>
      <c r="X794" s="5">
        <f t="shared" si="170"/>
        <v>0</v>
      </c>
      <c r="Y794" s="302"/>
      <c r="Z794" s="5"/>
      <c r="AA794" s="94"/>
      <c r="AB794" s="311">
        <f t="shared" si="173"/>
        <v>6.0000000000000001E-3</v>
      </c>
      <c r="AC794" s="296"/>
      <c r="AD794" s="113"/>
      <c r="AE794" s="5"/>
      <c r="AF794" s="5"/>
      <c r="AG794" s="5"/>
      <c r="AH794" s="5"/>
      <c r="AI794" s="5"/>
      <c r="AJ794" s="5"/>
      <c r="AK794" s="141"/>
      <c r="AL794" s="94"/>
      <c r="AM794" s="128"/>
      <c r="AN794" s="180"/>
      <c r="AO794" s="128"/>
      <c r="AP794" s="184"/>
      <c r="AQ794" s="128"/>
      <c r="AR794" s="184"/>
      <c r="AS794" s="128"/>
      <c r="AT794" s="184"/>
      <c r="AU794" s="128"/>
      <c r="AV794" s="184"/>
      <c r="AW794" s="128"/>
      <c r="AX794" s="184"/>
      <c r="AY794" s="111"/>
      <c r="AZ794" s="178"/>
      <c r="BC794" s="47"/>
      <c r="BD794" s="47"/>
      <c r="BF794" s="113"/>
      <c r="BG794" s="113"/>
      <c r="BH794" s="113"/>
      <c r="BI794" s="113"/>
      <c r="BJ794" s="113"/>
      <c r="BK794" s="113"/>
      <c r="BL794" s="5">
        <f t="shared" si="172"/>
        <v>0</v>
      </c>
    </row>
    <row r="795" spans="1:64" s="2" customFormat="1" ht="14.1" customHeight="1" outlineLevel="1" x14ac:dyDescent="0.2">
      <c r="A795" s="595"/>
      <c r="B795" s="602"/>
      <c r="C795" s="7" t="s">
        <v>1554</v>
      </c>
      <c r="D795" s="8"/>
      <c r="E795" s="23"/>
      <c r="F795" s="8"/>
      <c r="G795" s="8"/>
      <c r="H795" s="5"/>
      <c r="I795" s="5"/>
      <c r="J795" s="5"/>
      <c r="K795" s="23"/>
      <c r="L795" s="8"/>
      <c r="M795" s="8"/>
      <c r="N795" s="8"/>
      <c r="O795" s="8"/>
      <c r="P795" s="8"/>
      <c r="Q795" s="23"/>
      <c r="R795" s="113"/>
      <c r="S795" s="113"/>
      <c r="T795" s="113"/>
      <c r="U795" s="113"/>
      <c r="V795" s="113"/>
      <c r="W795" s="113"/>
      <c r="X795" s="5">
        <f t="shared" si="170"/>
        <v>0</v>
      </c>
      <c r="Y795" s="302"/>
      <c r="Z795" s="5"/>
      <c r="AA795" s="94"/>
      <c r="AB795" s="311">
        <f t="shared" si="173"/>
        <v>0</v>
      </c>
      <c r="AC795" s="296"/>
      <c r="AD795" s="113"/>
      <c r="AE795" s="5"/>
      <c r="AF795" s="5"/>
      <c r="AG795" s="5"/>
      <c r="AH795" s="5"/>
      <c r="AI795" s="5"/>
      <c r="AJ795" s="5"/>
      <c r="AK795" s="141"/>
      <c r="AL795" s="94"/>
      <c r="AM795" s="128"/>
      <c r="AN795" s="180"/>
      <c r="AO795" s="128"/>
      <c r="AP795" s="184"/>
      <c r="AQ795" s="128"/>
      <c r="AR795" s="184"/>
      <c r="AS795" s="128"/>
      <c r="AT795" s="184"/>
      <c r="AU795" s="128"/>
      <c r="AV795" s="184"/>
      <c r="AW795" s="128"/>
      <c r="AX795" s="184"/>
      <c r="AY795" s="111"/>
      <c r="AZ795" s="178"/>
      <c r="BC795" s="47"/>
      <c r="BD795" s="47"/>
      <c r="BF795" s="113"/>
      <c r="BG795" s="113"/>
      <c r="BH795" s="113"/>
      <c r="BI795" s="113"/>
      <c r="BJ795" s="113"/>
      <c r="BK795" s="113"/>
      <c r="BL795" s="5">
        <f t="shared" si="172"/>
        <v>0</v>
      </c>
    </row>
    <row r="796" spans="1:64" s="2" customFormat="1" ht="64.5" customHeight="1" outlineLevel="1" x14ac:dyDescent="0.2">
      <c r="A796" s="593" t="s">
        <v>245</v>
      </c>
      <c r="B796" s="600" t="s">
        <v>234</v>
      </c>
      <c r="C796" s="7" t="s">
        <v>551</v>
      </c>
      <c r="D796" s="8" t="s">
        <v>397</v>
      </c>
      <c r="E796" s="23" t="s">
        <v>333</v>
      </c>
      <c r="F796" s="8">
        <v>2012</v>
      </c>
      <c r="G796" s="8">
        <v>2015</v>
      </c>
      <c r="H796" s="5">
        <v>0.31</v>
      </c>
      <c r="I796" s="5">
        <v>0.20213899999999999</v>
      </c>
      <c r="J796" s="5">
        <f>R796</f>
        <v>0.11279699999999999</v>
      </c>
      <c r="K796" s="8"/>
      <c r="L796" s="23" t="s">
        <v>333</v>
      </c>
      <c r="M796" s="8"/>
      <c r="N796" s="8"/>
      <c r="O796" s="8"/>
      <c r="P796" s="8"/>
      <c r="Q796" s="23" t="s">
        <v>333</v>
      </c>
      <c r="R796" s="113">
        <v>0.11279699999999999</v>
      </c>
      <c r="S796" s="113"/>
      <c r="T796" s="113"/>
      <c r="U796" s="113"/>
      <c r="V796" s="113"/>
      <c r="W796" s="113"/>
      <c r="X796" s="5">
        <f t="shared" si="170"/>
        <v>0.11279699999999999</v>
      </c>
      <c r="Y796" s="302">
        <f>H796-H797-H798</f>
        <v>0</v>
      </c>
      <c r="Z796" s="5">
        <f>I796-I797-I798</f>
        <v>0</v>
      </c>
      <c r="AA796" s="94">
        <f>J796-J797-J798</f>
        <v>0</v>
      </c>
      <c r="AB796" s="311">
        <f t="shared" si="173"/>
        <v>8.9341999999999991E-2</v>
      </c>
      <c r="AC796" s="296"/>
      <c r="AD796" s="113"/>
      <c r="AE796" s="5"/>
      <c r="AF796" s="5"/>
      <c r="AG796" s="5">
        <f>H796</f>
        <v>0.31</v>
      </c>
      <c r="AH796" s="5"/>
      <c r="AI796" s="5"/>
      <c r="AJ796" s="5"/>
      <c r="AK796" s="141"/>
      <c r="AL796" s="94">
        <f>SUM(AF796:AK796)</f>
        <v>0.31</v>
      </c>
      <c r="AM796" s="128"/>
      <c r="AN796" s="180"/>
      <c r="AO796" s="128">
        <v>0.3</v>
      </c>
      <c r="AP796" s="184">
        <v>0</v>
      </c>
      <c r="AQ796" s="128"/>
      <c r="AR796" s="184"/>
      <c r="AS796" s="128"/>
      <c r="AT796" s="184"/>
      <c r="AU796" s="128"/>
      <c r="AV796" s="184"/>
      <c r="AW796" s="128"/>
      <c r="AX796" s="184"/>
      <c r="AY796" s="111">
        <f>AM796+AO796+AQ796+AS796+AU796+AW796</f>
        <v>0.3</v>
      </c>
      <c r="AZ796" s="178">
        <f>AN796+AP796+AR796+AT796+AV796+AX796</f>
        <v>0</v>
      </c>
      <c r="BC796" s="47"/>
      <c r="BD796" s="47"/>
      <c r="BF796" s="113">
        <v>0.11279699999999999</v>
      </c>
      <c r="BG796" s="113"/>
      <c r="BH796" s="113"/>
      <c r="BI796" s="113"/>
      <c r="BJ796" s="113"/>
      <c r="BK796" s="113"/>
      <c r="BL796" s="5">
        <f t="shared" si="172"/>
        <v>0.11279699999999999</v>
      </c>
    </row>
    <row r="797" spans="1:64" s="2" customFormat="1" ht="14.1" customHeight="1" outlineLevel="1" x14ac:dyDescent="0.2">
      <c r="A797" s="594"/>
      <c r="B797" s="601"/>
      <c r="C797" s="7" t="s">
        <v>1553</v>
      </c>
      <c r="D797" s="8"/>
      <c r="E797" s="23"/>
      <c r="F797" s="8"/>
      <c r="G797" s="8"/>
      <c r="H797" s="5"/>
      <c r="I797" s="5"/>
      <c r="J797" s="5"/>
      <c r="K797" s="8"/>
      <c r="L797" s="23"/>
      <c r="M797" s="8"/>
      <c r="N797" s="8"/>
      <c r="O797" s="8"/>
      <c r="P797" s="8"/>
      <c r="Q797" s="23"/>
      <c r="R797" s="113"/>
      <c r="S797" s="113"/>
      <c r="T797" s="113"/>
      <c r="U797" s="113"/>
      <c r="V797" s="113"/>
      <c r="W797" s="113"/>
      <c r="X797" s="5">
        <f>SUM(R797:W797)</f>
        <v>0</v>
      </c>
      <c r="Y797" s="302"/>
      <c r="Z797" s="5"/>
      <c r="AA797" s="94"/>
      <c r="AB797" s="311">
        <f t="shared" si="173"/>
        <v>0</v>
      </c>
      <c r="AC797" s="296"/>
      <c r="AD797" s="113"/>
      <c r="AE797" s="5"/>
      <c r="AF797" s="5"/>
      <c r="AG797" s="5"/>
      <c r="AH797" s="5"/>
      <c r="AI797" s="5"/>
      <c r="AJ797" s="5"/>
      <c r="AK797" s="141"/>
      <c r="AL797" s="94"/>
      <c r="AM797" s="128"/>
      <c r="AN797" s="180"/>
      <c r="AO797" s="128"/>
      <c r="AP797" s="184"/>
      <c r="AQ797" s="128"/>
      <c r="AR797" s="184"/>
      <c r="AS797" s="128"/>
      <c r="AT797" s="184"/>
      <c r="AU797" s="128"/>
      <c r="AV797" s="184"/>
      <c r="AW797" s="128"/>
      <c r="AX797" s="184"/>
      <c r="AY797" s="111"/>
      <c r="AZ797" s="178"/>
      <c r="BC797" s="47"/>
      <c r="BD797" s="47"/>
      <c r="BF797" s="113"/>
      <c r="BG797" s="113"/>
      <c r="BH797" s="113"/>
      <c r="BI797" s="113"/>
      <c r="BJ797" s="113"/>
      <c r="BK797" s="113"/>
      <c r="BL797" s="5">
        <f t="shared" si="172"/>
        <v>0</v>
      </c>
    </row>
    <row r="798" spans="1:64" s="2" customFormat="1" ht="14.1" customHeight="1" outlineLevel="1" x14ac:dyDescent="0.2">
      <c r="A798" s="595"/>
      <c r="B798" s="602"/>
      <c r="C798" s="7" t="s">
        <v>1554</v>
      </c>
      <c r="D798" s="8"/>
      <c r="E798" s="23"/>
      <c r="F798" s="8"/>
      <c r="G798" s="8"/>
      <c r="H798" s="5">
        <v>0.31</v>
      </c>
      <c r="I798" s="5">
        <v>0.20213899999999999</v>
      </c>
      <c r="J798" s="5">
        <v>0.11279699999999999</v>
      </c>
      <c r="K798" s="23"/>
      <c r="L798" s="8"/>
      <c r="M798" s="8"/>
      <c r="N798" s="8"/>
      <c r="O798" s="8"/>
      <c r="P798" s="8"/>
      <c r="Q798" s="23"/>
      <c r="R798" s="113"/>
      <c r="S798" s="113"/>
      <c r="T798" s="113"/>
      <c r="U798" s="113"/>
      <c r="V798" s="113"/>
      <c r="W798" s="113"/>
      <c r="X798" s="5">
        <f>SUM(R798:W798)</f>
        <v>0</v>
      </c>
      <c r="Y798" s="302"/>
      <c r="Z798" s="5"/>
      <c r="AA798" s="94"/>
      <c r="AB798" s="311">
        <f t="shared" si="173"/>
        <v>0.20213899999999999</v>
      </c>
      <c r="AC798" s="296"/>
      <c r="AD798" s="113"/>
      <c r="AE798" s="5"/>
      <c r="AF798" s="5"/>
      <c r="AG798" s="5"/>
      <c r="AH798" s="5"/>
      <c r="AI798" s="5"/>
      <c r="AJ798" s="5"/>
      <c r="AK798" s="141"/>
      <c r="AL798" s="94"/>
      <c r="AM798" s="128"/>
      <c r="AN798" s="180"/>
      <c r="AO798" s="128"/>
      <c r="AP798" s="184"/>
      <c r="AQ798" s="128"/>
      <c r="AR798" s="184"/>
      <c r="AS798" s="128"/>
      <c r="AT798" s="184"/>
      <c r="AU798" s="128"/>
      <c r="AV798" s="184"/>
      <c r="AW798" s="128"/>
      <c r="AX798" s="184"/>
      <c r="AY798" s="111"/>
      <c r="AZ798" s="178"/>
      <c r="BC798" s="47"/>
      <c r="BD798" s="47"/>
      <c r="BF798" s="113"/>
      <c r="BG798" s="113"/>
      <c r="BH798" s="113"/>
      <c r="BI798" s="113"/>
      <c r="BJ798" s="113"/>
      <c r="BK798" s="113"/>
      <c r="BL798" s="5">
        <f t="shared" si="172"/>
        <v>0</v>
      </c>
    </row>
    <row r="799" spans="1:64" s="2" customFormat="1" ht="127.5" outlineLevel="1" x14ac:dyDescent="0.2">
      <c r="A799" s="593" t="s">
        <v>247</v>
      </c>
      <c r="B799" s="600" t="s">
        <v>236</v>
      </c>
      <c r="C799" s="7" t="s">
        <v>612</v>
      </c>
      <c r="D799" s="8" t="s">
        <v>397</v>
      </c>
      <c r="E799" s="23" t="s">
        <v>333</v>
      </c>
      <c r="F799" s="8">
        <v>2011</v>
      </c>
      <c r="G799" s="8">
        <v>2014</v>
      </c>
      <c r="H799" s="5">
        <v>7.7187000000000006E-2</v>
      </c>
      <c r="I799" s="5">
        <v>0.01</v>
      </c>
      <c r="J799" s="5">
        <f>R799</f>
        <v>0.01</v>
      </c>
      <c r="K799" s="23" t="s">
        <v>333</v>
      </c>
      <c r="L799" s="8"/>
      <c r="M799" s="8"/>
      <c r="N799" s="8"/>
      <c r="O799" s="8"/>
      <c r="P799" s="8"/>
      <c r="Q799" s="23" t="s">
        <v>333</v>
      </c>
      <c r="R799" s="113">
        <v>0.01</v>
      </c>
      <c r="S799" s="113"/>
      <c r="T799" s="113"/>
      <c r="U799" s="113"/>
      <c r="V799" s="113"/>
      <c r="W799" s="113"/>
      <c r="X799" s="5">
        <f t="shared" si="170"/>
        <v>0.01</v>
      </c>
      <c r="Y799" s="302">
        <f>H799-H800-H801</f>
        <v>0</v>
      </c>
      <c r="Z799" s="5">
        <f>I799-I800-I801</f>
        <v>0</v>
      </c>
      <c r="AA799" s="94">
        <f>J799-J800-J801</f>
        <v>-9.9999999999999915E-4</v>
      </c>
      <c r="AB799" s="311">
        <f t="shared" si="173"/>
        <v>0</v>
      </c>
      <c r="AC799" s="296"/>
      <c r="AD799" s="113"/>
      <c r="AE799" s="5"/>
      <c r="AF799" s="5">
        <f>H799</f>
        <v>7.7187000000000006E-2</v>
      </c>
      <c r="AG799" s="5"/>
      <c r="AH799" s="5"/>
      <c r="AI799" s="5"/>
      <c r="AJ799" s="5"/>
      <c r="AK799" s="141"/>
      <c r="AL799" s="94">
        <f>SUM(AF799:AK799)</f>
        <v>7.7187000000000006E-2</v>
      </c>
      <c r="AM799" s="128">
        <v>0.3</v>
      </c>
      <c r="AN799" s="180">
        <v>0</v>
      </c>
      <c r="AO799" s="128"/>
      <c r="AP799" s="184"/>
      <c r="AQ799" s="128"/>
      <c r="AR799" s="184"/>
      <c r="AS799" s="128"/>
      <c r="AT799" s="184"/>
      <c r="AU799" s="128"/>
      <c r="AV799" s="184"/>
      <c r="AW799" s="128"/>
      <c r="AX799" s="184"/>
      <c r="AY799" s="111">
        <f>AM799+AO799+AQ799+AS799+AU799+AW799</f>
        <v>0.3</v>
      </c>
      <c r="AZ799" s="178">
        <f>AN799+AP799+AR799+AT799+AV799+AX799</f>
        <v>0</v>
      </c>
      <c r="BC799" s="47"/>
      <c r="BD799" s="47"/>
      <c r="BF799" s="113">
        <v>0.01</v>
      </c>
      <c r="BG799" s="113"/>
      <c r="BH799" s="113"/>
      <c r="BI799" s="113"/>
      <c r="BJ799" s="113"/>
      <c r="BK799" s="113"/>
      <c r="BL799" s="5">
        <f t="shared" ref="BL799:BL862" si="174">SUM(BF799:BK799)</f>
        <v>0.01</v>
      </c>
    </row>
    <row r="800" spans="1:64" s="2" customFormat="1" ht="14.1" customHeight="1" outlineLevel="1" x14ac:dyDescent="0.2">
      <c r="A800" s="594"/>
      <c r="B800" s="601"/>
      <c r="C800" s="7" t="s">
        <v>1553</v>
      </c>
      <c r="D800" s="8"/>
      <c r="E800" s="23"/>
      <c r="F800" s="8"/>
      <c r="G800" s="8"/>
      <c r="H800" s="5"/>
      <c r="I800" s="5"/>
      <c r="J800" s="5"/>
      <c r="K800" s="8"/>
      <c r="L800" s="23"/>
      <c r="M800" s="8"/>
      <c r="N800" s="8"/>
      <c r="O800" s="8"/>
      <c r="P800" s="8"/>
      <c r="Q800" s="23"/>
      <c r="R800" s="113"/>
      <c r="S800" s="113"/>
      <c r="T800" s="113"/>
      <c r="U800" s="113"/>
      <c r="V800" s="113"/>
      <c r="W800" s="113"/>
      <c r="X800" s="5">
        <f>SUM(R800:W800)</f>
        <v>0</v>
      </c>
      <c r="Y800" s="302"/>
      <c r="Z800" s="5"/>
      <c r="AA800" s="94"/>
      <c r="AB800" s="311">
        <f t="shared" si="173"/>
        <v>0</v>
      </c>
      <c r="AC800" s="296"/>
      <c r="AD800" s="113"/>
      <c r="AE800" s="5"/>
      <c r="AF800" s="5"/>
      <c r="AG800" s="5"/>
      <c r="AH800" s="5"/>
      <c r="AI800" s="5"/>
      <c r="AJ800" s="5"/>
      <c r="AK800" s="141"/>
      <c r="AL800" s="94"/>
      <c r="AM800" s="128"/>
      <c r="AN800" s="180"/>
      <c r="AO800" s="128"/>
      <c r="AP800" s="184"/>
      <c r="AQ800" s="128"/>
      <c r="AR800" s="184"/>
      <c r="AS800" s="128"/>
      <c r="AT800" s="184"/>
      <c r="AU800" s="128"/>
      <c r="AV800" s="184"/>
      <c r="AW800" s="128"/>
      <c r="AX800" s="184"/>
      <c r="AY800" s="111"/>
      <c r="AZ800" s="178"/>
      <c r="BC800" s="47"/>
      <c r="BD800" s="47"/>
      <c r="BF800" s="113"/>
      <c r="BG800" s="113"/>
      <c r="BH800" s="113"/>
      <c r="BI800" s="113"/>
      <c r="BJ800" s="113"/>
      <c r="BK800" s="113"/>
      <c r="BL800" s="5">
        <f t="shared" si="174"/>
        <v>0</v>
      </c>
    </row>
    <row r="801" spans="1:64" s="2" customFormat="1" ht="14.1" customHeight="1" outlineLevel="1" x14ac:dyDescent="0.2">
      <c r="A801" s="595"/>
      <c r="B801" s="602"/>
      <c r="C801" s="7" t="s">
        <v>1554</v>
      </c>
      <c r="D801" s="8"/>
      <c r="E801" s="23"/>
      <c r="F801" s="8"/>
      <c r="G801" s="8"/>
      <c r="H801" s="5">
        <v>7.7187000000000006E-2</v>
      </c>
      <c r="I801" s="5">
        <f>I799</f>
        <v>0.01</v>
      </c>
      <c r="J801" s="5">
        <v>1.0999999999999999E-2</v>
      </c>
      <c r="K801" s="23"/>
      <c r="L801" s="8"/>
      <c r="M801" s="8"/>
      <c r="N801" s="8"/>
      <c r="O801" s="8"/>
      <c r="P801" s="8"/>
      <c r="Q801" s="23"/>
      <c r="R801" s="113"/>
      <c r="S801" s="113"/>
      <c r="T801" s="113"/>
      <c r="U801" s="113"/>
      <c r="V801" s="113"/>
      <c r="W801" s="113"/>
      <c r="X801" s="5">
        <f>SUM(R801:W801)</f>
        <v>0</v>
      </c>
      <c r="Y801" s="302"/>
      <c r="Z801" s="5"/>
      <c r="AA801" s="94"/>
      <c r="AB801" s="311">
        <f t="shared" si="173"/>
        <v>0.01</v>
      </c>
      <c r="AC801" s="296"/>
      <c r="AD801" s="113"/>
      <c r="AE801" s="5"/>
      <c r="AF801" s="5"/>
      <c r="AG801" s="5"/>
      <c r="AH801" s="5"/>
      <c r="AI801" s="5"/>
      <c r="AJ801" s="5"/>
      <c r="AK801" s="141"/>
      <c r="AL801" s="94"/>
      <c r="AM801" s="128"/>
      <c r="AN801" s="180"/>
      <c r="AO801" s="128"/>
      <c r="AP801" s="184"/>
      <c r="AQ801" s="128"/>
      <c r="AR801" s="184"/>
      <c r="AS801" s="128"/>
      <c r="AT801" s="184"/>
      <c r="AU801" s="128"/>
      <c r="AV801" s="184"/>
      <c r="AW801" s="128"/>
      <c r="AX801" s="184"/>
      <c r="AY801" s="111"/>
      <c r="AZ801" s="178"/>
      <c r="BC801" s="47"/>
      <c r="BD801" s="47"/>
      <c r="BF801" s="113"/>
      <c r="BG801" s="113"/>
      <c r="BH801" s="113"/>
      <c r="BI801" s="113"/>
      <c r="BJ801" s="113"/>
      <c r="BK801" s="113"/>
      <c r="BL801" s="5">
        <f t="shared" si="174"/>
        <v>0</v>
      </c>
    </row>
    <row r="802" spans="1:64" s="2" customFormat="1" ht="38.25" outlineLevel="1" x14ac:dyDescent="0.2">
      <c r="A802" s="593" t="s">
        <v>249</v>
      </c>
      <c r="B802" s="600" t="s">
        <v>238</v>
      </c>
      <c r="C802" s="7" t="s">
        <v>552</v>
      </c>
      <c r="D802" s="8" t="s">
        <v>397</v>
      </c>
      <c r="E802" s="23" t="s">
        <v>335</v>
      </c>
      <c r="F802" s="8">
        <v>2012</v>
      </c>
      <c r="G802" s="8">
        <v>2014</v>
      </c>
      <c r="H802" s="5">
        <v>0.60499999999999998</v>
      </c>
      <c r="I802" s="5">
        <v>0.11279699999999999</v>
      </c>
      <c r="J802" s="5">
        <f>R802</f>
        <v>0.11279699999999999</v>
      </c>
      <c r="K802" s="23" t="s">
        <v>335</v>
      </c>
      <c r="L802" s="8"/>
      <c r="M802" s="8"/>
      <c r="N802" s="8"/>
      <c r="O802" s="8"/>
      <c r="P802" s="8"/>
      <c r="Q802" s="23" t="s">
        <v>335</v>
      </c>
      <c r="R802" s="113">
        <v>0.11279699999999999</v>
      </c>
      <c r="S802" s="113"/>
      <c r="T802" s="113"/>
      <c r="U802" s="113"/>
      <c r="V802" s="113"/>
      <c r="W802" s="113"/>
      <c r="X802" s="5">
        <f t="shared" si="170"/>
        <v>0.11279699999999999</v>
      </c>
      <c r="Y802" s="302">
        <f>H802-H803-H804</f>
        <v>0</v>
      </c>
      <c r="Z802" s="5">
        <f>I802-I803-I804</f>
        <v>0</v>
      </c>
      <c r="AA802" s="94">
        <f>J802-J803-J804</f>
        <v>0</v>
      </c>
      <c r="AB802" s="311">
        <f t="shared" si="173"/>
        <v>0</v>
      </c>
      <c r="AC802" s="296"/>
      <c r="AD802" s="113"/>
      <c r="AE802" s="5"/>
      <c r="AF802" s="5">
        <f>H802</f>
        <v>0.60499999999999998</v>
      </c>
      <c r="AG802" s="5"/>
      <c r="AH802" s="5"/>
      <c r="AI802" s="5"/>
      <c r="AJ802" s="5"/>
      <c r="AK802" s="141"/>
      <c r="AL802" s="94">
        <f>SUM(AF802:AK802)</f>
        <v>0.60499999999999998</v>
      </c>
      <c r="AM802" s="128">
        <v>0.1</v>
      </c>
      <c r="AN802" s="180">
        <v>0</v>
      </c>
      <c r="AO802" s="128"/>
      <c r="AP802" s="184"/>
      <c r="AQ802" s="128"/>
      <c r="AR802" s="184"/>
      <c r="AS802" s="128"/>
      <c r="AT802" s="184"/>
      <c r="AU802" s="128"/>
      <c r="AV802" s="184"/>
      <c r="AW802" s="128"/>
      <c r="AX802" s="184"/>
      <c r="AY802" s="111">
        <f>AM802+AO802+AQ802+AS802+AU802+AW802</f>
        <v>0.1</v>
      </c>
      <c r="AZ802" s="178">
        <f>AN802+AP802+AR802+AT802+AV802+AX802</f>
        <v>0</v>
      </c>
      <c r="BC802" s="47"/>
      <c r="BD802" s="47"/>
      <c r="BF802" s="113">
        <v>0.11279699999999999</v>
      </c>
      <c r="BG802" s="113"/>
      <c r="BH802" s="113"/>
      <c r="BI802" s="113"/>
      <c r="BJ802" s="113"/>
      <c r="BK802" s="113"/>
      <c r="BL802" s="5">
        <f t="shared" si="174"/>
        <v>0.11279699999999999</v>
      </c>
    </row>
    <row r="803" spans="1:64" s="2" customFormat="1" ht="14.1" customHeight="1" outlineLevel="1" x14ac:dyDescent="0.2">
      <c r="A803" s="594"/>
      <c r="B803" s="601"/>
      <c r="C803" s="7" t="s">
        <v>1553</v>
      </c>
      <c r="D803" s="8"/>
      <c r="E803" s="23"/>
      <c r="F803" s="8"/>
      <c r="G803" s="8"/>
      <c r="H803" s="5"/>
      <c r="I803" s="5"/>
      <c r="J803" s="5"/>
      <c r="K803" s="8"/>
      <c r="L803" s="23"/>
      <c r="M803" s="8"/>
      <c r="N803" s="8"/>
      <c r="O803" s="8"/>
      <c r="P803" s="8"/>
      <c r="Q803" s="23"/>
      <c r="R803" s="113"/>
      <c r="S803" s="113"/>
      <c r="T803" s="113"/>
      <c r="U803" s="113"/>
      <c r="V803" s="113"/>
      <c r="W803" s="113"/>
      <c r="X803" s="5">
        <f t="shared" si="170"/>
        <v>0</v>
      </c>
      <c r="Y803" s="302"/>
      <c r="Z803" s="5"/>
      <c r="AA803" s="94"/>
      <c r="AB803" s="311">
        <f t="shared" si="173"/>
        <v>0</v>
      </c>
      <c r="AC803" s="296"/>
      <c r="AD803" s="113"/>
      <c r="AE803" s="5"/>
      <c r="AF803" s="5"/>
      <c r="AG803" s="5"/>
      <c r="AH803" s="5"/>
      <c r="AI803" s="5"/>
      <c r="AJ803" s="5"/>
      <c r="AK803" s="141"/>
      <c r="AL803" s="94"/>
      <c r="AM803" s="128"/>
      <c r="AN803" s="180"/>
      <c r="AO803" s="128"/>
      <c r="AP803" s="184"/>
      <c r="AQ803" s="128"/>
      <c r="AR803" s="184"/>
      <c r="AS803" s="128"/>
      <c r="AT803" s="184"/>
      <c r="AU803" s="128"/>
      <c r="AV803" s="184"/>
      <c r="AW803" s="128"/>
      <c r="AX803" s="184"/>
      <c r="AY803" s="111"/>
      <c r="AZ803" s="178"/>
      <c r="BC803" s="47"/>
      <c r="BD803" s="47"/>
      <c r="BF803" s="113"/>
      <c r="BG803" s="113"/>
      <c r="BH803" s="113"/>
      <c r="BI803" s="113"/>
      <c r="BJ803" s="113"/>
      <c r="BK803" s="113"/>
      <c r="BL803" s="5">
        <f t="shared" si="174"/>
        <v>0</v>
      </c>
    </row>
    <row r="804" spans="1:64" s="2" customFormat="1" ht="14.1" customHeight="1" outlineLevel="1" x14ac:dyDescent="0.2">
      <c r="A804" s="595"/>
      <c r="B804" s="602"/>
      <c r="C804" s="7" t="s">
        <v>1554</v>
      </c>
      <c r="D804" s="8"/>
      <c r="E804" s="23"/>
      <c r="F804" s="8"/>
      <c r="G804" s="8"/>
      <c r="H804" s="5">
        <v>0.60499999999999998</v>
      </c>
      <c r="I804" s="5">
        <f>I802</f>
        <v>0.11279699999999999</v>
      </c>
      <c r="J804" s="5">
        <v>0.11279699999999999</v>
      </c>
      <c r="K804" s="23"/>
      <c r="L804" s="8"/>
      <c r="M804" s="8"/>
      <c r="N804" s="8"/>
      <c r="O804" s="8"/>
      <c r="P804" s="8"/>
      <c r="Q804" s="23"/>
      <c r="R804" s="113"/>
      <c r="S804" s="113"/>
      <c r="T804" s="113"/>
      <c r="U804" s="113"/>
      <c r="V804" s="113"/>
      <c r="W804" s="113"/>
      <c r="X804" s="5">
        <f t="shared" si="170"/>
        <v>0</v>
      </c>
      <c r="Y804" s="302"/>
      <c r="Z804" s="5"/>
      <c r="AA804" s="94"/>
      <c r="AB804" s="311">
        <f t="shared" si="173"/>
        <v>0.11279699999999999</v>
      </c>
      <c r="AC804" s="296"/>
      <c r="AD804" s="113"/>
      <c r="AE804" s="5"/>
      <c r="AF804" s="5"/>
      <c r="AG804" s="5"/>
      <c r="AH804" s="5"/>
      <c r="AI804" s="5"/>
      <c r="AJ804" s="5"/>
      <c r="AK804" s="141"/>
      <c r="AL804" s="94"/>
      <c r="AM804" s="128"/>
      <c r="AN804" s="180"/>
      <c r="AO804" s="128"/>
      <c r="AP804" s="184"/>
      <c r="AQ804" s="128"/>
      <c r="AR804" s="184"/>
      <c r="AS804" s="128"/>
      <c r="AT804" s="184"/>
      <c r="AU804" s="128"/>
      <c r="AV804" s="184"/>
      <c r="AW804" s="128"/>
      <c r="AX804" s="184"/>
      <c r="AY804" s="111"/>
      <c r="AZ804" s="178"/>
      <c r="BC804" s="47"/>
      <c r="BD804" s="47"/>
      <c r="BF804" s="113"/>
      <c r="BG804" s="113"/>
      <c r="BH804" s="113"/>
      <c r="BI804" s="113"/>
      <c r="BJ804" s="113"/>
      <c r="BK804" s="113"/>
      <c r="BL804" s="5">
        <f t="shared" si="174"/>
        <v>0</v>
      </c>
    </row>
    <row r="805" spans="1:64" s="2" customFormat="1" ht="39" customHeight="1" outlineLevel="1" x14ac:dyDescent="0.2">
      <c r="A805" s="593" t="s">
        <v>251</v>
      </c>
      <c r="B805" s="600" t="s">
        <v>240</v>
      </c>
      <c r="C805" s="7" t="s">
        <v>553</v>
      </c>
      <c r="D805" s="8" t="s">
        <v>397</v>
      </c>
      <c r="E805" s="23" t="s">
        <v>340</v>
      </c>
      <c r="F805" s="8">
        <v>2012</v>
      </c>
      <c r="G805" s="8">
        <v>2014</v>
      </c>
      <c r="H805" s="5">
        <v>0.93500000000000005</v>
      </c>
      <c r="I805" s="5">
        <v>0.35838999999999999</v>
      </c>
      <c r="J805" s="5">
        <f>R805</f>
        <v>0.35838999999999999</v>
      </c>
      <c r="K805" s="23" t="s">
        <v>340</v>
      </c>
      <c r="L805" s="8"/>
      <c r="M805" s="8"/>
      <c r="N805" s="8"/>
      <c r="O805" s="8"/>
      <c r="P805" s="8"/>
      <c r="Q805" s="23" t="s">
        <v>340</v>
      </c>
      <c r="R805" s="113">
        <v>0.35838999999999999</v>
      </c>
      <c r="S805" s="113"/>
      <c r="T805" s="113"/>
      <c r="U805" s="113"/>
      <c r="V805" s="113"/>
      <c r="W805" s="113"/>
      <c r="X805" s="5">
        <f t="shared" si="170"/>
        <v>0.35838999999999999</v>
      </c>
      <c r="Y805" s="302">
        <f>H805-H806-H807</f>
        <v>0</v>
      </c>
      <c r="Z805" s="5">
        <f>I805-I806-I807</f>
        <v>0</v>
      </c>
      <c r="AA805" s="94">
        <f>J805-J806-J807</f>
        <v>0</v>
      </c>
      <c r="AB805" s="311">
        <f t="shared" si="173"/>
        <v>0</v>
      </c>
      <c r="AC805" s="296"/>
      <c r="AD805" s="113"/>
      <c r="AE805" s="5"/>
      <c r="AF805" s="5">
        <f>H805</f>
        <v>0.93500000000000005</v>
      </c>
      <c r="AG805" s="5"/>
      <c r="AH805" s="5"/>
      <c r="AI805" s="5"/>
      <c r="AJ805" s="5"/>
      <c r="AK805" s="141"/>
      <c r="AL805" s="94">
        <f>SUM(AF805:AK805)</f>
        <v>0.93500000000000005</v>
      </c>
      <c r="AM805" s="128">
        <v>0.2</v>
      </c>
      <c r="AN805" s="180">
        <v>0</v>
      </c>
      <c r="AO805" s="128"/>
      <c r="AP805" s="184"/>
      <c r="AQ805" s="128"/>
      <c r="AR805" s="184"/>
      <c r="AS805" s="128"/>
      <c r="AT805" s="184"/>
      <c r="AU805" s="128"/>
      <c r="AV805" s="184"/>
      <c r="AW805" s="128"/>
      <c r="AX805" s="184"/>
      <c r="AY805" s="111">
        <f>AM805+AO805+AQ805+AS805+AU805+AW805</f>
        <v>0.2</v>
      </c>
      <c r="AZ805" s="178">
        <f>AN805+AP805+AR805+AT805+AV805+AX805</f>
        <v>0</v>
      </c>
      <c r="BC805" s="47"/>
      <c r="BD805" s="47"/>
      <c r="BF805" s="113">
        <v>0.35838999999999999</v>
      </c>
      <c r="BG805" s="113"/>
      <c r="BH805" s="113"/>
      <c r="BI805" s="113"/>
      <c r="BJ805" s="113"/>
      <c r="BK805" s="113"/>
      <c r="BL805" s="5">
        <f t="shared" si="174"/>
        <v>0.35838999999999999</v>
      </c>
    </row>
    <row r="806" spans="1:64" s="2" customFormat="1" ht="14.1" customHeight="1" outlineLevel="1" x14ac:dyDescent="0.2">
      <c r="A806" s="594"/>
      <c r="B806" s="601"/>
      <c r="C806" s="7" t="s">
        <v>1553</v>
      </c>
      <c r="D806" s="8"/>
      <c r="E806" s="23"/>
      <c r="F806" s="8"/>
      <c r="G806" s="8"/>
      <c r="H806" s="5"/>
      <c r="I806" s="5"/>
      <c r="J806" s="5"/>
      <c r="K806" s="8"/>
      <c r="L806" s="23"/>
      <c r="M806" s="8"/>
      <c r="N806" s="8"/>
      <c r="O806" s="8"/>
      <c r="P806" s="8"/>
      <c r="Q806" s="23"/>
      <c r="R806" s="113"/>
      <c r="S806" s="113"/>
      <c r="T806" s="113"/>
      <c r="U806" s="113"/>
      <c r="V806" s="113"/>
      <c r="W806" s="113"/>
      <c r="X806" s="5">
        <f>SUM(R806:W806)</f>
        <v>0</v>
      </c>
      <c r="Y806" s="302"/>
      <c r="Z806" s="5"/>
      <c r="AA806" s="94"/>
      <c r="AB806" s="311">
        <f t="shared" si="173"/>
        <v>0</v>
      </c>
      <c r="AC806" s="296"/>
      <c r="AD806" s="113"/>
      <c r="AE806" s="5"/>
      <c r="AF806" s="5"/>
      <c r="AG806" s="5"/>
      <c r="AH806" s="5"/>
      <c r="AI806" s="5"/>
      <c r="AJ806" s="5"/>
      <c r="AK806" s="141"/>
      <c r="AL806" s="94"/>
      <c r="AM806" s="128"/>
      <c r="AN806" s="180"/>
      <c r="AO806" s="128"/>
      <c r="AP806" s="184"/>
      <c r="AQ806" s="128"/>
      <c r="AR806" s="184"/>
      <c r="AS806" s="128"/>
      <c r="AT806" s="184"/>
      <c r="AU806" s="128"/>
      <c r="AV806" s="184"/>
      <c r="AW806" s="128"/>
      <c r="AX806" s="184"/>
      <c r="AY806" s="111"/>
      <c r="AZ806" s="178"/>
      <c r="BC806" s="47"/>
      <c r="BD806" s="47"/>
      <c r="BF806" s="113"/>
      <c r="BG806" s="113"/>
      <c r="BH806" s="113"/>
      <c r="BI806" s="113"/>
      <c r="BJ806" s="113"/>
      <c r="BK806" s="113"/>
      <c r="BL806" s="5">
        <f t="shared" si="174"/>
        <v>0</v>
      </c>
    </row>
    <row r="807" spans="1:64" s="2" customFormat="1" ht="14.1" customHeight="1" outlineLevel="1" x14ac:dyDescent="0.2">
      <c r="A807" s="595"/>
      <c r="B807" s="602"/>
      <c r="C807" s="7" t="s">
        <v>1554</v>
      </c>
      <c r="D807" s="8"/>
      <c r="E807" s="23"/>
      <c r="F807" s="8"/>
      <c r="G807" s="8"/>
      <c r="H807" s="5">
        <v>0.93500000000000005</v>
      </c>
      <c r="I807" s="5">
        <f>I805</f>
        <v>0.35838999999999999</v>
      </c>
      <c r="J807" s="5">
        <v>0.35838999999999999</v>
      </c>
      <c r="K807" s="23"/>
      <c r="L807" s="8"/>
      <c r="M807" s="8"/>
      <c r="N807" s="8"/>
      <c r="O807" s="8"/>
      <c r="P807" s="8"/>
      <c r="Q807" s="23"/>
      <c r="R807" s="113"/>
      <c r="S807" s="113"/>
      <c r="T807" s="113"/>
      <c r="U807" s="113"/>
      <c r="V807" s="113"/>
      <c r="W807" s="113"/>
      <c r="X807" s="5">
        <f>SUM(R807:W807)</f>
        <v>0</v>
      </c>
      <c r="Y807" s="302"/>
      <c r="Z807" s="5"/>
      <c r="AA807" s="94"/>
      <c r="AB807" s="311">
        <f t="shared" si="173"/>
        <v>0.35838999999999999</v>
      </c>
      <c r="AC807" s="296"/>
      <c r="AD807" s="113"/>
      <c r="AE807" s="5"/>
      <c r="AF807" s="5"/>
      <c r="AG807" s="5"/>
      <c r="AH807" s="5"/>
      <c r="AI807" s="5"/>
      <c r="AJ807" s="5"/>
      <c r="AK807" s="141"/>
      <c r="AL807" s="94"/>
      <c r="AM807" s="128"/>
      <c r="AN807" s="180"/>
      <c r="AO807" s="128"/>
      <c r="AP807" s="184"/>
      <c r="AQ807" s="128"/>
      <c r="AR807" s="184"/>
      <c r="AS807" s="128"/>
      <c r="AT807" s="184"/>
      <c r="AU807" s="128"/>
      <c r="AV807" s="184"/>
      <c r="AW807" s="128"/>
      <c r="AX807" s="184"/>
      <c r="AY807" s="111"/>
      <c r="AZ807" s="178"/>
      <c r="BC807" s="47"/>
      <c r="BD807" s="47"/>
      <c r="BF807" s="113"/>
      <c r="BG807" s="113"/>
      <c r="BH807" s="113"/>
      <c r="BI807" s="113"/>
      <c r="BJ807" s="113"/>
      <c r="BK807" s="113"/>
      <c r="BL807" s="5">
        <f t="shared" si="174"/>
        <v>0</v>
      </c>
    </row>
    <row r="808" spans="1:64" s="2" customFormat="1" ht="38.25" outlineLevel="1" x14ac:dyDescent="0.2">
      <c r="A808" s="593" t="s">
        <v>253</v>
      </c>
      <c r="B808" s="600" t="s">
        <v>242</v>
      </c>
      <c r="C808" s="7" t="s">
        <v>554</v>
      </c>
      <c r="D808" s="8" t="s">
        <v>397</v>
      </c>
      <c r="E808" s="23" t="s">
        <v>1227</v>
      </c>
      <c r="F808" s="8">
        <v>2012</v>
      </c>
      <c r="G808" s="8">
        <v>2014</v>
      </c>
      <c r="H808" s="5">
        <v>0.24968599999999999</v>
      </c>
      <c r="I808" s="5">
        <v>0</v>
      </c>
      <c r="J808" s="5">
        <f>R808</f>
        <v>0</v>
      </c>
      <c r="K808" s="23" t="s">
        <v>1227</v>
      </c>
      <c r="L808" s="8"/>
      <c r="M808" s="8"/>
      <c r="N808" s="8"/>
      <c r="O808" s="8"/>
      <c r="P808" s="8"/>
      <c r="Q808" s="23" t="s">
        <v>1227</v>
      </c>
      <c r="R808" s="286">
        <v>0</v>
      </c>
      <c r="S808" s="113"/>
      <c r="T808" s="113"/>
      <c r="U808" s="113"/>
      <c r="V808" s="113"/>
      <c r="W808" s="113"/>
      <c r="X808" s="5">
        <f t="shared" ref="X808:X997" si="175">SUM(R808:W808)</f>
        <v>0</v>
      </c>
      <c r="Y808" s="302">
        <f>H808-H809-H810</f>
        <v>0</v>
      </c>
      <c r="Z808" s="5">
        <f>I808-I809-I810</f>
        <v>0</v>
      </c>
      <c r="AA808" s="94">
        <f>J808-J809-J810</f>
        <v>0</v>
      </c>
      <c r="AB808" s="311">
        <f t="shared" si="173"/>
        <v>0</v>
      </c>
      <c r="AC808" s="296"/>
      <c r="AD808" s="113"/>
      <c r="AE808" s="5"/>
      <c r="AF808" s="5">
        <f>H808</f>
        <v>0.24968599999999999</v>
      </c>
      <c r="AG808" s="5"/>
      <c r="AH808" s="5"/>
      <c r="AI808" s="5"/>
      <c r="AJ808" s="5"/>
      <c r="AK808" s="141"/>
      <c r="AL808" s="94">
        <f>SUM(AF808:AK808)</f>
        <v>0.24968599999999999</v>
      </c>
      <c r="AM808" s="128">
        <v>0</v>
      </c>
      <c r="AN808" s="180">
        <v>0</v>
      </c>
      <c r="AO808" s="128"/>
      <c r="AP808" s="184"/>
      <c r="AQ808" s="128"/>
      <c r="AR808" s="184"/>
      <c r="AS808" s="128"/>
      <c r="AT808" s="184"/>
      <c r="AU808" s="128"/>
      <c r="AV808" s="184"/>
      <c r="AW808" s="128"/>
      <c r="AX808" s="184"/>
      <c r="AY808" s="111">
        <f>AM808+AO808+AQ808+AS808+AU808+AW808</f>
        <v>0</v>
      </c>
      <c r="AZ808" s="178">
        <f>AN808+AP808+AR808+AT808+AV808+AX808</f>
        <v>0</v>
      </c>
      <c r="BC808" s="47"/>
      <c r="BD808" s="47"/>
      <c r="BF808" s="113">
        <v>0</v>
      </c>
      <c r="BG808" s="113"/>
      <c r="BH808" s="113"/>
      <c r="BI808" s="113"/>
      <c r="BJ808" s="113"/>
      <c r="BK808" s="113"/>
      <c r="BL808" s="5">
        <f t="shared" si="174"/>
        <v>0</v>
      </c>
    </row>
    <row r="809" spans="1:64" s="2" customFormat="1" ht="14.1" customHeight="1" outlineLevel="1" x14ac:dyDescent="0.2">
      <c r="A809" s="594"/>
      <c r="B809" s="601"/>
      <c r="C809" s="7" t="s">
        <v>1553</v>
      </c>
      <c r="D809" s="8"/>
      <c r="E809" s="23"/>
      <c r="F809" s="8"/>
      <c r="G809" s="8"/>
      <c r="H809" s="5"/>
      <c r="I809" s="5"/>
      <c r="J809" s="5"/>
      <c r="K809" s="8"/>
      <c r="L809" s="23"/>
      <c r="M809" s="8"/>
      <c r="N809" s="8"/>
      <c r="O809" s="8"/>
      <c r="P809" s="8"/>
      <c r="Q809" s="23"/>
      <c r="R809" s="113"/>
      <c r="S809" s="113"/>
      <c r="T809" s="113"/>
      <c r="U809" s="113"/>
      <c r="V809" s="113"/>
      <c r="W809" s="113"/>
      <c r="X809" s="5">
        <f t="shared" si="175"/>
        <v>0</v>
      </c>
      <c r="Y809" s="302"/>
      <c r="Z809" s="5"/>
      <c r="AA809" s="94"/>
      <c r="AB809" s="311">
        <f t="shared" si="173"/>
        <v>0</v>
      </c>
      <c r="AC809" s="296"/>
      <c r="AD809" s="113"/>
      <c r="AE809" s="5"/>
      <c r="AF809" s="5"/>
      <c r="AG809" s="5"/>
      <c r="AH809" s="5"/>
      <c r="AI809" s="5"/>
      <c r="AJ809" s="5"/>
      <c r="AK809" s="141"/>
      <c r="AL809" s="94"/>
      <c r="AM809" s="128"/>
      <c r="AN809" s="180"/>
      <c r="AO809" s="128"/>
      <c r="AP809" s="184"/>
      <c r="AQ809" s="128"/>
      <c r="AR809" s="184"/>
      <c r="AS809" s="128"/>
      <c r="AT809" s="184"/>
      <c r="AU809" s="128"/>
      <c r="AV809" s="184"/>
      <c r="AW809" s="128"/>
      <c r="AX809" s="184"/>
      <c r="AY809" s="111"/>
      <c r="AZ809" s="178"/>
      <c r="BC809" s="47"/>
      <c r="BD809" s="47"/>
      <c r="BF809" s="113"/>
      <c r="BG809" s="113"/>
      <c r="BH809" s="113"/>
      <c r="BI809" s="113"/>
      <c r="BJ809" s="113"/>
      <c r="BK809" s="113"/>
      <c r="BL809" s="5">
        <f t="shared" si="174"/>
        <v>0</v>
      </c>
    </row>
    <row r="810" spans="1:64" s="2" customFormat="1" ht="14.1" customHeight="1" outlineLevel="1" x14ac:dyDescent="0.2">
      <c r="A810" s="595"/>
      <c r="B810" s="602"/>
      <c r="C810" s="7" t="s">
        <v>1554</v>
      </c>
      <c r="D810" s="8"/>
      <c r="E810" s="23"/>
      <c r="F810" s="8"/>
      <c r="G810" s="8"/>
      <c r="H810" s="5">
        <f>H808</f>
        <v>0.24968599999999999</v>
      </c>
      <c r="I810" s="5">
        <f>I808</f>
        <v>0</v>
      </c>
      <c r="J810" s="5">
        <f>J808</f>
        <v>0</v>
      </c>
      <c r="K810" s="23"/>
      <c r="L810" s="8"/>
      <c r="M810" s="8"/>
      <c r="N810" s="8"/>
      <c r="O810" s="8"/>
      <c r="P810" s="8"/>
      <c r="Q810" s="23"/>
      <c r="R810" s="113"/>
      <c r="S810" s="113"/>
      <c r="T810" s="113"/>
      <c r="U810" s="113"/>
      <c r="V810" s="113"/>
      <c r="W810" s="113"/>
      <c r="X810" s="5">
        <f t="shared" si="175"/>
        <v>0</v>
      </c>
      <c r="Y810" s="302"/>
      <c r="Z810" s="5"/>
      <c r="AA810" s="94"/>
      <c r="AB810" s="311">
        <f t="shared" si="173"/>
        <v>0</v>
      </c>
      <c r="AC810" s="296"/>
      <c r="AD810" s="113"/>
      <c r="AE810" s="5"/>
      <c r="AF810" s="5"/>
      <c r="AG810" s="5"/>
      <c r="AH810" s="5"/>
      <c r="AI810" s="5"/>
      <c r="AJ810" s="5"/>
      <c r="AK810" s="141"/>
      <c r="AL810" s="94"/>
      <c r="AM810" s="128"/>
      <c r="AN810" s="180"/>
      <c r="AO810" s="128"/>
      <c r="AP810" s="184"/>
      <c r="AQ810" s="128"/>
      <c r="AR810" s="184"/>
      <c r="AS810" s="128"/>
      <c r="AT810" s="184"/>
      <c r="AU810" s="128"/>
      <c r="AV810" s="184"/>
      <c r="AW810" s="128"/>
      <c r="AX810" s="184"/>
      <c r="AY810" s="111"/>
      <c r="AZ810" s="178"/>
      <c r="BC810" s="47"/>
      <c r="BD810" s="47"/>
      <c r="BF810" s="113"/>
      <c r="BG810" s="113"/>
      <c r="BH810" s="113"/>
      <c r="BI810" s="113"/>
      <c r="BJ810" s="113"/>
      <c r="BK810" s="113"/>
      <c r="BL810" s="5">
        <f t="shared" si="174"/>
        <v>0</v>
      </c>
    </row>
    <row r="811" spans="1:64" s="2" customFormat="1" ht="51" customHeight="1" outlineLevel="1" x14ac:dyDescent="0.2">
      <c r="A811" s="593" t="s">
        <v>255</v>
      </c>
      <c r="B811" s="600" t="s">
        <v>244</v>
      </c>
      <c r="C811" s="7" t="s">
        <v>555</v>
      </c>
      <c r="D811" s="8" t="s">
        <v>397</v>
      </c>
      <c r="E811" s="23" t="s">
        <v>340</v>
      </c>
      <c r="F811" s="8">
        <v>2012</v>
      </c>
      <c r="G811" s="8">
        <v>2015</v>
      </c>
      <c r="H811" s="5">
        <v>0.31</v>
      </c>
      <c r="I811" s="5">
        <v>0.11823699999999999</v>
      </c>
      <c r="J811" s="5">
        <f>R811</f>
        <v>0.11823699999999999</v>
      </c>
      <c r="K811" s="8"/>
      <c r="L811" s="23" t="s">
        <v>340</v>
      </c>
      <c r="M811" s="8"/>
      <c r="N811" s="8"/>
      <c r="O811" s="8"/>
      <c r="P811" s="8"/>
      <c r="Q811" s="23" t="s">
        <v>340</v>
      </c>
      <c r="R811" s="113">
        <v>0.11823699999999999</v>
      </c>
      <c r="S811" s="113"/>
      <c r="T811" s="113"/>
      <c r="U811" s="113"/>
      <c r="V811" s="113"/>
      <c r="W811" s="113"/>
      <c r="X811" s="5">
        <f t="shared" si="175"/>
        <v>0.11823699999999999</v>
      </c>
      <c r="Y811" s="302">
        <f>H811-H812-H813</f>
        <v>0</v>
      </c>
      <c r="Z811" s="5">
        <f>I811-I812-I813</f>
        <v>2.8649999999999926E-3</v>
      </c>
      <c r="AA811" s="94">
        <f>J811-J812-J813</f>
        <v>0</v>
      </c>
      <c r="AB811" s="311">
        <f t="shared" si="173"/>
        <v>0</v>
      </c>
      <c r="AC811" s="296"/>
      <c r="AD811" s="113"/>
      <c r="AE811" s="5"/>
      <c r="AF811" s="5"/>
      <c r="AG811" s="5">
        <f>H811</f>
        <v>0.31</v>
      </c>
      <c r="AH811" s="5"/>
      <c r="AI811" s="5"/>
      <c r="AJ811" s="5"/>
      <c r="AK811" s="141"/>
      <c r="AL811" s="94">
        <f>SUM(AF811:AK811)</f>
        <v>0.31</v>
      </c>
      <c r="AM811" s="128"/>
      <c r="AN811" s="180"/>
      <c r="AO811" s="128">
        <v>0.2</v>
      </c>
      <c r="AP811" s="184">
        <v>0</v>
      </c>
      <c r="AQ811" s="128"/>
      <c r="AR811" s="184"/>
      <c r="AS811" s="128"/>
      <c r="AT811" s="184"/>
      <c r="AU811" s="128"/>
      <c r="AV811" s="184"/>
      <c r="AW811" s="128"/>
      <c r="AX811" s="184"/>
      <c r="AY811" s="111">
        <f>AM811+AO811+AQ811+AS811+AU811+AW811</f>
        <v>0.2</v>
      </c>
      <c r="AZ811" s="178">
        <f>AN811+AP811+AR811+AT811+AV811+AX811</f>
        <v>0</v>
      </c>
      <c r="BC811" s="47"/>
      <c r="BD811" s="47"/>
      <c r="BF811" s="113">
        <v>0.11823699999999999</v>
      </c>
      <c r="BG811" s="113"/>
      <c r="BH811" s="113"/>
      <c r="BI811" s="113"/>
      <c r="BJ811" s="113"/>
      <c r="BK811" s="113"/>
      <c r="BL811" s="5">
        <f t="shared" si="174"/>
        <v>0.11823699999999999</v>
      </c>
    </row>
    <row r="812" spans="1:64" s="2" customFormat="1" ht="15.75" customHeight="1" outlineLevel="1" x14ac:dyDescent="0.2">
      <c r="A812" s="594"/>
      <c r="B812" s="601"/>
      <c r="C812" s="7" t="s">
        <v>1553</v>
      </c>
      <c r="D812" s="8"/>
      <c r="E812" s="23"/>
      <c r="F812" s="8"/>
      <c r="G812" s="8"/>
      <c r="H812" s="5"/>
      <c r="I812" s="5"/>
      <c r="J812" s="5"/>
      <c r="K812" s="8"/>
      <c r="L812" s="23"/>
      <c r="M812" s="8"/>
      <c r="N812" s="8"/>
      <c r="O812" s="8"/>
      <c r="P812" s="8"/>
      <c r="Q812" s="23"/>
      <c r="R812" s="113"/>
      <c r="S812" s="113"/>
      <c r="T812" s="113"/>
      <c r="U812" s="113"/>
      <c r="V812" s="113"/>
      <c r="W812" s="113"/>
      <c r="X812" s="5">
        <f>SUM(R812:W812)</f>
        <v>0</v>
      </c>
      <c r="Y812" s="302"/>
      <c r="Z812" s="5"/>
      <c r="AA812" s="94"/>
      <c r="AB812" s="311">
        <f t="shared" si="173"/>
        <v>0</v>
      </c>
      <c r="AC812" s="296"/>
      <c r="AD812" s="113"/>
      <c r="AE812" s="5"/>
      <c r="AF812" s="5"/>
      <c r="AG812" s="5"/>
      <c r="AH812" s="5"/>
      <c r="AI812" s="5"/>
      <c r="AJ812" s="5"/>
      <c r="AK812" s="141"/>
      <c r="AL812" s="94"/>
      <c r="AM812" s="128"/>
      <c r="AN812" s="180"/>
      <c r="AO812" s="128"/>
      <c r="AP812" s="184"/>
      <c r="AQ812" s="128"/>
      <c r="AR812" s="184"/>
      <c r="AS812" s="128"/>
      <c r="AT812" s="184"/>
      <c r="AU812" s="128"/>
      <c r="AV812" s="184"/>
      <c r="AW812" s="128"/>
      <c r="AX812" s="184"/>
      <c r="AY812" s="111"/>
      <c r="AZ812" s="178"/>
      <c r="BC812" s="47"/>
      <c r="BD812" s="47"/>
      <c r="BF812" s="113"/>
      <c r="BG812" s="113"/>
      <c r="BH812" s="113"/>
      <c r="BI812" s="113"/>
      <c r="BJ812" s="113"/>
      <c r="BK812" s="113"/>
      <c r="BL812" s="5">
        <f t="shared" si="174"/>
        <v>0</v>
      </c>
    </row>
    <row r="813" spans="1:64" s="2" customFormat="1" ht="15.75" customHeight="1" outlineLevel="1" x14ac:dyDescent="0.2">
      <c r="A813" s="595"/>
      <c r="B813" s="602"/>
      <c r="C813" s="7" t="s">
        <v>1554</v>
      </c>
      <c r="D813" s="8"/>
      <c r="E813" s="23"/>
      <c r="F813" s="8"/>
      <c r="G813" s="8"/>
      <c r="H813" s="5">
        <v>0.31</v>
      </c>
      <c r="I813" s="5">
        <v>0.115372</v>
      </c>
      <c r="J813" s="5">
        <v>0.11823699999999999</v>
      </c>
      <c r="K813" s="23"/>
      <c r="L813" s="8"/>
      <c r="M813" s="8"/>
      <c r="N813" s="8"/>
      <c r="O813" s="8"/>
      <c r="P813" s="8"/>
      <c r="Q813" s="23"/>
      <c r="R813" s="113"/>
      <c r="S813" s="113"/>
      <c r="T813" s="113"/>
      <c r="U813" s="113"/>
      <c r="V813" s="113"/>
      <c r="W813" s="113"/>
      <c r="X813" s="5">
        <f>SUM(R813:W813)</f>
        <v>0</v>
      </c>
      <c r="Y813" s="302"/>
      <c r="Z813" s="5"/>
      <c r="AA813" s="94"/>
      <c r="AB813" s="311">
        <f t="shared" si="173"/>
        <v>0.115372</v>
      </c>
      <c r="AC813" s="296"/>
      <c r="AD813" s="113"/>
      <c r="AE813" s="5"/>
      <c r="AF813" s="5"/>
      <c r="AG813" s="5"/>
      <c r="AH813" s="5"/>
      <c r="AI813" s="5"/>
      <c r="AJ813" s="5"/>
      <c r="AK813" s="141"/>
      <c r="AL813" s="94"/>
      <c r="AM813" s="128"/>
      <c r="AN813" s="180"/>
      <c r="AO813" s="128"/>
      <c r="AP813" s="184"/>
      <c r="AQ813" s="128"/>
      <c r="AR813" s="184"/>
      <c r="AS813" s="128"/>
      <c r="AT813" s="184"/>
      <c r="AU813" s="128"/>
      <c r="AV813" s="184"/>
      <c r="AW813" s="128"/>
      <c r="AX813" s="184"/>
      <c r="AY813" s="111"/>
      <c r="AZ813" s="178"/>
      <c r="BC813" s="47"/>
      <c r="BD813" s="47"/>
      <c r="BF813" s="113"/>
      <c r="BG813" s="113"/>
      <c r="BH813" s="113"/>
      <c r="BI813" s="113"/>
      <c r="BJ813" s="113"/>
      <c r="BK813" s="113"/>
      <c r="BL813" s="5">
        <f t="shared" si="174"/>
        <v>0</v>
      </c>
    </row>
    <row r="814" spans="1:64" s="2" customFormat="1" ht="51" outlineLevel="1" x14ac:dyDescent="0.2">
      <c r="A814" s="593" t="s">
        <v>257</v>
      </c>
      <c r="B814" s="600" t="s">
        <v>246</v>
      </c>
      <c r="C814" s="7" t="s">
        <v>556</v>
      </c>
      <c r="D814" s="8" t="s">
        <v>397</v>
      </c>
      <c r="E814" s="23" t="s">
        <v>335</v>
      </c>
      <c r="F814" s="8">
        <v>2012</v>
      </c>
      <c r="G814" s="8">
        <v>2014</v>
      </c>
      <c r="H814" s="5">
        <v>0.16</v>
      </c>
      <c r="I814" s="5">
        <v>0.100517</v>
      </c>
      <c r="J814" s="5">
        <f>R814</f>
        <v>0.100517</v>
      </c>
      <c r="K814" s="23" t="s">
        <v>335</v>
      </c>
      <c r="L814" s="8"/>
      <c r="M814" s="8"/>
      <c r="N814" s="8"/>
      <c r="O814" s="8"/>
      <c r="P814" s="8"/>
      <c r="Q814" s="23" t="s">
        <v>335</v>
      </c>
      <c r="R814" s="113">
        <v>0.100517</v>
      </c>
      <c r="S814" s="113"/>
      <c r="T814" s="113"/>
      <c r="U814" s="113"/>
      <c r="V814" s="113"/>
      <c r="W814" s="113"/>
      <c r="X814" s="5">
        <f t="shared" si="175"/>
        <v>0.100517</v>
      </c>
      <c r="Y814" s="302">
        <f>H814-H815-H816</f>
        <v>0</v>
      </c>
      <c r="Z814" s="5">
        <f>I814-I815-I816</f>
        <v>1.5169999999999906E-3</v>
      </c>
      <c r="AA814" s="94">
        <f>J814-J815-J816</f>
        <v>0</v>
      </c>
      <c r="AB814" s="311">
        <f t="shared" si="173"/>
        <v>0</v>
      </c>
      <c r="AC814" s="296"/>
      <c r="AD814" s="113"/>
      <c r="AE814" s="5"/>
      <c r="AF814" s="5">
        <f>H814</f>
        <v>0.16</v>
      </c>
      <c r="AG814" s="5"/>
      <c r="AH814" s="5"/>
      <c r="AI814" s="5"/>
      <c r="AJ814" s="5"/>
      <c r="AK814" s="141"/>
      <c r="AL814" s="94">
        <f>SUM(AF814:AK814)</f>
        <v>0.16</v>
      </c>
      <c r="AM814" s="128">
        <v>0.1</v>
      </c>
      <c r="AN814" s="180">
        <v>0</v>
      </c>
      <c r="AO814" s="128"/>
      <c r="AP814" s="184"/>
      <c r="AQ814" s="128"/>
      <c r="AR814" s="184"/>
      <c r="AS814" s="128"/>
      <c r="AT814" s="184"/>
      <c r="AU814" s="128"/>
      <c r="AV814" s="184"/>
      <c r="AW814" s="128"/>
      <c r="AX814" s="184"/>
      <c r="AY814" s="111">
        <f>AM814+AO814+AQ814+AS814+AU814+AW814</f>
        <v>0.1</v>
      </c>
      <c r="AZ814" s="178">
        <f>AN814+AP814+AR814+AT814+AV814+AX814</f>
        <v>0</v>
      </c>
      <c r="BC814" s="47"/>
      <c r="BD814" s="47"/>
      <c r="BF814" s="113">
        <v>0.100517</v>
      </c>
      <c r="BG814" s="113"/>
      <c r="BH814" s="113"/>
      <c r="BI814" s="113"/>
      <c r="BJ814" s="113"/>
      <c r="BK814" s="113"/>
      <c r="BL814" s="5">
        <f t="shared" si="174"/>
        <v>0.100517</v>
      </c>
    </row>
    <row r="815" spans="1:64" s="2" customFormat="1" ht="15.75" customHeight="1" outlineLevel="1" x14ac:dyDescent="0.2">
      <c r="A815" s="594"/>
      <c r="B815" s="601"/>
      <c r="C815" s="7" t="s">
        <v>1553</v>
      </c>
      <c r="D815" s="8"/>
      <c r="E815" s="23"/>
      <c r="F815" s="8"/>
      <c r="G815" s="8"/>
      <c r="H815" s="5"/>
      <c r="I815" s="5"/>
      <c r="J815" s="5"/>
      <c r="K815" s="8"/>
      <c r="L815" s="23"/>
      <c r="M815" s="8"/>
      <c r="N815" s="8"/>
      <c r="O815" s="8"/>
      <c r="P815" s="8"/>
      <c r="Q815" s="23"/>
      <c r="R815" s="113"/>
      <c r="S815" s="113"/>
      <c r="T815" s="113"/>
      <c r="U815" s="113"/>
      <c r="V815" s="113"/>
      <c r="W815" s="113"/>
      <c r="X815" s="5">
        <f t="shared" si="175"/>
        <v>0</v>
      </c>
      <c r="Y815" s="302"/>
      <c r="Z815" s="5"/>
      <c r="AA815" s="94"/>
      <c r="AB815" s="311">
        <f t="shared" si="173"/>
        <v>0</v>
      </c>
      <c r="AC815" s="296"/>
      <c r="AD815" s="113"/>
      <c r="AE815" s="5"/>
      <c r="AF815" s="5"/>
      <c r="AG815" s="5"/>
      <c r="AH815" s="5"/>
      <c r="AI815" s="5"/>
      <c r="AJ815" s="5"/>
      <c r="AK815" s="141"/>
      <c r="AL815" s="94"/>
      <c r="AM815" s="128"/>
      <c r="AN815" s="180"/>
      <c r="AO815" s="128"/>
      <c r="AP815" s="184"/>
      <c r="AQ815" s="128"/>
      <c r="AR815" s="184"/>
      <c r="AS815" s="128"/>
      <c r="AT815" s="184"/>
      <c r="AU815" s="128"/>
      <c r="AV815" s="184"/>
      <c r="AW815" s="128"/>
      <c r="AX815" s="184"/>
      <c r="AY815" s="111"/>
      <c r="AZ815" s="178"/>
      <c r="BC815" s="47"/>
      <c r="BD815" s="47"/>
      <c r="BF815" s="113"/>
      <c r="BG815" s="113"/>
      <c r="BH815" s="113"/>
      <c r="BI815" s="113"/>
      <c r="BJ815" s="113"/>
      <c r="BK815" s="113"/>
      <c r="BL815" s="5">
        <f t="shared" si="174"/>
        <v>0</v>
      </c>
    </row>
    <row r="816" spans="1:64" s="2" customFormat="1" ht="15.75" customHeight="1" outlineLevel="1" x14ac:dyDescent="0.2">
      <c r="A816" s="595"/>
      <c r="B816" s="602"/>
      <c r="C816" s="7" t="s">
        <v>1554</v>
      </c>
      <c r="D816" s="8"/>
      <c r="E816" s="23"/>
      <c r="F816" s="8"/>
      <c r="G816" s="8"/>
      <c r="H816" s="5">
        <v>0.16</v>
      </c>
      <c r="I816" s="5">
        <v>9.9000000000000005E-2</v>
      </c>
      <c r="J816" s="5">
        <v>0.100517</v>
      </c>
      <c r="K816" s="23"/>
      <c r="L816" s="8"/>
      <c r="M816" s="8"/>
      <c r="N816" s="8"/>
      <c r="O816" s="8"/>
      <c r="P816" s="8"/>
      <c r="Q816" s="23"/>
      <c r="R816" s="113"/>
      <c r="S816" s="113"/>
      <c r="T816" s="113"/>
      <c r="U816" s="113"/>
      <c r="V816" s="113"/>
      <c r="W816" s="113"/>
      <c r="X816" s="5">
        <f t="shared" si="175"/>
        <v>0</v>
      </c>
      <c r="Y816" s="302"/>
      <c r="Z816" s="5"/>
      <c r="AA816" s="94"/>
      <c r="AB816" s="311">
        <f t="shared" si="173"/>
        <v>9.9000000000000005E-2</v>
      </c>
      <c r="AC816" s="296"/>
      <c r="AD816" s="113"/>
      <c r="AE816" s="5"/>
      <c r="AF816" s="5"/>
      <c r="AG816" s="5"/>
      <c r="AH816" s="5"/>
      <c r="AI816" s="5"/>
      <c r="AJ816" s="5"/>
      <c r="AK816" s="141"/>
      <c r="AL816" s="94"/>
      <c r="AM816" s="128"/>
      <c r="AN816" s="180"/>
      <c r="AO816" s="128"/>
      <c r="AP816" s="184"/>
      <c r="AQ816" s="128"/>
      <c r="AR816" s="184"/>
      <c r="AS816" s="128"/>
      <c r="AT816" s="184"/>
      <c r="AU816" s="128"/>
      <c r="AV816" s="184"/>
      <c r="AW816" s="128"/>
      <c r="AX816" s="184"/>
      <c r="AY816" s="111"/>
      <c r="AZ816" s="178"/>
      <c r="BC816" s="47"/>
      <c r="BD816" s="47"/>
      <c r="BF816" s="113"/>
      <c r="BG816" s="113"/>
      <c r="BH816" s="113"/>
      <c r="BI816" s="113"/>
      <c r="BJ816" s="113"/>
      <c r="BK816" s="113"/>
      <c r="BL816" s="5">
        <f t="shared" si="174"/>
        <v>0</v>
      </c>
    </row>
    <row r="817" spans="1:64" s="2" customFormat="1" ht="63.75" customHeight="1" outlineLevel="1" x14ac:dyDescent="0.2">
      <c r="A817" s="593" t="s">
        <v>259</v>
      </c>
      <c r="B817" s="600" t="s">
        <v>248</v>
      </c>
      <c r="C817" s="7" t="s">
        <v>557</v>
      </c>
      <c r="D817" s="8" t="s">
        <v>397</v>
      </c>
      <c r="E817" s="23" t="s">
        <v>347</v>
      </c>
      <c r="F817" s="8">
        <v>2011</v>
      </c>
      <c r="G817" s="8">
        <v>2015</v>
      </c>
      <c r="H817" s="5">
        <v>0.11</v>
      </c>
      <c r="I817" s="5">
        <v>5.7138000000000001E-2</v>
      </c>
      <c r="J817" s="5">
        <f>R817</f>
        <v>0.02</v>
      </c>
      <c r="K817" s="8"/>
      <c r="L817" s="23" t="s">
        <v>347</v>
      </c>
      <c r="M817" s="8"/>
      <c r="N817" s="8"/>
      <c r="O817" s="8"/>
      <c r="P817" s="8"/>
      <c r="Q817" s="23" t="s">
        <v>347</v>
      </c>
      <c r="R817" s="113">
        <v>0.02</v>
      </c>
      <c r="S817" s="113"/>
      <c r="T817" s="113"/>
      <c r="U817" s="113"/>
      <c r="V817" s="113"/>
      <c r="W817" s="113"/>
      <c r="X817" s="5">
        <f t="shared" si="175"/>
        <v>0.02</v>
      </c>
      <c r="Y817" s="302">
        <f>H817-H818-H819</f>
        <v>0</v>
      </c>
      <c r="Z817" s="5">
        <f>I817-I818-I819</f>
        <v>0</v>
      </c>
      <c r="AA817" s="94">
        <f>J817-J818-J819</f>
        <v>0</v>
      </c>
      <c r="AB817" s="311">
        <f t="shared" si="173"/>
        <v>3.7138000000000004E-2</v>
      </c>
      <c r="AC817" s="296"/>
      <c r="AD817" s="113"/>
      <c r="AE817" s="5"/>
      <c r="AF817" s="5"/>
      <c r="AG817" s="5">
        <f>H817</f>
        <v>0.11</v>
      </c>
      <c r="AH817" s="5"/>
      <c r="AI817" s="5"/>
      <c r="AJ817" s="5"/>
      <c r="AK817" s="141"/>
      <c r="AL817" s="94">
        <f>SUM(AF817:AK817)</f>
        <v>0.11</v>
      </c>
      <c r="AM817" s="128"/>
      <c r="AN817" s="180"/>
      <c r="AO817" s="128">
        <v>0.05</v>
      </c>
      <c r="AP817" s="184">
        <v>0</v>
      </c>
      <c r="AQ817" s="128"/>
      <c r="AR817" s="184"/>
      <c r="AS817" s="128"/>
      <c r="AT817" s="184"/>
      <c r="AU817" s="128"/>
      <c r="AV817" s="184"/>
      <c r="AW817" s="128"/>
      <c r="AX817" s="184"/>
      <c r="AY817" s="111">
        <f>AM817+AO817+AQ817+AS817+AU817+AW817</f>
        <v>0.05</v>
      </c>
      <c r="AZ817" s="178">
        <f>AN817+AP817+AR817+AT817+AV817+AX817</f>
        <v>0</v>
      </c>
      <c r="BC817" s="47"/>
      <c r="BD817" s="47"/>
      <c r="BF817" s="113">
        <v>0.02</v>
      </c>
      <c r="BG817" s="113"/>
      <c r="BH817" s="113"/>
      <c r="BI817" s="113"/>
      <c r="BJ817" s="113"/>
      <c r="BK817" s="113"/>
      <c r="BL817" s="5">
        <f t="shared" si="174"/>
        <v>0.02</v>
      </c>
    </row>
    <row r="818" spans="1:64" s="2" customFormat="1" ht="15.75" customHeight="1" outlineLevel="1" x14ac:dyDescent="0.2">
      <c r="A818" s="594"/>
      <c r="B818" s="601"/>
      <c r="C818" s="7" t="s">
        <v>1553</v>
      </c>
      <c r="D818" s="8"/>
      <c r="E818" s="23"/>
      <c r="F818" s="8"/>
      <c r="G818" s="8"/>
      <c r="H818" s="5"/>
      <c r="I818" s="5"/>
      <c r="J818" s="5"/>
      <c r="K818" s="8"/>
      <c r="L818" s="23"/>
      <c r="M818" s="8"/>
      <c r="N818" s="8"/>
      <c r="O818" s="8"/>
      <c r="P818" s="8"/>
      <c r="Q818" s="23"/>
      <c r="R818" s="113"/>
      <c r="S818" s="113"/>
      <c r="T818" s="113"/>
      <c r="U818" s="113"/>
      <c r="V818" s="113"/>
      <c r="W818" s="113"/>
      <c r="X818" s="5">
        <f>SUM(R818:W818)</f>
        <v>0</v>
      </c>
      <c r="Y818" s="302"/>
      <c r="Z818" s="5"/>
      <c r="AA818" s="94"/>
      <c r="AB818" s="311">
        <f t="shared" si="173"/>
        <v>0</v>
      </c>
      <c r="AC818" s="296"/>
      <c r="AD818" s="113"/>
      <c r="AE818" s="5"/>
      <c r="AF818" s="5"/>
      <c r="AG818" s="5"/>
      <c r="AH818" s="5"/>
      <c r="AI818" s="5"/>
      <c r="AJ818" s="5"/>
      <c r="AK818" s="141"/>
      <c r="AL818" s="94"/>
      <c r="AM818" s="128"/>
      <c r="AN818" s="180"/>
      <c r="AO818" s="128"/>
      <c r="AP818" s="184"/>
      <c r="AQ818" s="128"/>
      <c r="AR818" s="184"/>
      <c r="AS818" s="128"/>
      <c r="AT818" s="184"/>
      <c r="AU818" s="128"/>
      <c r="AV818" s="184"/>
      <c r="AW818" s="128"/>
      <c r="AX818" s="184"/>
      <c r="AY818" s="111"/>
      <c r="AZ818" s="178"/>
      <c r="BC818" s="47"/>
      <c r="BD818" s="47"/>
      <c r="BF818" s="113"/>
      <c r="BG818" s="113"/>
      <c r="BH818" s="113"/>
      <c r="BI818" s="113"/>
      <c r="BJ818" s="113"/>
      <c r="BK818" s="113"/>
      <c r="BL818" s="5">
        <f t="shared" si="174"/>
        <v>0</v>
      </c>
    </row>
    <row r="819" spans="1:64" s="2" customFormat="1" ht="15.75" customHeight="1" outlineLevel="1" x14ac:dyDescent="0.2">
      <c r="A819" s="595"/>
      <c r="B819" s="602"/>
      <c r="C819" s="7" t="s">
        <v>1554</v>
      </c>
      <c r="D819" s="8"/>
      <c r="E819" s="23"/>
      <c r="F819" s="8"/>
      <c r="G819" s="8"/>
      <c r="H819" s="5">
        <v>0.11</v>
      </c>
      <c r="I819" s="5">
        <v>5.7138000000000001E-2</v>
      </c>
      <c r="J819" s="5">
        <v>0.02</v>
      </c>
      <c r="K819" s="23"/>
      <c r="L819" s="8"/>
      <c r="M819" s="8"/>
      <c r="N819" s="8"/>
      <c r="O819" s="8"/>
      <c r="P819" s="8"/>
      <c r="Q819" s="23"/>
      <c r="R819" s="113"/>
      <c r="S819" s="113"/>
      <c r="T819" s="113"/>
      <c r="U819" s="113"/>
      <c r="V819" s="113"/>
      <c r="W819" s="113"/>
      <c r="X819" s="5">
        <f>SUM(R819:W819)</f>
        <v>0</v>
      </c>
      <c r="Y819" s="302"/>
      <c r="Z819" s="5"/>
      <c r="AA819" s="94"/>
      <c r="AB819" s="311">
        <f t="shared" si="173"/>
        <v>5.7138000000000001E-2</v>
      </c>
      <c r="AC819" s="296"/>
      <c r="AD819" s="113"/>
      <c r="AE819" s="5"/>
      <c r="AF819" s="5"/>
      <c r="AG819" s="5"/>
      <c r="AH819" s="5"/>
      <c r="AI819" s="5"/>
      <c r="AJ819" s="5"/>
      <c r="AK819" s="141"/>
      <c r="AL819" s="94"/>
      <c r="AM819" s="128"/>
      <c r="AN819" s="180"/>
      <c r="AO819" s="128"/>
      <c r="AP819" s="184"/>
      <c r="AQ819" s="128"/>
      <c r="AR819" s="184"/>
      <c r="AS819" s="128"/>
      <c r="AT819" s="184"/>
      <c r="AU819" s="128"/>
      <c r="AV819" s="184"/>
      <c r="AW819" s="128"/>
      <c r="AX819" s="184"/>
      <c r="AY819" s="111"/>
      <c r="AZ819" s="178"/>
      <c r="BC819" s="47"/>
      <c r="BD819" s="47"/>
      <c r="BF819" s="113"/>
      <c r="BG819" s="113"/>
      <c r="BH819" s="113"/>
      <c r="BI819" s="113"/>
      <c r="BJ819" s="113"/>
      <c r="BK819" s="113"/>
      <c r="BL819" s="5">
        <f t="shared" si="174"/>
        <v>0</v>
      </c>
    </row>
    <row r="820" spans="1:64" s="2" customFormat="1" ht="38.25" outlineLevel="1" x14ac:dyDescent="0.2">
      <c r="A820" s="593" t="s">
        <v>261</v>
      </c>
      <c r="B820" s="600" t="s">
        <v>250</v>
      </c>
      <c r="C820" s="7" t="s">
        <v>558</v>
      </c>
      <c r="D820" s="8" t="s">
        <v>397</v>
      </c>
      <c r="E820" s="23" t="s">
        <v>340</v>
      </c>
      <c r="F820" s="8">
        <v>2012</v>
      </c>
      <c r="G820" s="8">
        <v>2014</v>
      </c>
      <c r="H820" s="5">
        <v>0.31748100000000001</v>
      </c>
      <c r="I820" s="5">
        <v>5.6839000000000001E-2</v>
      </c>
      <c r="J820" s="5">
        <f>R820</f>
        <v>5.6839000000000001E-2</v>
      </c>
      <c r="K820" s="23" t="s">
        <v>340</v>
      </c>
      <c r="L820" s="8"/>
      <c r="M820" s="8"/>
      <c r="N820" s="8"/>
      <c r="O820" s="8"/>
      <c r="P820" s="8"/>
      <c r="Q820" s="23" t="s">
        <v>340</v>
      </c>
      <c r="R820" s="113">
        <v>5.6839000000000001E-2</v>
      </c>
      <c r="S820" s="113"/>
      <c r="T820" s="113"/>
      <c r="U820" s="113"/>
      <c r="V820" s="113"/>
      <c r="W820" s="113"/>
      <c r="X820" s="5">
        <f t="shared" si="175"/>
        <v>5.6839000000000001E-2</v>
      </c>
      <c r="Y820" s="302">
        <f>H820-H821-H822</f>
        <v>0</v>
      </c>
      <c r="Z820" s="5">
        <f>I820-I821-I822</f>
        <v>0</v>
      </c>
      <c r="AA820" s="94">
        <f>J820-J821-J822</f>
        <v>0</v>
      </c>
      <c r="AB820" s="311">
        <f t="shared" si="173"/>
        <v>0</v>
      </c>
      <c r="AC820" s="296"/>
      <c r="AD820" s="113"/>
      <c r="AE820" s="5"/>
      <c r="AF820" s="5">
        <f>H820</f>
        <v>0.31748100000000001</v>
      </c>
      <c r="AG820" s="5"/>
      <c r="AH820" s="5"/>
      <c r="AI820" s="5"/>
      <c r="AJ820" s="5"/>
      <c r="AK820" s="141"/>
      <c r="AL820" s="94">
        <f>SUM(AF820:AK820)</f>
        <v>0.31748100000000001</v>
      </c>
      <c r="AM820" s="128">
        <v>0.2</v>
      </c>
      <c r="AN820" s="180">
        <v>0</v>
      </c>
      <c r="AO820" s="128"/>
      <c r="AP820" s="184"/>
      <c r="AQ820" s="128"/>
      <c r="AR820" s="184"/>
      <c r="AS820" s="128"/>
      <c r="AT820" s="184"/>
      <c r="AU820" s="128"/>
      <c r="AV820" s="184"/>
      <c r="AW820" s="128"/>
      <c r="AX820" s="184"/>
      <c r="AY820" s="111">
        <f>AM820+AO820+AQ820+AS820+AU820+AW820</f>
        <v>0.2</v>
      </c>
      <c r="AZ820" s="178">
        <f>AN820+AP820+AR820+AT820+AV820+AX820</f>
        <v>0</v>
      </c>
      <c r="BC820" s="47"/>
      <c r="BD820" s="47"/>
      <c r="BF820" s="113">
        <v>5.6839000000000001E-2</v>
      </c>
      <c r="BG820" s="113"/>
      <c r="BH820" s="113"/>
      <c r="BI820" s="113"/>
      <c r="BJ820" s="113"/>
      <c r="BK820" s="113"/>
      <c r="BL820" s="5">
        <f t="shared" si="174"/>
        <v>5.6839000000000001E-2</v>
      </c>
    </row>
    <row r="821" spans="1:64" s="2" customFormat="1" ht="15.75" customHeight="1" outlineLevel="1" x14ac:dyDescent="0.2">
      <c r="A821" s="594"/>
      <c r="B821" s="601"/>
      <c r="C821" s="7" t="s">
        <v>1553</v>
      </c>
      <c r="D821" s="8"/>
      <c r="E821" s="23"/>
      <c r="F821" s="8"/>
      <c r="G821" s="8"/>
      <c r="H821" s="5">
        <v>0.31748100000000001</v>
      </c>
      <c r="I821" s="5">
        <f>I820</f>
        <v>5.6839000000000001E-2</v>
      </c>
      <c r="J821" s="5">
        <v>5.6839000000000001E-2</v>
      </c>
      <c r="K821" s="8"/>
      <c r="L821" s="23"/>
      <c r="M821" s="8"/>
      <c r="N821" s="8"/>
      <c r="O821" s="8"/>
      <c r="P821" s="8"/>
      <c r="Q821" s="23"/>
      <c r="R821" s="113"/>
      <c r="S821" s="113"/>
      <c r="T821" s="113"/>
      <c r="U821" s="113"/>
      <c r="V821" s="113"/>
      <c r="W821" s="113"/>
      <c r="X821" s="5">
        <f t="shared" si="175"/>
        <v>0</v>
      </c>
      <c r="Y821" s="302"/>
      <c r="Z821" s="5"/>
      <c r="AA821" s="94"/>
      <c r="AB821" s="311">
        <f t="shared" si="173"/>
        <v>5.6839000000000001E-2</v>
      </c>
      <c r="AC821" s="296"/>
      <c r="AD821" s="113"/>
      <c r="AE821" s="5"/>
      <c r="AF821" s="5"/>
      <c r="AG821" s="5"/>
      <c r="AH821" s="5"/>
      <c r="AI821" s="5"/>
      <c r="AJ821" s="5"/>
      <c r="AK821" s="141"/>
      <c r="AL821" s="94"/>
      <c r="AM821" s="128"/>
      <c r="AN821" s="180"/>
      <c r="AO821" s="128"/>
      <c r="AP821" s="184"/>
      <c r="AQ821" s="128"/>
      <c r="AR821" s="184"/>
      <c r="AS821" s="128"/>
      <c r="AT821" s="184"/>
      <c r="AU821" s="128"/>
      <c r="AV821" s="184"/>
      <c r="AW821" s="128"/>
      <c r="AX821" s="184"/>
      <c r="AY821" s="111"/>
      <c r="AZ821" s="178"/>
      <c r="BC821" s="47"/>
      <c r="BD821" s="47"/>
      <c r="BF821" s="113"/>
      <c r="BG821" s="113"/>
      <c r="BH821" s="113"/>
      <c r="BI821" s="113"/>
      <c r="BJ821" s="113"/>
      <c r="BK821" s="113"/>
      <c r="BL821" s="5">
        <f t="shared" si="174"/>
        <v>0</v>
      </c>
    </row>
    <row r="822" spans="1:64" s="2" customFormat="1" ht="15.75" customHeight="1" outlineLevel="1" x14ac:dyDescent="0.2">
      <c r="A822" s="595"/>
      <c r="B822" s="602"/>
      <c r="C822" s="7" t="s">
        <v>1554</v>
      </c>
      <c r="D822" s="8"/>
      <c r="E822" s="23"/>
      <c r="F822" s="8"/>
      <c r="G822" s="8"/>
      <c r="H822" s="5"/>
      <c r="I822" s="5"/>
      <c r="J822" s="5"/>
      <c r="K822" s="23"/>
      <c r="L822" s="8"/>
      <c r="M822" s="8"/>
      <c r="N822" s="8"/>
      <c r="O822" s="8"/>
      <c r="P822" s="8"/>
      <c r="Q822" s="23"/>
      <c r="R822" s="113"/>
      <c r="S822" s="113"/>
      <c r="T822" s="113"/>
      <c r="U822" s="113"/>
      <c r="V822" s="113"/>
      <c r="W822" s="113"/>
      <c r="X822" s="5">
        <f t="shared" si="175"/>
        <v>0</v>
      </c>
      <c r="Y822" s="302"/>
      <c r="Z822" s="5"/>
      <c r="AA822" s="94"/>
      <c r="AB822" s="311">
        <f t="shared" si="173"/>
        <v>0</v>
      </c>
      <c r="AC822" s="296"/>
      <c r="AD822" s="113"/>
      <c r="AE822" s="5"/>
      <c r="AF822" s="5"/>
      <c r="AG822" s="5"/>
      <c r="AH822" s="5"/>
      <c r="AI822" s="5"/>
      <c r="AJ822" s="5"/>
      <c r="AK822" s="141"/>
      <c r="AL822" s="94"/>
      <c r="AM822" s="128"/>
      <c r="AN822" s="180"/>
      <c r="AO822" s="128"/>
      <c r="AP822" s="184"/>
      <c r="AQ822" s="128"/>
      <c r="AR822" s="184"/>
      <c r="AS822" s="128"/>
      <c r="AT822" s="184"/>
      <c r="AU822" s="128"/>
      <c r="AV822" s="184"/>
      <c r="AW822" s="128"/>
      <c r="AX822" s="184"/>
      <c r="AY822" s="111"/>
      <c r="AZ822" s="178"/>
      <c r="BC822" s="47"/>
      <c r="BD822" s="47"/>
      <c r="BF822" s="113"/>
      <c r="BG822" s="113"/>
      <c r="BH822" s="113"/>
      <c r="BI822" s="113"/>
      <c r="BJ822" s="113"/>
      <c r="BK822" s="113"/>
      <c r="BL822" s="5">
        <f t="shared" si="174"/>
        <v>0</v>
      </c>
    </row>
    <row r="823" spans="1:64" s="2" customFormat="1" ht="102" customHeight="1" outlineLevel="1" x14ac:dyDescent="0.2">
      <c r="A823" s="593" t="s">
        <v>263</v>
      </c>
      <c r="B823" s="600" t="s">
        <v>252</v>
      </c>
      <c r="C823" s="7" t="s">
        <v>613</v>
      </c>
      <c r="D823" s="8" t="s">
        <v>397</v>
      </c>
      <c r="E823" s="23" t="s">
        <v>335</v>
      </c>
      <c r="F823" s="8">
        <v>2012</v>
      </c>
      <c r="G823" s="8">
        <v>2015</v>
      </c>
      <c r="H823" s="5">
        <v>0.16</v>
      </c>
      <c r="I823" s="5">
        <v>8.6266999999999996E-2</v>
      </c>
      <c r="J823" s="5">
        <f>R823</f>
        <v>5.1398000000000006E-2</v>
      </c>
      <c r="K823" s="8"/>
      <c r="L823" s="23" t="s">
        <v>335</v>
      </c>
      <c r="M823" s="8"/>
      <c r="N823" s="8"/>
      <c r="O823" s="8"/>
      <c r="P823" s="8"/>
      <c r="Q823" s="23" t="s">
        <v>335</v>
      </c>
      <c r="R823" s="113">
        <v>5.1398000000000006E-2</v>
      </c>
      <c r="S823" s="113"/>
      <c r="T823" s="113"/>
      <c r="U823" s="113"/>
      <c r="V823" s="113"/>
      <c r="W823" s="113"/>
      <c r="X823" s="5">
        <f t="shared" si="175"/>
        <v>5.1398000000000006E-2</v>
      </c>
      <c r="Y823" s="302">
        <f>H823-H824-H825</f>
        <v>0</v>
      </c>
      <c r="Z823" s="5">
        <f>I823-I824-I825</f>
        <v>0</v>
      </c>
      <c r="AA823" s="94">
        <f>J823-J824-J825</f>
        <v>0</v>
      </c>
      <c r="AB823" s="311">
        <f t="shared" si="173"/>
        <v>3.486899999999999E-2</v>
      </c>
      <c r="AC823" s="296"/>
      <c r="AD823" s="113"/>
      <c r="AE823" s="5"/>
      <c r="AF823" s="5"/>
      <c r="AG823" s="5">
        <f>H823</f>
        <v>0.16</v>
      </c>
      <c r="AH823" s="5"/>
      <c r="AI823" s="5"/>
      <c r="AJ823" s="5"/>
      <c r="AK823" s="141"/>
      <c r="AL823" s="94">
        <f>SUM(AF823:AK823)</f>
        <v>0.16</v>
      </c>
      <c r="AM823" s="128"/>
      <c r="AN823" s="180"/>
      <c r="AO823" s="128">
        <v>0.1</v>
      </c>
      <c r="AP823" s="184">
        <v>0</v>
      </c>
      <c r="AQ823" s="128"/>
      <c r="AR823" s="184"/>
      <c r="AS823" s="128"/>
      <c r="AT823" s="184"/>
      <c r="AU823" s="128"/>
      <c r="AV823" s="184"/>
      <c r="AW823" s="128"/>
      <c r="AX823" s="184"/>
      <c r="AY823" s="111">
        <f>AM823+AO823+AQ823+AS823+AU823+AW823</f>
        <v>0.1</v>
      </c>
      <c r="AZ823" s="178">
        <f>AN823+AP823+AR823+AT823+AV823+AX823</f>
        <v>0</v>
      </c>
      <c r="BC823" s="47"/>
      <c r="BD823" s="47"/>
      <c r="BF823" s="113">
        <v>5.1398000000000006E-2</v>
      </c>
      <c r="BG823" s="113"/>
      <c r="BH823" s="113"/>
      <c r="BI823" s="113"/>
      <c r="BJ823" s="113"/>
      <c r="BK823" s="113"/>
      <c r="BL823" s="5">
        <f t="shared" si="174"/>
        <v>5.1398000000000006E-2</v>
      </c>
    </row>
    <row r="824" spans="1:64" s="2" customFormat="1" ht="15.75" customHeight="1" outlineLevel="1" x14ac:dyDescent="0.2">
      <c r="A824" s="594"/>
      <c r="B824" s="601"/>
      <c r="C824" s="7" t="s">
        <v>1553</v>
      </c>
      <c r="D824" s="8"/>
      <c r="E824" s="23"/>
      <c r="F824" s="8"/>
      <c r="G824" s="8"/>
      <c r="H824" s="5">
        <v>0.16</v>
      </c>
      <c r="I824" s="5">
        <v>8.6266999999999996E-2</v>
      </c>
      <c r="J824" s="5">
        <v>5.1398000000000006E-2</v>
      </c>
      <c r="K824" s="8"/>
      <c r="L824" s="23"/>
      <c r="M824" s="8"/>
      <c r="N824" s="8"/>
      <c r="O824" s="8"/>
      <c r="P824" s="8"/>
      <c r="Q824" s="23"/>
      <c r="R824" s="113"/>
      <c r="S824" s="113"/>
      <c r="T824" s="113"/>
      <c r="U824" s="113"/>
      <c r="V824" s="113"/>
      <c r="W824" s="113"/>
      <c r="X824" s="5">
        <f>SUM(R824:W824)</f>
        <v>0</v>
      </c>
      <c r="Y824" s="302"/>
      <c r="Z824" s="5"/>
      <c r="AA824" s="94"/>
      <c r="AB824" s="311">
        <f t="shared" si="173"/>
        <v>8.6266999999999996E-2</v>
      </c>
      <c r="AC824" s="296"/>
      <c r="AD824" s="113"/>
      <c r="AE824" s="5"/>
      <c r="AF824" s="5"/>
      <c r="AG824" s="5"/>
      <c r="AH824" s="5"/>
      <c r="AI824" s="5"/>
      <c r="AJ824" s="5"/>
      <c r="AK824" s="141"/>
      <c r="AL824" s="94"/>
      <c r="AM824" s="128"/>
      <c r="AN824" s="180"/>
      <c r="AO824" s="128"/>
      <c r="AP824" s="184"/>
      <c r="AQ824" s="128"/>
      <c r="AR824" s="184"/>
      <c r="AS824" s="128"/>
      <c r="AT824" s="184"/>
      <c r="AU824" s="128"/>
      <c r="AV824" s="184"/>
      <c r="AW824" s="128"/>
      <c r="AX824" s="184"/>
      <c r="AY824" s="111"/>
      <c r="AZ824" s="178"/>
      <c r="BC824" s="47"/>
      <c r="BD824" s="47"/>
      <c r="BF824" s="113"/>
      <c r="BG824" s="113"/>
      <c r="BH824" s="113"/>
      <c r="BI824" s="113"/>
      <c r="BJ824" s="113"/>
      <c r="BK824" s="113"/>
      <c r="BL824" s="5">
        <f t="shared" si="174"/>
        <v>0</v>
      </c>
    </row>
    <row r="825" spans="1:64" s="2" customFormat="1" ht="15.75" customHeight="1" outlineLevel="1" x14ac:dyDescent="0.2">
      <c r="A825" s="595"/>
      <c r="B825" s="602"/>
      <c r="C825" s="7" t="s">
        <v>1554</v>
      </c>
      <c r="D825" s="8"/>
      <c r="E825" s="23"/>
      <c r="F825" s="8"/>
      <c r="G825" s="8"/>
      <c r="H825" s="5"/>
      <c r="I825" s="5"/>
      <c r="J825" s="5"/>
      <c r="K825" s="23"/>
      <c r="L825" s="8"/>
      <c r="M825" s="8"/>
      <c r="N825" s="8"/>
      <c r="O825" s="8"/>
      <c r="P825" s="8"/>
      <c r="Q825" s="23"/>
      <c r="R825" s="113"/>
      <c r="S825" s="113"/>
      <c r="T825" s="113"/>
      <c r="U825" s="113"/>
      <c r="V825" s="113"/>
      <c r="W825" s="113"/>
      <c r="X825" s="5">
        <f>SUM(R825:W825)</f>
        <v>0</v>
      </c>
      <c r="Y825" s="302"/>
      <c r="Z825" s="5"/>
      <c r="AA825" s="94"/>
      <c r="AB825" s="311">
        <f t="shared" si="173"/>
        <v>0</v>
      </c>
      <c r="AC825" s="296"/>
      <c r="AD825" s="113"/>
      <c r="AE825" s="5"/>
      <c r="AF825" s="5"/>
      <c r="AG825" s="5"/>
      <c r="AH825" s="5"/>
      <c r="AI825" s="5"/>
      <c r="AJ825" s="5"/>
      <c r="AK825" s="141"/>
      <c r="AL825" s="94"/>
      <c r="AM825" s="128"/>
      <c r="AN825" s="180"/>
      <c r="AO825" s="128"/>
      <c r="AP825" s="184"/>
      <c r="AQ825" s="128"/>
      <c r="AR825" s="184"/>
      <c r="AS825" s="128"/>
      <c r="AT825" s="184"/>
      <c r="AU825" s="128"/>
      <c r="AV825" s="184"/>
      <c r="AW825" s="128"/>
      <c r="AX825" s="184"/>
      <c r="AY825" s="111"/>
      <c r="AZ825" s="178"/>
      <c r="BC825" s="47"/>
      <c r="BD825" s="47"/>
      <c r="BF825" s="113"/>
      <c r="BG825" s="113"/>
      <c r="BH825" s="113"/>
      <c r="BI825" s="113"/>
      <c r="BJ825" s="113"/>
      <c r="BK825" s="113"/>
      <c r="BL825" s="5">
        <f t="shared" si="174"/>
        <v>0</v>
      </c>
    </row>
    <row r="826" spans="1:64" s="2" customFormat="1" ht="51" outlineLevel="1" x14ac:dyDescent="0.2">
      <c r="A826" s="593" t="s">
        <v>265</v>
      </c>
      <c r="B826" s="600" t="s">
        <v>254</v>
      </c>
      <c r="C826" s="7" t="s">
        <v>614</v>
      </c>
      <c r="D826" s="8" t="s">
        <v>397</v>
      </c>
      <c r="E826" s="23" t="s">
        <v>340</v>
      </c>
      <c r="F826" s="8">
        <v>2010</v>
      </c>
      <c r="G826" s="8">
        <v>2014</v>
      </c>
      <c r="H826" s="5">
        <v>0.70649726000000002</v>
      </c>
      <c r="I826" s="5">
        <v>0.01</v>
      </c>
      <c r="J826" s="5">
        <f>R826</f>
        <v>0.01</v>
      </c>
      <c r="K826" s="23" t="s">
        <v>340</v>
      </c>
      <c r="L826" s="8"/>
      <c r="M826" s="8"/>
      <c r="N826" s="8"/>
      <c r="O826" s="8"/>
      <c r="P826" s="8"/>
      <c r="Q826" s="23" t="s">
        <v>340</v>
      </c>
      <c r="R826" s="113">
        <v>0.01</v>
      </c>
      <c r="S826" s="113"/>
      <c r="T826" s="113"/>
      <c r="U826" s="113"/>
      <c r="V826" s="113"/>
      <c r="W826" s="113"/>
      <c r="X826" s="5">
        <f t="shared" si="175"/>
        <v>0.01</v>
      </c>
      <c r="Y826" s="302">
        <f>H826-H827-H828</f>
        <v>0</v>
      </c>
      <c r="Z826" s="5">
        <f>I826-I827-I828</f>
        <v>0</v>
      </c>
      <c r="AA826" s="94">
        <f>J826-J827-J828</f>
        <v>0</v>
      </c>
      <c r="AB826" s="311">
        <f t="shared" si="173"/>
        <v>0</v>
      </c>
      <c r="AC826" s="296"/>
      <c r="AD826" s="113"/>
      <c r="AE826" s="5"/>
      <c r="AF826" s="5">
        <f>H826</f>
        <v>0.70649726000000002</v>
      </c>
      <c r="AG826" s="5"/>
      <c r="AH826" s="5"/>
      <c r="AI826" s="5"/>
      <c r="AJ826" s="5"/>
      <c r="AK826" s="141"/>
      <c r="AL826" s="94">
        <f>SUM(AF826:AK826)</f>
        <v>0.70649726000000002</v>
      </c>
      <c r="AM826" s="128">
        <v>0.2</v>
      </c>
      <c r="AN826" s="180">
        <v>0</v>
      </c>
      <c r="AO826" s="128"/>
      <c r="AP826" s="184"/>
      <c r="AQ826" s="128"/>
      <c r="AR826" s="184"/>
      <c r="AS826" s="128"/>
      <c r="AT826" s="184"/>
      <c r="AU826" s="128"/>
      <c r="AV826" s="184"/>
      <c r="AW826" s="128"/>
      <c r="AX826" s="184"/>
      <c r="AY826" s="111">
        <f>AM826+AO826+AQ826+AS826+AU826+AW826</f>
        <v>0.2</v>
      </c>
      <c r="AZ826" s="178">
        <f>AN826+AP826+AR826+AT826+AV826+AX826</f>
        <v>0</v>
      </c>
      <c r="BC826" s="47"/>
      <c r="BD826" s="47"/>
      <c r="BF826" s="113">
        <v>0.01</v>
      </c>
      <c r="BG826" s="113"/>
      <c r="BH826" s="113"/>
      <c r="BI826" s="113"/>
      <c r="BJ826" s="113"/>
      <c r="BK826" s="113"/>
      <c r="BL826" s="5">
        <f t="shared" si="174"/>
        <v>0.01</v>
      </c>
    </row>
    <row r="827" spans="1:64" s="2" customFormat="1" ht="15.75" customHeight="1" outlineLevel="1" x14ac:dyDescent="0.2">
      <c r="A827" s="594"/>
      <c r="B827" s="601"/>
      <c r="C827" s="7" t="s">
        <v>1553</v>
      </c>
      <c r="D827" s="8"/>
      <c r="E827" s="23"/>
      <c r="F827" s="8"/>
      <c r="G827" s="8"/>
      <c r="H827" s="5"/>
      <c r="I827" s="5"/>
      <c r="J827" s="5"/>
      <c r="K827" s="8"/>
      <c r="L827" s="23"/>
      <c r="M827" s="8"/>
      <c r="N827" s="8"/>
      <c r="O827" s="8"/>
      <c r="P827" s="8"/>
      <c r="Q827" s="23"/>
      <c r="R827" s="113"/>
      <c r="S827" s="113"/>
      <c r="T827" s="113"/>
      <c r="U827" s="113"/>
      <c r="V827" s="113"/>
      <c r="W827" s="113"/>
      <c r="X827" s="5">
        <f t="shared" si="175"/>
        <v>0</v>
      </c>
      <c r="Y827" s="302"/>
      <c r="Z827" s="5"/>
      <c r="AA827" s="94"/>
      <c r="AB827" s="311">
        <f t="shared" si="173"/>
        <v>0</v>
      </c>
      <c r="AC827" s="296"/>
      <c r="AD827" s="113"/>
      <c r="AE827" s="5"/>
      <c r="AF827" s="5"/>
      <c r="AG827" s="5"/>
      <c r="AH827" s="5"/>
      <c r="AI827" s="5"/>
      <c r="AJ827" s="5"/>
      <c r="AK827" s="141"/>
      <c r="AL827" s="94"/>
      <c r="AM827" s="128"/>
      <c r="AN827" s="180"/>
      <c r="AO827" s="128"/>
      <c r="AP827" s="184"/>
      <c r="AQ827" s="128"/>
      <c r="AR827" s="184"/>
      <c r="AS827" s="128"/>
      <c r="AT827" s="184"/>
      <c r="AU827" s="128"/>
      <c r="AV827" s="184"/>
      <c r="AW827" s="128"/>
      <c r="AX827" s="184"/>
      <c r="AY827" s="111"/>
      <c r="AZ827" s="178"/>
      <c r="BC827" s="47"/>
      <c r="BD827" s="47"/>
      <c r="BF827" s="113"/>
      <c r="BG827" s="113"/>
      <c r="BH827" s="113"/>
      <c r="BI827" s="113"/>
      <c r="BJ827" s="113"/>
      <c r="BK827" s="113"/>
      <c r="BL827" s="5">
        <f t="shared" si="174"/>
        <v>0</v>
      </c>
    </row>
    <row r="828" spans="1:64" s="2" customFormat="1" ht="15.75" customHeight="1" outlineLevel="1" x14ac:dyDescent="0.2">
      <c r="A828" s="595"/>
      <c r="B828" s="602"/>
      <c r="C828" s="7" t="s">
        <v>1554</v>
      </c>
      <c r="D828" s="8"/>
      <c r="E828" s="23"/>
      <c r="F828" s="8"/>
      <c r="G828" s="8"/>
      <c r="H828" s="5">
        <f>H826</f>
        <v>0.70649726000000002</v>
      </c>
      <c r="I828" s="5">
        <f>I826</f>
        <v>0.01</v>
      </c>
      <c r="J828" s="5">
        <f>J826</f>
        <v>0.01</v>
      </c>
      <c r="K828" s="23"/>
      <c r="L828" s="8"/>
      <c r="M828" s="8"/>
      <c r="N828" s="8"/>
      <c r="O828" s="8"/>
      <c r="P828" s="8"/>
      <c r="Q828" s="23"/>
      <c r="R828" s="113"/>
      <c r="S828" s="113"/>
      <c r="T828" s="113"/>
      <c r="U828" s="113"/>
      <c r="V828" s="113"/>
      <c r="W828" s="113"/>
      <c r="X828" s="5">
        <f t="shared" si="175"/>
        <v>0</v>
      </c>
      <c r="Y828" s="302"/>
      <c r="Z828" s="5"/>
      <c r="AA828" s="94"/>
      <c r="AB828" s="311">
        <f t="shared" si="173"/>
        <v>0.01</v>
      </c>
      <c r="AC828" s="296"/>
      <c r="AD828" s="113"/>
      <c r="AE828" s="5"/>
      <c r="AF828" s="5"/>
      <c r="AG828" s="5"/>
      <c r="AH828" s="5"/>
      <c r="AI828" s="5"/>
      <c r="AJ828" s="5"/>
      <c r="AK828" s="141"/>
      <c r="AL828" s="94"/>
      <c r="AM828" s="128"/>
      <c r="AN828" s="180"/>
      <c r="AO828" s="128"/>
      <c r="AP828" s="184"/>
      <c r="AQ828" s="128"/>
      <c r="AR828" s="184"/>
      <c r="AS828" s="128"/>
      <c r="AT828" s="184"/>
      <c r="AU828" s="128"/>
      <c r="AV828" s="184"/>
      <c r="AW828" s="128"/>
      <c r="AX828" s="184"/>
      <c r="AY828" s="111"/>
      <c r="AZ828" s="178"/>
      <c r="BC828" s="47"/>
      <c r="BD828" s="47"/>
      <c r="BF828" s="113"/>
      <c r="BG828" s="113"/>
      <c r="BH828" s="113"/>
      <c r="BI828" s="113"/>
      <c r="BJ828" s="113"/>
      <c r="BK828" s="113"/>
      <c r="BL828" s="5">
        <f t="shared" si="174"/>
        <v>0</v>
      </c>
    </row>
    <row r="829" spans="1:64" s="2" customFormat="1" ht="51" outlineLevel="1" x14ac:dyDescent="0.2">
      <c r="A829" s="593" t="s">
        <v>267</v>
      </c>
      <c r="B829" s="600" t="s">
        <v>256</v>
      </c>
      <c r="C829" s="7" t="s">
        <v>268</v>
      </c>
      <c r="D829" s="8" t="s">
        <v>397</v>
      </c>
      <c r="E829" s="23" t="s">
        <v>335</v>
      </c>
      <c r="F829" s="8">
        <v>2010</v>
      </c>
      <c r="G829" s="8">
        <v>2014</v>
      </c>
      <c r="H829" s="5">
        <v>2.085E-2</v>
      </c>
      <c r="I829" s="5">
        <v>0.01</v>
      </c>
      <c r="J829" s="5">
        <f>R829</f>
        <v>0.01</v>
      </c>
      <c r="K829" s="23" t="s">
        <v>335</v>
      </c>
      <c r="L829" s="8"/>
      <c r="M829" s="8"/>
      <c r="N829" s="8"/>
      <c r="O829" s="8"/>
      <c r="P829" s="8"/>
      <c r="Q829" s="23" t="s">
        <v>335</v>
      </c>
      <c r="R829" s="113">
        <v>0.01</v>
      </c>
      <c r="S829" s="113"/>
      <c r="T829" s="113"/>
      <c r="U829" s="113"/>
      <c r="V829" s="113"/>
      <c r="W829" s="113"/>
      <c r="X829" s="5">
        <f t="shared" si="175"/>
        <v>0.01</v>
      </c>
      <c r="Y829" s="302">
        <f>H829-H830-H831</f>
        <v>3.9500000000000021E-3</v>
      </c>
      <c r="Z829" s="5">
        <f>I829-I830-I831</f>
        <v>0</v>
      </c>
      <c r="AA829" s="94">
        <f>J829-J830-J831</f>
        <v>-9.9999999999999915E-4</v>
      </c>
      <c r="AB829" s="311">
        <f t="shared" si="173"/>
        <v>0</v>
      </c>
      <c r="AC829" s="296"/>
      <c r="AD829" s="113"/>
      <c r="AE829" s="5"/>
      <c r="AF829" s="5">
        <f>H829</f>
        <v>2.085E-2</v>
      </c>
      <c r="AG829" s="5"/>
      <c r="AH829" s="5"/>
      <c r="AI829" s="5"/>
      <c r="AJ829" s="5"/>
      <c r="AK829" s="141"/>
      <c r="AL829" s="94">
        <f>SUM(AF829:AK829)</f>
        <v>2.085E-2</v>
      </c>
      <c r="AM829" s="128">
        <v>0.1</v>
      </c>
      <c r="AN829" s="180">
        <v>0</v>
      </c>
      <c r="AO829" s="128"/>
      <c r="AP829" s="184"/>
      <c r="AQ829" s="128"/>
      <c r="AR829" s="184"/>
      <c r="AS829" s="128"/>
      <c r="AT829" s="184"/>
      <c r="AU829" s="128"/>
      <c r="AV829" s="184"/>
      <c r="AW829" s="128"/>
      <c r="AX829" s="184"/>
      <c r="AY829" s="111">
        <f>AM829+AO829+AQ829+AS829+AU829+AW829</f>
        <v>0.1</v>
      </c>
      <c r="AZ829" s="178">
        <f>AN829+AP829+AR829+AT829+AV829+AX829</f>
        <v>0</v>
      </c>
      <c r="BC829" s="47"/>
      <c r="BD829" s="47"/>
      <c r="BF829" s="113">
        <v>0.01</v>
      </c>
      <c r="BG829" s="113"/>
      <c r="BH829" s="113"/>
      <c r="BI829" s="113"/>
      <c r="BJ829" s="113"/>
      <c r="BK829" s="113"/>
      <c r="BL829" s="5">
        <f t="shared" si="174"/>
        <v>0.01</v>
      </c>
    </row>
    <row r="830" spans="1:64" s="2" customFormat="1" ht="15.75" customHeight="1" outlineLevel="1" x14ac:dyDescent="0.2">
      <c r="A830" s="594"/>
      <c r="B830" s="601"/>
      <c r="C830" s="7" t="s">
        <v>1553</v>
      </c>
      <c r="D830" s="8"/>
      <c r="E830" s="23"/>
      <c r="F830" s="8"/>
      <c r="G830" s="8"/>
      <c r="H830" s="5"/>
      <c r="I830" s="5"/>
      <c r="J830" s="5"/>
      <c r="K830" s="8"/>
      <c r="L830" s="23"/>
      <c r="M830" s="8"/>
      <c r="N830" s="8"/>
      <c r="O830" s="8"/>
      <c r="P830" s="8"/>
      <c r="Q830" s="23"/>
      <c r="R830" s="113"/>
      <c r="S830" s="113"/>
      <c r="T830" s="113"/>
      <c r="U830" s="113"/>
      <c r="V830" s="113"/>
      <c r="W830" s="113"/>
      <c r="X830" s="5">
        <f>SUM(R830:W830)</f>
        <v>0</v>
      </c>
      <c r="Y830" s="302"/>
      <c r="Z830" s="5"/>
      <c r="AA830" s="94"/>
      <c r="AB830" s="311">
        <f t="shared" si="173"/>
        <v>0</v>
      </c>
      <c r="AC830" s="296"/>
      <c r="AD830" s="113"/>
      <c r="AE830" s="5"/>
      <c r="AF830" s="5"/>
      <c r="AG830" s="5"/>
      <c r="AH830" s="5"/>
      <c r="AI830" s="5"/>
      <c r="AJ830" s="5"/>
      <c r="AK830" s="141"/>
      <c r="AL830" s="94"/>
      <c r="AM830" s="128"/>
      <c r="AN830" s="180"/>
      <c r="AO830" s="128"/>
      <c r="AP830" s="184"/>
      <c r="AQ830" s="128"/>
      <c r="AR830" s="184"/>
      <c r="AS830" s="128"/>
      <c r="AT830" s="184"/>
      <c r="AU830" s="128"/>
      <c r="AV830" s="184"/>
      <c r="AW830" s="128"/>
      <c r="AX830" s="184"/>
      <c r="AY830" s="111"/>
      <c r="AZ830" s="178"/>
      <c r="BC830" s="47"/>
      <c r="BD830" s="47"/>
      <c r="BF830" s="113"/>
      <c r="BG830" s="113"/>
      <c r="BH830" s="113"/>
      <c r="BI830" s="113"/>
      <c r="BJ830" s="113"/>
      <c r="BK830" s="113"/>
      <c r="BL830" s="5">
        <f t="shared" si="174"/>
        <v>0</v>
      </c>
    </row>
    <row r="831" spans="1:64" s="2" customFormat="1" ht="15.75" customHeight="1" outlineLevel="1" x14ac:dyDescent="0.2">
      <c r="A831" s="595"/>
      <c r="B831" s="602"/>
      <c r="C831" s="7" t="s">
        <v>1554</v>
      </c>
      <c r="D831" s="8"/>
      <c r="E831" s="23"/>
      <c r="F831" s="8"/>
      <c r="G831" s="8"/>
      <c r="H831" s="5">
        <v>1.6899999999999998E-2</v>
      </c>
      <c r="I831" s="5">
        <f>I829</f>
        <v>0.01</v>
      </c>
      <c r="J831" s="5">
        <v>1.0999999999999999E-2</v>
      </c>
      <c r="K831" s="23"/>
      <c r="L831" s="8"/>
      <c r="M831" s="8"/>
      <c r="N831" s="8"/>
      <c r="O831" s="8"/>
      <c r="P831" s="8"/>
      <c r="Q831" s="23"/>
      <c r="R831" s="113"/>
      <c r="S831" s="113"/>
      <c r="T831" s="113"/>
      <c r="U831" s="113"/>
      <c r="V831" s="113"/>
      <c r="W831" s="113"/>
      <c r="X831" s="5">
        <f>SUM(R831:W831)</f>
        <v>0</v>
      </c>
      <c r="Y831" s="302"/>
      <c r="Z831" s="5"/>
      <c r="AA831" s="94"/>
      <c r="AB831" s="311">
        <f t="shared" si="173"/>
        <v>0.01</v>
      </c>
      <c r="AC831" s="296"/>
      <c r="AD831" s="113"/>
      <c r="AE831" s="5"/>
      <c r="AF831" s="5"/>
      <c r="AG831" s="5"/>
      <c r="AH831" s="5"/>
      <c r="AI831" s="5"/>
      <c r="AJ831" s="5"/>
      <c r="AK831" s="141"/>
      <c r="AL831" s="94"/>
      <c r="AM831" s="128"/>
      <c r="AN831" s="180"/>
      <c r="AO831" s="128"/>
      <c r="AP831" s="184"/>
      <c r="AQ831" s="128"/>
      <c r="AR831" s="184"/>
      <c r="AS831" s="128"/>
      <c r="AT831" s="184"/>
      <c r="AU831" s="128"/>
      <c r="AV831" s="184"/>
      <c r="AW831" s="128"/>
      <c r="AX831" s="184"/>
      <c r="AY831" s="111"/>
      <c r="AZ831" s="178"/>
      <c r="BC831" s="47"/>
      <c r="BD831" s="47"/>
      <c r="BF831" s="113"/>
      <c r="BG831" s="113"/>
      <c r="BH831" s="113"/>
      <c r="BI831" s="113"/>
      <c r="BJ831" s="113"/>
      <c r="BK831" s="113"/>
      <c r="BL831" s="5">
        <f t="shared" si="174"/>
        <v>0</v>
      </c>
    </row>
    <row r="832" spans="1:64" s="2" customFormat="1" ht="51" outlineLevel="1" x14ac:dyDescent="0.2">
      <c r="A832" s="593" t="s">
        <v>270</v>
      </c>
      <c r="B832" s="600" t="s">
        <v>258</v>
      </c>
      <c r="C832" s="7" t="s">
        <v>615</v>
      </c>
      <c r="D832" s="8" t="s">
        <v>397</v>
      </c>
      <c r="E832" s="23" t="s">
        <v>1387</v>
      </c>
      <c r="F832" s="8">
        <v>2010</v>
      </c>
      <c r="G832" s="8">
        <v>2014</v>
      </c>
      <c r="H832" s="5">
        <v>0.77147907999999998</v>
      </c>
      <c r="I832" s="5">
        <v>0.01</v>
      </c>
      <c r="J832" s="5">
        <f>R832</f>
        <v>0.01</v>
      </c>
      <c r="K832" s="23" t="s">
        <v>1387</v>
      </c>
      <c r="L832" s="8"/>
      <c r="M832" s="8"/>
      <c r="N832" s="8"/>
      <c r="O832" s="8"/>
      <c r="P832" s="8"/>
      <c r="Q832" s="23" t="s">
        <v>1387</v>
      </c>
      <c r="R832" s="113">
        <v>0.01</v>
      </c>
      <c r="S832" s="113"/>
      <c r="T832" s="113"/>
      <c r="U832" s="113"/>
      <c r="V832" s="113"/>
      <c r="W832" s="113"/>
      <c r="X832" s="5">
        <f t="shared" si="175"/>
        <v>0.01</v>
      </c>
      <c r="Y832" s="302">
        <f>H832-H833-H834</f>
        <v>0</v>
      </c>
      <c r="Z832" s="5">
        <f>I832-I833-I834</f>
        <v>0</v>
      </c>
      <c r="AA832" s="94">
        <f>J832-J833-J834</f>
        <v>0</v>
      </c>
      <c r="AB832" s="311">
        <f t="shared" si="173"/>
        <v>0</v>
      </c>
      <c r="AC832" s="296"/>
      <c r="AD832" s="113"/>
      <c r="AE832" s="5"/>
      <c r="AF832" s="5">
        <f>H832</f>
        <v>0.77147907999999998</v>
      </c>
      <c r="AG832" s="5"/>
      <c r="AH832" s="5"/>
      <c r="AI832" s="5"/>
      <c r="AJ832" s="5"/>
      <c r="AK832" s="141"/>
      <c r="AL832" s="94">
        <f>SUM(AF832:AK832)</f>
        <v>0.77147907999999998</v>
      </c>
      <c r="AM832" s="128">
        <v>0.5</v>
      </c>
      <c r="AN832" s="180">
        <v>0</v>
      </c>
      <c r="AO832" s="128"/>
      <c r="AP832" s="184"/>
      <c r="AQ832" s="128"/>
      <c r="AR832" s="184"/>
      <c r="AS832" s="128"/>
      <c r="AT832" s="184"/>
      <c r="AU832" s="128"/>
      <c r="AV832" s="184"/>
      <c r="AW832" s="128"/>
      <c r="AX832" s="184"/>
      <c r="AY832" s="111">
        <f>AM832+AO832+AQ832+AS832+AU832+AW832</f>
        <v>0.5</v>
      </c>
      <c r="AZ832" s="178">
        <f>AN832+AP832+AR832+AT832+AV832+AX832</f>
        <v>0</v>
      </c>
      <c r="BC832" s="47"/>
      <c r="BD832" s="47"/>
      <c r="BF832" s="113">
        <v>0.01</v>
      </c>
      <c r="BG832" s="113"/>
      <c r="BH832" s="113"/>
      <c r="BI832" s="113"/>
      <c r="BJ832" s="113"/>
      <c r="BK832" s="113"/>
      <c r="BL832" s="5">
        <f t="shared" si="174"/>
        <v>0.01</v>
      </c>
    </row>
    <row r="833" spans="1:64" s="2" customFormat="1" ht="15.75" customHeight="1" outlineLevel="1" x14ac:dyDescent="0.2">
      <c r="A833" s="594"/>
      <c r="B833" s="601"/>
      <c r="C833" s="7" t="s">
        <v>1553</v>
      </c>
      <c r="D833" s="8"/>
      <c r="E833" s="23"/>
      <c r="F833" s="8"/>
      <c r="G833" s="8"/>
      <c r="H833" s="5"/>
      <c r="I833" s="5"/>
      <c r="J833" s="5"/>
      <c r="K833" s="8"/>
      <c r="L833" s="23"/>
      <c r="M833" s="8"/>
      <c r="N833" s="8"/>
      <c r="O833" s="8"/>
      <c r="P833" s="8"/>
      <c r="Q833" s="23"/>
      <c r="R833" s="113"/>
      <c r="S833" s="113"/>
      <c r="T833" s="113"/>
      <c r="U833" s="113"/>
      <c r="V833" s="113"/>
      <c r="W833" s="113"/>
      <c r="X833" s="5">
        <f t="shared" si="175"/>
        <v>0</v>
      </c>
      <c r="Y833" s="302"/>
      <c r="Z833" s="5"/>
      <c r="AA833" s="94"/>
      <c r="AB833" s="311">
        <f t="shared" si="173"/>
        <v>0</v>
      </c>
      <c r="AC833" s="296"/>
      <c r="AD833" s="113"/>
      <c r="AE833" s="5"/>
      <c r="AF833" s="5"/>
      <c r="AG833" s="5"/>
      <c r="AH833" s="5"/>
      <c r="AI833" s="5"/>
      <c r="AJ833" s="5"/>
      <c r="AK833" s="141"/>
      <c r="AL833" s="94"/>
      <c r="AM833" s="128"/>
      <c r="AN833" s="180"/>
      <c r="AO833" s="128"/>
      <c r="AP833" s="184"/>
      <c r="AQ833" s="128"/>
      <c r="AR833" s="184"/>
      <c r="AS833" s="128"/>
      <c r="AT833" s="184"/>
      <c r="AU833" s="128"/>
      <c r="AV833" s="184"/>
      <c r="AW833" s="128"/>
      <c r="AX833" s="184"/>
      <c r="AY833" s="111"/>
      <c r="AZ833" s="178"/>
      <c r="BC833" s="47"/>
      <c r="BD833" s="47"/>
      <c r="BF833" s="113"/>
      <c r="BG833" s="113"/>
      <c r="BH833" s="113"/>
      <c r="BI833" s="113"/>
      <c r="BJ833" s="113"/>
      <c r="BK833" s="113"/>
      <c r="BL833" s="5">
        <f t="shared" si="174"/>
        <v>0</v>
      </c>
    </row>
    <row r="834" spans="1:64" s="2" customFormat="1" ht="15.75" customHeight="1" outlineLevel="1" x14ac:dyDescent="0.2">
      <c r="A834" s="595"/>
      <c r="B834" s="602"/>
      <c r="C834" s="7" t="s">
        <v>1554</v>
      </c>
      <c r="D834" s="8"/>
      <c r="E834" s="23"/>
      <c r="F834" s="8"/>
      <c r="G834" s="8"/>
      <c r="H834" s="5">
        <f>H832</f>
        <v>0.77147907999999998</v>
      </c>
      <c r="I834" s="5">
        <f>I832</f>
        <v>0.01</v>
      </c>
      <c r="J834" s="5">
        <f>J832</f>
        <v>0.01</v>
      </c>
      <c r="K834" s="23"/>
      <c r="L834" s="8"/>
      <c r="M834" s="8"/>
      <c r="N834" s="8"/>
      <c r="O834" s="8"/>
      <c r="P834" s="8"/>
      <c r="Q834" s="23"/>
      <c r="R834" s="113"/>
      <c r="S834" s="113"/>
      <c r="T834" s="113"/>
      <c r="U834" s="113"/>
      <c r="V834" s="113"/>
      <c r="W834" s="113"/>
      <c r="X834" s="5">
        <f t="shared" si="175"/>
        <v>0</v>
      </c>
      <c r="Y834" s="302"/>
      <c r="Z834" s="5"/>
      <c r="AA834" s="94"/>
      <c r="AB834" s="311">
        <f t="shared" si="173"/>
        <v>0.01</v>
      </c>
      <c r="AC834" s="296"/>
      <c r="AD834" s="113"/>
      <c r="AE834" s="5"/>
      <c r="AF834" s="5"/>
      <c r="AG834" s="5"/>
      <c r="AH834" s="5"/>
      <c r="AI834" s="5"/>
      <c r="AJ834" s="5"/>
      <c r="AK834" s="141"/>
      <c r="AL834" s="94"/>
      <c r="AM834" s="128"/>
      <c r="AN834" s="180"/>
      <c r="AO834" s="128"/>
      <c r="AP834" s="184"/>
      <c r="AQ834" s="128"/>
      <c r="AR834" s="184"/>
      <c r="AS834" s="128"/>
      <c r="AT834" s="184"/>
      <c r="AU834" s="128"/>
      <c r="AV834" s="184"/>
      <c r="AW834" s="128"/>
      <c r="AX834" s="184"/>
      <c r="AY834" s="111"/>
      <c r="AZ834" s="178"/>
      <c r="BC834" s="47"/>
      <c r="BD834" s="47"/>
      <c r="BF834" s="113"/>
      <c r="BG834" s="113"/>
      <c r="BH834" s="113"/>
      <c r="BI834" s="113"/>
      <c r="BJ834" s="113"/>
      <c r="BK834" s="113"/>
      <c r="BL834" s="5">
        <f t="shared" si="174"/>
        <v>0</v>
      </c>
    </row>
    <row r="835" spans="1:64" s="2" customFormat="1" ht="38.25" outlineLevel="1" x14ac:dyDescent="0.2">
      <c r="A835" s="593" t="s">
        <v>272</v>
      </c>
      <c r="B835" s="600" t="s">
        <v>260</v>
      </c>
      <c r="C835" s="7" t="s">
        <v>273</v>
      </c>
      <c r="D835" s="8" t="s">
        <v>397</v>
      </c>
      <c r="E835" s="23" t="s">
        <v>343</v>
      </c>
      <c r="F835" s="8">
        <v>2010</v>
      </c>
      <c r="G835" s="8">
        <v>2014</v>
      </c>
      <c r="H835" s="5">
        <v>0.76112267</v>
      </c>
      <c r="I835" s="5">
        <v>0.01</v>
      </c>
      <c r="J835" s="5">
        <f>R835</f>
        <v>0.01</v>
      </c>
      <c r="K835" s="23" t="s">
        <v>343</v>
      </c>
      <c r="L835" s="8"/>
      <c r="M835" s="8"/>
      <c r="N835" s="8"/>
      <c r="O835" s="8"/>
      <c r="P835" s="8"/>
      <c r="Q835" s="23" t="s">
        <v>343</v>
      </c>
      <c r="R835" s="113">
        <v>0.01</v>
      </c>
      <c r="S835" s="113"/>
      <c r="T835" s="113"/>
      <c r="U835" s="113"/>
      <c r="V835" s="113"/>
      <c r="W835" s="113"/>
      <c r="X835" s="5">
        <f t="shared" si="175"/>
        <v>0.01</v>
      </c>
      <c r="Y835" s="302">
        <f>H835-H836-H837</f>
        <v>0</v>
      </c>
      <c r="Z835" s="5">
        <f>I835-I836-I837</f>
        <v>0</v>
      </c>
      <c r="AA835" s="94">
        <f>J835-J836-J837</f>
        <v>0</v>
      </c>
      <c r="AB835" s="311">
        <f t="shared" si="173"/>
        <v>0</v>
      </c>
      <c r="AC835" s="296"/>
      <c r="AD835" s="113"/>
      <c r="AE835" s="5"/>
      <c r="AF835" s="5">
        <f>H835</f>
        <v>0.76112267</v>
      </c>
      <c r="AG835" s="5"/>
      <c r="AH835" s="5"/>
      <c r="AI835" s="5"/>
      <c r="AJ835" s="5"/>
      <c r="AK835" s="141"/>
      <c r="AL835" s="94">
        <f>SUM(AF835:AK835)</f>
        <v>0.76112267</v>
      </c>
      <c r="AM835" s="128">
        <v>0.4</v>
      </c>
      <c r="AN835" s="180">
        <v>0</v>
      </c>
      <c r="AO835" s="128"/>
      <c r="AP835" s="184"/>
      <c r="AQ835" s="128"/>
      <c r="AR835" s="184"/>
      <c r="AS835" s="128"/>
      <c r="AT835" s="184"/>
      <c r="AU835" s="128"/>
      <c r="AV835" s="184"/>
      <c r="AW835" s="128"/>
      <c r="AX835" s="184"/>
      <c r="AY835" s="111">
        <f>AM835+AO835+AQ835+AS835+AU835+AW835</f>
        <v>0.4</v>
      </c>
      <c r="AZ835" s="178">
        <f>AN835+AP835+AR835+AT835+AV835+AX835</f>
        <v>0</v>
      </c>
      <c r="BC835" s="47"/>
      <c r="BD835" s="47"/>
      <c r="BF835" s="113">
        <v>0.01</v>
      </c>
      <c r="BG835" s="113"/>
      <c r="BH835" s="113"/>
      <c r="BI835" s="113"/>
      <c r="BJ835" s="113"/>
      <c r="BK835" s="113"/>
      <c r="BL835" s="5">
        <f t="shared" si="174"/>
        <v>0.01</v>
      </c>
    </row>
    <row r="836" spans="1:64" s="2" customFormat="1" ht="15.75" customHeight="1" outlineLevel="1" x14ac:dyDescent="0.2">
      <c r="A836" s="594"/>
      <c r="B836" s="601"/>
      <c r="C836" s="7" t="s">
        <v>1553</v>
      </c>
      <c r="D836" s="8"/>
      <c r="E836" s="23"/>
      <c r="F836" s="8"/>
      <c r="G836" s="8"/>
      <c r="H836" s="5">
        <f>H835</f>
        <v>0.76112267</v>
      </c>
      <c r="I836" s="5">
        <f>I835</f>
        <v>0.01</v>
      </c>
      <c r="J836" s="5">
        <f>J835</f>
        <v>0.01</v>
      </c>
      <c r="K836" s="8"/>
      <c r="L836" s="23"/>
      <c r="M836" s="8"/>
      <c r="N836" s="8"/>
      <c r="O836" s="8"/>
      <c r="P836" s="8"/>
      <c r="Q836" s="23"/>
      <c r="R836" s="113"/>
      <c r="S836" s="113"/>
      <c r="T836" s="113"/>
      <c r="U836" s="113"/>
      <c r="V836" s="113"/>
      <c r="W836" s="113"/>
      <c r="X836" s="5">
        <f>SUM(R836:W836)</f>
        <v>0</v>
      </c>
      <c r="Y836" s="302"/>
      <c r="Z836" s="5"/>
      <c r="AA836" s="94"/>
      <c r="AB836" s="311">
        <f t="shared" si="173"/>
        <v>0.01</v>
      </c>
      <c r="AC836" s="296"/>
      <c r="AD836" s="113"/>
      <c r="AE836" s="5"/>
      <c r="AF836" s="5"/>
      <c r="AG836" s="5"/>
      <c r="AH836" s="5"/>
      <c r="AI836" s="5"/>
      <c r="AJ836" s="5"/>
      <c r="AK836" s="141"/>
      <c r="AL836" s="94"/>
      <c r="AM836" s="128"/>
      <c r="AN836" s="180"/>
      <c r="AO836" s="128"/>
      <c r="AP836" s="184"/>
      <c r="AQ836" s="128"/>
      <c r="AR836" s="184"/>
      <c r="AS836" s="128"/>
      <c r="AT836" s="184"/>
      <c r="AU836" s="128"/>
      <c r="AV836" s="184"/>
      <c r="AW836" s="128"/>
      <c r="AX836" s="184"/>
      <c r="AY836" s="111"/>
      <c r="AZ836" s="178"/>
      <c r="BC836" s="47"/>
      <c r="BD836" s="47"/>
      <c r="BF836" s="113"/>
      <c r="BG836" s="113"/>
      <c r="BH836" s="113"/>
      <c r="BI836" s="113"/>
      <c r="BJ836" s="113"/>
      <c r="BK836" s="113"/>
      <c r="BL836" s="5">
        <f t="shared" si="174"/>
        <v>0</v>
      </c>
    </row>
    <row r="837" spans="1:64" s="2" customFormat="1" ht="15.75" customHeight="1" outlineLevel="1" x14ac:dyDescent="0.2">
      <c r="A837" s="595"/>
      <c r="B837" s="602"/>
      <c r="C837" s="7" t="s">
        <v>1554</v>
      </c>
      <c r="D837" s="8"/>
      <c r="E837" s="23"/>
      <c r="F837" s="8"/>
      <c r="G837" s="8"/>
      <c r="H837" s="5"/>
      <c r="I837" s="5"/>
      <c r="J837" s="5"/>
      <c r="K837" s="23"/>
      <c r="L837" s="8"/>
      <c r="M837" s="8"/>
      <c r="N837" s="8"/>
      <c r="O837" s="8"/>
      <c r="P837" s="8"/>
      <c r="Q837" s="23"/>
      <c r="R837" s="113"/>
      <c r="S837" s="113"/>
      <c r="T837" s="113"/>
      <c r="U837" s="113"/>
      <c r="V837" s="113"/>
      <c r="W837" s="113"/>
      <c r="X837" s="5">
        <f>SUM(R837:W837)</f>
        <v>0</v>
      </c>
      <c r="Y837" s="302"/>
      <c r="Z837" s="5"/>
      <c r="AA837" s="94"/>
      <c r="AB837" s="311">
        <f t="shared" si="173"/>
        <v>0</v>
      </c>
      <c r="AC837" s="296"/>
      <c r="AD837" s="113"/>
      <c r="AE837" s="5"/>
      <c r="AF837" s="5"/>
      <c r="AG837" s="5"/>
      <c r="AH837" s="5"/>
      <c r="AI837" s="5"/>
      <c r="AJ837" s="5"/>
      <c r="AK837" s="141"/>
      <c r="AL837" s="94"/>
      <c r="AM837" s="128"/>
      <c r="AN837" s="180"/>
      <c r="AO837" s="128"/>
      <c r="AP837" s="184"/>
      <c r="AQ837" s="128"/>
      <c r="AR837" s="184"/>
      <c r="AS837" s="128"/>
      <c r="AT837" s="184"/>
      <c r="AU837" s="128"/>
      <c r="AV837" s="184"/>
      <c r="AW837" s="128"/>
      <c r="AX837" s="184"/>
      <c r="AY837" s="111"/>
      <c r="AZ837" s="178"/>
      <c r="BC837" s="47"/>
      <c r="BD837" s="47"/>
      <c r="BF837" s="113"/>
      <c r="BG837" s="113"/>
      <c r="BH837" s="113"/>
      <c r="BI837" s="113"/>
      <c r="BJ837" s="113"/>
      <c r="BK837" s="113"/>
      <c r="BL837" s="5">
        <f t="shared" si="174"/>
        <v>0</v>
      </c>
    </row>
    <row r="838" spans="1:64" s="2" customFormat="1" ht="76.5" outlineLevel="1" x14ac:dyDescent="0.2">
      <c r="A838" s="593" t="s">
        <v>275</v>
      </c>
      <c r="B838" s="600" t="s">
        <v>262</v>
      </c>
      <c r="C838" s="7" t="s">
        <v>559</v>
      </c>
      <c r="D838" s="8" t="s">
        <v>397</v>
      </c>
      <c r="E838" s="23" t="s">
        <v>335</v>
      </c>
      <c r="F838" s="8">
        <v>2010</v>
      </c>
      <c r="G838" s="8">
        <v>2014</v>
      </c>
      <c r="H838" s="5">
        <v>3.1517999999999997E-2</v>
      </c>
      <c r="I838" s="5">
        <v>0.01</v>
      </c>
      <c r="J838" s="5">
        <f>R838</f>
        <v>0.01</v>
      </c>
      <c r="K838" s="23" t="s">
        <v>335</v>
      </c>
      <c r="L838" s="8"/>
      <c r="M838" s="8"/>
      <c r="N838" s="8"/>
      <c r="O838" s="8"/>
      <c r="P838" s="8"/>
      <c r="Q838" s="23" t="s">
        <v>335</v>
      </c>
      <c r="R838" s="113">
        <v>0.01</v>
      </c>
      <c r="S838" s="113"/>
      <c r="T838" s="113"/>
      <c r="U838" s="113"/>
      <c r="V838" s="113"/>
      <c r="W838" s="113"/>
      <c r="X838" s="5">
        <f t="shared" si="175"/>
        <v>0.01</v>
      </c>
      <c r="Y838" s="302">
        <f>H838-H839-H840</f>
        <v>0</v>
      </c>
      <c r="Z838" s="5">
        <f>I838-I839-I840</f>
        <v>4.0000000000000001E-3</v>
      </c>
      <c r="AA838" s="94">
        <f>J838-J839-J840</f>
        <v>-9.9999999999999915E-4</v>
      </c>
      <c r="AB838" s="311">
        <f t="shared" si="173"/>
        <v>0</v>
      </c>
      <c r="AC838" s="296"/>
      <c r="AD838" s="113"/>
      <c r="AE838" s="5"/>
      <c r="AF838" s="5">
        <f>H838</f>
        <v>3.1517999999999997E-2</v>
      </c>
      <c r="AG838" s="5"/>
      <c r="AH838" s="5"/>
      <c r="AI838" s="5"/>
      <c r="AJ838" s="5"/>
      <c r="AK838" s="141"/>
      <c r="AL838" s="94">
        <f>SUM(AF838:AK838)</f>
        <v>3.1517999999999997E-2</v>
      </c>
      <c r="AM838" s="128">
        <v>0.1</v>
      </c>
      <c r="AN838" s="180">
        <v>0</v>
      </c>
      <c r="AO838" s="128"/>
      <c r="AP838" s="184"/>
      <c r="AQ838" s="128"/>
      <c r="AR838" s="184"/>
      <c r="AS838" s="128"/>
      <c r="AT838" s="184"/>
      <c r="AU838" s="128"/>
      <c r="AV838" s="184"/>
      <c r="AW838" s="128"/>
      <c r="AX838" s="184"/>
      <c r="AY838" s="111">
        <f>AM838+AO838+AQ838+AS838+AU838+AW838</f>
        <v>0.1</v>
      </c>
      <c r="AZ838" s="178">
        <f>AN838+AP838+AR838+AT838+AV838+AX838</f>
        <v>0</v>
      </c>
      <c r="BC838" s="47"/>
      <c r="BD838" s="47"/>
      <c r="BF838" s="113">
        <v>0.01</v>
      </c>
      <c r="BG838" s="113"/>
      <c r="BH838" s="113"/>
      <c r="BI838" s="113"/>
      <c r="BJ838" s="113"/>
      <c r="BK838" s="113"/>
      <c r="BL838" s="5">
        <f t="shared" si="174"/>
        <v>0.01</v>
      </c>
    </row>
    <row r="839" spans="1:64" s="2" customFormat="1" ht="15.75" customHeight="1" outlineLevel="1" x14ac:dyDescent="0.2">
      <c r="A839" s="594"/>
      <c r="B839" s="601"/>
      <c r="C839" s="7" t="s">
        <v>1553</v>
      </c>
      <c r="D839" s="8"/>
      <c r="E839" s="23"/>
      <c r="F839" s="8"/>
      <c r="G839" s="8"/>
      <c r="H839" s="5"/>
      <c r="I839" s="5"/>
      <c r="J839" s="5"/>
      <c r="K839" s="8"/>
      <c r="L839" s="23"/>
      <c r="M839" s="8"/>
      <c r="N839" s="8"/>
      <c r="O839" s="8"/>
      <c r="P839" s="8"/>
      <c r="Q839" s="23"/>
      <c r="R839" s="113"/>
      <c r="S839" s="113"/>
      <c r="T839" s="113"/>
      <c r="U839" s="113"/>
      <c r="V839" s="113"/>
      <c r="W839" s="113"/>
      <c r="X839" s="5">
        <f t="shared" si="175"/>
        <v>0</v>
      </c>
      <c r="Y839" s="302"/>
      <c r="Z839" s="5"/>
      <c r="AA839" s="94"/>
      <c r="AB839" s="311">
        <f t="shared" si="173"/>
        <v>0</v>
      </c>
      <c r="AC839" s="296"/>
      <c r="AD839" s="113"/>
      <c r="AE839" s="5"/>
      <c r="AF839" s="5"/>
      <c r="AG839" s="5"/>
      <c r="AH839" s="5"/>
      <c r="AI839" s="5"/>
      <c r="AJ839" s="5"/>
      <c r="AK839" s="141"/>
      <c r="AL839" s="94"/>
      <c r="AM839" s="128"/>
      <c r="AN839" s="180"/>
      <c r="AO839" s="128"/>
      <c r="AP839" s="184"/>
      <c r="AQ839" s="128"/>
      <c r="AR839" s="184"/>
      <c r="AS839" s="128"/>
      <c r="AT839" s="184"/>
      <c r="AU839" s="128"/>
      <c r="AV839" s="184"/>
      <c r="AW839" s="128"/>
      <c r="AX839" s="184"/>
      <c r="AY839" s="111"/>
      <c r="AZ839" s="178"/>
      <c r="BC839" s="47"/>
      <c r="BD839" s="47"/>
      <c r="BF839" s="113"/>
      <c r="BG839" s="113"/>
      <c r="BH839" s="113"/>
      <c r="BI839" s="113"/>
      <c r="BJ839" s="113"/>
      <c r="BK839" s="113"/>
      <c r="BL839" s="5">
        <f t="shared" si="174"/>
        <v>0</v>
      </c>
    </row>
    <row r="840" spans="1:64" s="2" customFormat="1" ht="15.75" customHeight="1" outlineLevel="1" x14ac:dyDescent="0.2">
      <c r="A840" s="595"/>
      <c r="B840" s="602"/>
      <c r="C840" s="7" t="s">
        <v>1554</v>
      </c>
      <c r="D840" s="8"/>
      <c r="E840" s="23"/>
      <c r="F840" s="8"/>
      <c r="G840" s="8"/>
      <c r="H840" s="5">
        <v>3.1517999999999997E-2</v>
      </c>
      <c r="I840" s="5">
        <v>6.0000000000000001E-3</v>
      </c>
      <c r="J840" s="5">
        <v>1.0999999999999999E-2</v>
      </c>
      <c r="K840" s="23"/>
      <c r="L840" s="8"/>
      <c r="M840" s="8"/>
      <c r="N840" s="8"/>
      <c r="O840" s="8"/>
      <c r="P840" s="8"/>
      <c r="Q840" s="23"/>
      <c r="R840" s="113"/>
      <c r="S840" s="113"/>
      <c r="T840" s="113"/>
      <c r="U840" s="113"/>
      <c r="V840" s="113"/>
      <c r="W840" s="113"/>
      <c r="X840" s="5">
        <f t="shared" si="175"/>
        <v>0</v>
      </c>
      <c r="Y840" s="302"/>
      <c r="Z840" s="5"/>
      <c r="AA840" s="94"/>
      <c r="AB840" s="311">
        <f t="shared" si="173"/>
        <v>6.0000000000000001E-3</v>
      </c>
      <c r="AC840" s="296"/>
      <c r="AD840" s="113"/>
      <c r="AE840" s="5"/>
      <c r="AF840" s="5"/>
      <c r="AG840" s="5"/>
      <c r="AH840" s="5"/>
      <c r="AI840" s="5"/>
      <c r="AJ840" s="5"/>
      <c r="AK840" s="141"/>
      <c r="AL840" s="94"/>
      <c r="AM840" s="128"/>
      <c r="AN840" s="180"/>
      <c r="AO840" s="128"/>
      <c r="AP840" s="184"/>
      <c r="AQ840" s="128"/>
      <c r="AR840" s="184"/>
      <c r="AS840" s="128"/>
      <c r="AT840" s="184"/>
      <c r="AU840" s="128"/>
      <c r="AV840" s="184"/>
      <c r="AW840" s="128"/>
      <c r="AX840" s="184"/>
      <c r="AY840" s="111"/>
      <c r="AZ840" s="178"/>
      <c r="BC840" s="47"/>
      <c r="BD840" s="47"/>
      <c r="BF840" s="113"/>
      <c r="BG840" s="113"/>
      <c r="BH840" s="113"/>
      <c r="BI840" s="113"/>
      <c r="BJ840" s="113"/>
      <c r="BK840" s="113"/>
      <c r="BL840" s="5">
        <f t="shared" si="174"/>
        <v>0</v>
      </c>
    </row>
    <row r="841" spans="1:64" s="2" customFormat="1" ht="39.950000000000003" customHeight="1" outlineLevel="1" x14ac:dyDescent="0.2">
      <c r="A841" s="593" t="s">
        <v>277</v>
      </c>
      <c r="B841" s="600" t="s">
        <v>264</v>
      </c>
      <c r="C841" s="7" t="s">
        <v>278</v>
      </c>
      <c r="D841" s="8" t="s">
        <v>397</v>
      </c>
      <c r="E841" s="23" t="s">
        <v>335</v>
      </c>
      <c r="F841" s="8">
        <v>2010</v>
      </c>
      <c r="G841" s="8">
        <v>2014</v>
      </c>
      <c r="H841" s="5">
        <v>0.33</v>
      </c>
      <c r="I841" s="5">
        <v>0.01</v>
      </c>
      <c r="J841" s="5">
        <f>R841</f>
        <v>0.01</v>
      </c>
      <c r="K841" s="23" t="s">
        <v>335</v>
      </c>
      <c r="L841" s="8"/>
      <c r="M841" s="8"/>
      <c r="N841" s="8"/>
      <c r="O841" s="8"/>
      <c r="P841" s="8"/>
      <c r="Q841" s="23" t="s">
        <v>335</v>
      </c>
      <c r="R841" s="113">
        <v>0.01</v>
      </c>
      <c r="S841" s="113"/>
      <c r="T841" s="113"/>
      <c r="U841" s="113"/>
      <c r="V841" s="113"/>
      <c r="W841" s="113"/>
      <c r="X841" s="5">
        <f t="shared" si="175"/>
        <v>0.01</v>
      </c>
      <c r="Y841" s="302">
        <f>H841-H842-H843</f>
        <v>0</v>
      </c>
      <c r="Z841" s="5">
        <f>I841-I842-I843</f>
        <v>0</v>
      </c>
      <c r="AA841" s="94">
        <f>J841-J842-J843</f>
        <v>0</v>
      </c>
      <c r="AB841" s="311">
        <f t="shared" si="173"/>
        <v>0</v>
      </c>
      <c r="AC841" s="296"/>
      <c r="AD841" s="113"/>
      <c r="AE841" s="5"/>
      <c r="AF841" s="5">
        <f>H841</f>
        <v>0.33</v>
      </c>
      <c r="AG841" s="5"/>
      <c r="AH841" s="5"/>
      <c r="AI841" s="5"/>
      <c r="AJ841" s="5"/>
      <c r="AK841" s="141"/>
      <c r="AL841" s="94">
        <f>SUM(AF841:AK841)</f>
        <v>0.33</v>
      </c>
      <c r="AM841" s="128">
        <v>0.1</v>
      </c>
      <c r="AN841" s="180">
        <v>0</v>
      </c>
      <c r="AO841" s="128"/>
      <c r="AP841" s="184"/>
      <c r="AQ841" s="128"/>
      <c r="AR841" s="184"/>
      <c r="AS841" s="128"/>
      <c r="AT841" s="184"/>
      <c r="AU841" s="128"/>
      <c r="AV841" s="184"/>
      <c r="AW841" s="128"/>
      <c r="AX841" s="184"/>
      <c r="AY841" s="111">
        <f>AM841+AO841+AQ841+AS841+AU841+AW841</f>
        <v>0.1</v>
      </c>
      <c r="AZ841" s="178">
        <f>AN841+AP841+AR841+AT841+AV841+AX841</f>
        <v>0</v>
      </c>
      <c r="BC841" s="47"/>
      <c r="BD841" s="47"/>
      <c r="BF841" s="113">
        <v>0.01</v>
      </c>
      <c r="BG841" s="113"/>
      <c r="BH841" s="113"/>
      <c r="BI841" s="113"/>
      <c r="BJ841" s="113"/>
      <c r="BK841" s="113"/>
      <c r="BL841" s="5">
        <f t="shared" si="174"/>
        <v>0.01</v>
      </c>
    </row>
    <row r="842" spans="1:64" s="2" customFormat="1" ht="15.75" customHeight="1" outlineLevel="1" x14ac:dyDescent="0.2">
      <c r="A842" s="594"/>
      <c r="B842" s="601"/>
      <c r="C842" s="7" t="s">
        <v>1553</v>
      </c>
      <c r="D842" s="8"/>
      <c r="E842" s="23"/>
      <c r="F842" s="8"/>
      <c r="G842" s="8"/>
      <c r="H842" s="5">
        <v>0.33</v>
      </c>
      <c r="I842" s="5">
        <f>I841</f>
        <v>0.01</v>
      </c>
      <c r="J842" s="5">
        <v>0.01</v>
      </c>
      <c r="K842" s="8"/>
      <c r="L842" s="23"/>
      <c r="M842" s="8"/>
      <c r="N842" s="8"/>
      <c r="O842" s="8"/>
      <c r="P842" s="8"/>
      <c r="Q842" s="23"/>
      <c r="R842" s="113"/>
      <c r="S842" s="113"/>
      <c r="T842" s="113"/>
      <c r="U842" s="113"/>
      <c r="V842" s="113"/>
      <c r="W842" s="113"/>
      <c r="X842" s="5">
        <f>SUM(R842:W842)</f>
        <v>0</v>
      </c>
      <c r="Y842" s="302"/>
      <c r="Z842" s="5"/>
      <c r="AA842" s="94"/>
      <c r="AB842" s="311">
        <f t="shared" si="173"/>
        <v>0.01</v>
      </c>
      <c r="AC842" s="296"/>
      <c r="AD842" s="113"/>
      <c r="AE842" s="5"/>
      <c r="AF842" s="5"/>
      <c r="AG842" s="5"/>
      <c r="AH842" s="5"/>
      <c r="AI842" s="5"/>
      <c r="AJ842" s="5"/>
      <c r="AK842" s="141"/>
      <c r="AL842" s="94"/>
      <c r="AM842" s="128"/>
      <c r="AN842" s="180"/>
      <c r="AO842" s="128"/>
      <c r="AP842" s="184"/>
      <c r="AQ842" s="128"/>
      <c r="AR842" s="184"/>
      <c r="AS842" s="128"/>
      <c r="AT842" s="184"/>
      <c r="AU842" s="128"/>
      <c r="AV842" s="184"/>
      <c r="AW842" s="128"/>
      <c r="AX842" s="184"/>
      <c r="AY842" s="111"/>
      <c r="AZ842" s="178"/>
      <c r="BC842" s="47"/>
      <c r="BD842" s="47"/>
      <c r="BF842" s="113"/>
      <c r="BG842" s="113"/>
      <c r="BH842" s="113"/>
      <c r="BI842" s="113"/>
      <c r="BJ842" s="113"/>
      <c r="BK842" s="113"/>
      <c r="BL842" s="5">
        <f t="shared" si="174"/>
        <v>0</v>
      </c>
    </row>
    <row r="843" spans="1:64" s="2" customFormat="1" ht="15.75" customHeight="1" outlineLevel="1" x14ac:dyDescent="0.2">
      <c r="A843" s="595"/>
      <c r="B843" s="602"/>
      <c r="C843" s="7" t="s">
        <v>1554</v>
      </c>
      <c r="D843" s="8"/>
      <c r="E843" s="23"/>
      <c r="F843" s="8"/>
      <c r="G843" s="8"/>
      <c r="H843" s="5"/>
      <c r="I843" s="5"/>
      <c r="J843" s="5"/>
      <c r="K843" s="23"/>
      <c r="L843" s="8"/>
      <c r="M843" s="8"/>
      <c r="N843" s="8"/>
      <c r="O843" s="8"/>
      <c r="P843" s="8"/>
      <c r="Q843" s="23"/>
      <c r="R843" s="113"/>
      <c r="S843" s="113"/>
      <c r="T843" s="113"/>
      <c r="U843" s="113"/>
      <c r="V843" s="113"/>
      <c r="W843" s="113"/>
      <c r="X843" s="5">
        <f>SUM(R843:W843)</f>
        <v>0</v>
      </c>
      <c r="Y843" s="302"/>
      <c r="Z843" s="5"/>
      <c r="AA843" s="94"/>
      <c r="AB843" s="311">
        <f t="shared" si="173"/>
        <v>0</v>
      </c>
      <c r="AC843" s="296"/>
      <c r="AD843" s="113"/>
      <c r="AE843" s="5"/>
      <c r="AF843" s="5"/>
      <c r="AG843" s="5"/>
      <c r="AH843" s="5"/>
      <c r="AI843" s="5"/>
      <c r="AJ843" s="5"/>
      <c r="AK843" s="141"/>
      <c r="AL843" s="94"/>
      <c r="AM843" s="128"/>
      <c r="AN843" s="180"/>
      <c r="AO843" s="128"/>
      <c r="AP843" s="184"/>
      <c r="AQ843" s="128"/>
      <c r="AR843" s="184"/>
      <c r="AS843" s="128"/>
      <c r="AT843" s="184"/>
      <c r="AU843" s="128"/>
      <c r="AV843" s="184"/>
      <c r="AW843" s="128"/>
      <c r="AX843" s="184"/>
      <c r="AY843" s="111"/>
      <c r="AZ843" s="178"/>
      <c r="BC843" s="47"/>
      <c r="BD843" s="47"/>
      <c r="BF843" s="113"/>
      <c r="BG843" s="113"/>
      <c r="BH843" s="113"/>
      <c r="BI843" s="113"/>
      <c r="BJ843" s="113"/>
      <c r="BK843" s="113"/>
      <c r="BL843" s="5">
        <f t="shared" si="174"/>
        <v>0</v>
      </c>
    </row>
    <row r="844" spans="1:64" s="2" customFormat="1" ht="76.5" outlineLevel="1" x14ac:dyDescent="0.2">
      <c r="A844" s="593" t="s">
        <v>280</v>
      </c>
      <c r="B844" s="600" t="s">
        <v>266</v>
      </c>
      <c r="C844" s="7" t="s">
        <v>560</v>
      </c>
      <c r="D844" s="8" t="s">
        <v>397</v>
      </c>
      <c r="E844" s="23" t="s">
        <v>335</v>
      </c>
      <c r="F844" s="8">
        <v>2010</v>
      </c>
      <c r="G844" s="8">
        <v>2014</v>
      </c>
      <c r="H844" s="5">
        <v>0.13023999999999999</v>
      </c>
      <c r="I844" s="5">
        <v>0.01</v>
      </c>
      <c r="J844" s="5">
        <f>R844</f>
        <v>0.01</v>
      </c>
      <c r="K844" s="23" t="s">
        <v>335</v>
      </c>
      <c r="L844" s="8"/>
      <c r="M844" s="8"/>
      <c r="N844" s="8"/>
      <c r="O844" s="8"/>
      <c r="P844" s="8"/>
      <c r="Q844" s="23" t="s">
        <v>335</v>
      </c>
      <c r="R844" s="113">
        <v>0.01</v>
      </c>
      <c r="S844" s="113"/>
      <c r="T844" s="113"/>
      <c r="U844" s="113"/>
      <c r="V844" s="113"/>
      <c r="W844" s="113"/>
      <c r="X844" s="5">
        <f t="shared" si="175"/>
        <v>0.01</v>
      </c>
      <c r="Y844" s="302">
        <f>H844-H845-H846</f>
        <v>0</v>
      </c>
      <c r="Z844" s="5">
        <f>I844-I845-I846</f>
        <v>0</v>
      </c>
      <c r="AA844" s="94">
        <f>J844-J845-J846</f>
        <v>0</v>
      </c>
      <c r="AB844" s="311">
        <f t="shared" si="173"/>
        <v>0</v>
      </c>
      <c r="AC844" s="296"/>
      <c r="AD844" s="113"/>
      <c r="AE844" s="5"/>
      <c r="AF844" s="5">
        <f>H844</f>
        <v>0.13023999999999999</v>
      </c>
      <c r="AG844" s="5"/>
      <c r="AH844" s="5"/>
      <c r="AI844" s="5"/>
      <c r="AJ844" s="5"/>
      <c r="AK844" s="141"/>
      <c r="AL844" s="94">
        <f>SUM(AF844:AK844)</f>
        <v>0.13023999999999999</v>
      </c>
      <c r="AM844" s="128">
        <v>0.1</v>
      </c>
      <c r="AN844" s="180">
        <v>0</v>
      </c>
      <c r="AO844" s="128"/>
      <c r="AP844" s="184"/>
      <c r="AQ844" s="128"/>
      <c r="AR844" s="184"/>
      <c r="AS844" s="128"/>
      <c r="AT844" s="184"/>
      <c r="AU844" s="128"/>
      <c r="AV844" s="184"/>
      <c r="AW844" s="128"/>
      <c r="AX844" s="184"/>
      <c r="AY844" s="111">
        <f>AM844+AO844+AQ844+AS844+AU844+AW844</f>
        <v>0.1</v>
      </c>
      <c r="AZ844" s="178">
        <f>AN844+AP844+AR844+AT844+AV844+AX844</f>
        <v>0</v>
      </c>
      <c r="BC844" s="47"/>
      <c r="BD844" s="47"/>
      <c r="BF844" s="113">
        <v>0.01</v>
      </c>
      <c r="BG844" s="113"/>
      <c r="BH844" s="113"/>
      <c r="BI844" s="113"/>
      <c r="BJ844" s="113"/>
      <c r="BK844" s="113"/>
      <c r="BL844" s="5">
        <f t="shared" si="174"/>
        <v>0.01</v>
      </c>
    </row>
    <row r="845" spans="1:64" s="2" customFormat="1" ht="15.75" customHeight="1" outlineLevel="1" x14ac:dyDescent="0.2">
      <c r="A845" s="594"/>
      <c r="B845" s="601"/>
      <c r="C845" s="7" t="s">
        <v>1553</v>
      </c>
      <c r="D845" s="8"/>
      <c r="E845" s="23"/>
      <c r="F845" s="8"/>
      <c r="G845" s="8"/>
      <c r="H845" s="5"/>
      <c r="I845" s="5"/>
      <c r="J845" s="5"/>
      <c r="K845" s="8"/>
      <c r="L845" s="23"/>
      <c r="M845" s="8"/>
      <c r="N845" s="8"/>
      <c r="O845" s="8"/>
      <c r="P845" s="8"/>
      <c r="Q845" s="23"/>
      <c r="R845" s="113"/>
      <c r="S845" s="113"/>
      <c r="T845" s="113"/>
      <c r="U845" s="113"/>
      <c r="V845" s="113"/>
      <c r="W845" s="113"/>
      <c r="X845" s="5">
        <f t="shared" si="175"/>
        <v>0</v>
      </c>
      <c r="Y845" s="302"/>
      <c r="Z845" s="5"/>
      <c r="AA845" s="94"/>
      <c r="AB845" s="311">
        <f t="shared" si="173"/>
        <v>0</v>
      </c>
      <c r="AC845" s="296"/>
      <c r="AD845" s="113"/>
      <c r="AE845" s="5"/>
      <c r="AF845" s="5"/>
      <c r="AG845" s="5"/>
      <c r="AH845" s="5"/>
      <c r="AI845" s="5"/>
      <c r="AJ845" s="5"/>
      <c r="AK845" s="141"/>
      <c r="AL845" s="94"/>
      <c r="AM845" s="128"/>
      <c r="AN845" s="180"/>
      <c r="AO845" s="128"/>
      <c r="AP845" s="184"/>
      <c r="AQ845" s="128"/>
      <c r="AR845" s="184"/>
      <c r="AS845" s="128"/>
      <c r="AT845" s="184"/>
      <c r="AU845" s="128"/>
      <c r="AV845" s="184"/>
      <c r="AW845" s="128"/>
      <c r="AX845" s="184"/>
      <c r="AY845" s="111"/>
      <c r="AZ845" s="178"/>
      <c r="BC845" s="47"/>
      <c r="BD845" s="47"/>
      <c r="BF845" s="113"/>
      <c r="BG845" s="113"/>
      <c r="BH845" s="113"/>
      <c r="BI845" s="113"/>
      <c r="BJ845" s="113"/>
      <c r="BK845" s="113"/>
      <c r="BL845" s="5">
        <f t="shared" si="174"/>
        <v>0</v>
      </c>
    </row>
    <row r="846" spans="1:64" s="2" customFormat="1" ht="15.75" customHeight="1" outlineLevel="1" x14ac:dyDescent="0.2">
      <c r="A846" s="595"/>
      <c r="B846" s="602"/>
      <c r="C846" s="7" t="s">
        <v>1554</v>
      </c>
      <c r="D846" s="8"/>
      <c r="E846" s="23"/>
      <c r="F846" s="8"/>
      <c r="G846" s="8"/>
      <c r="H846" s="5">
        <v>0.13023999999999999</v>
      </c>
      <c r="I846" s="5">
        <f>I844</f>
        <v>0.01</v>
      </c>
      <c r="J846" s="5">
        <v>0.01</v>
      </c>
      <c r="K846" s="23"/>
      <c r="L846" s="8"/>
      <c r="M846" s="8"/>
      <c r="N846" s="8"/>
      <c r="O846" s="8"/>
      <c r="P846" s="8"/>
      <c r="Q846" s="23"/>
      <c r="R846" s="113"/>
      <c r="S846" s="113"/>
      <c r="T846" s="113"/>
      <c r="U846" s="113"/>
      <c r="V846" s="113"/>
      <c r="W846" s="113"/>
      <c r="X846" s="5">
        <f t="shared" si="175"/>
        <v>0</v>
      </c>
      <c r="Y846" s="302"/>
      <c r="Z846" s="5"/>
      <c r="AA846" s="94"/>
      <c r="AB846" s="311">
        <f t="shared" si="173"/>
        <v>0.01</v>
      </c>
      <c r="AC846" s="296"/>
      <c r="AD846" s="113"/>
      <c r="AE846" s="5"/>
      <c r="AF846" s="5"/>
      <c r="AG846" s="5"/>
      <c r="AH846" s="5"/>
      <c r="AI846" s="5"/>
      <c r="AJ846" s="5"/>
      <c r="AK846" s="141"/>
      <c r="AL846" s="94"/>
      <c r="AM846" s="128"/>
      <c r="AN846" s="180"/>
      <c r="AO846" s="128"/>
      <c r="AP846" s="184"/>
      <c r="AQ846" s="128"/>
      <c r="AR846" s="184"/>
      <c r="AS846" s="128"/>
      <c r="AT846" s="184"/>
      <c r="AU846" s="128"/>
      <c r="AV846" s="184"/>
      <c r="AW846" s="128"/>
      <c r="AX846" s="184"/>
      <c r="AY846" s="111"/>
      <c r="AZ846" s="178"/>
      <c r="BC846" s="47"/>
      <c r="BD846" s="47"/>
      <c r="BF846" s="113"/>
      <c r="BG846" s="113"/>
      <c r="BH846" s="113"/>
      <c r="BI846" s="113"/>
      <c r="BJ846" s="113"/>
      <c r="BK846" s="113"/>
      <c r="BL846" s="5">
        <f t="shared" si="174"/>
        <v>0</v>
      </c>
    </row>
    <row r="847" spans="1:64" s="2" customFormat="1" ht="63.75" outlineLevel="1" x14ac:dyDescent="0.2">
      <c r="A847" s="593" t="s">
        <v>282</v>
      </c>
      <c r="B847" s="600" t="s">
        <v>269</v>
      </c>
      <c r="C847" s="7" t="s">
        <v>561</v>
      </c>
      <c r="D847" s="8" t="s">
        <v>397</v>
      </c>
      <c r="E847" s="23" t="s">
        <v>340</v>
      </c>
      <c r="F847" s="8">
        <v>2010</v>
      </c>
      <c r="G847" s="8">
        <v>2014</v>
      </c>
      <c r="H847" s="5">
        <v>2.8226999999999999E-2</v>
      </c>
      <c r="I847" s="5">
        <v>0.01</v>
      </c>
      <c r="J847" s="5">
        <f>R847</f>
        <v>0.01</v>
      </c>
      <c r="K847" s="23" t="s">
        <v>340</v>
      </c>
      <c r="L847" s="8"/>
      <c r="M847" s="8"/>
      <c r="N847" s="8"/>
      <c r="O847" s="8"/>
      <c r="P847" s="8"/>
      <c r="Q847" s="23" t="s">
        <v>340</v>
      </c>
      <c r="R847" s="113">
        <v>0.01</v>
      </c>
      <c r="S847" s="113"/>
      <c r="T847" s="113"/>
      <c r="U847" s="113"/>
      <c r="V847" s="113"/>
      <c r="W847" s="113"/>
      <c r="X847" s="5">
        <f t="shared" si="175"/>
        <v>0.01</v>
      </c>
      <c r="Y847" s="302">
        <f>H847-H848-H849</f>
        <v>0</v>
      </c>
      <c r="Z847" s="5">
        <f>I847-I848-I849</f>
        <v>0</v>
      </c>
      <c r="AA847" s="94">
        <f>J847-J848-J849</f>
        <v>-9.9999999999999915E-4</v>
      </c>
      <c r="AB847" s="311">
        <f t="shared" si="173"/>
        <v>0</v>
      </c>
      <c r="AC847" s="296"/>
      <c r="AD847" s="113"/>
      <c r="AE847" s="5"/>
      <c r="AF847" s="5">
        <f>H847</f>
        <v>2.8226999999999999E-2</v>
      </c>
      <c r="AG847" s="5"/>
      <c r="AH847" s="5"/>
      <c r="AI847" s="5"/>
      <c r="AJ847" s="5"/>
      <c r="AK847" s="141"/>
      <c r="AL847" s="94">
        <f>SUM(AF847:AK847)</f>
        <v>2.8226999999999999E-2</v>
      </c>
      <c r="AM847" s="128">
        <v>0.2</v>
      </c>
      <c r="AN847" s="180">
        <v>0</v>
      </c>
      <c r="AO847" s="128"/>
      <c r="AP847" s="184"/>
      <c r="AQ847" s="128"/>
      <c r="AR847" s="184"/>
      <c r="AS847" s="128"/>
      <c r="AT847" s="184"/>
      <c r="AU847" s="128"/>
      <c r="AV847" s="184"/>
      <c r="AW847" s="128"/>
      <c r="AX847" s="184"/>
      <c r="AY847" s="111">
        <f>AM847+AO847+AQ847+AS847+AU847+AW847</f>
        <v>0.2</v>
      </c>
      <c r="AZ847" s="178">
        <f>AN847+AP847+AR847+AT847+AV847+AX847</f>
        <v>0</v>
      </c>
      <c r="BC847" s="47"/>
      <c r="BD847" s="47"/>
      <c r="BF847" s="113">
        <v>0.01</v>
      </c>
      <c r="BG847" s="113"/>
      <c r="BH847" s="113"/>
      <c r="BI847" s="113"/>
      <c r="BJ847" s="113"/>
      <c r="BK847" s="113"/>
      <c r="BL847" s="5">
        <f t="shared" si="174"/>
        <v>0.01</v>
      </c>
    </row>
    <row r="848" spans="1:64" s="2" customFormat="1" ht="15.75" customHeight="1" outlineLevel="1" x14ac:dyDescent="0.2">
      <c r="A848" s="594"/>
      <c r="B848" s="601"/>
      <c r="C848" s="7" t="s">
        <v>1553</v>
      </c>
      <c r="D848" s="8"/>
      <c r="E848" s="23"/>
      <c r="F848" s="8"/>
      <c r="G848" s="8"/>
      <c r="H848" s="5"/>
      <c r="I848" s="5"/>
      <c r="J848" s="5"/>
      <c r="K848" s="8"/>
      <c r="L848" s="23"/>
      <c r="M848" s="8"/>
      <c r="N848" s="8"/>
      <c r="O848" s="8"/>
      <c r="P848" s="8"/>
      <c r="Q848" s="23"/>
      <c r="R848" s="113"/>
      <c r="S848" s="113"/>
      <c r="T848" s="113"/>
      <c r="U848" s="113"/>
      <c r="V848" s="113"/>
      <c r="W848" s="113"/>
      <c r="X848" s="5">
        <f>SUM(R848:W848)</f>
        <v>0</v>
      </c>
      <c r="Y848" s="302"/>
      <c r="Z848" s="5"/>
      <c r="AA848" s="94"/>
      <c r="AB848" s="311">
        <f t="shared" si="173"/>
        <v>0</v>
      </c>
      <c r="AC848" s="296"/>
      <c r="AD848" s="113"/>
      <c r="AE848" s="5"/>
      <c r="AF848" s="5"/>
      <c r="AG848" s="5"/>
      <c r="AH848" s="5"/>
      <c r="AI848" s="5"/>
      <c r="AJ848" s="5"/>
      <c r="AK848" s="141"/>
      <c r="AL848" s="94"/>
      <c r="AM848" s="128"/>
      <c r="AN848" s="180"/>
      <c r="AO848" s="128"/>
      <c r="AP848" s="184"/>
      <c r="AQ848" s="128"/>
      <c r="AR848" s="184"/>
      <c r="AS848" s="128"/>
      <c r="AT848" s="184"/>
      <c r="AU848" s="128"/>
      <c r="AV848" s="184"/>
      <c r="AW848" s="128"/>
      <c r="AX848" s="184"/>
      <c r="AY848" s="111"/>
      <c r="AZ848" s="178"/>
      <c r="BC848" s="47"/>
      <c r="BD848" s="47"/>
      <c r="BF848" s="113"/>
      <c r="BG848" s="113"/>
      <c r="BH848" s="113"/>
      <c r="BI848" s="113"/>
      <c r="BJ848" s="113"/>
      <c r="BK848" s="113"/>
      <c r="BL848" s="5">
        <f t="shared" si="174"/>
        <v>0</v>
      </c>
    </row>
    <row r="849" spans="1:64" s="2" customFormat="1" ht="15.75" customHeight="1" outlineLevel="1" x14ac:dyDescent="0.2">
      <c r="A849" s="595"/>
      <c r="B849" s="602"/>
      <c r="C849" s="7" t="s">
        <v>1554</v>
      </c>
      <c r="D849" s="8"/>
      <c r="E849" s="23"/>
      <c r="F849" s="8"/>
      <c r="G849" s="8"/>
      <c r="H849" s="5">
        <v>2.8226999999999999E-2</v>
      </c>
      <c r="I849" s="5">
        <f>I847</f>
        <v>0.01</v>
      </c>
      <c r="J849" s="5">
        <v>1.0999999999999999E-2</v>
      </c>
      <c r="K849" s="23"/>
      <c r="L849" s="8"/>
      <c r="M849" s="8"/>
      <c r="N849" s="8"/>
      <c r="O849" s="8"/>
      <c r="P849" s="8"/>
      <c r="Q849" s="23"/>
      <c r="R849" s="113"/>
      <c r="S849" s="113"/>
      <c r="T849" s="113"/>
      <c r="U849" s="113"/>
      <c r="V849" s="113"/>
      <c r="W849" s="113"/>
      <c r="X849" s="5">
        <f>SUM(R849:W849)</f>
        <v>0</v>
      </c>
      <c r="Y849" s="302"/>
      <c r="Z849" s="5"/>
      <c r="AA849" s="94"/>
      <c r="AB849" s="311">
        <f t="shared" si="173"/>
        <v>0.01</v>
      </c>
      <c r="AC849" s="296"/>
      <c r="AD849" s="113"/>
      <c r="AE849" s="5"/>
      <c r="AF849" s="5"/>
      <c r="AG849" s="5"/>
      <c r="AH849" s="5"/>
      <c r="AI849" s="5"/>
      <c r="AJ849" s="5"/>
      <c r="AK849" s="141"/>
      <c r="AL849" s="94"/>
      <c r="AM849" s="128"/>
      <c r="AN849" s="180"/>
      <c r="AO849" s="128"/>
      <c r="AP849" s="184"/>
      <c r="AQ849" s="128"/>
      <c r="AR849" s="184"/>
      <c r="AS849" s="128"/>
      <c r="AT849" s="184"/>
      <c r="AU849" s="128"/>
      <c r="AV849" s="184"/>
      <c r="AW849" s="128"/>
      <c r="AX849" s="184"/>
      <c r="AY849" s="111"/>
      <c r="AZ849" s="178"/>
      <c r="BC849" s="47"/>
      <c r="BD849" s="47"/>
      <c r="BF849" s="113"/>
      <c r="BG849" s="113"/>
      <c r="BH849" s="113"/>
      <c r="BI849" s="113"/>
      <c r="BJ849" s="113"/>
      <c r="BK849" s="113"/>
      <c r="BL849" s="5">
        <f t="shared" si="174"/>
        <v>0</v>
      </c>
    </row>
    <row r="850" spans="1:64" s="2" customFormat="1" ht="76.5" outlineLevel="1" x14ac:dyDescent="0.2">
      <c r="A850" s="593" t="s">
        <v>284</v>
      </c>
      <c r="B850" s="600" t="s">
        <v>271</v>
      </c>
      <c r="C850" s="7" t="s">
        <v>562</v>
      </c>
      <c r="D850" s="8" t="s">
        <v>397</v>
      </c>
      <c r="E850" s="23" t="s">
        <v>335</v>
      </c>
      <c r="F850" s="8">
        <v>2010</v>
      </c>
      <c r="G850" s="8">
        <v>2014</v>
      </c>
      <c r="H850" s="5">
        <v>0.65522819999999993</v>
      </c>
      <c r="I850" s="5">
        <v>0.01</v>
      </c>
      <c r="J850" s="5">
        <f>R850</f>
        <v>0.01</v>
      </c>
      <c r="K850" s="23" t="s">
        <v>335</v>
      </c>
      <c r="L850" s="8"/>
      <c r="M850" s="8"/>
      <c r="N850" s="8"/>
      <c r="O850" s="8"/>
      <c r="P850" s="8"/>
      <c r="Q850" s="23" t="s">
        <v>335</v>
      </c>
      <c r="R850" s="113">
        <v>0.01</v>
      </c>
      <c r="S850" s="113"/>
      <c r="T850" s="113"/>
      <c r="U850" s="113"/>
      <c r="V850" s="113"/>
      <c r="W850" s="113"/>
      <c r="X850" s="5">
        <f t="shared" si="175"/>
        <v>0.01</v>
      </c>
      <c r="Y850" s="302">
        <f>H850-H851-H852</f>
        <v>0</v>
      </c>
      <c r="Z850" s="5">
        <f>I850-I851-I852</f>
        <v>0</v>
      </c>
      <c r="AA850" s="94">
        <f>J850-J851-J852</f>
        <v>0</v>
      </c>
      <c r="AB850" s="311">
        <f t="shared" si="173"/>
        <v>0</v>
      </c>
      <c r="AC850" s="296"/>
      <c r="AD850" s="113"/>
      <c r="AE850" s="5"/>
      <c r="AF850" s="5">
        <f>H850</f>
        <v>0.65522819999999993</v>
      </c>
      <c r="AG850" s="5"/>
      <c r="AH850" s="5"/>
      <c r="AI850" s="5"/>
      <c r="AJ850" s="5"/>
      <c r="AK850" s="141"/>
      <c r="AL850" s="94">
        <f>SUM(AF850:AK850)</f>
        <v>0.65522819999999993</v>
      </c>
      <c r="AM850" s="128">
        <v>0.1</v>
      </c>
      <c r="AN850" s="180">
        <v>0</v>
      </c>
      <c r="AO850" s="128"/>
      <c r="AP850" s="184"/>
      <c r="AQ850" s="128"/>
      <c r="AR850" s="184"/>
      <c r="AS850" s="128"/>
      <c r="AT850" s="184"/>
      <c r="AU850" s="128"/>
      <c r="AV850" s="184"/>
      <c r="AW850" s="128"/>
      <c r="AX850" s="184"/>
      <c r="AY850" s="111">
        <f>AM850+AO850+AQ850+AS850+AU850+AW850</f>
        <v>0.1</v>
      </c>
      <c r="AZ850" s="178">
        <f>AN850+AP850+AR850+AT850+AV850+AX850</f>
        <v>0</v>
      </c>
      <c r="BC850" s="47"/>
      <c r="BD850" s="47"/>
      <c r="BF850" s="113">
        <v>0.01</v>
      </c>
      <c r="BG850" s="113"/>
      <c r="BH850" s="113"/>
      <c r="BI850" s="113"/>
      <c r="BJ850" s="113"/>
      <c r="BK850" s="113"/>
      <c r="BL850" s="5">
        <f t="shared" si="174"/>
        <v>0.01</v>
      </c>
    </row>
    <row r="851" spans="1:64" s="2" customFormat="1" ht="15.75" customHeight="1" outlineLevel="1" x14ac:dyDescent="0.2">
      <c r="A851" s="594"/>
      <c r="B851" s="601"/>
      <c r="C851" s="7" t="s">
        <v>1553</v>
      </c>
      <c r="D851" s="8"/>
      <c r="E851" s="23"/>
      <c r="F851" s="8"/>
      <c r="G851" s="8"/>
      <c r="H851" s="5"/>
      <c r="I851" s="5"/>
      <c r="J851" s="5"/>
      <c r="K851" s="8"/>
      <c r="L851" s="23"/>
      <c r="M851" s="8"/>
      <c r="N851" s="8"/>
      <c r="O851" s="8"/>
      <c r="P851" s="8"/>
      <c r="Q851" s="23"/>
      <c r="R851" s="113"/>
      <c r="S851" s="113"/>
      <c r="T851" s="113"/>
      <c r="U851" s="113"/>
      <c r="V851" s="113"/>
      <c r="W851" s="113"/>
      <c r="X851" s="5">
        <f t="shared" si="175"/>
        <v>0</v>
      </c>
      <c r="Y851" s="302"/>
      <c r="Z851" s="5"/>
      <c r="AA851" s="94"/>
      <c r="AB851" s="311">
        <f t="shared" si="173"/>
        <v>0</v>
      </c>
      <c r="AC851" s="296"/>
      <c r="AD851" s="113"/>
      <c r="AE851" s="5"/>
      <c r="AF851" s="5"/>
      <c r="AG851" s="5"/>
      <c r="AH851" s="5"/>
      <c r="AI851" s="5"/>
      <c r="AJ851" s="5"/>
      <c r="AK851" s="141"/>
      <c r="AL851" s="94"/>
      <c r="AM851" s="128"/>
      <c r="AN851" s="180"/>
      <c r="AO851" s="128"/>
      <c r="AP851" s="184"/>
      <c r="AQ851" s="128"/>
      <c r="AR851" s="184"/>
      <c r="AS851" s="128"/>
      <c r="AT851" s="184"/>
      <c r="AU851" s="128"/>
      <c r="AV851" s="184"/>
      <c r="AW851" s="128"/>
      <c r="AX851" s="184"/>
      <c r="AY851" s="111"/>
      <c r="AZ851" s="178"/>
      <c r="BC851" s="47"/>
      <c r="BD851" s="47"/>
      <c r="BF851" s="113"/>
      <c r="BG851" s="113"/>
      <c r="BH851" s="113"/>
      <c r="BI851" s="113"/>
      <c r="BJ851" s="113"/>
      <c r="BK851" s="113"/>
      <c r="BL851" s="5">
        <f t="shared" si="174"/>
        <v>0</v>
      </c>
    </row>
    <row r="852" spans="1:64" s="2" customFormat="1" ht="15.75" customHeight="1" outlineLevel="1" x14ac:dyDescent="0.2">
      <c r="A852" s="595"/>
      <c r="B852" s="602"/>
      <c r="C852" s="7" t="s">
        <v>1554</v>
      </c>
      <c r="D852" s="8"/>
      <c r="E852" s="23"/>
      <c r="F852" s="8"/>
      <c r="G852" s="8"/>
      <c r="H852" s="5">
        <f>H850</f>
        <v>0.65522819999999993</v>
      </c>
      <c r="I852" s="5">
        <f>I850</f>
        <v>0.01</v>
      </c>
      <c r="J852" s="5">
        <f>J850</f>
        <v>0.01</v>
      </c>
      <c r="K852" s="23"/>
      <c r="L852" s="8"/>
      <c r="M852" s="8"/>
      <c r="N852" s="8"/>
      <c r="O852" s="8"/>
      <c r="P852" s="8"/>
      <c r="Q852" s="23"/>
      <c r="R852" s="113"/>
      <c r="S852" s="113"/>
      <c r="T852" s="113"/>
      <c r="U852" s="113"/>
      <c r="V852" s="113"/>
      <c r="W852" s="113"/>
      <c r="X852" s="5">
        <f t="shared" si="175"/>
        <v>0</v>
      </c>
      <c r="Y852" s="302"/>
      <c r="Z852" s="5"/>
      <c r="AA852" s="94"/>
      <c r="AB852" s="311">
        <f t="shared" si="173"/>
        <v>0.01</v>
      </c>
      <c r="AC852" s="296"/>
      <c r="AD852" s="113"/>
      <c r="AE852" s="5"/>
      <c r="AF852" s="5"/>
      <c r="AG852" s="5"/>
      <c r="AH852" s="5"/>
      <c r="AI852" s="5"/>
      <c r="AJ852" s="5"/>
      <c r="AK852" s="141"/>
      <c r="AL852" s="94"/>
      <c r="AM852" s="128"/>
      <c r="AN852" s="180"/>
      <c r="AO852" s="128"/>
      <c r="AP852" s="184"/>
      <c r="AQ852" s="128"/>
      <c r="AR852" s="184"/>
      <c r="AS852" s="128"/>
      <c r="AT852" s="184"/>
      <c r="AU852" s="128"/>
      <c r="AV852" s="184"/>
      <c r="AW852" s="128"/>
      <c r="AX852" s="184"/>
      <c r="AY852" s="111"/>
      <c r="AZ852" s="178"/>
      <c r="BC852" s="47"/>
      <c r="BD852" s="47"/>
      <c r="BF852" s="113"/>
      <c r="BG852" s="113"/>
      <c r="BH852" s="113"/>
      <c r="BI852" s="113"/>
      <c r="BJ852" s="113"/>
      <c r="BK852" s="113"/>
      <c r="BL852" s="5">
        <f t="shared" si="174"/>
        <v>0</v>
      </c>
    </row>
    <row r="853" spans="1:64" s="2" customFormat="1" ht="89.25" outlineLevel="1" x14ac:dyDescent="0.2">
      <c r="A853" s="593" t="s">
        <v>286</v>
      </c>
      <c r="B853" s="600" t="s">
        <v>274</v>
      </c>
      <c r="C853" s="7" t="s">
        <v>563</v>
      </c>
      <c r="D853" s="8" t="s">
        <v>397</v>
      </c>
      <c r="E853" s="23" t="s">
        <v>335</v>
      </c>
      <c r="F853" s="8">
        <v>2010</v>
      </c>
      <c r="G853" s="8">
        <v>2014</v>
      </c>
      <c r="H853" s="5">
        <v>0.30584108000000004</v>
      </c>
      <c r="I853" s="5">
        <v>0.01</v>
      </c>
      <c r="J853" s="5">
        <f>R853</f>
        <v>0.01</v>
      </c>
      <c r="K853" s="23" t="s">
        <v>335</v>
      </c>
      <c r="L853" s="8"/>
      <c r="M853" s="8"/>
      <c r="N853" s="8"/>
      <c r="O853" s="8"/>
      <c r="P853" s="8"/>
      <c r="Q853" s="23" t="s">
        <v>335</v>
      </c>
      <c r="R853" s="113">
        <v>0.01</v>
      </c>
      <c r="S853" s="113"/>
      <c r="T853" s="113"/>
      <c r="U853" s="113"/>
      <c r="V853" s="113"/>
      <c r="W853" s="113"/>
      <c r="X853" s="5">
        <f t="shared" si="175"/>
        <v>0.01</v>
      </c>
      <c r="Y853" s="302">
        <f>H853-H854-H855</f>
        <v>0</v>
      </c>
      <c r="Z853" s="5">
        <f>I853-I854-I855</f>
        <v>0</v>
      </c>
      <c r="AA853" s="94">
        <f>J853-J854-J855</f>
        <v>0</v>
      </c>
      <c r="AB853" s="311">
        <f t="shared" ref="AB853:AB916" si="176">I853-X853</f>
        <v>0</v>
      </c>
      <c r="AC853" s="296"/>
      <c r="AD853" s="113"/>
      <c r="AE853" s="5"/>
      <c r="AF853" s="5">
        <f>H853</f>
        <v>0.30584108000000004</v>
      </c>
      <c r="AG853" s="5"/>
      <c r="AH853" s="5"/>
      <c r="AI853" s="5"/>
      <c r="AJ853" s="5"/>
      <c r="AK853" s="141"/>
      <c r="AL853" s="94">
        <f>SUM(AF853:AK853)</f>
        <v>0.30584108000000004</v>
      </c>
      <c r="AM853" s="128">
        <v>0.1</v>
      </c>
      <c r="AN853" s="180">
        <v>0</v>
      </c>
      <c r="AO853" s="128"/>
      <c r="AP853" s="184"/>
      <c r="AQ853" s="128"/>
      <c r="AR853" s="184"/>
      <c r="AS853" s="128"/>
      <c r="AT853" s="184"/>
      <c r="AU853" s="128"/>
      <c r="AV853" s="184"/>
      <c r="AW853" s="128"/>
      <c r="AX853" s="184"/>
      <c r="AY853" s="111">
        <f>AM853+AO853+AQ853+AS853+AU853+AW853</f>
        <v>0.1</v>
      </c>
      <c r="AZ853" s="178">
        <f>AN853+AP853+AR853+AT853+AV853+AX853</f>
        <v>0</v>
      </c>
      <c r="BC853" s="47"/>
      <c r="BD853" s="47"/>
      <c r="BF853" s="113">
        <v>0.01</v>
      </c>
      <c r="BG853" s="113"/>
      <c r="BH853" s="113"/>
      <c r="BI853" s="113"/>
      <c r="BJ853" s="113"/>
      <c r="BK853" s="113"/>
      <c r="BL853" s="5">
        <f t="shared" si="174"/>
        <v>0.01</v>
      </c>
    </row>
    <row r="854" spans="1:64" s="2" customFormat="1" ht="15.75" customHeight="1" outlineLevel="1" x14ac:dyDescent="0.2">
      <c r="A854" s="594"/>
      <c r="B854" s="601"/>
      <c r="C854" s="7" t="s">
        <v>1553</v>
      </c>
      <c r="D854" s="8"/>
      <c r="E854" s="23"/>
      <c r="F854" s="8"/>
      <c r="G854" s="8"/>
      <c r="H854" s="5"/>
      <c r="I854" s="5"/>
      <c r="J854" s="5"/>
      <c r="K854" s="8"/>
      <c r="L854" s="23"/>
      <c r="M854" s="8"/>
      <c r="N854" s="8"/>
      <c r="O854" s="8"/>
      <c r="P854" s="8"/>
      <c r="Q854" s="23"/>
      <c r="R854" s="113"/>
      <c r="S854" s="113"/>
      <c r="T854" s="113"/>
      <c r="U854" s="113"/>
      <c r="V854" s="113"/>
      <c r="W854" s="113"/>
      <c r="X854" s="5">
        <f>SUM(R854:W854)</f>
        <v>0</v>
      </c>
      <c r="Y854" s="302"/>
      <c r="Z854" s="5"/>
      <c r="AA854" s="94"/>
      <c r="AB854" s="311">
        <f t="shared" si="176"/>
        <v>0</v>
      </c>
      <c r="AC854" s="296"/>
      <c r="AD854" s="113"/>
      <c r="AE854" s="5"/>
      <c r="AF854" s="5"/>
      <c r="AG854" s="5"/>
      <c r="AH854" s="5"/>
      <c r="AI854" s="5"/>
      <c r="AJ854" s="5"/>
      <c r="AK854" s="141"/>
      <c r="AL854" s="94"/>
      <c r="AM854" s="128"/>
      <c r="AN854" s="180"/>
      <c r="AO854" s="128"/>
      <c r="AP854" s="184"/>
      <c r="AQ854" s="128"/>
      <c r="AR854" s="184"/>
      <c r="AS854" s="128"/>
      <c r="AT854" s="184"/>
      <c r="AU854" s="128"/>
      <c r="AV854" s="184"/>
      <c r="AW854" s="128"/>
      <c r="AX854" s="184"/>
      <c r="AY854" s="111"/>
      <c r="AZ854" s="178"/>
      <c r="BC854" s="47"/>
      <c r="BD854" s="47"/>
      <c r="BF854" s="113"/>
      <c r="BG854" s="113"/>
      <c r="BH854" s="113"/>
      <c r="BI854" s="113"/>
      <c r="BJ854" s="113"/>
      <c r="BK854" s="113"/>
      <c r="BL854" s="5">
        <f t="shared" si="174"/>
        <v>0</v>
      </c>
    </row>
    <row r="855" spans="1:64" s="2" customFormat="1" ht="15.75" customHeight="1" outlineLevel="1" x14ac:dyDescent="0.2">
      <c r="A855" s="595"/>
      <c r="B855" s="602"/>
      <c r="C855" s="7" t="s">
        <v>1554</v>
      </c>
      <c r="D855" s="8"/>
      <c r="E855" s="23"/>
      <c r="F855" s="8"/>
      <c r="G855" s="8"/>
      <c r="H855" s="5">
        <f>H853</f>
        <v>0.30584108000000004</v>
      </c>
      <c r="I855" s="5">
        <f>I853</f>
        <v>0.01</v>
      </c>
      <c r="J855" s="5">
        <f>J853</f>
        <v>0.01</v>
      </c>
      <c r="K855" s="23"/>
      <c r="L855" s="8"/>
      <c r="M855" s="8"/>
      <c r="N855" s="8"/>
      <c r="O855" s="8"/>
      <c r="P855" s="8"/>
      <c r="Q855" s="23"/>
      <c r="R855" s="113"/>
      <c r="S855" s="113"/>
      <c r="T855" s="113"/>
      <c r="U855" s="113"/>
      <c r="V855" s="113"/>
      <c r="W855" s="113"/>
      <c r="X855" s="5">
        <f>SUM(R855:W855)</f>
        <v>0</v>
      </c>
      <c r="Y855" s="302"/>
      <c r="Z855" s="5"/>
      <c r="AA855" s="94"/>
      <c r="AB855" s="311">
        <f t="shared" si="176"/>
        <v>0.01</v>
      </c>
      <c r="AC855" s="296"/>
      <c r="AD855" s="113"/>
      <c r="AE855" s="5"/>
      <c r="AF855" s="5"/>
      <c r="AG855" s="5"/>
      <c r="AH855" s="5"/>
      <c r="AI855" s="5"/>
      <c r="AJ855" s="5"/>
      <c r="AK855" s="141"/>
      <c r="AL855" s="94"/>
      <c r="AM855" s="128"/>
      <c r="AN855" s="180"/>
      <c r="AO855" s="128"/>
      <c r="AP855" s="184"/>
      <c r="AQ855" s="128"/>
      <c r="AR855" s="184"/>
      <c r="AS855" s="128"/>
      <c r="AT855" s="184"/>
      <c r="AU855" s="128"/>
      <c r="AV855" s="184"/>
      <c r="AW855" s="128"/>
      <c r="AX855" s="184"/>
      <c r="AY855" s="111"/>
      <c r="AZ855" s="178"/>
      <c r="BC855" s="47"/>
      <c r="BD855" s="47"/>
      <c r="BF855" s="113"/>
      <c r="BG855" s="113"/>
      <c r="BH855" s="113"/>
      <c r="BI855" s="113"/>
      <c r="BJ855" s="113"/>
      <c r="BK855" s="113"/>
      <c r="BL855" s="5">
        <f t="shared" si="174"/>
        <v>0</v>
      </c>
    </row>
    <row r="856" spans="1:64" s="2" customFormat="1" ht="76.5" customHeight="1" outlineLevel="1" x14ac:dyDescent="0.2">
      <c r="A856" s="593" t="s">
        <v>288</v>
      </c>
      <c r="B856" s="600" t="s">
        <v>276</v>
      </c>
      <c r="C856" s="7" t="s">
        <v>616</v>
      </c>
      <c r="D856" s="8" t="s">
        <v>397</v>
      </c>
      <c r="E856" s="23" t="s">
        <v>335</v>
      </c>
      <c r="F856" s="8">
        <v>2013</v>
      </c>
      <c r="G856" s="8">
        <v>2015</v>
      </c>
      <c r="H856" s="5">
        <v>0.16</v>
      </c>
      <c r="I856" s="5">
        <v>0.148392</v>
      </c>
      <c r="J856" s="5">
        <f>R856</f>
        <v>7.5957999999999998E-2</v>
      </c>
      <c r="K856" s="8"/>
      <c r="L856" s="23" t="s">
        <v>335</v>
      </c>
      <c r="M856" s="8"/>
      <c r="N856" s="8"/>
      <c r="O856" s="8"/>
      <c r="P856" s="8"/>
      <c r="Q856" s="23" t="s">
        <v>335</v>
      </c>
      <c r="R856" s="113">
        <v>7.5957999999999998E-2</v>
      </c>
      <c r="S856" s="113"/>
      <c r="T856" s="113"/>
      <c r="U856" s="113"/>
      <c r="V856" s="113"/>
      <c r="W856" s="113"/>
      <c r="X856" s="5">
        <f t="shared" si="175"/>
        <v>7.5957999999999998E-2</v>
      </c>
      <c r="Y856" s="302">
        <f>H856-H857-H858</f>
        <v>0</v>
      </c>
      <c r="Z856" s="5">
        <f>I856-I857-I858</f>
        <v>0</v>
      </c>
      <c r="AA856" s="94">
        <f>J856-J857-J858</f>
        <v>0</v>
      </c>
      <c r="AB856" s="311">
        <f t="shared" si="176"/>
        <v>7.2433999999999998E-2</v>
      </c>
      <c r="AC856" s="296"/>
      <c r="AD856" s="113"/>
      <c r="AE856" s="5"/>
      <c r="AF856" s="5"/>
      <c r="AG856" s="5">
        <f>H856</f>
        <v>0.16</v>
      </c>
      <c r="AH856" s="5"/>
      <c r="AI856" s="5"/>
      <c r="AJ856" s="5"/>
      <c r="AK856" s="141"/>
      <c r="AL856" s="94">
        <f>SUM(AF856:AK856)</f>
        <v>0.16</v>
      </c>
      <c r="AM856" s="128"/>
      <c r="AN856" s="180"/>
      <c r="AO856" s="128">
        <v>0.1</v>
      </c>
      <c r="AP856" s="184">
        <v>0</v>
      </c>
      <c r="AQ856" s="128"/>
      <c r="AR856" s="184"/>
      <c r="AS856" s="128"/>
      <c r="AT856" s="184"/>
      <c r="AU856" s="128"/>
      <c r="AV856" s="184"/>
      <c r="AW856" s="128"/>
      <c r="AX856" s="184"/>
      <c r="AY856" s="111">
        <f>AM856+AO856+AQ856+AS856+AU856+AW856</f>
        <v>0.1</v>
      </c>
      <c r="AZ856" s="178">
        <f>AN856+AP856+AR856+AT856+AV856+AX856</f>
        <v>0</v>
      </c>
      <c r="BC856" s="47"/>
      <c r="BD856" s="47"/>
      <c r="BF856" s="113">
        <v>7.5957999999999998E-2</v>
      </c>
      <c r="BG856" s="113"/>
      <c r="BH856" s="113"/>
      <c r="BI856" s="113"/>
      <c r="BJ856" s="113"/>
      <c r="BK856" s="113"/>
      <c r="BL856" s="5">
        <f t="shared" si="174"/>
        <v>7.5957999999999998E-2</v>
      </c>
    </row>
    <row r="857" spans="1:64" s="2" customFormat="1" ht="15.75" customHeight="1" outlineLevel="1" x14ac:dyDescent="0.2">
      <c r="A857" s="594"/>
      <c r="B857" s="601"/>
      <c r="C857" s="7" t="s">
        <v>1553</v>
      </c>
      <c r="D857" s="8"/>
      <c r="E857" s="23"/>
      <c r="F857" s="8"/>
      <c r="G857" s="8"/>
      <c r="H857" s="5">
        <v>0.16</v>
      </c>
      <c r="I857" s="5">
        <v>0.148392</v>
      </c>
      <c r="J857" s="5">
        <v>7.5957999999999998E-2</v>
      </c>
      <c r="K857" s="8"/>
      <c r="L857" s="23"/>
      <c r="M857" s="8"/>
      <c r="N857" s="8"/>
      <c r="O857" s="8"/>
      <c r="P857" s="8"/>
      <c r="Q857" s="23"/>
      <c r="R857" s="113"/>
      <c r="S857" s="113"/>
      <c r="T857" s="113"/>
      <c r="U857" s="113"/>
      <c r="V857" s="113"/>
      <c r="W857" s="113"/>
      <c r="X857" s="5">
        <f t="shared" si="175"/>
        <v>0</v>
      </c>
      <c r="Y857" s="302"/>
      <c r="Z857" s="5"/>
      <c r="AA857" s="94"/>
      <c r="AB857" s="311">
        <f t="shared" si="176"/>
        <v>0.148392</v>
      </c>
      <c r="AC857" s="296"/>
      <c r="AD857" s="113"/>
      <c r="AE857" s="5"/>
      <c r="AF857" s="5"/>
      <c r="AG857" s="5"/>
      <c r="AH857" s="5"/>
      <c r="AI857" s="5"/>
      <c r="AJ857" s="5"/>
      <c r="AK857" s="141"/>
      <c r="AL857" s="94"/>
      <c r="AM857" s="128"/>
      <c r="AN857" s="180"/>
      <c r="AO857" s="128"/>
      <c r="AP857" s="184"/>
      <c r="AQ857" s="128"/>
      <c r="AR857" s="184"/>
      <c r="AS857" s="128"/>
      <c r="AT857" s="184"/>
      <c r="AU857" s="128"/>
      <c r="AV857" s="184"/>
      <c r="AW857" s="128"/>
      <c r="AX857" s="184"/>
      <c r="AY857" s="111"/>
      <c r="AZ857" s="178"/>
      <c r="BC857" s="47"/>
      <c r="BD857" s="47"/>
      <c r="BF857" s="113"/>
      <c r="BG857" s="113"/>
      <c r="BH857" s="113"/>
      <c r="BI857" s="113"/>
      <c r="BJ857" s="113"/>
      <c r="BK857" s="113"/>
      <c r="BL857" s="5">
        <f t="shared" si="174"/>
        <v>0</v>
      </c>
    </row>
    <row r="858" spans="1:64" s="2" customFormat="1" ht="15.75" customHeight="1" outlineLevel="1" x14ac:dyDescent="0.2">
      <c r="A858" s="595"/>
      <c r="B858" s="602"/>
      <c r="C858" s="7" t="s">
        <v>1554</v>
      </c>
      <c r="D858" s="8"/>
      <c r="E858" s="23"/>
      <c r="F858" s="8"/>
      <c r="G858" s="8"/>
      <c r="H858" s="5"/>
      <c r="I858" s="5"/>
      <c r="J858" s="5"/>
      <c r="K858" s="23"/>
      <c r="L858" s="8"/>
      <c r="M858" s="8"/>
      <c r="N858" s="8"/>
      <c r="O858" s="8"/>
      <c r="P858" s="8"/>
      <c r="Q858" s="23"/>
      <c r="R858" s="113"/>
      <c r="S858" s="113"/>
      <c r="T858" s="113"/>
      <c r="U858" s="113"/>
      <c r="V858" s="113"/>
      <c r="W858" s="113"/>
      <c r="X858" s="5">
        <f t="shared" si="175"/>
        <v>0</v>
      </c>
      <c r="Y858" s="302"/>
      <c r="Z858" s="5"/>
      <c r="AA858" s="94"/>
      <c r="AB858" s="311">
        <f t="shared" si="176"/>
        <v>0</v>
      </c>
      <c r="AC858" s="296"/>
      <c r="AD858" s="113"/>
      <c r="AE858" s="5"/>
      <c r="AF858" s="5"/>
      <c r="AG858" s="5"/>
      <c r="AH858" s="5"/>
      <c r="AI858" s="5"/>
      <c r="AJ858" s="5"/>
      <c r="AK858" s="141"/>
      <c r="AL858" s="94"/>
      <c r="AM858" s="128"/>
      <c r="AN858" s="180"/>
      <c r="AO858" s="128"/>
      <c r="AP858" s="184"/>
      <c r="AQ858" s="128"/>
      <c r="AR858" s="184"/>
      <c r="AS858" s="128"/>
      <c r="AT858" s="184"/>
      <c r="AU858" s="128"/>
      <c r="AV858" s="184"/>
      <c r="AW858" s="128"/>
      <c r="AX858" s="184"/>
      <c r="AY858" s="111"/>
      <c r="AZ858" s="178"/>
      <c r="BC858" s="47"/>
      <c r="BD858" s="47"/>
      <c r="BF858" s="113"/>
      <c r="BG858" s="113"/>
      <c r="BH858" s="113"/>
      <c r="BI858" s="113"/>
      <c r="BJ858" s="113"/>
      <c r="BK858" s="113"/>
      <c r="BL858" s="5">
        <f t="shared" si="174"/>
        <v>0</v>
      </c>
    </row>
    <row r="859" spans="1:64" s="2" customFormat="1" ht="25.5" customHeight="1" outlineLevel="1" x14ac:dyDescent="0.2">
      <c r="A859" s="593" t="s">
        <v>290</v>
      </c>
      <c r="B859" s="600" t="s">
        <v>279</v>
      </c>
      <c r="C859" s="7" t="s">
        <v>291</v>
      </c>
      <c r="D859" s="8" t="s">
        <v>397</v>
      </c>
      <c r="E859" s="23" t="s">
        <v>333</v>
      </c>
      <c r="F859" s="8">
        <v>2013</v>
      </c>
      <c r="G859" s="8">
        <v>2015</v>
      </c>
      <c r="H859" s="5">
        <v>0.41000000000000003</v>
      </c>
      <c r="I859" s="5">
        <v>0.32559300000000002</v>
      </c>
      <c r="J859" s="5">
        <f>R859</f>
        <v>0.32559300000000002</v>
      </c>
      <c r="K859" s="8"/>
      <c r="L859" s="23" t="s">
        <v>333</v>
      </c>
      <c r="M859" s="8"/>
      <c r="N859" s="8"/>
      <c r="O859" s="8"/>
      <c r="P859" s="8"/>
      <c r="Q859" s="23" t="s">
        <v>333</v>
      </c>
      <c r="R859" s="113">
        <v>0.32559300000000002</v>
      </c>
      <c r="S859" s="113"/>
      <c r="T859" s="113"/>
      <c r="U859" s="113"/>
      <c r="V859" s="113"/>
      <c r="W859" s="113"/>
      <c r="X859" s="5">
        <f t="shared" si="175"/>
        <v>0.32559300000000002</v>
      </c>
      <c r="Y859" s="302">
        <f>H859-H860-H861</f>
        <v>0</v>
      </c>
      <c r="Z859" s="5">
        <f>I859-I860-I861</f>
        <v>0</v>
      </c>
      <c r="AA859" s="94">
        <f>J859-J860-J861</f>
        <v>0</v>
      </c>
      <c r="AB859" s="311">
        <f t="shared" si="176"/>
        <v>0</v>
      </c>
      <c r="AC859" s="296"/>
      <c r="AD859" s="113"/>
      <c r="AE859" s="5"/>
      <c r="AF859" s="5"/>
      <c r="AG859" s="5">
        <f>H859</f>
        <v>0.41000000000000003</v>
      </c>
      <c r="AH859" s="5"/>
      <c r="AI859" s="5"/>
      <c r="AJ859" s="5"/>
      <c r="AK859" s="141"/>
      <c r="AL859" s="94">
        <f>SUM(AF859:AK859)</f>
        <v>0.41000000000000003</v>
      </c>
      <c r="AM859" s="128"/>
      <c r="AN859" s="180"/>
      <c r="AO859" s="128">
        <v>0.3</v>
      </c>
      <c r="AP859" s="184">
        <v>0</v>
      </c>
      <c r="AQ859" s="128"/>
      <c r="AR859" s="184"/>
      <c r="AS859" s="128"/>
      <c r="AT859" s="184"/>
      <c r="AU859" s="128"/>
      <c r="AV859" s="184"/>
      <c r="AW859" s="128"/>
      <c r="AX859" s="184"/>
      <c r="AY859" s="111">
        <f>AM859+AO859+AQ859+AS859+AU859+AW859</f>
        <v>0.3</v>
      </c>
      <c r="AZ859" s="178">
        <f>AN859+AP859+AR859+AT859+AV859+AX859</f>
        <v>0</v>
      </c>
      <c r="BC859" s="47"/>
      <c r="BD859" s="47"/>
      <c r="BF859" s="113">
        <v>0.32559300000000002</v>
      </c>
      <c r="BG859" s="113"/>
      <c r="BH859" s="113"/>
      <c r="BI859" s="113"/>
      <c r="BJ859" s="113"/>
      <c r="BK859" s="113"/>
      <c r="BL859" s="5">
        <f t="shared" si="174"/>
        <v>0.32559300000000002</v>
      </c>
    </row>
    <row r="860" spans="1:64" s="2" customFormat="1" ht="15.75" customHeight="1" outlineLevel="1" x14ac:dyDescent="0.2">
      <c r="A860" s="594"/>
      <c r="B860" s="601"/>
      <c r="C860" s="7" t="s">
        <v>1553</v>
      </c>
      <c r="D860" s="8"/>
      <c r="E860" s="23"/>
      <c r="F860" s="8"/>
      <c r="G860" s="8"/>
      <c r="H860" s="5"/>
      <c r="I860" s="5"/>
      <c r="J860" s="5"/>
      <c r="K860" s="8"/>
      <c r="L860" s="23"/>
      <c r="M860" s="8"/>
      <c r="N860" s="8"/>
      <c r="O860" s="8"/>
      <c r="P860" s="8"/>
      <c r="Q860" s="23"/>
      <c r="R860" s="113"/>
      <c r="S860" s="113"/>
      <c r="T860" s="113"/>
      <c r="U860" s="113"/>
      <c r="V860" s="113"/>
      <c r="W860" s="113"/>
      <c r="X860" s="5">
        <f>SUM(R860:W860)</f>
        <v>0</v>
      </c>
      <c r="Y860" s="302"/>
      <c r="Z860" s="5"/>
      <c r="AA860" s="94"/>
      <c r="AB860" s="311">
        <f t="shared" si="176"/>
        <v>0</v>
      </c>
      <c r="AC860" s="296"/>
      <c r="AD860" s="113"/>
      <c r="AE860" s="5"/>
      <c r="AF860" s="5"/>
      <c r="AG860" s="5"/>
      <c r="AH860" s="5"/>
      <c r="AI860" s="5"/>
      <c r="AJ860" s="5"/>
      <c r="AK860" s="141"/>
      <c r="AL860" s="94"/>
      <c r="AM860" s="128"/>
      <c r="AN860" s="180"/>
      <c r="AO860" s="128"/>
      <c r="AP860" s="184"/>
      <c r="AQ860" s="128"/>
      <c r="AR860" s="184"/>
      <c r="AS860" s="128"/>
      <c r="AT860" s="184"/>
      <c r="AU860" s="128"/>
      <c r="AV860" s="184"/>
      <c r="AW860" s="128"/>
      <c r="AX860" s="184"/>
      <c r="AY860" s="111"/>
      <c r="AZ860" s="178"/>
      <c r="BC860" s="47"/>
      <c r="BD860" s="47"/>
      <c r="BF860" s="113"/>
      <c r="BG860" s="113"/>
      <c r="BH860" s="113"/>
      <c r="BI860" s="113"/>
      <c r="BJ860" s="113"/>
      <c r="BK860" s="113"/>
      <c r="BL860" s="5">
        <f t="shared" si="174"/>
        <v>0</v>
      </c>
    </row>
    <row r="861" spans="1:64" s="2" customFormat="1" ht="15.75" customHeight="1" outlineLevel="1" x14ac:dyDescent="0.2">
      <c r="A861" s="595"/>
      <c r="B861" s="602"/>
      <c r="C861" s="7" t="s">
        <v>1554</v>
      </c>
      <c r="D861" s="8"/>
      <c r="E861" s="23"/>
      <c r="F861" s="8"/>
      <c r="G861" s="8"/>
      <c r="H861" s="5">
        <f>H859</f>
        <v>0.41000000000000003</v>
      </c>
      <c r="I861" s="5">
        <f>I859</f>
        <v>0.32559300000000002</v>
      </c>
      <c r="J861" s="5">
        <f>J859</f>
        <v>0.32559300000000002</v>
      </c>
      <c r="K861" s="23"/>
      <c r="L861" s="8"/>
      <c r="M861" s="8"/>
      <c r="N861" s="8"/>
      <c r="O861" s="8"/>
      <c r="P861" s="8"/>
      <c r="Q861" s="23"/>
      <c r="R861" s="113"/>
      <c r="S861" s="113"/>
      <c r="T861" s="113"/>
      <c r="U861" s="113"/>
      <c r="V861" s="113"/>
      <c r="W861" s="113"/>
      <c r="X861" s="5">
        <f>SUM(R861:W861)</f>
        <v>0</v>
      </c>
      <c r="Y861" s="302"/>
      <c r="Z861" s="5"/>
      <c r="AA861" s="94"/>
      <c r="AB861" s="311">
        <f t="shared" si="176"/>
        <v>0.32559300000000002</v>
      </c>
      <c r="AC861" s="296"/>
      <c r="AD861" s="113"/>
      <c r="AE861" s="5"/>
      <c r="AF861" s="5"/>
      <c r="AG861" s="5"/>
      <c r="AH861" s="5"/>
      <c r="AI861" s="5"/>
      <c r="AJ861" s="5"/>
      <c r="AK861" s="141"/>
      <c r="AL861" s="94"/>
      <c r="AM861" s="128"/>
      <c r="AN861" s="180"/>
      <c r="AO861" s="128"/>
      <c r="AP861" s="184"/>
      <c r="AQ861" s="128"/>
      <c r="AR861" s="184"/>
      <c r="AS861" s="128"/>
      <c r="AT861" s="184"/>
      <c r="AU861" s="128"/>
      <c r="AV861" s="184"/>
      <c r="AW861" s="128"/>
      <c r="AX861" s="184"/>
      <c r="AY861" s="111"/>
      <c r="AZ861" s="178"/>
      <c r="BC861" s="47"/>
      <c r="BD861" s="47"/>
      <c r="BF861" s="113"/>
      <c r="BG861" s="113"/>
      <c r="BH861" s="113"/>
      <c r="BI861" s="113"/>
      <c r="BJ861" s="113"/>
      <c r="BK861" s="113"/>
      <c r="BL861" s="5">
        <f t="shared" si="174"/>
        <v>0</v>
      </c>
    </row>
    <row r="862" spans="1:64" s="2" customFormat="1" ht="38.25" customHeight="1" outlineLevel="1" x14ac:dyDescent="0.2">
      <c r="A862" s="593" t="s">
        <v>293</v>
      </c>
      <c r="B862" s="600" t="s">
        <v>281</v>
      </c>
      <c r="C862" s="7" t="s">
        <v>294</v>
      </c>
      <c r="D862" s="8" t="s">
        <v>397</v>
      </c>
      <c r="E862" s="23" t="s">
        <v>1387</v>
      </c>
      <c r="F862" s="8">
        <v>2013</v>
      </c>
      <c r="G862" s="8">
        <v>2015</v>
      </c>
      <c r="H862" s="5">
        <v>0.71</v>
      </c>
      <c r="I862" s="5">
        <v>0.667543</v>
      </c>
      <c r="J862" s="5">
        <f>R862</f>
        <v>0.13051699999999999</v>
      </c>
      <c r="K862" s="8"/>
      <c r="L862" s="23" t="s">
        <v>1387</v>
      </c>
      <c r="M862" s="8"/>
      <c r="N862" s="8"/>
      <c r="O862" s="8"/>
      <c r="P862" s="8"/>
      <c r="Q862" s="23" t="s">
        <v>1387</v>
      </c>
      <c r="R862" s="113">
        <v>0.13051699999999999</v>
      </c>
      <c r="S862" s="113"/>
      <c r="T862" s="113"/>
      <c r="U862" s="113"/>
      <c r="V862" s="113"/>
      <c r="W862" s="113"/>
      <c r="X862" s="5">
        <f t="shared" si="175"/>
        <v>0.13051699999999999</v>
      </c>
      <c r="Y862" s="302">
        <f>H862-H863-H864</f>
        <v>0</v>
      </c>
      <c r="Z862" s="5">
        <f>I862-I863-I864</f>
        <v>0</v>
      </c>
      <c r="AA862" s="94">
        <f>J862-J863-J864</f>
        <v>0</v>
      </c>
      <c r="AB862" s="311">
        <f t="shared" si="176"/>
        <v>0.537026</v>
      </c>
      <c r="AC862" s="296"/>
      <c r="AD862" s="113"/>
      <c r="AE862" s="5"/>
      <c r="AF862" s="5"/>
      <c r="AG862" s="5">
        <f>H862</f>
        <v>0.71</v>
      </c>
      <c r="AH862" s="5"/>
      <c r="AI862" s="5"/>
      <c r="AJ862" s="5"/>
      <c r="AK862" s="141"/>
      <c r="AL862" s="94">
        <f>SUM(AF862:AK862)</f>
        <v>0.71</v>
      </c>
      <c r="AM862" s="128"/>
      <c r="AN862" s="180"/>
      <c r="AO862" s="128">
        <v>0.5</v>
      </c>
      <c r="AP862" s="184">
        <v>0</v>
      </c>
      <c r="AQ862" s="128"/>
      <c r="AR862" s="184"/>
      <c r="AS862" s="128"/>
      <c r="AT862" s="184"/>
      <c r="AU862" s="128"/>
      <c r="AV862" s="184"/>
      <c r="AW862" s="128"/>
      <c r="AX862" s="184"/>
      <c r="AY862" s="111">
        <f>AM862+AO862+AQ862+AS862+AU862+AW862</f>
        <v>0.5</v>
      </c>
      <c r="AZ862" s="178">
        <f>AN862+AP862+AR862+AT862+AV862+AX862</f>
        <v>0</v>
      </c>
      <c r="BC862" s="47"/>
      <c r="BD862" s="47"/>
      <c r="BF862" s="113">
        <v>0.13051699999999999</v>
      </c>
      <c r="BG862" s="113"/>
      <c r="BH862" s="113"/>
      <c r="BI862" s="113"/>
      <c r="BJ862" s="113"/>
      <c r="BK862" s="113"/>
      <c r="BL862" s="5">
        <f t="shared" si="174"/>
        <v>0.13051699999999999</v>
      </c>
    </row>
    <row r="863" spans="1:64" s="2" customFormat="1" ht="15.75" customHeight="1" outlineLevel="1" x14ac:dyDescent="0.2">
      <c r="A863" s="594"/>
      <c r="B863" s="601"/>
      <c r="C863" s="7" t="s">
        <v>1553</v>
      </c>
      <c r="D863" s="8"/>
      <c r="E863" s="23"/>
      <c r="F863" s="8"/>
      <c r="G863" s="8"/>
      <c r="H863" s="5"/>
      <c r="I863" s="5"/>
      <c r="J863" s="5"/>
      <c r="K863" s="8"/>
      <c r="L863" s="23"/>
      <c r="M863" s="8"/>
      <c r="N863" s="8"/>
      <c r="O863" s="8"/>
      <c r="P863" s="8"/>
      <c r="Q863" s="23"/>
      <c r="R863" s="113"/>
      <c r="S863" s="113"/>
      <c r="T863" s="113"/>
      <c r="U863" s="113"/>
      <c r="V863" s="113"/>
      <c r="W863" s="113"/>
      <c r="X863" s="5">
        <f t="shared" si="175"/>
        <v>0</v>
      </c>
      <c r="Y863" s="302"/>
      <c r="Z863" s="5"/>
      <c r="AA863" s="94"/>
      <c r="AB863" s="311">
        <f t="shared" si="176"/>
        <v>0</v>
      </c>
      <c r="AC863" s="296"/>
      <c r="AD863" s="113"/>
      <c r="AE863" s="5"/>
      <c r="AF863" s="5"/>
      <c r="AG863" s="5"/>
      <c r="AH863" s="5"/>
      <c r="AI863" s="5"/>
      <c r="AJ863" s="5"/>
      <c r="AK863" s="141"/>
      <c r="AL863" s="94"/>
      <c r="AM863" s="128"/>
      <c r="AN863" s="180"/>
      <c r="AO863" s="128"/>
      <c r="AP863" s="184"/>
      <c r="AQ863" s="128"/>
      <c r="AR863" s="184"/>
      <c r="AS863" s="128"/>
      <c r="AT863" s="184"/>
      <c r="AU863" s="128"/>
      <c r="AV863" s="184"/>
      <c r="AW863" s="128"/>
      <c r="AX863" s="184"/>
      <c r="AY863" s="111"/>
      <c r="AZ863" s="178"/>
      <c r="BC863" s="47"/>
      <c r="BD863" s="47"/>
      <c r="BF863" s="113"/>
      <c r="BG863" s="113"/>
      <c r="BH863" s="113"/>
      <c r="BI863" s="113"/>
      <c r="BJ863" s="113"/>
      <c r="BK863" s="113"/>
      <c r="BL863" s="5">
        <f t="shared" ref="BL863:BL926" si="177">SUM(BF863:BK863)</f>
        <v>0</v>
      </c>
    </row>
    <row r="864" spans="1:64" s="2" customFormat="1" ht="15.75" customHeight="1" outlineLevel="1" x14ac:dyDescent="0.2">
      <c r="A864" s="595"/>
      <c r="B864" s="602"/>
      <c r="C864" s="7" t="s">
        <v>1554</v>
      </c>
      <c r="D864" s="8"/>
      <c r="E864" s="23"/>
      <c r="F864" s="8"/>
      <c r="G864" s="8"/>
      <c r="H864" s="5">
        <f>H862</f>
        <v>0.71</v>
      </c>
      <c r="I864" s="5">
        <f>I862</f>
        <v>0.667543</v>
      </c>
      <c r="J864" s="5">
        <f>J862</f>
        <v>0.13051699999999999</v>
      </c>
      <c r="K864" s="23"/>
      <c r="L864" s="8"/>
      <c r="M864" s="8"/>
      <c r="N864" s="8"/>
      <c r="O864" s="8"/>
      <c r="P864" s="8"/>
      <c r="Q864" s="23"/>
      <c r="R864" s="113"/>
      <c r="S864" s="113"/>
      <c r="T864" s="113"/>
      <c r="U864" s="113"/>
      <c r="V864" s="113"/>
      <c r="W864" s="113"/>
      <c r="X864" s="5">
        <f t="shared" si="175"/>
        <v>0</v>
      </c>
      <c r="Y864" s="302"/>
      <c r="Z864" s="5"/>
      <c r="AA864" s="94"/>
      <c r="AB864" s="311">
        <f t="shared" si="176"/>
        <v>0.667543</v>
      </c>
      <c r="AC864" s="296"/>
      <c r="AD864" s="113"/>
      <c r="AE864" s="5"/>
      <c r="AF864" s="5"/>
      <c r="AG864" s="5"/>
      <c r="AH864" s="5"/>
      <c r="AI864" s="5"/>
      <c r="AJ864" s="5"/>
      <c r="AK864" s="141"/>
      <c r="AL864" s="94"/>
      <c r="AM864" s="128"/>
      <c r="AN864" s="180"/>
      <c r="AO864" s="128"/>
      <c r="AP864" s="184"/>
      <c r="AQ864" s="128"/>
      <c r="AR864" s="184"/>
      <c r="AS864" s="128"/>
      <c r="AT864" s="184"/>
      <c r="AU864" s="128"/>
      <c r="AV864" s="184"/>
      <c r="AW864" s="128"/>
      <c r="AX864" s="184"/>
      <c r="AY864" s="111"/>
      <c r="AZ864" s="178"/>
      <c r="BC864" s="47"/>
      <c r="BD864" s="47"/>
      <c r="BF864" s="113"/>
      <c r="BG864" s="113"/>
      <c r="BH864" s="113"/>
      <c r="BI864" s="113"/>
      <c r="BJ864" s="113"/>
      <c r="BK864" s="113"/>
      <c r="BL864" s="5">
        <f t="shared" si="177"/>
        <v>0</v>
      </c>
    </row>
    <row r="865" spans="1:64" s="2" customFormat="1" ht="51" outlineLevel="1" x14ac:dyDescent="0.2">
      <c r="A865" s="593" t="s">
        <v>296</v>
      </c>
      <c r="B865" s="600" t="s">
        <v>283</v>
      </c>
      <c r="C865" s="7" t="s">
        <v>297</v>
      </c>
      <c r="D865" s="8" t="s">
        <v>397</v>
      </c>
      <c r="E865" s="23" t="s">
        <v>335</v>
      </c>
      <c r="F865" s="8">
        <v>2013</v>
      </c>
      <c r="G865" s="8">
        <v>2014</v>
      </c>
      <c r="H865" s="5">
        <v>0.2060044</v>
      </c>
      <c r="I865" s="5">
        <v>0.167356</v>
      </c>
      <c r="J865" s="5">
        <f>R865</f>
        <v>0.167356</v>
      </c>
      <c r="K865" s="23" t="s">
        <v>335</v>
      </c>
      <c r="L865" s="8"/>
      <c r="M865" s="8"/>
      <c r="N865" s="8"/>
      <c r="O865" s="8"/>
      <c r="P865" s="8"/>
      <c r="Q865" s="23" t="s">
        <v>335</v>
      </c>
      <c r="R865" s="113">
        <v>0.167356</v>
      </c>
      <c r="S865" s="113"/>
      <c r="T865" s="113"/>
      <c r="U865" s="113"/>
      <c r="V865" s="113"/>
      <c r="W865" s="113"/>
      <c r="X865" s="5">
        <f t="shared" si="175"/>
        <v>0.167356</v>
      </c>
      <c r="Y865" s="302">
        <f>H865-H866-H867</f>
        <v>0</v>
      </c>
      <c r="Z865" s="5">
        <f>I865-I866-I867</f>
        <v>0</v>
      </c>
      <c r="AA865" s="94">
        <f>J865-J866-J867</f>
        <v>0</v>
      </c>
      <c r="AB865" s="311">
        <f t="shared" si="176"/>
        <v>0</v>
      </c>
      <c r="AC865" s="296"/>
      <c r="AD865" s="113"/>
      <c r="AE865" s="5"/>
      <c r="AF865" s="5">
        <f>H865</f>
        <v>0.2060044</v>
      </c>
      <c r="AG865" s="5"/>
      <c r="AH865" s="5"/>
      <c r="AI865" s="5"/>
      <c r="AJ865" s="5"/>
      <c r="AK865" s="141"/>
      <c r="AL865" s="94">
        <f>SUM(AF865:AK865)</f>
        <v>0.2060044</v>
      </c>
      <c r="AM865" s="128">
        <v>0.1</v>
      </c>
      <c r="AN865" s="180">
        <v>0</v>
      </c>
      <c r="AO865" s="128"/>
      <c r="AP865" s="184"/>
      <c r="AQ865" s="128"/>
      <c r="AR865" s="184"/>
      <c r="AS865" s="128"/>
      <c r="AT865" s="184"/>
      <c r="AU865" s="128"/>
      <c r="AV865" s="184"/>
      <c r="AW865" s="128"/>
      <c r="AX865" s="184"/>
      <c r="AY865" s="111">
        <f>AM865+AO865+AQ865+AS865+AU865+AW865</f>
        <v>0.1</v>
      </c>
      <c r="AZ865" s="178">
        <f>AN865+AP865+AR865+AT865+AV865+AX865</f>
        <v>0</v>
      </c>
      <c r="BC865" s="47"/>
      <c r="BD865" s="47"/>
      <c r="BF865" s="113">
        <v>0.167356</v>
      </c>
      <c r="BG865" s="113"/>
      <c r="BH865" s="113"/>
      <c r="BI865" s="113"/>
      <c r="BJ865" s="113"/>
      <c r="BK865" s="113"/>
      <c r="BL865" s="5">
        <f t="shared" si="177"/>
        <v>0.167356</v>
      </c>
    </row>
    <row r="866" spans="1:64" s="2" customFormat="1" ht="15.75" customHeight="1" outlineLevel="1" x14ac:dyDescent="0.2">
      <c r="A866" s="594"/>
      <c r="B866" s="601"/>
      <c r="C866" s="7" t="s">
        <v>1553</v>
      </c>
      <c r="D866" s="8"/>
      <c r="E866" s="23"/>
      <c r="F866" s="8"/>
      <c r="G866" s="8"/>
      <c r="H866" s="5">
        <f>H865</f>
        <v>0.2060044</v>
      </c>
      <c r="I866" s="5">
        <f>I865</f>
        <v>0.167356</v>
      </c>
      <c r="J866" s="5">
        <f>J865</f>
        <v>0.167356</v>
      </c>
      <c r="K866" s="8"/>
      <c r="L866" s="23"/>
      <c r="M866" s="8"/>
      <c r="N866" s="8"/>
      <c r="O866" s="8"/>
      <c r="P866" s="8"/>
      <c r="Q866" s="23"/>
      <c r="R866" s="113"/>
      <c r="S866" s="113"/>
      <c r="T866" s="113"/>
      <c r="U866" s="113"/>
      <c r="V866" s="113"/>
      <c r="W866" s="113"/>
      <c r="X866" s="5">
        <f>SUM(R866:W866)</f>
        <v>0</v>
      </c>
      <c r="Y866" s="302"/>
      <c r="Z866" s="5"/>
      <c r="AA866" s="94"/>
      <c r="AB866" s="311">
        <f t="shared" si="176"/>
        <v>0.167356</v>
      </c>
      <c r="AC866" s="296"/>
      <c r="AD866" s="113"/>
      <c r="AE866" s="5"/>
      <c r="AF866" s="5"/>
      <c r="AG866" s="5"/>
      <c r="AH866" s="5"/>
      <c r="AI866" s="5"/>
      <c r="AJ866" s="5"/>
      <c r="AK866" s="141"/>
      <c r="AL866" s="94"/>
      <c r="AM866" s="128"/>
      <c r="AN866" s="180"/>
      <c r="AO866" s="128"/>
      <c r="AP866" s="184"/>
      <c r="AQ866" s="128"/>
      <c r="AR866" s="184"/>
      <c r="AS866" s="128"/>
      <c r="AT866" s="184"/>
      <c r="AU866" s="128"/>
      <c r="AV866" s="184"/>
      <c r="AW866" s="128"/>
      <c r="AX866" s="184"/>
      <c r="AY866" s="111"/>
      <c r="AZ866" s="178"/>
      <c r="BC866" s="47"/>
      <c r="BD866" s="47"/>
      <c r="BF866" s="113"/>
      <c r="BG866" s="113"/>
      <c r="BH866" s="113"/>
      <c r="BI866" s="113"/>
      <c r="BJ866" s="113"/>
      <c r="BK866" s="113"/>
      <c r="BL866" s="5">
        <f t="shared" si="177"/>
        <v>0</v>
      </c>
    </row>
    <row r="867" spans="1:64" s="2" customFormat="1" ht="15.75" customHeight="1" outlineLevel="1" x14ac:dyDescent="0.2">
      <c r="A867" s="595"/>
      <c r="B867" s="602"/>
      <c r="C867" s="7" t="s">
        <v>1554</v>
      </c>
      <c r="D867" s="8"/>
      <c r="E867" s="23"/>
      <c r="F867" s="8"/>
      <c r="G867" s="8"/>
      <c r="H867" s="5"/>
      <c r="I867" s="5"/>
      <c r="J867" s="5"/>
      <c r="K867" s="23"/>
      <c r="L867" s="8"/>
      <c r="M867" s="8"/>
      <c r="N867" s="8"/>
      <c r="O867" s="8"/>
      <c r="P867" s="8"/>
      <c r="Q867" s="23"/>
      <c r="R867" s="113"/>
      <c r="S867" s="113"/>
      <c r="T867" s="113"/>
      <c r="U867" s="113"/>
      <c r="V867" s="113"/>
      <c r="W867" s="113"/>
      <c r="X867" s="5">
        <f>SUM(R867:W867)</f>
        <v>0</v>
      </c>
      <c r="Y867" s="302"/>
      <c r="Z867" s="5"/>
      <c r="AA867" s="94"/>
      <c r="AB867" s="311">
        <f t="shared" si="176"/>
        <v>0</v>
      </c>
      <c r="AC867" s="296"/>
      <c r="AD867" s="113"/>
      <c r="AE867" s="5"/>
      <c r="AF867" s="5"/>
      <c r="AG867" s="5"/>
      <c r="AH867" s="5"/>
      <c r="AI867" s="5"/>
      <c r="AJ867" s="5"/>
      <c r="AK867" s="141"/>
      <c r="AL867" s="94"/>
      <c r="AM867" s="128"/>
      <c r="AN867" s="180"/>
      <c r="AO867" s="128"/>
      <c r="AP867" s="184"/>
      <c r="AQ867" s="128"/>
      <c r="AR867" s="184"/>
      <c r="AS867" s="128"/>
      <c r="AT867" s="184"/>
      <c r="AU867" s="128"/>
      <c r="AV867" s="184"/>
      <c r="AW867" s="128"/>
      <c r="AX867" s="184"/>
      <c r="AY867" s="111"/>
      <c r="AZ867" s="178"/>
      <c r="BC867" s="47"/>
      <c r="BD867" s="47"/>
      <c r="BF867" s="113"/>
      <c r="BG867" s="113"/>
      <c r="BH867" s="113"/>
      <c r="BI867" s="113"/>
      <c r="BJ867" s="113"/>
      <c r="BK867" s="113"/>
      <c r="BL867" s="5">
        <f t="shared" si="177"/>
        <v>0</v>
      </c>
    </row>
    <row r="868" spans="1:64" s="2" customFormat="1" ht="63.75" outlineLevel="1" x14ac:dyDescent="0.2">
      <c r="A868" s="593" t="s">
        <v>299</v>
      </c>
      <c r="B868" s="600" t="s">
        <v>285</v>
      </c>
      <c r="C868" s="7" t="s">
        <v>300</v>
      </c>
      <c r="D868" s="8" t="s">
        <v>397</v>
      </c>
      <c r="E868" s="23" t="s">
        <v>335</v>
      </c>
      <c r="F868" s="8">
        <v>2013</v>
      </c>
      <c r="G868" s="8">
        <v>2014</v>
      </c>
      <c r="H868" s="5">
        <v>0.16500000000000001</v>
      </c>
      <c r="I868" s="5">
        <v>0.17419499999999999</v>
      </c>
      <c r="J868" s="5">
        <f>R868</f>
        <v>0.17419499999999999</v>
      </c>
      <c r="K868" s="23" t="s">
        <v>335</v>
      </c>
      <c r="L868" s="8"/>
      <c r="M868" s="8"/>
      <c r="N868" s="8"/>
      <c r="O868" s="8"/>
      <c r="P868" s="8"/>
      <c r="Q868" s="23" t="s">
        <v>335</v>
      </c>
      <c r="R868" s="113">
        <v>0.17419499999999999</v>
      </c>
      <c r="S868" s="113"/>
      <c r="T868" s="113"/>
      <c r="U868" s="113"/>
      <c r="V868" s="113"/>
      <c r="W868" s="113"/>
      <c r="X868" s="5">
        <f t="shared" si="175"/>
        <v>0.17419499999999999</v>
      </c>
      <c r="Y868" s="302">
        <f>H868-H869-H870</f>
        <v>0</v>
      </c>
      <c r="Z868" s="5">
        <f>I868-I869-I870</f>
        <v>0</v>
      </c>
      <c r="AA868" s="94">
        <f>J868-J869-J870</f>
        <v>0</v>
      </c>
      <c r="AB868" s="311">
        <f t="shared" si="176"/>
        <v>0</v>
      </c>
      <c r="AC868" s="296"/>
      <c r="AD868" s="113"/>
      <c r="AE868" s="5"/>
      <c r="AF868" s="5">
        <f>H868</f>
        <v>0.16500000000000001</v>
      </c>
      <c r="AG868" s="5"/>
      <c r="AH868" s="5"/>
      <c r="AI868" s="5"/>
      <c r="AJ868" s="5"/>
      <c r="AK868" s="141"/>
      <c r="AL868" s="94">
        <f>SUM(AF868:AK868)</f>
        <v>0.16500000000000001</v>
      </c>
      <c r="AM868" s="128">
        <v>0.1</v>
      </c>
      <c r="AN868" s="180">
        <v>0</v>
      </c>
      <c r="AO868" s="128"/>
      <c r="AP868" s="184"/>
      <c r="AQ868" s="128"/>
      <c r="AR868" s="184"/>
      <c r="AS868" s="128"/>
      <c r="AT868" s="184"/>
      <c r="AU868" s="128"/>
      <c r="AV868" s="184"/>
      <c r="AW868" s="128"/>
      <c r="AX868" s="184"/>
      <c r="AY868" s="111">
        <f>AM868+AO868+AQ868+AS868+AU868+AW868</f>
        <v>0.1</v>
      </c>
      <c r="AZ868" s="178">
        <f>AN868+AP868+AR868+AT868+AV868+AX868</f>
        <v>0</v>
      </c>
      <c r="BC868" s="47"/>
      <c r="BD868" s="47"/>
      <c r="BF868" s="113">
        <v>0.17419499999999999</v>
      </c>
      <c r="BG868" s="113"/>
      <c r="BH868" s="113"/>
      <c r="BI868" s="113"/>
      <c r="BJ868" s="113"/>
      <c r="BK868" s="113"/>
      <c r="BL868" s="5">
        <f t="shared" si="177"/>
        <v>0.17419499999999999</v>
      </c>
    </row>
    <row r="869" spans="1:64" s="2" customFormat="1" ht="15.75" customHeight="1" outlineLevel="1" x14ac:dyDescent="0.2">
      <c r="A869" s="594"/>
      <c r="B869" s="601"/>
      <c r="C869" s="7" t="s">
        <v>1553</v>
      </c>
      <c r="D869" s="8"/>
      <c r="E869" s="23"/>
      <c r="F869" s="8"/>
      <c r="G869" s="8"/>
      <c r="H869" s="5">
        <f>H868</f>
        <v>0.16500000000000001</v>
      </c>
      <c r="I869" s="5">
        <f>I868</f>
        <v>0.17419499999999999</v>
      </c>
      <c r="J869" s="5">
        <f>J868</f>
        <v>0.17419499999999999</v>
      </c>
      <c r="K869" s="8"/>
      <c r="L869" s="23"/>
      <c r="M869" s="8"/>
      <c r="N869" s="8"/>
      <c r="O869" s="8"/>
      <c r="P869" s="8"/>
      <c r="Q869" s="23"/>
      <c r="R869" s="113"/>
      <c r="S869" s="113"/>
      <c r="T869" s="113"/>
      <c r="U869" s="113"/>
      <c r="V869" s="113"/>
      <c r="W869" s="113"/>
      <c r="X869" s="5">
        <f t="shared" si="175"/>
        <v>0</v>
      </c>
      <c r="Y869" s="302"/>
      <c r="Z869" s="5"/>
      <c r="AA869" s="94"/>
      <c r="AB869" s="311">
        <f t="shared" si="176"/>
        <v>0.17419499999999999</v>
      </c>
      <c r="AC869" s="296"/>
      <c r="AD869" s="113"/>
      <c r="AE869" s="5"/>
      <c r="AF869" s="5"/>
      <c r="AG869" s="5"/>
      <c r="AH869" s="5"/>
      <c r="AI869" s="5"/>
      <c r="AJ869" s="5"/>
      <c r="AK869" s="141"/>
      <c r="AL869" s="94"/>
      <c r="AM869" s="128"/>
      <c r="AN869" s="180"/>
      <c r="AO869" s="128"/>
      <c r="AP869" s="184"/>
      <c r="AQ869" s="128"/>
      <c r="AR869" s="184"/>
      <c r="AS869" s="128"/>
      <c r="AT869" s="184"/>
      <c r="AU869" s="128"/>
      <c r="AV869" s="184"/>
      <c r="AW869" s="128"/>
      <c r="AX869" s="184"/>
      <c r="AY869" s="111"/>
      <c r="AZ869" s="178"/>
      <c r="BC869" s="47"/>
      <c r="BD869" s="47"/>
      <c r="BF869" s="113"/>
      <c r="BG869" s="113"/>
      <c r="BH869" s="113"/>
      <c r="BI869" s="113"/>
      <c r="BJ869" s="113"/>
      <c r="BK869" s="113"/>
      <c r="BL869" s="5">
        <f t="shared" si="177"/>
        <v>0</v>
      </c>
    </row>
    <row r="870" spans="1:64" s="2" customFormat="1" ht="15.75" customHeight="1" outlineLevel="1" x14ac:dyDescent="0.2">
      <c r="A870" s="595"/>
      <c r="B870" s="602"/>
      <c r="C870" s="7" t="s">
        <v>1554</v>
      </c>
      <c r="D870" s="8"/>
      <c r="E870" s="23"/>
      <c r="F870" s="8"/>
      <c r="G870" s="8"/>
      <c r="H870" s="5"/>
      <c r="I870" s="5"/>
      <c r="J870" s="5"/>
      <c r="K870" s="23"/>
      <c r="L870" s="8"/>
      <c r="M870" s="8"/>
      <c r="N870" s="8"/>
      <c r="O870" s="8"/>
      <c r="P870" s="8"/>
      <c r="Q870" s="23"/>
      <c r="R870" s="113"/>
      <c r="S870" s="113"/>
      <c r="T870" s="113"/>
      <c r="U870" s="113"/>
      <c r="V870" s="113"/>
      <c r="W870" s="113"/>
      <c r="X870" s="5">
        <f t="shared" si="175"/>
        <v>0</v>
      </c>
      <c r="Y870" s="302"/>
      <c r="Z870" s="5"/>
      <c r="AA870" s="94"/>
      <c r="AB870" s="311">
        <f t="shared" si="176"/>
        <v>0</v>
      </c>
      <c r="AC870" s="296"/>
      <c r="AD870" s="113"/>
      <c r="AE870" s="5"/>
      <c r="AF870" s="5"/>
      <c r="AG870" s="5"/>
      <c r="AH870" s="5"/>
      <c r="AI870" s="5"/>
      <c r="AJ870" s="5"/>
      <c r="AK870" s="141"/>
      <c r="AL870" s="94"/>
      <c r="AM870" s="128"/>
      <c r="AN870" s="180"/>
      <c r="AO870" s="128"/>
      <c r="AP870" s="184"/>
      <c r="AQ870" s="128"/>
      <c r="AR870" s="184"/>
      <c r="AS870" s="128"/>
      <c r="AT870" s="184"/>
      <c r="AU870" s="128"/>
      <c r="AV870" s="184"/>
      <c r="AW870" s="128"/>
      <c r="AX870" s="184"/>
      <c r="AY870" s="111"/>
      <c r="AZ870" s="178"/>
      <c r="BC870" s="47"/>
      <c r="BD870" s="47"/>
      <c r="BF870" s="113"/>
      <c r="BG870" s="113"/>
      <c r="BH870" s="113"/>
      <c r="BI870" s="113"/>
      <c r="BJ870" s="113"/>
      <c r="BK870" s="113"/>
      <c r="BL870" s="5">
        <f t="shared" si="177"/>
        <v>0</v>
      </c>
    </row>
    <row r="871" spans="1:64" s="2" customFormat="1" ht="76.5" outlineLevel="1" x14ac:dyDescent="0.2">
      <c r="A871" s="593" t="s">
        <v>302</v>
      </c>
      <c r="B871" s="600" t="s">
        <v>287</v>
      </c>
      <c r="C871" s="7" t="s">
        <v>303</v>
      </c>
      <c r="D871" s="8" t="s">
        <v>397</v>
      </c>
      <c r="E871" s="23" t="s">
        <v>346</v>
      </c>
      <c r="F871" s="8">
        <v>2013</v>
      </c>
      <c r="G871" s="8">
        <v>2014</v>
      </c>
      <c r="H871" s="5">
        <v>0.65300000000000002</v>
      </c>
      <c r="I871" s="5">
        <v>0.54</v>
      </c>
      <c r="J871" s="5">
        <f>R871</f>
        <v>0.53969600000000006</v>
      </c>
      <c r="K871" s="23" t="s">
        <v>346</v>
      </c>
      <c r="L871" s="8"/>
      <c r="M871" s="8"/>
      <c r="N871" s="8"/>
      <c r="O871" s="8"/>
      <c r="P871" s="8"/>
      <c r="Q871" s="23" t="s">
        <v>346</v>
      </c>
      <c r="R871" s="113">
        <v>0.53969600000000006</v>
      </c>
      <c r="S871" s="113"/>
      <c r="T871" s="113"/>
      <c r="U871" s="113"/>
      <c r="V871" s="113"/>
      <c r="W871" s="113"/>
      <c r="X871" s="5">
        <f t="shared" si="175"/>
        <v>0.53969600000000006</v>
      </c>
      <c r="Y871" s="302">
        <f>H871-H872-H873</f>
        <v>0</v>
      </c>
      <c r="Z871" s="5">
        <f>I871-I872-I873</f>
        <v>0</v>
      </c>
      <c r="AA871" s="94">
        <f>J871-J872-J873</f>
        <v>0</v>
      </c>
      <c r="AB871" s="311">
        <f t="shared" si="176"/>
        <v>3.0399999999997096E-4</v>
      </c>
      <c r="AC871" s="296"/>
      <c r="AD871" s="113"/>
      <c r="AE871" s="5"/>
      <c r="AF871" s="5">
        <f>H871</f>
        <v>0.65300000000000002</v>
      </c>
      <c r="AG871" s="5"/>
      <c r="AH871" s="5"/>
      <c r="AI871" s="5"/>
      <c r="AJ871" s="5"/>
      <c r="AK871" s="141"/>
      <c r="AL871" s="94">
        <f>SUM(AF871:AK871)</f>
        <v>0.65300000000000002</v>
      </c>
      <c r="AM871" s="128">
        <v>0.15</v>
      </c>
      <c r="AN871" s="180">
        <v>0</v>
      </c>
      <c r="AO871" s="128"/>
      <c r="AP871" s="184"/>
      <c r="AQ871" s="128"/>
      <c r="AR871" s="184"/>
      <c r="AS871" s="128"/>
      <c r="AT871" s="184"/>
      <c r="AU871" s="128"/>
      <c r="AV871" s="184"/>
      <c r="AW871" s="128"/>
      <c r="AX871" s="184"/>
      <c r="AY871" s="111">
        <f>AM871+AO871+AQ871+AS871+AU871+AW871</f>
        <v>0.15</v>
      </c>
      <c r="AZ871" s="178">
        <f>AN871+AP871+AR871+AT871+AV871+AX871</f>
        <v>0</v>
      </c>
      <c r="BC871" s="47"/>
      <c r="BD871" s="47"/>
      <c r="BF871" s="113">
        <v>0.53969600000000006</v>
      </c>
      <c r="BG871" s="113"/>
      <c r="BH871" s="113"/>
      <c r="BI871" s="113"/>
      <c r="BJ871" s="113"/>
      <c r="BK871" s="113"/>
      <c r="BL871" s="5">
        <f t="shared" si="177"/>
        <v>0.53969600000000006</v>
      </c>
    </row>
    <row r="872" spans="1:64" s="2" customFormat="1" ht="14.1" customHeight="1" outlineLevel="1" x14ac:dyDescent="0.2">
      <c r="A872" s="594"/>
      <c r="B872" s="601"/>
      <c r="C872" s="7" t="s">
        <v>1553</v>
      </c>
      <c r="D872" s="8"/>
      <c r="E872" s="23"/>
      <c r="F872" s="8"/>
      <c r="G872" s="8"/>
      <c r="H872" s="5"/>
      <c r="I872" s="5"/>
      <c r="J872" s="5"/>
      <c r="K872" s="8"/>
      <c r="L872" s="23"/>
      <c r="M872" s="8"/>
      <c r="N872" s="8"/>
      <c r="O872" s="8"/>
      <c r="P872" s="8"/>
      <c r="Q872" s="23"/>
      <c r="R872" s="113"/>
      <c r="S872" s="113"/>
      <c r="T872" s="113"/>
      <c r="U872" s="113"/>
      <c r="V872" s="113"/>
      <c r="W872" s="113"/>
      <c r="X872" s="5">
        <f>SUM(R872:W872)</f>
        <v>0</v>
      </c>
      <c r="Y872" s="302"/>
      <c r="Z872" s="5"/>
      <c r="AA872" s="94"/>
      <c r="AB872" s="311">
        <f t="shared" si="176"/>
        <v>0</v>
      </c>
      <c r="AC872" s="296"/>
      <c r="AD872" s="113"/>
      <c r="AE872" s="5"/>
      <c r="AF872" s="5"/>
      <c r="AG872" s="5"/>
      <c r="AH872" s="5"/>
      <c r="AI872" s="5"/>
      <c r="AJ872" s="5"/>
      <c r="AK872" s="141"/>
      <c r="AL872" s="94"/>
      <c r="AM872" s="128"/>
      <c r="AN872" s="180"/>
      <c r="AO872" s="128"/>
      <c r="AP872" s="184"/>
      <c r="AQ872" s="128"/>
      <c r="AR872" s="184"/>
      <c r="AS872" s="128"/>
      <c r="AT872" s="184"/>
      <c r="AU872" s="128"/>
      <c r="AV872" s="184"/>
      <c r="AW872" s="128"/>
      <c r="AX872" s="184"/>
      <c r="AY872" s="111"/>
      <c r="AZ872" s="178"/>
      <c r="BC872" s="47"/>
      <c r="BD872" s="47"/>
      <c r="BF872" s="113"/>
      <c r="BG872" s="113"/>
      <c r="BH872" s="113"/>
      <c r="BI872" s="113"/>
      <c r="BJ872" s="113"/>
      <c r="BK872" s="113"/>
      <c r="BL872" s="5">
        <f t="shared" si="177"/>
        <v>0</v>
      </c>
    </row>
    <row r="873" spans="1:64" s="2" customFormat="1" ht="14.1" customHeight="1" outlineLevel="1" x14ac:dyDescent="0.2">
      <c r="A873" s="595"/>
      <c r="B873" s="602"/>
      <c r="C873" s="7" t="s">
        <v>1554</v>
      </c>
      <c r="D873" s="8"/>
      <c r="E873" s="23"/>
      <c r="F873" s="8"/>
      <c r="G873" s="8"/>
      <c r="H873" s="5">
        <v>0.65300000000000002</v>
      </c>
      <c r="I873" s="5">
        <f>I871</f>
        <v>0.54</v>
      </c>
      <c r="J873" s="5">
        <v>0.53969600000000006</v>
      </c>
      <c r="K873" s="23"/>
      <c r="L873" s="8"/>
      <c r="M873" s="8"/>
      <c r="N873" s="8"/>
      <c r="O873" s="8"/>
      <c r="P873" s="8"/>
      <c r="Q873" s="23"/>
      <c r="R873" s="113"/>
      <c r="S873" s="113"/>
      <c r="T873" s="113"/>
      <c r="U873" s="113"/>
      <c r="V873" s="113"/>
      <c r="W873" s="113"/>
      <c r="X873" s="5">
        <f>SUM(R873:W873)</f>
        <v>0</v>
      </c>
      <c r="Y873" s="302"/>
      <c r="Z873" s="5"/>
      <c r="AA873" s="94"/>
      <c r="AB873" s="311">
        <f t="shared" si="176"/>
        <v>0.54</v>
      </c>
      <c r="AC873" s="296"/>
      <c r="AD873" s="113"/>
      <c r="AE873" s="5"/>
      <c r="AF873" s="5"/>
      <c r="AG873" s="5"/>
      <c r="AH873" s="5"/>
      <c r="AI873" s="5"/>
      <c r="AJ873" s="5"/>
      <c r="AK873" s="141"/>
      <c r="AL873" s="94"/>
      <c r="AM873" s="128"/>
      <c r="AN873" s="180"/>
      <c r="AO873" s="128"/>
      <c r="AP873" s="184"/>
      <c r="AQ873" s="128"/>
      <c r="AR873" s="184"/>
      <c r="AS873" s="128"/>
      <c r="AT873" s="184"/>
      <c r="AU873" s="128"/>
      <c r="AV873" s="184"/>
      <c r="AW873" s="128"/>
      <c r="AX873" s="184"/>
      <c r="AY873" s="111"/>
      <c r="AZ873" s="178"/>
      <c r="BC873" s="47"/>
      <c r="BD873" s="47"/>
      <c r="BF873" s="113"/>
      <c r="BG873" s="113"/>
      <c r="BH873" s="113"/>
      <c r="BI873" s="113"/>
      <c r="BJ873" s="113"/>
      <c r="BK873" s="113"/>
      <c r="BL873" s="5">
        <f t="shared" si="177"/>
        <v>0</v>
      </c>
    </row>
    <row r="874" spans="1:64" s="2" customFormat="1" ht="76.5" customHeight="1" outlineLevel="1" x14ac:dyDescent="0.2">
      <c r="A874" s="593" t="s">
        <v>305</v>
      </c>
      <c r="B874" s="600" t="s">
        <v>289</v>
      </c>
      <c r="C874" s="7" t="s">
        <v>306</v>
      </c>
      <c r="D874" s="8" t="s">
        <v>397</v>
      </c>
      <c r="E874" s="23" t="s">
        <v>361</v>
      </c>
      <c r="F874" s="8">
        <v>2013</v>
      </c>
      <c r="G874" s="8">
        <v>2015</v>
      </c>
      <c r="H874" s="5">
        <v>0.21000000000000002</v>
      </c>
      <c r="I874" s="5">
        <v>0.296991</v>
      </c>
      <c r="J874" s="5">
        <f>R874</f>
        <v>0.296991</v>
      </c>
      <c r="K874" s="8"/>
      <c r="L874" s="23" t="s">
        <v>361</v>
      </c>
      <c r="M874" s="8"/>
      <c r="N874" s="8"/>
      <c r="O874" s="8"/>
      <c r="P874" s="8"/>
      <c r="Q874" s="23" t="s">
        <v>361</v>
      </c>
      <c r="R874" s="113">
        <v>0.296991</v>
      </c>
      <c r="S874" s="113"/>
      <c r="T874" s="113"/>
      <c r="U874" s="113"/>
      <c r="V874" s="113"/>
      <c r="W874" s="113"/>
      <c r="X874" s="5">
        <f t="shared" si="175"/>
        <v>0.296991</v>
      </c>
      <c r="Y874" s="302">
        <f>H874-H875-H876</f>
        <v>0</v>
      </c>
      <c r="Z874" s="5">
        <f>I874-I875-I876</f>
        <v>0</v>
      </c>
      <c r="AA874" s="94">
        <f>J874-J875-J876</f>
        <v>0</v>
      </c>
      <c r="AB874" s="311">
        <f t="shared" si="176"/>
        <v>0</v>
      </c>
      <c r="AC874" s="296"/>
      <c r="AD874" s="113"/>
      <c r="AE874" s="5"/>
      <c r="AF874" s="5"/>
      <c r="AG874" s="5">
        <f>H874</f>
        <v>0.21000000000000002</v>
      </c>
      <c r="AH874" s="5"/>
      <c r="AI874" s="5"/>
      <c r="AJ874" s="5"/>
      <c r="AK874" s="141"/>
      <c r="AL874" s="94">
        <f>SUM(AF874:AK874)</f>
        <v>0.21000000000000002</v>
      </c>
      <c r="AM874" s="128"/>
      <c r="AN874" s="180"/>
      <c r="AO874" s="128">
        <v>0.12</v>
      </c>
      <c r="AP874" s="184">
        <v>0</v>
      </c>
      <c r="AQ874" s="128"/>
      <c r="AR874" s="184"/>
      <c r="AS874" s="128"/>
      <c r="AT874" s="184"/>
      <c r="AU874" s="128"/>
      <c r="AV874" s="184"/>
      <c r="AW874" s="128"/>
      <c r="AX874" s="184"/>
      <c r="AY874" s="111">
        <f>AM874+AO874+AQ874+AS874+AU874+AW874</f>
        <v>0.12</v>
      </c>
      <c r="AZ874" s="178">
        <f>AN874+AP874+AR874+AT874+AV874+AX874</f>
        <v>0</v>
      </c>
      <c r="BC874" s="47"/>
      <c r="BD874" s="47"/>
      <c r="BF874" s="113">
        <v>0.296991</v>
      </c>
      <c r="BG874" s="113"/>
      <c r="BH874" s="113"/>
      <c r="BI874" s="113"/>
      <c r="BJ874" s="113"/>
      <c r="BK874" s="113"/>
      <c r="BL874" s="5">
        <f t="shared" si="177"/>
        <v>0.296991</v>
      </c>
    </row>
    <row r="875" spans="1:64" s="2" customFormat="1" ht="14.1" customHeight="1" outlineLevel="1" x14ac:dyDescent="0.2">
      <c r="A875" s="594"/>
      <c r="B875" s="601"/>
      <c r="C875" s="7" t="s">
        <v>1553</v>
      </c>
      <c r="D875" s="8"/>
      <c r="E875" s="23"/>
      <c r="F875" s="8"/>
      <c r="G875" s="8"/>
      <c r="H875" s="5">
        <f>H874</f>
        <v>0.21000000000000002</v>
      </c>
      <c r="I875" s="5">
        <f>I874</f>
        <v>0.296991</v>
      </c>
      <c r="J875" s="5">
        <f>J874</f>
        <v>0.296991</v>
      </c>
      <c r="K875" s="8"/>
      <c r="L875" s="23"/>
      <c r="M875" s="8"/>
      <c r="N875" s="8"/>
      <c r="O875" s="8"/>
      <c r="P875" s="8"/>
      <c r="Q875" s="23"/>
      <c r="R875" s="113"/>
      <c r="S875" s="113"/>
      <c r="T875" s="113"/>
      <c r="U875" s="113"/>
      <c r="V875" s="113"/>
      <c r="W875" s="113"/>
      <c r="X875" s="5">
        <f t="shared" si="175"/>
        <v>0</v>
      </c>
      <c r="Y875" s="302"/>
      <c r="Z875" s="5"/>
      <c r="AA875" s="94"/>
      <c r="AB875" s="311">
        <f t="shared" si="176"/>
        <v>0.296991</v>
      </c>
      <c r="AC875" s="296"/>
      <c r="AD875" s="113"/>
      <c r="AE875" s="5"/>
      <c r="AF875" s="5"/>
      <c r="AG875" s="5"/>
      <c r="AH875" s="5"/>
      <c r="AI875" s="5"/>
      <c r="AJ875" s="5"/>
      <c r="AK875" s="141"/>
      <c r="AL875" s="94"/>
      <c r="AM875" s="128"/>
      <c r="AN875" s="180"/>
      <c r="AO875" s="128"/>
      <c r="AP875" s="184"/>
      <c r="AQ875" s="128"/>
      <c r="AR875" s="184"/>
      <c r="AS875" s="128"/>
      <c r="AT875" s="184"/>
      <c r="AU875" s="128"/>
      <c r="AV875" s="184"/>
      <c r="AW875" s="128"/>
      <c r="AX875" s="184"/>
      <c r="AY875" s="111"/>
      <c r="AZ875" s="178"/>
      <c r="BC875" s="47"/>
      <c r="BD875" s="47"/>
      <c r="BF875" s="113"/>
      <c r="BG875" s="113"/>
      <c r="BH875" s="113"/>
      <c r="BI875" s="113"/>
      <c r="BJ875" s="113"/>
      <c r="BK875" s="113"/>
      <c r="BL875" s="5">
        <f t="shared" si="177"/>
        <v>0</v>
      </c>
    </row>
    <row r="876" spans="1:64" s="2" customFormat="1" ht="14.1" customHeight="1" outlineLevel="1" x14ac:dyDescent="0.2">
      <c r="A876" s="595"/>
      <c r="B876" s="602"/>
      <c r="C876" s="7" t="s">
        <v>1554</v>
      </c>
      <c r="D876" s="8"/>
      <c r="E876" s="23"/>
      <c r="F876" s="8"/>
      <c r="G876" s="8"/>
      <c r="H876" s="5"/>
      <c r="I876" s="5"/>
      <c r="J876" s="5"/>
      <c r="K876" s="23"/>
      <c r="L876" s="8"/>
      <c r="M876" s="8"/>
      <c r="N876" s="8"/>
      <c r="O876" s="8"/>
      <c r="P876" s="8"/>
      <c r="Q876" s="23"/>
      <c r="R876" s="113"/>
      <c r="S876" s="113"/>
      <c r="T876" s="113"/>
      <c r="U876" s="113"/>
      <c r="V876" s="113"/>
      <c r="W876" s="113"/>
      <c r="X876" s="5">
        <f t="shared" si="175"/>
        <v>0</v>
      </c>
      <c r="Y876" s="302"/>
      <c r="Z876" s="5"/>
      <c r="AA876" s="94"/>
      <c r="AB876" s="311">
        <f t="shared" si="176"/>
        <v>0</v>
      </c>
      <c r="AC876" s="296"/>
      <c r="AD876" s="113"/>
      <c r="AE876" s="5"/>
      <c r="AF876" s="5"/>
      <c r="AG876" s="5"/>
      <c r="AH876" s="5"/>
      <c r="AI876" s="5"/>
      <c r="AJ876" s="5"/>
      <c r="AK876" s="141"/>
      <c r="AL876" s="94"/>
      <c r="AM876" s="128"/>
      <c r="AN876" s="180"/>
      <c r="AO876" s="128"/>
      <c r="AP876" s="184"/>
      <c r="AQ876" s="128"/>
      <c r="AR876" s="184"/>
      <c r="AS876" s="128"/>
      <c r="AT876" s="184"/>
      <c r="AU876" s="128"/>
      <c r="AV876" s="184"/>
      <c r="AW876" s="128"/>
      <c r="AX876" s="184"/>
      <c r="AY876" s="111"/>
      <c r="AZ876" s="178"/>
      <c r="BC876" s="47"/>
      <c r="BD876" s="47"/>
      <c r="BF876" s="113"/>
      <c r="BG876" s="113"/>
      <c r="BH876" s="113"/>
      <c r="BI876" s="113"/>
      <c r="BJ876" s="113"/>
      <c r="BK876" s="113"/>
      <c r="BL876" s="5">
        <f t="shared" si="177"/>
        <v>0</v>
      </c>
    </row>
    <row r="877" spans="1:64" s="2" customFormat="1" ht="89.25" customHeight="1" outlineLevel="1" x14ac:dyDescent="0.2">
      <c r="A877" s="593" t="s">
        <v>308</v>
      </c>
      <c r="B877" s="600" t="s">
        <v>292</v>
      </c>
      <c r="C877" s="7" t="s">
        <v>309</v>
      </c>
      <c r="D877" s="8" t="s">
        <v>397</v>
      </c>
      <c r="E877" s="23" t="s">
        <v>1241</v>
      </c>
      <c r="F877" s="8">
        <v>2013</v>
      </c>
      <c r="G877" s="8">
        <v>2015</v>
      </c>
      <c r="H877" s="5">
        <v>4.186206E-2</v>
      </c>
      <c r="I877" s="5">
        <v>3.8684000000000003E-2</v>
      </c>
      <c r="J877" s="5">
        <f>R877</f>
        <v>0.02</v>
      </c>
      <c r="K877" s="8"/>
      <c r="L877" s="23" t="s">
        <v>1241</v>
      </c>
      <c r="M877" s="8"/>
      <c r="N877" s="8"/>
      <c r="O877" s="8"/>
      <c r="P877" s="8"/>
      <c r="Q877" s="23" t="s">
        <v>1241</v>
      </c>
      <c r="R877" s="113">
        <v>0.02</v>
      </c>
      <c r="S877" s="113"/>
      <c r="T877" s="113"/>
      <c r="U877" s="113"/>
      <c r="V877" s="113"/>
      <c r="W877" s="113"/>
      <c r="X877" s="5">
        <f t="shared" si="175"/>
        <v>0.02</v>
      </c>
      <c r="Y877" s="302">
        <f>H877-H878-H879</f>
        <v>0</v>
      </c>
      <c r="Z877" s="5">
        <f>I877-I878-I879</f>
        <v>0</v>
      </c>
      <c r="AA877" s="94">
        <f>J877-J878-J879</f>
        <v>0</v>
      </c>
      <c r="AB877" s="311">
        <f t="shared" si="176"/>
        <v>1.8684000000000003E-2</v>
      </c>
      <c r="AC877" s="296"/>
      <c r="AD877" s="113"/>
      <c r="AE877" s="5"/>
      <c r="AF877" s="5"/>
      <c r="AG877" s="5">
        <f>H877</f>
        <v>4.186206E-2</v>
      </c>
      <c r="AH877" s="5"/>
      <c r="AI877" s="5"/>
      <c r="AJ877" s="5"/>
      <c r="AK877" s="141"/>
      <c r="AL877" s="94">
        <f>SUM(AF877:AK877)</f>
        <v>4.186206E-2</v>
      </c>
      <c r="AM877" s="128"/>
      <c r="AN877" s="180"/>
      <c r="AO877" s="128">
        <v>0</v>
      </c>
      <c r="AP877" s="184">
        <v>0</v>
      </c>
      <c r="AQ877" s="128"/>
      <c r="AR877" s="184"/>
      <c r="AS877" s="128"/>
      <c r="AT877" s="184"/>
      <c r="AU877" s="128"/>
      <c r="AV877" s="184"/>
      <c r="AW877" s="128"/>
      <c r="AX877" s="184"/>
      <c r="AY877" s="111">
        <f>AM877+AO877+AQ877+AS877+AU877+AW877</f>
        <v>0</v>
      </c>
      <c r="AZ877" s="178">
        <f>AN877+AP877+AR877+AT877+AV877+AX877</f>
        <v>0</v>
      </c>
      <c r="BC877" s="47"/>
      <c r="BD877" s="47"/>
      <c r="BF877" s="113">
        <v>0.02</v>
      </c>
      <c r="BG877" s="113"/>
      <c r="BH877" s="113"/>
      <c r="BI877" s="113"/>
      <c r="BJ877" s="113"/>
      <c r="BK877" s="113"/>
      <c r="BL877" s="5">
        <f t="shared" si="177"/>
        <v>0.02</v>
      </c>
    </row>
    <row r="878" spans="1:64" s="2" customFormat="1" ht="14.1" customHeight="1" outlineLevel="1" x14ac:dyDescent="0.2">
      <c r="A878" s="594"/>
      <c r="B878" s="601"/>
      <c r="C878" s="7" t="s">
        <v>1553</v>
      </c>
      <c r="D878" s="8"/>
      <c r="E878" s="23"/>
      <c r="F878" s="8"/>
      <c r="G878" s="8"/>
      <c r="H878" s="5"/>
      <c r="I878" s="5"/>
      <c r="J878" s="5"/>
      <c r="K878" s="8"/>
      <c r="L878" s="23"/>
      <c r="M878" s="8"/>
      <c r="N878" s="8"/>
      <c r="O878" s="8"/>
      <c r="P878" s="8"/>
      <c r="Q878" s="23"/>
      <c r="R878" s="113"/>
      <c r="S878" s="113"/>
      <c r="T878" s="113"/>
      <c r="U878" s="113"/>
      <c r="V878" s="113"/>
      <c r="W878" s="113"/>
      <c r="X878" s="5">
        <f>SUM(R878:W878)</f>
        <v>0</v>
      </c>
      <c r="Y878" s="302"/>
      <c r="Z878" s="5"/>
      <c r="AA878" s="94"/>
      <c r="AB878" s="311">
        <f t="shared" si="176"/>
        <v>0</v>
      </c>
      <c r="AC878" s="296"/>
      <c r="AD878" s="113"/>
      <c r="AE878" s="5"/>
      <c r="AF878" s="5"/>
      <c r="AG878" s="5"/>
      <c r="AH878" s="5"/>
      <c r="AI878" s="5"/>
      <c r="AJ878" s="5"/>
      <c r="AK878" s="141"/>
      <c r="AL878" s="94"/>
      <c r="AM878" s="128"/>
      <c r="AN878" s="180"/>
      <c r="AO878" s="128"/>
      <c r="AP878" s="184"/>
      <c r="AQ878" s="128"/>
      <c r="AR878" s="184"/>
      <c r="AS878" s="128"/>
      <c r="AT878" s="184"/>
      <c r="AU878" s="128"/>
      <c r="AV878" s="184"/>
      <c r="AW878" s="128"/>
      <c r="AX878" s="184"/>
      <c r="AY878" s="111"/>
      <c r="AZ878" s="178"/>
      <c r="BC878" s="47"/>
      <c r="BD878" s="47"/>
      <c r="BF878" s="113"/>
      <c r="BG878" s="113"/>
      <c r="BH878" s="113"/>
      <c r="BI878" s="113"/>
      <c r="BJ878" s="113"/>
      <c r="BK878" s="113"/>
      <c r="BL878" s="5">
        <f t="shared" si="177"/>
        <v>0</v>
      </c>
    </row>
    <row r="879" spans="1:64" s="2" customFormat="1" ht="14.1" customHeight="1" outlineLevel="1" x14ac:dyDescent="0.2">
      <c r="A879" s="595"/>
      <c r="B879" s="602"/>
      <c r="C879" s="7" t="s">
        <v>1554</v>
      </c>
      <c r="D879" s="8"/>
      <c r="E879" s="23"/>
      <c r="F879" s="8"/>
      <c r="G879" s="8"/>
      <c r="H879" s="5">
        <f>H877</f>
        <v>4.186206E-2</v>
      </c>
      <c r="I879" s="5">
        <f>I877</f>
        <v>3.8684000000000003E-2</v>
      </c>
      <c r="J879" s="5">
        <f>J877</f>
        <v>0.02</v>
      </c>
      <c r="K879" s="23"/>
      <c r="L879" s="8"/>
      <c r="M879" s="8"/>
      <c r="N879" s="8"/>
      <c r="O879" s="8"/>
      <c r="P879" s="8"/>
      <c r="Q879" s="23"/>
      <c r="R879" s="113"/>
      <c r="S879" s="113"/>
      <c r="T879" s="113"/>
      <c r="U879" s="113"/>
      <c r="V879" s="113"/>
      <c r="W879" s="113"/>
      <c r="X879" s="5">
        <f>SUM(R879:W879)</f>
        <v>0</v>
      </c>
      <c r="Y879" s="302"/>
      <c r="Z879" s="5"/>
      <c r="AA879" s="94"/>
      <c r="AB879" s="311">
        <f t="shared" si="176"/>
        <v>3.8684000000000003E-2</v>
      </c>
      <c r="AC879" s="296"/>
      <c r="AD879" s="113"/>
      <c r="AE879" s="5"/>
      <c r="AF879" s="5"/>
      <c r="AG879" s="5"/>
      <c r="AH879" s="5"/>
      <c r="AI879" s="5"/>
      <c r="AJ879" s="5"/>
      <c r="AK879" s="141"/>
      <c r="AL879" s="94"/>
      <c r="AM879" s="128"/>
      <c r="AN879" s="180"/>
      <c r="AO879" s="128"/>
      <c r="AP879" s="184"/>
      <c r="AQ879" s="128"/>
      <c r="AR879" s="184"/>
      <c r="AS879" s="128"/>
      <c r="AT879" s="184"/>
      <c r="AU879" s="128"/>
      <c r="AV879" s="184"/>
      <c r="AW879" s="128"/>
      <c r="AX879" s="184"/>
      <c r="AY879" s="111"/>
      <c r="AZ879" s="178"/>
      <c r="BC879" s="47"/>
      <c r="BD879" s="47"/>
      <c r="BF879" s="113"/>
      <c r="BG879" s="113"/>
      <c r="BH879" s="113"/>
      <c r="BI879" s="113"/>
      <c r="BJ879" s="113"/>
      <c r="BK879" s="113"/>
      <c r="BL879" s="5">
        <f t="shared" si="177"/>
        <v>0</v>
      </c>
    </row>
    <row r="880" spans="1:64" s="2" customFormat="1" ht="38.25" customHeight="1" outlineLevel="1" x14ac:dyDescent="0.2">
      <c r="A880" s="593" t="s">
        <v>311</v>
      </c>
      <c r="B880" s="600" t="s">
        <v>295</v>
      </c>
      <c r="C880" s="7" t="s">
        <v>312</v>
      </c>
      <c r="D880" s="8" t="s">
        <v>397</v>
      </c>
      <c r="E880" s="23" t="s">
        <v>1387</v>
      </c>
      <c r="F880" s="8">
        <v>2013</v>
      </c>
      <c r="G880" s="8">
        <v>2015</v>
      </c>
      <c r="H880" s="5">
        <v>1.01</v>
      </c>
      <c r="I880" s="5">
        <v>0.92974599999999996</v>
      </c>
      <c r="J880" s="5">
        <f>R880</f>
        <v>0</v>
      </c>
      <c r="K880" s="8"/>
      <c r="L880" s="23" t="s">
        <v>1387</v>
      </c>
      <c r="M880" s="8"/>
      <c r="N880" s="8"/>
      <c r="O880" s="8"/>
      <c r="P880" s="8"/>
      <c r="Q880" s="23" t="s">
        <v>1387</v>
      </c>
      <c r="R880" s="113">
        <v>0</v>
      </c>
      <c r="S880" s="113"/>
      <c r="T880" s="113"/>
      <c r="U880" s="113"/>
      <c r="V880" s="113"/>
      <c r="W880" s="113"/>
      <c r="X880" s="5">
        <f t="shared" si="175"/>
        <v>0</v>
      </c>
      <c r="Y880" s="302">
        <f>H880-H881-H882</f>
        <v>0</v>
      </c>
      <c r="Z880" s="5">
        <f>I880-I881-I882</f>
        <v>0</v>
      </c>
      <c r="AA880" s="94">
        <f>J880-J881-J882</f>
        <v>0</v>
      </c>
      <c r="AB880" s="311">
        <f t="shared" si="176"/>
        <v>0.92974599999999996</v>
      </c>
      <c r="AC880" s="296"/>
      <c r="AD880" s="113"/>
      <c r="AE880" s="5"/>
      <c r="AF880" s="5"/>
      <c r="AG880" s="5">
        <f>H880</f>
        <v>1.01</v>
      </c>
      <c r="AH880" s="5"/>
      <c r="AI880" s="5"/>
      <c r="AJ880" s="5"/>
      <c r="AK880" s="141"/>
      <c r="AL880" s="94">
        <f>SUM(AF880:AK880)</f>
        <v>1.01</v>
      </c>
      <c r="AM880" s="128"/>
      <c r="AN880" s="180"/>
      <c r="AO880" s="128">
        <v>0.5</v>
      </c>
      <c r="AP880" s="184">
        <v>0</v>
      </c>
      <c r="AQ880" s="128"/>
      <c r="AR880" s="184"/>
      <c r="AS880" s="128"/>
      <c r="AT880" s="184"/>
      <c r="AU880" s="128"/>
      <c r="AV880" s="184"/>
      <c r="AW880" s="128"/>
      <c r="AX880" s="184"/>
      <c r="AY880" s="111">
        <f>AM880+AO880+AQ880+AS880+AU880+AW880</f>
        <v>0.5</v>
      </c>
      <c r="AZ880" s="178">
        <f>AN880+AP880+AR880+AT880+AV880+AX880</f>
        <v>0</v>
      </c>
      <c r="BC880" s="47"/>
      <c r="BD880" s="47"/>
      <c r="BF880" s="113">
        <v>0</v>
      </c>
      <c r="BG880" s="113"/>
      <c r="BH880" s="113"/>
      <c r="BI880" s="113"/>
      <c r="BJ880" s="113"/>
      <c r="BK880" s="113"/>
      <c r="BL880" s="5">
        <f t="shared" si="177"/>
        <v>0</v>
      </c>
    </row>
    <row r="881" spans="1:64" s="2" customFormat="1" ht="14.1" customHeight="1" outlineLevel="1" x14ac:dyDescent="0.2">
      <c r="A881" s="594"/>
      <c r="B881" s="601"/>
      <c r="C881" s="7" t="s">
        <v>1553</v>
      </c>
      <c r="D881" s="8"/>
      <c r="E881" s="23"/>
      <c r="F881" s="8"/>
      <c r="G881" s="8"/>
      <c r="H881" s="5">
        <v>1.01</v>
      </c>
      <c r="I881" s="5">
        <v>0.92974599999999996</v>
      </c>
      <c r="J881" s="5">
        <f>R881</f>
        <v>0</v>
      </c>
      <c r="K881" s="8"/>
      <c r="L881" s="23"/>
      <c r="M881" s="8"/>
      <c r="N881" s="8"/>
      <c r="O881" s="8"/>
      <c r="P881" s="8"/>
      <c r="Q881" s="23"/>
      <c r="R881" s="113"/>
      <c r="S881" s="113"/>
      <c r="T881" s="113"/>
      <c r="U881" s="113"/>
      <c r="V881" s="113"/>
      <c r="W881" s="113"/>
      <c r="X881" s="5">
        <f t="shared" si="175"/>
        <v>0</v>
      </c>
      <c r="Y881" s="302"/>
      <c r="Z881" s="5"/>
      <c r="AA881" s="94"/>
      <c r="AB881" s="311">
        <f t="shared" si="176"/>
        <v>0.92974599999999996</v>
      </c>
      <c r="AC881" s="296"/>
      <c r="AD881" s="113"/>
      <c r="AE881" s="5"/>
      <c r="AF881" s="5"/>
      <c r="AG881" s="5"/>
      <c r="AH881" s="5"/>
      <c r="AI881" s="5"/>
      <c r="AJ881" s="5"/>
      <c r="AK881" s="141"/>
      <c r="AL881" s="94"/>
      <c r="AM881" s="128"/>
      <c r="AN881" s="180"/>
      <c r="AO881" s="128"/>
      <c r="AP881" s="184"/>
      <c r="AQ881" s="128"/>
      <c r="AR881" s="184"/>
      <c r="AS881" s="128"/>
      <c r="AT881" s="184"/>
      <c r="AU881" s="128"/>
      <c r="AV881" s="184"/>
      <c r="AW881" s="128"/>
      <c r="AX881" s="184"/>
      <c r="AY881" s="111"/>
      <c r="AZ881" s="178"/>
      <c r="BC881" s="47"/>
      <c r="BD881" s="47"/>
      <c r="BF881" s="113"/>
      <c r="BG881" s="113"/>
      <c r="BH881" s="113"/>
      <c r="BI881" s="113"/>
      <c r="BJ881" s="113"/>
      <c r="BK881" s="113"/>
      <c r="BL881" s="5">
        <f t="shared" si="177"/>
        <v>0</v>
      </c>
    </row>
    <row r="882" spans="1:64" s="2" customFormat="1" ht="14.1" customHeight="1" outlineLevel="1" x14ac:dyDescent="0.2">
      <c r="A882" s="595"/>
      <c r="B882" s="602"/>
      <c r="C882" s="7" t="s">
        <v>1554</v>
      </c>
      <c r="D882" s="8"/>
      <c r="E882" s="23"/>
      <c r="F882" s="8"/>
      <c r="G882" s="8"/>
      <c r="H882" s="5"/>
      <c r="I882" s="5"/>
      <c r="J882" s="5"/>
      <c r="K882" s="23"/>
      <c r="L882" s="8"/>
      <c r="M882" s="8"/>
      <c r="N882" s="8"/>
      <c r="O882" s="8"/>
      <c r="P882" s="8"/>
      <c r="Q882" s="23"/>
      <c r="R882" s="113"/>
      <c r="S882" s="113"/>
      <c r="T882" s="113"/>
      <c r="U882" s="113"/>
      <c r="V882" s="113"/>
      <c r="W882" s="113"/>
      <c r="X882" s="5">
        <f t="shared" si="175"/>
        <v>0</v>
      </c>
      <c r="Y882" s="302"/>
      <c r="Z882" s="5"/>
      <c r="AA882" s="94"/>
      <c r="AB882" s="311">
        <f t="shared" si="176"/>
        <v>0</v>
      </c>
      <c r="AC882" s="296"/>
      <c r="AD882" s="113"/>
      <c r="AE882" s="5"/>
      <c r="AF882" s="5"/>
      <c r="AG882" s="5"/>
      <c r="AH882" s="5"/>
      <c r="AI882" s="5"/>
      <c r="AJ882" s="5"/>
      <c r="AK882" s="141"/>
      <c r="AL882" s="94"/>
      <c r="AM882" s="128"/>
      <c r="AN882" s="180"/>
      <c r="AO882" s="128"/>
      <c r="AP882" s="184"/>
      <c r="AQ882" s="128"/>
      <c r="AR882" s="184"/>
      <c r="AS882" s="128"/>
      <c r="AT882" s="184"/>
      <c r="AU882" s="128"/>
      <c r="AV882" s="184"/>
      <c r="AW882" s="128"/>
      <c r="AX882" s="184"/>
      <c r="AY882" s="111"/>
      <c r="AZ882" s="178"/>
      <c r="BC882" s="47"/>
      <c r="BD882" s="47"/>
      <c r="BF882" s="113"/>
      <c r="BG882" s="113"/>
      <c r="BH882" s="113"/>
      <c r="BI882" s="113"/>
      <c r="BJ882" s="113"/>
      <c r="BK882" s="113"/>
      <c r="BL882" s="5">
        <f t="shared" si="177"/>
        <v>0</v>
      </c>
    </row>
    <row r="883" spans="1:64" s="2" customFormat="1" ht="89.25" customHeight="1" outlineLevel="1" x14ac:dyDescent="0.2">
      <c r="A883" s="593" t="s">
        <v>314</v>
      </c>
      <c r="B883" s="600" t="s">
        <v>298</v>
      </c>
      <c r="C883" s="7" t="s">
        <v>315</v>
      </c>
      <c r="D883" s="8" t="s">
        <v>397</v>
      </c>
      <c r="E883" s="23" t="s">
        <v>1241</v>
      </c>
      <c r="F883" s="8">
        <v>2013</v>
      </c>
      <c r="G883" s="8">
        <v>2015</v>
      </c>
      <c r="H883" s="5">
        <v>0.04</v>
      </c>
      <c r="I883" s="5">
        <v>0.04</v>
      </c>
      <c r="J883" s="5">
        <f>R883</f>
        <v>0.02</v>
      </c>
      <c r="K883" s="8"/>
      <c r="L883" s="23" t="s">
        <v>1241</v>
      </c>
      <c r="M883" s="8"/>
      <c r="N883" s="8"/>
      <c r="O883" s="8"/>
      <c r="P883" s="8"/>
      <c r="Q883" s="23" t="s">
        <v>1241</v>
      </c>
      <c r="R883" s="113">
        <v>0.02</v>
      </c>
      <c r="S883" s="113"/>
      <c r="T883" s="113"/>
      <c r="U883" s="113"/>
      <c r="V883" s="113"/>
      <c r="W883" s="113"/>
      <c r="X883" s="5">
        <f t="shared" si="175"/>
        <v>0.02</v>
      </c>
      <c r="Y883" s="302">
        <f>H883-H884-H885</f>
        <v>0</v>
      </c>
      <c r="Z883" s="5">
        <f>I883-I884-I885</f>
        <v>0</v>
      </c>
      <c r="AA883" s="94">
        <f>J883-J884-J885</f>
        <v>0</v>
      </c>
      <c r="AB883" s="311">
        <f t="shared" si="176"/>
        <v>0.02</v>
      </c>
      <c r="AC883" s="296"/>
      <c r="AD883" s="113"/>
      <c r="AE883" s="5"/>
      <c r="AF883" s="5"/>
      <c r="AG883" s="5">
        <f>H883</f>
        <v>0.04</v>
      </c>
      <c r="AH883" s="5"/>
      <c r="AI883" s="5"/>
      <c r="AJ883" s="5"/>
      <c r="AK883" s="141"/>
      <c r="AL883" s="94">
        <f>SUM(AF883:AK883)</f>
        <v>0.04</v>
      </c>
      <c r="AM883" s="128"/>
      <c r="AN883" s="180"/>
      <c r="AO883" s="128">
        <v>0</v>
      </c>
      <c r="AP883" s="184">
        <v>0</v>
      </c>
      <c r="AQ883" s="128"/>
      <c r="AR883" s="184"/>
      <c r="AS883" s="128"/>
      <c r="AT883" s="184"/>
      <c r="AU883" s="128"/>
      <c r="AV883" s="184"/>
      <c r="AW883" s="128"/>
      <c r="AX883" s="184"/>
      <c r="AY883" s="111">
        <f>AM883+AO883+AQ883+AS883+AU883+AW883</f>
        <v>0</v>
      </c>
      <c r="AZ883" s="178">
        <f>AN883+AP883+AR883+AT883+AV883+AX883</f>
        <v>0</v>
      </c>
      <c r="BC883" s="47"/>
      <c r="BD883" s="47"/>
      <c r="BF883" s="113">
        <v>0.02</v>
      </c>
      <c r="BG883" s="113"/>
      <c r="BH883" s="113"/>
      <c r="BI883" s="113"/>
      <c r="BJ883" s="113"/>
      <c r="BK883" s="113"/>
      <c r="BL883" s="5">
        <f t="shared" si="177"/>
        <v>0.02</v>
      </c>
    </row>
    <row r="884" spans="1:64" s="2" customFormat="1" ht="14.1" customHeight="1" outlineLevel="1" x14ac:dyDescent="0.2">
      <c r="A884" s="594"/>
      <c r="B884" s="601"/>
      <c r="C884" s="7" t="s">
        <v>1553</v>
      </c>
      <c r="D884" s="8"/>
      <c r="E884" s="23"/>
      <c r="F884" s="8"/>
      <c r="G884" s="8"/>
      <c r="H884" s="5"/>
      <c r="I884" s="5"/>
      <c r="J884" s="5"/>
      <c r="K884" s="8"/>
      <c r="L884" s="23"/>
      <c r="M884" s="8"/>
      <c r="N884" s="8"/>
      <c r="O884" s="8"/>
      <c r="P884" s="8"/>
      <c r="Q884" s="23"/>
      <c r="R884" s="113"/>
      <c r="S884" s="113"/>
      <c r="T884" s="113"/>
      <c r="U884" s="113"/>
      <c r="V884" s="113"/>
      <c r="W884" s="113"/>
      <c r="X884" s="5">
        <f>SUM(R884:W884)</f>
        <v>0</v>
      </c>
      <c r="Y884" s="302"/>
      <c r="Z884" s="5"/>
      <c r="AA884" s="94"/>
      <c r="AB884" s="311">
        <f t="shared" si="176"/>
        <v>0</v>
      </c>
      <c r="AC884" s="296"/>
      <c r="AD884" s="113"/>
      <c r="AE884" s="5"/>
      <c r="AF884" s="5"/>
      <c r="AG884" s="5"/>
      <c r="AH884" s="5"/>
      <c r="AI884" s="5"/>
      <c r="AJ884" s="5"/>
      <c r="AK884" s="141"/>
      <c r="AL884" s="94"/>
      <c r="AM884" s="128"/>
      <c r="AN884" s="180"/>
      <c r="AO884" s="128"/>
      <c r="AP884" s="184"/>
      <c r="AQ884" s="128"/>
      <c r="AR884" s="184"/>
      <c r="AS884" s="128"/>
      <c r="AT884" s="184"/>
      <c r="AU884" s="128"/>
      <c r="AV884" s="184"/>
      <c r="AW884" s="128"/>
      <c r="AX884" s="184"/>
      <c r="AY884" s="111"/>
      <c r="AZ884" s="178"/>
      <c r="BC884" s="47"/>
      <c r="BD884" s="47"/>
      <c r="BF884" s="113"/>
      <c r="BG884" s="113"/>
      <c r="BH884" s="113"/>
      <c r="BI884" s="113"/>
      <c r="BJ884" s="113"/>
      <c r="BK884" s="113"/>
      <c r="BL884" s="5">
        <f t="shared" si="177"/>
        <v>0</v>
      </c>
    </row>
    <row r="885" spans="1:64" s="2" customFormat="1" ht="14.1" customHeight="1" outlineLevel="1" x14ac:dyDescent="0.2">
      <c r="A885" s="595"/>
      <c r="B885" s="602"/>
      <c r="C885" s="7" t="s">
        <v>1554</v>
      </c>
      <c r="D885" s="8"/>
      <c r="E885" s="23"/>
      <c r="F885" s="8"/>
      <c r="G885" s="8"/>
      <c r="H885" s="5">
        <v>0.04</v>
      </c>
      <c r="I885" s="5">
        <v>0.04</v>
      </c>
      <c r="J885" s="5">
        <v>0.02</v>
      </c>
      <c r="K885" s="23"/>
      <c r="L885" s="8"/>
      <c r="M885" s="8"/>
      <c r="N885" s="8"/>
      <c r="O885" s="8"/>
      <c r="P885" s="8"/>
      <c r="Q885" s="23"/>
      <c r="R885" s="113"/>
      <c r="S885" s="113"/>
      <c r="T885" s="113"/>
      <c r="U885" s="113"/>
      <c r="V885" s="113"/>
      <c r="W885" s="113"/>
      <c r="X885" s="5">
        <f>SUM(R885:W885)</f>
        <v>0</v>
      </c>
      <c r="Y885" s="302"/>
      <c r="Z885" s="5"/>
      <c r="AA885" s="94"/>
      <c r="AB885" s="311">
        <f t="shared" si="176"/>
        <v>0.04</v>
      </c>
      <c r="AC885" s="296"/>
      <c r="AD885" s="113"/>
      <c r="AE885" s="5"/>
      <c r="AF885" s="5"/>
      <c r="AG885" s="5"/>
      <c r="AH885" s="5"/>
      <c r="AI885" s="5"/>
      <c r="AJ885" s="5"/>
      <c r="AK885" s="141"/>
      <c r="AL885" s="94"/>
      <c r="AM885" s="128"/>
      <c r="AN885" s="180"/>
      <c r="AO885" s="128"/>
      <c r="AP885" s="184"/>
      <c r="AQ885" s="128"/>
      <c r="AR885" s="184"/>
      <c r="AS885" s="128"/>
      <c r="AT885" s="184"/>
      <c r="AU885" s="128"/>
      <c r="AV885" s="184"/>
      <c r="AW885" s="128"/>
      <c r="AX885" s="184"/>
      <c r="AY885" s="111"/>
      <c r="AZ885" s="178"/>
      <c r="BC885" s="47"/>
      <c r="BD885" s="47"/>
      <c r="BF885" s="113"/>
      <c r="BG885" s="113"/>
      <c r="BH885" s="113"/>
      <c r="BI885" s="113"/>
      <c r="BJ885" s="113"/>
      <c r="BK885" s="113"/>
      <c r="BL885" s="5">
        <f t="shared" si="177"/>
        <v>0</v>
      </c>
    </row>
    <row r="886" spans="1:64" s="2" customFormat="1" ht="76.5" customHeight="1" outlineLevel="1" x14ac:dyDescent="0.2">
      <c r="A886" s="593" t="s">
        <v>317</v>
      </c>
      <c r="B886" s="600" t="s">
        <v>301</v>
      </c>
      <c r="C886" s="7" t="s">
        <v>318</v>
      </c>
      <c r="D886" s="8" t="s">
        <v>397</v>
      </c>
      <c r="E886" s="23" t="s">
        <v>1241</v>
      </c>
      <c r="F886" s="8">
        <v>2013</v>
      </c>
      <c r="G886" s="8">
        <v>2015</v>
      </c>
      <c r="H886" s="5">
        <v>0.27138667999999999</v>
      </c>
      <c r="I886" s="5">
        <v>0.101816</v>
      </c>
      <c r="J886" s="5">
        <f>R886</f>
        <v>0</v>
      </c>
      <c r="K886" s="8"/>
      <c r="L886" s="23" t="s">
        <v>1241</v>
      </c>
      <c r="M886" s="8"/>
      <c r="N886" s="8"/>
      <c r="O886" s="8"/>
      <c r="P886" s="8"/>
      <c r="Q886" s="23" t="s">
        <v>1241</v>
      </c>
      <c r="R886" s="113">
        <v>0</v>
      </c>
      <c r="S886" s="113"/>
      <c r="T886" s="113"/>
      <c r="U886" s="113"/>
      <c r="V886" s="113"/>
      <c r="W886" s="113"/>
      <c r="X886" s="5">
        <f t="shared" si="175"/>
        <v>0</v>
      </c>
      <c r="Y886" s="302">
        <f>H886-H887-H888</f>
        <v>0</v>
      </c>
      <c r="Z886" s="5">
        <f>I886-I887-I888</f>
        <v>0</v>
      </c>
      <c r="AA886" s="94">
        <f>J886-J887-J888</f>
        <v>0</v>
      </c>
      <c r="AB886" s="311">
        <f t="shared" si="176"/>
        <v>0.101816</v>
      </c>
      <c r="AC886" s="296"/>
      <c r="AD886" s="113"/>
      <c r="AE886" s="5"/>
      <c r="AF886" s="5"/>
      <c r="AG886" s="5">
        <f>H886</f>
        <v>0.27138667999999999</v>
      </c>
      <c r="AH886" s="5"/>
      <c r="AI886" s="5"/>
      <c r="AJ886" s="5"/>
      <c r="AK886" s="141"/>
      <c r="AL886" s="94">
        <f>SUM(AF886:AK886)</f>
        <v>0.27138667999999999</v>
      </c>
      <c r="AM886" s="128"/>
      <c r="AN886" s="180"/>
      <c r="AO886" s="128">
        <v>0</v>
      </c>
      <c r="AP886" s="184">
        <v>0</v>
      </c>
      <c r="AQ886" s="128"/>
      <c r="AR886" s="184"/>
      <c r="AS886" s="128"/>
      <c r="AT886" s="184"/>
      <c r="AU886" s="128"/>
      <c r="AV886" s="184"/>
      <c r="AW886" s="128"/>
      <c r="AX886" s="184"/>
      <c r="AY886" s="111">
        <f>AM886+AO886+AQ886+AS886+AU886+AW886</f>
        <v>0</v>
      </c>
      <c r="AZ886" s="178">
        <f>AN886+AP886+AR886+AT886+AV886+AX886</f>
        <v>0</v>
      </c>
      <c r="BC886" s="47"/>
      <c r="BD886" s="47"/>
      <c r="BF886" s="113">
        <v>0</v>
      </c>
      <c r="BG886" s="113"/>
      <c r="BH886" s="113"/>
      <c r="BI886" s="113"/>
      <c r="BJ886" s="113"/>
      <c r="BK886" s="113"/>
      <c r="BL886" s="5">
        <f t="shared" si="177"/>
        <v>0</v>
      </c>
    </row>
    <row r="887" spans="1:64" s="2" customFormat="1" ht="15.75" customHeight="1" outlineLevel="1" x14ac:dyDescent="0.2">
      <c r="A887" s="594"/>
      <c r="B887" s="601"/>
      <c r="C887" s="7" t="s">
        <v>1553</v>
      </c>
      <c r="D887" s="8"/>
      <c r="E887" s="23"/>
      <c r="F887" s="8"/>
      <c r="G887" s="8"/>
      <c r="H887" s="5"/>
      <c r="I887" s="5"/>
      <c r="J887" s="5"/>
      <c r="K887" s="8"/>
      <c r="L887" s="23"/>
      <c r="M887" s="8"/>
      <c r="N887" s="8"/>
      <c r="O887" s="8"/>
      <c r="P887" s="8"/>
      <c r="Q887" s="23"/>
      <c r="R887" s="113"/>
      <c r="S887" s="113"/>
      <c r="T887" s="113"/>
      <c r="U887" s="113"/>
      <c r="V887" s="113"/>
      <c r="W887" s="113"/>
      <c r="X887" s="5">
        <f t="shared" si="175"/>
        <v>0</v>
      </c>
      <c r="Y887" s="302"/>
      <c r="Z887" s="5"/>
      <c r="AA887" s="94"/>
      <c r="AB887" s="311">
        <f t="shared" si="176"/>
        <v>0</v>
      </c>
      <c r="AC887" s="296"/>
      <c r="AD887" s="113"/>
      <c r="AE887" s="5"/>
      <c r="AF887" s="5"/>
      <c r="AG887" s="5"/>
      <c r="AH887" s="5"/>
      <c r="AI887" s="5"/>
      <c r="AJ887" s="5"/>
      <c r="AK887" s="141"/>
      <c r="AL887" s="94"/>
      <c r="AM887" s="128"/>
      <c r="AN887" s="180"/>
      <c r="AO887" s="128"/>
      <c r="AP887" s="184"/>
      <c r="AQ887" s="128"/>
      <c r="AR887" s="184"/>
      <c r="AS887" s="128"/>
      <c r="AT887" s="184"/>
      <c r="AU887" s="128"/>
      <c r="AV887" s="184"/>
      <c r="AW887" s="128"/>
      <c r="AX887" s="184"/>
      <c r="AY887" s="111"/>
      <c r="AZ887" s="178"/>
      <c r="BC887" s="47"/>
      <c r="BD887" s="47"/>
      <c r="BF887" s="113"/>
      <c r="BG887" s="113"/>
      <c r="BH887" s="113"/>
      <c r="BI887" s="113"/>
      <c r="BJ887" s="113"/>
      <c r="BK887" s="113"/>
      <c r="BL887" s="5">
        <f t="shared" si="177"/>
        <v>0</v>
      </c>
    </row>
    <row r="888" spans="1:64" s="2" customFormat="1" ht="15.75" customHeight="1" outlineLevel="1" x14ac:dyDescent="0.2">
      <c r="A888" s="595"/>
      <c r="B888" s="602"/>
      <c r="C888" s="7" t="s">
        <v>1554</v>
      </c>
      <c r="D888" s="8"/>
      <c r="E888" s="23"/>
      <c r="F888" s="8"/>
      <c r="G888" s="8"/>
      <c r="H888" s="5">
        <f>H886</f>
        <v>0.27138667999999999</v>
      </c>
      <c r="I888" s="5">
        <f>I886</f>
        <v>0.101816</v>
      </c>
      <c r="J888" s="5">
        <f>J886</f>
        <v>0</v>
      </c>
      <c r="K888" s="23"/>
      <c r="L888" s="8"/>
      <c r="M888" s="8"/>
      <c r="N888" s="8"/>
      <c r="O888" s="8"/>
      <c r="P888" s="8"/>
      <c r="Q888" s="23"/>
      <c r="R888" s="113"/>
      <c r="S888" s="113"/>
      <c r="T888" s="113"/>
      <c r="U888" s="113"/>
      <c r="V888" s="113"/>
      <c r="W888" s="113"/>
      <c r="X888" s="5">
        <f t="shared" si="175"/>
        <v>0</v>
      </c>
      <c r="Y888" s="302"/>
      <c r="Z888" s="5"/>
      <c r="AA888" s="94"/>
      <c r="AB888" s="311">
        <f t="shared" si="176"/>
        <v>0.101816</v>
      </c>
      <c r="AC888" s="296"/>
      <c r="AD888" s="113"/>
      <c r="AE888" s="5"/>
      <c r="AF888" s="5"/>
      <c r="AG888" s="5"/>
      <c r="AH888" s="5"/>
      <c r="AI888" s="5"/>
      <c r="AJ888" s="5"/>
      <c r="AK888" s="141"/>
      <c r="AL888" s="94"/>
      <c r="AM888" s="128"/>
      <c r="AN888" s="180"/>
      <c r="AO888" s="128"/>
      <c r="AP888" s="184"/>
      <c r="AQ888" s="128"/>
      <c r="AR888" s="184"/>
      <c r="AS888" s="128"/>
      <c r="AT888" s="184"/>
      <c r="AU888" s="128"/>
      <c r="AV888" s="184"/>
      <c r="AW888" s="128"/>
      <c r="AX888" s="184"/>
      <c r="AY888" s="111"/>
      <c r="AZ888" s="178"/>
      <c r="BC888" s="47"/>
      <c r="BD888" s="47"/>
      <c r="BF888" s="113"/>
      <c r="BG888" s="113"/>
      <c r="BH888" s="113"/>
      <c r="BI888" s="113"/>
      <c r="BJ888" s="113"/>
      <c r="BK888" s="113"/>
      <c r="BL888" s="5">
        <f t="shared" si="177"/>
        <v>0</v>
      </c>
    </row>
    <row r="889" spans="1:64" s="2" customFormat="1" ht="65.099999999999994" customHeight="1" outlineLevel="1" x14ac:dyDescent="0.2">
      <c r="A889" s="593" t="s">
        <v>320</v>
      </c>
      <c r="B889" s="600" t="s">
        <v>304</v>
      </c>
      <c r="C889" s="7" t="s">
        <v>564</v>
      </c>
      <c r="D889" s="8" t="s">
        <v>397</v>
      </c>
      <c r="E889" s="23" t="s">
        <v>1241</v>
      </c>
      <c r="F889" s="8">
        <v>2013</v>
      </c>
      <c r="G889" s="8">
        <v>2015</v>
      </c>
      <c r="H889" s="5">
        <v>3.9843999999999997E-2</v>
      </c>
      <c r="I889" s="5">
        <v>3.9E-2</v>
      </c>
      <c r="J889" s="5">
        <f>R889</f>
        <v>0.02</v>
      </c>
      <c r="K889" s="8"/>
      <c r="L889" s="23" t="s">
        <v>1241</v>
      </c>
      <c r="M889" s="8"/>
      <c r="N889" s="8"/>
      <c r="O889" s="8"/>
      <c r="P889" s="8"/>
      <c r="Q889" s="23" t="s">
        <v>1241</v>
      </c>
      <c r="R889" s="113">
        <v>0.02</v>
      </c>
      <c r="S889" s="113"/>
      <c r="T889" s="113"/>
      <c r="U889" s="113"/>
      <c r="V889" s="113"/>
      <c r="W889" s="113"/>
      <c r="X889" s="5">
        <f t="shared" si="175"/>
        <v>0.02</v>
      </c>
      <c r="Y889" s="302">
        <f>H889-H890-H891</f>
        <v>0</v>
      </c>
      <c r="Z889" s="5">
        <f>I889-I890-I891</f>
        <v>0</v>
      </c>
      <c r="AA889" s="94">
        <f>J889-J890-J891</f>
        <v>0</v>
      </c>
      <c r="AB889" s="311">
        <f t="shared" si="176"/>
        <v>1.9E-2</v>
      </c>
      <c r="AC889" s="296"/>
      <c r="AD889" s="113"/>
      <c r="AE889" s="5"/>
      <c r="AF889" s="5"/>
      <c r="AG889" s="5">
        <f>H889</f>
        <v>3.9843999999999997E-2</v>
      </c>
      <c r="AH889" s="5"/>
      <c r="AI889" s="5"/>
      <c r="AJ889" s="5"/>
      <c r="AK889" s="141"/>
      <c r="AL889" s="94">
        <f>SUM(AF889:AK889)</f>
        <v>3.9843999999999997E-2</v>
      </c>
      <c r="AM889" s="128"/>
      <c r="AN889" s="180"/>
      <c r="AO889" s="128">
        <v>0</v>
      </c>
      <c r="AP889" s="184">
        <v>0</v>
      </c>
      <c r="AQ889" s="128"/>
      <c r="AR889" s="184"/>
      <c r="AS889" s="128"/>
      <c r="AT889" s="184"/>
      <c r="AU889" s="128"/>
      <c r="AV889" s="184"/>
      <c r="AW889" s="128"/>
      <c r="AX889" s="184"/>
      <c r="AY889" s="111">
        <f>AM889+AO889+AQ889+AS889+AU889+AW889</f>
        <v>0</v>
      </c>
      <c r="AZ889" s="178">
        <f>AN889+AP889+AR889+AT889+AV889+AX889</f>
        <v>0</v>
      </c>
      <c r="BC889" s="47"/>
      <c r="BD889" s="47"/>
      <c r="BF889" s="113">
        <v>0.02</v>
      </c>
      <c r="BG889" s="113"/>
      <c r="BH889" s="113"/>
      <c r="BI889" s="113"/>
      <c r="BJ889" s="113"/>
      <c r="BK889" s="113"/>
      <c r="BL889" s="5">
        <f t="shared" si="177"/>
        <v>0.02</v>
      </c>
    </row>
    <row r="890" spans="1:64" s="2" customFormat="1" ht="15.75" customHeight="1" outlineLevel="1" x14ac:dyDescent="0.2">
      <c r="A890" s="594"/>
      <c r="B890" s="601"/>
      <c r="C890" s="7" t="s">
        <v>1553</v>
      </c>
      <c r="D890" s="8"/>
      <c r="E890" s="23"/>
      <c r="F890" s="8"/>
      <c r="G890" s="8"/>
      <c r="H890" s="5"/>
      <c r="I890" s="5"/>
      <c r="J890" s="5"/>
      <c r="K890" s="8"/>
      <c r="L890" s="23"/>
      <c r="M890" s="8"/>
      <c r="N890" s="8"/>
      <c r="O890" s="8"/>
      <c r="P890" s="8"/>
      <c r="Q890" s="23"/>
      <c r="R890" s="113"/>
      <c r="S890" s="113"/>
      <c r="T890" s="113"/>
      <c r="U890" s="113"/>
      <c r="V890" s="113"/>
      <c r="W890" s="113"/>
      <c r="X890" s="5">
        <f>SUM(R890:W890)</f>
        <v>0</v>
      </c>
      <c r="Y890" s="302"/>
      <c r="Z890" s="5"/>
      <c r="AA890" s="94"/>
      <c r="AB890" s="311">
        <f t="shared" si="176"/>
        <v>0</v>
      </c>
      <c r="AC890" s="296"/>
      <c r="AD890" s="113"/>
      <c r="AE890" s="5"/>
      <c r="AF890" s="5"/>
      <c r="AG890" s="5"/>
      <c r="AH890" s="5"/>
      <c r="AI890" s="5"/>
      <c r="AJ890" s="5"/>
      <c r="AK890" s="141"/>
      <c r="AL890" s="94"/>
      <c r="AM890" s="128"/>
      <c r="AN890" s="180"/>
      <c r="AO890" s="128"/>
      <c r="AP890" s="184"/>
      <c r="AQ890" s="128"/>
      <c r="AR890" s="184"/>
      <c r="AS890" s="128"/>
      <c r="AT890" s="184"/>
      <c r="AU890" s="128"/>
      <c r="AV890" s="184"/>
      <c r="AW890" s="128"/>
      <c r="AX890" s="184"/>
      <c r="AY890" s="111"/>
      <c r="AZ890" s="178"/>
      <c r="BC890" s="47"/>
      <c r="BD890" s="47"/>
      <c r="BF890" s="113"/>
      <c r="BG890" s="113"/>
      <c r="BH890" s="113"/>
      <c r="BI890" s="113"/>
      <c r="BJ890" s="113"/>
      <c r="BK890" s="113"/>
      <c r="BL890" s="5">
        <f t="shared" si="177"/>
        <v>0</v>
      </c>
    </row>
    <row r="891" spans="1:64" s="2" customFormat="1" ht="15.75" customHeight="1" outlineLevel="1" x14ac:dyDescent="0.2">
      <c r="A891" s="595"/>
      <c r="B891" s="602"/>
      <c r="C891" s="7" t="s">
        <v>1554</v>
      </c>
      <c r="D891" s="8"/>
      <c r="E891" s="23"/>
      <c r="F891" s="8"/>
      <c r="G891" s="8"/>
      <c r="H891" s="5">
        <f>H889</f>
        <v>3.9843999999999997E-2</v>
      </c>
      <c r="I891" s="5">
        <f>I889</f>
        <v>3.9E-2</v>
      </c>
      <c r="J891" s="5">
        <f>J889</f>
        <v>0.02</v>
      </c>
      <c r="K891" s="23"/>
      <c r="L891" s="8"/>
      <c r="M891" s="8"/>
      <c r="N891" s="8"/>
      <c r="O891" s="8"/>
      <c r="P891" s="8"/>
      <c r="Q891" s="23"/>
      <c r="R891" s="113"/>
      <c r="S891" s="113"/>
      <c r="T891" s="113"/>
      <c r="U891" s="113"/>
      <c r="V891" s="113"/>
      <c r="W891" s="113"/>
      <c r="X891" s="5">
        <f>SUM(R891:W891)</f>
        <v>0</v>
      </c>
      <c r="Y891" s="302"/>
      <c r="Z891" s="5"/>
      <c r="AA891" s="94"/>
      <c r="AB891" s="311">
        <f t="shared" si="176"/>
        <v>3.9E-2</v>
      </c>
      <c r="AC891" s="296"/>
      <c r="AD891" s="113"/>
      <c r="AE891" s="5"/>
      <c r="AF891" s="5"/>
      <c r="AG891" s="5"/>
      <c r="AH891" s="5"/>
      <c r="AI891" s="5"/>
      <c r="AJ891" s="5"/>
      <c r="AK891" s="141"/>
      <c r="AL891" s="94"/>
      <c r="AM891" s="128"/>
      <c r="AN891" s="180"/>
      <c r="AO891" s="128"/>
      <c r="AP891" s="184"/>
      <c r="AQ891" s="128"/>
      <c r="AR891" s="184"/>
      <c r="AS891" s="128"/>
      <c r="AT891" s="184"/>
      <c r="AU891" s="128"/>
      <c r="AV891" s="184"/>
      <c r="AW891" s="128"/>
      <c r="AX891" s="184"/>
      <c r="AY891" s="111"/>
      <c r="AZ891" s="178"/>
      <c r="BC891" s="47"/>
      <c r="BD891" s="47"/>
      <c r="BF891" s="113"/>
      <c r="BG891" s="113"/>
      <c r="BH891" s="113"/>
      <c r="BI891" s="113"/>
      <c r="BJ891" s="113"/>
      <c r="BK891" s="113"/>
      <c r="BL891" s="5">
        <f t="shared" si="177"/>
        <v>0</v>
      </c>
    </row>
    <row r="892" spans="1:64" s="2" customFormat="1" ht="63.75" outlineLevel="1" x14ac:dyDescent="0.2">
      <c r="A892" s="593" t="s">
        <v>322</v>
      </c>
      <c r="B892" s="600" t="s">
        <v>307</v>
      </c>
      <c r="C892" s="7" t="s">
        <v>323</v>
      </c>
      <c r="D892" s="8" t="s">
        <v>397</v>
      </c>
      <c r="E892" s="23" t="s">
        <v>1241</v>
      </c>
      <c r="F892" s="8">
        <v>2013</v>
      </c>
      <c r="G892" s="8">
        <v>2014</v>
      </c>
      <c r="H892" s="5">
        <v>0.04</v>
      </c>
      <c r="I892" s="5">
        <v>0.02</v>
      </c>
      <c r="J892" s="5">
        <f>R892</f>
        <v>0.02</v>
      </c>
      <c r="K892" s="23" t="s">
        <v>1241</v>
      </c>
      <c r="L892" s="8"/>
      <c r="M892" s="8"/>
      <c r="N892" s="8"/>
      <c r="O892" s="8"/>
      <c r="P892" s="8"/>
      <c r="Q892" s="23" t="s">
        <v>1241</v>
      </c>
      <c r="R892" s="113">
        <v>0.02</v>
      </c>
      <c r="S892" s="113"/>
      <c r="T892" s="113"/>
      <c r="U892" s="113"/>
      <c r="V892" s="113"/>
      <c r="W892" s="113"/>
      <c r="X892" s="5">
        <f t="shared" si="175"/>
        <v>0.02</v>
      </c>
      <c r="Y892" s="302">
        <f>H892-H893-H894</f>
        <v>0</v>
      </c>
      <c r="Z892" s="5">
        <f>I892-I893-I894</f>
        <v>0</v>
      </c>
      <c r="AA892" s="94">
        <f>J892-J893-J894</f>
        <v>0</v>
      </c>
      <c r="AB892" s="311">
        <f t="shared" si="176"/>
        <v>0</v>
      </c>
      <c r="AC892" s="296"/>
      <c r="AD892" s="113"/>
      <c r="AE892" s="5"/>
      <c r="AF892" s="5">
        <f>H892</f>
        <v>0.04</v>
      </c>
      <c r="AG892" s="5"/>
      <c r="AH892" s="5"/>
      <c r="AI892" s="5"/>
      <c r="AJ892" s="5"/>
      <c r="AK892" s="141"/>
      <c r="AL892" s="94">
        <f>SUM(AF892:AK892)</f>
        <v>0.04</v>
      </c>
      <c r="AM892" s="128">
        <v>0</v>
      </c>
      <c r="AN892" s="180">
        <v>0</v>
      </c>
      <c r="AO892" s="128"/>
      <c r="AP892" s="184"/>
      <c r="AQ892" s="128"/>
      <c r="AR892" s="184"/>
      <c r="AS892" s="128"/>
      <c r="AT892" s="184"/>
      <c r="AU892" s="128"/>
      <c r="AV892" s="184"/>
      <c r="AW892" s="128"/>
      <c r="AX892" s="184"/>
      <c r="AY892" s="111">
        <f>AM892+AO892+AQ892+AS892+AU892+AW892</f>
        <v>0</v>
      </c>
      <c r="AZ892" s="178">
        <f>AN892+AP892+AR892+AT892+AV892+AX892</f>
        <v>0</v>
      </c>
      <c r="BC892" s="47"/>
      <c r="BD892" s="47"/>
      <c r="BF892" s="113">
        <v>0.02</v>
      </c>
      <c r="BG892" s="113"/>
      <c r="BH892" s="113"/>
      <c r="BI892" s="113"/>
      <c r="BJ892" s="113"/>
      <c r="BK892" s="113"/>
      <c r="BL892" s="5">
        <f t="shared" si="177"/>
        <v>0.02</v>
      </c>
    </row>
    <row r="893" spans="1:64" s="2" customFormat="1" ht="14.1" customHeight="1" outlineLevel="1" x14ac:dyDescent="0.2">
      <c r="A893" s="594"/>
      <c r="B893" s="601"/>
      <c r="C893" s="7" t="s">
        <v>1553</v>
      </c>
      <c r="D893" s="8"/>
      <c r="E893" s="23"/>
      <c r="F893" s="8"/>
      <c r="G893" s="8"/>
      <c r="H893" s="5"/>
      <c r="I893" s="5"/>
      <c r="J893" s="5"/>
      <c r="K893" s="8"/>
      <c r="L893" s="23"/>
      <c r="M893" s="8"/>
      <c r="N893" s="8"/>
      <c r="O893" s="8"/>
      <c r="P893" s="8"/>
      <c r="Q893" s="23"/>
      <c r="R893" s="113"/>
      <c r="S893" s="113"/>
      <c r="T893" s="113"/>
      <c r="U893" s="113"/>
      <c r="V893" s="113"/>
      <c r="W893" s="113"/>
      <c r="X893" s="5">
        <f>SUM(R893:W893)</f>
        <v>0</v>
      </c>
      <c r="Y893" s="302"/>
      <c r="Z893" s="5"/>
      <c r="AA893" s="94"/>
      <c r="AB893" s="311">
        <f t="shared" si="176"/>
        <v>0</v>
      </c>
      <c r="AC893" s="296"/>
      <c r="AD893" s="113"/>
      <c r="AE893" s="5"/>
      <c r="AF893" s="5"/>
      <c r="AG893" s="5"/>
      <c r="AH893" s="5"/>
      <c r="AI893" s="5"/>
      <c r="AJ893" s="5"/>
      <c r="AK893" s="141"/>
      <c r="AL893" s="94"/>
      <c r="AM893" s="128"/>
      <c r="AN893" s="180"/>
      <c r="AO893" s="128"/>
      <c r="AP893" s="184"/>
      <c r="AQ893" s="128"/>
      <c r="AR893" s="184"/>
      <c r="AS893" s="128"/>
      <c r="AT893" s="184"/>
      <c r="AU893" s="128"/>
      <c r="AV893" s="184"/>
      <c r="AW893" s="128"/>
      <c r="AX893" s="184"/>
      <c r="AY893" s="111"/>
      <c r="AZ893" s="178"/>
      <c r="BC893" s="47"/>
      <c r="BD893" s="47"/>
      <c r="BF893" s="113"/>
      <c r="BG893" s="113"/>
      <c r="BH893" s="113"/>
      <c r="BI893" s="113"/>
      <c r="BJ893" s="113"/>
      <c r="BK893" s="113"/>
      <c r="BL893" s="5">
        <f t="shared" si="177"/>
        <v>0</v>
      </c>
    </row>
    <row r="894" spans="1:64" s="2" customFormat="1" ht="14.1" customHeight="1" outlineLevel="1" x14ac:dyDescent="0.2">
      <c r="A894" s="595"/>
      <c r="B894" s="602"/>
      <c r="C894" s="7" t="s">
        <v>1554</v>
      </c>
      <c r="D894" s="8"/>
      <c r="E894" s="23"/>
      <c r="F894" s="8"/>
      <c r="G894" s="8"/>
      <c r="H894" s="5">
        <v>0.04</v>
      </c>
      <c r="I894" s="5">
        <f>I892</f>
        <v>0.02</v>
      </c>
      <c r="J894" s="5">
        <v>0.02</v>
      </c>
      <c r="K894" s="23"/>
      <c r="L894" s="8"/>
      <c r="M894" s="8"/>
      <c r="N894" s="8"/>
      <c r="O894" s="8"/>
      <c r="P894" s="8"/>
      <c r="Q894" s="23"/>
      <c r="R894" s="113"/>
      <c r="S894" s="113"/>
      <c r="T894" s="113"/>
      <c r="U894" s="113"/>
      <c r="V894" s="113"/>
      <c r="W894" s="113"/>
      <c r="X894" s="5">
        <f>SUM(R894:W894)</f>
        <v>0</v>
      </c>
      <c r="Y894" s="302"/>
      <c r="Z894" s="5"/>
      <c r="AA894" s="94"/>
      <c r="AB894" s="311">
        <f t="shared" si="176"/>
        <v>0.02</v>
      </c>
      <c r="AC894" s="296"/>
      <c r="AD894" s="113"/>
      <c r="AE894" s="5"/>
      <c r="AF894" s="5"/>
      <c r="AG894" s="5"/>
      <c r="AH894" s="5"/>
      <c r="AI894" s="5"/>
      <c r="AJ894" s="5"/>
      <c r="AK894" s="141"/>
      <c r="AL894" s="94"/>
      <c r="AM894" s="128"/>
      <c r="AN894" s="180"/>
      <c r="AO894" s="128"/>
      <c r="AP894" s="184"/>
      <c r="AQ894" s="128"/>
      <c r="AR894" s="184"/>
      <c r="AS894" s="128"/>
      <c r="AT894" s="184"/>
      <c r="AU894" s="128"/>
      <c r="AV894" s="184"/>
      <c r="AW894" s="128"/>
      <c r="AX894" s="184"/>
      <c r="AY894" s="111"/>
      <c r="AZ894" s="178"/>
      <c r="BC894" s="47"/>
      <c r="BD894" s="47"/>
      <c r="BF894" s="113"/>
      <c r="BG894" s="113"/>
      <c r="BH894" s="113"/>
      <c r="BI894" s="113"/>
      <c r="BJ894" s="113"/>
      <c r="BK894" s="113"/>
      <c r="BL894" s="5">
        <f t="shared" si="177"/>
        <v>0</v>
      </c>
    </row>
    <row r="895" spans="1:64" s="2" customFormat="1" ht="38.25" customHeight="1" outlineLevel="1" x14ac:dyDescent="0.2">
      <c r="A895" s="593" t="s">
        <v>325</v>
      </c>
      <c r="B895" s="600" t="s">
        <v>310</v>
      </c>
      <c r="C895" s="7" t="s">
        <v>326</v>
      </c>
      <c r="D895" s="8" t="s">
        <v>397</v>
      </c>
      <c r="E895" s="23" t="s">
        <v>335</v>
      </c>
      <c r="F895" s="8">
        <v>2013</v>
      </c>
      <c r="G895" s="8">
        <v>2015</v>
      </c>
      <c r="H895" s="5">
        <v>0.21000000000000002</v>
      </c>
      <c r="I895" s="5">
        <v>0.21</v>
      </c>
      <c r="J895" s="5">
        <f>R895</f>
        <v>0.21</v>
      </c>
      <c r="K895" s="8"/>
      <c r="L895" s="23" t="s">
        <v>335</v>
      </c>
      <c r="M895" s="8"/>
      <c r="N895" s="8"/>
      <c r="O895" s="8"/>
      <c r="P895" s="8"/>
      <c r="Q895" s="23" t="s">
        <v>335</v>
      </c>
      <c r="R895" s="113">
        <v>0.21</v>
      </c>
      <c r="S895" s="113"/>
      <c r="T895" s="113"/>
      <c r="U895" s="113"/>
      <c r="V895" s="113"/>
      <c r="W895" s="113"/>
      <c r="X895" s="5">
        <f t="shared" si="175"/>
        <v>0.21</v>
      </c>
      <c r="Y895" s="302">
        <f>H895-H896-H897</f>
        <v>0</v>
      </c>
      <c r="Z895" s="5">
        <f>I895-I896-I897</f>
        <v>0</v>
      </c>
      <c r="AA895" s="94">
        <f>J895-J896-J897</f>
        <v>0</v>
      </c>
      <c r="AB895" s="311">
        <f t="shared" si="176"/>
        <v>0</v>
      </c>
      <c r="AC895" s="296"/>
      <c r="AD895" s="113"/>
      <c r="AE895" s="5"/>
      <c r="AF895" s="5"/>
      <c r="AG895" s="5">
        <f>H895</f>
        <v>0.21000000000000002</v>
      </c>
      <c r="AH895" s="5"/>
      <c r="AI895" s="5"/>
      <c r="AJ895" s="5"/>
      <c r="AK895" s="141"/>
      <c r="AL895" s="94">
        <f>SUM(AF895:AK895)</f>
        <v>0.21000000000000002</v>
      </c>
      <c r="AM895" s="128"/>
      <c r="AN895" s="180"/>
      <c r="AO895" s="128">
        <v>0.1</v>
      </c>
      <c r="AP895" s="184">
        <v>0</v>
      </c>
      <c r="AQ895" s="128"/>
      <c r="AR895" s="184"/>
      <c r="AS895" s="128"/>
      <c r="AT895" s="184"/>
      <c r="AU895" s="128"/>
      <c r="AV895" s="184"/>
      <c r="AW895" s="128"/>
      <c r="AX895" s="184"/>
      <c r="AY895" s="111">
        <f>AM895+AO895+AQ895+AS895+AU895+AW895</f>
        <v>0.1</v>
      </c>
      <c r="AZ895" s="178">
        <f>AN895+AP895+AR895+AT895+AV895+AX895</f>
        <v>0</v>
      </c>
      <c r="BC895" s="47"/>
      <c r="BD895" s="47"/>
      <c r="BF895" s="113">
        <v>0.21</v>
      </c>
      <c r="BG895" s="113"/>
      <c r="BH895" s="113"/>
      <c r="BI895" s="113"/>
      <c r="BJ895" s="113"/>
      <c r="BK895" s="113"/>
      <c r="BL895" s="5">
        <f t="shared" si="177"/>
        <v>0.21</v>
      </c>
    </row>
    <row r="896" spans="1:64" s="2" customFormat="1" ht="14.1" customHeight="1" outlineLevel="1" x14ac:dyDescent="0.2">
      <c r="A896" s="594"/>
      <c r="B896" s="601"/>
      <c r="C896" s="7" t="s">
        <v>1553</v>
      </c>
      <c r="D896" s="8"/>
      <c r="E896" s="23"/>
      <c r="F896" s="8"/>
      <c r="G896" s="8"/>
      <c r="H896" s="5"/>
      <c r="I896" s="5"/>
      <c r="J896" s="5"/>
      <c r="K896" s="8"/>
      <c r="L896" s="23"/>
      <c r="M896" s="8"/>
      <c r="N896" s="8"/>
      <c r="O896" s="8"/>
      <c r="P896" s="8"/>
      <c r="Q896" s="23"/>
      <c r="R896" s="113"/>
      <c r="S896" s="113"/>
      <c r="T896" s="113"/>
      <c r="U896" s="113"/>
      <c r="V896" s="113"/>
      <c r="W896" s="113"/>
      <c r="X896" s="5">
        <f t="shared" si="175"/>
        <v>0</v>
      </c>
      <c r="Y896" s="302"/>
      <c r="Z896" s="5"/>
      <c r="AA896" s="94"/>
      <c r="AB896" s="311">
        <f t="shared" si="176"/>
        <v>0</v>
      </c>
      <c r="AC896" s="296"/>
      <c r="AD896" s="113"/>
      <c r="AE896" s="5"/>
      <c r="AF896" s="5"/>
      <c r="AG896" s="5"/>
      <c r="AH896" s="5"/>
      <c r="AI896" s="5"/>
      <c r="AJ896" s="5"/>
      <c r="AK896" s="141"/>
      <c r="AL896" s="94"/>
      <c r="AM896" s="128"/>
      <c r="AN896" s="180"/>
      <c r="AO896" s="128"/>
      <c r="AP896" s="184"/>
      <c r="AQ896" s="128"/>
      <c r="AR896" s="184"/>
      <c r="AS896" s="128"/>
      <c r="AT896" s="184"/>
      <c r="AU896" s="128"/>
      <c r="AV896" s="184"/>
      <c r="AW896" s="128"/>
      <c r="AX896" s="184"/>
      <c r="AY896" s="111"/>
      <c r="AZ896" s="178"/>
      <c r="BC896" s="47"/>
      <c r="BD896" s="47"/>
      <c r="BF896" s="113"/>
      <c r="BG896" s="113"/>
      <c r="BH896" s="113"/>
      <c r="BI896" s="113"/>
      <c r="BJ896" s="113"/>
      <c r="BK896" s="113"/>
      <c r="BL896" s="5">
        <f t="shared" si="177"/>
        <v>0</v>
      </c>
    </row>
    <row r="897" spans="1:64" s="2" customFormat="1" ht="14.1" customHeight="1" outlineLevel="1" x14ac:dyDescent="0.2">
      <c r="A897" s="595"/>
      <c r="B897" s="602"/>
      <c r="C897" s="7" t="s">
        <v>1554</v>
      </c>
      <c r="D897" s="8"/>
      <c r="E897" s="23"/>
      <c r="F897" s="8"/>
      <c r="G897" s="8"/>
      <c r="H897" s="5">
        <f>H895</f>
        <v>0.21000000000000002</v>
      </c>
      <c r="I897" s="5">
        <f>I895</f>
        <v>0.21</v>
      </c>
      <c r="J897" s="5">
        <f>J895</f>
        <v>0.21</v>
      </c>
      <c r="K897" s="23"/>
      <c r="L897" s="8"/>
      <c r="M897" s="8"/>
      <c r="N897" s="8"/>
      <c r="O897" s="8"/>
      <c r="P897" s="8"/>
      <c r="Q897" s="23"/>
      <c r="R897" s="113"/>
      <c r="S897" s="113"/>
      <c r="T897" s="113"/>
      <c r="U897" s="113"/>
      <c r="V897" s="113"/>
      <c r="W897" s="113"/>
      <c r="X897" s="5">
        <f t="shared" si="175"/>
        <v>0</v>
      </c>
      <c r="Y897" s="302"/>
      <c r="Z897" s="5"/>
      <c r="AA897" s="94"/>
      <c r="AB897" s="311">
        <f t="shared" si="176"/>
        <v>0.21</v>
      </c>
      <c r="AC897" s="296"/>
      <c r="AD897" s="113"/>
      <c r="AE897" s="5"/>
      <c r="AF897" s="5"/>
      <c r="AG897" s="5"/>
      <c r="AH897" s="5"/>
      <c r="AI897" s="5"/>
      <c r="AJ897" s="5"/>
      <c r="AK897" s="141"/>
      <c r="AL897" s="94"/>
      <c r="AM897" s="128"/>
      <c r="AN897" s="180"/>
      <c r="AO897" s="128"/>
      <c r="AP897" s="184"/>
      <c r="AQ897" s="128"/>
      <c r="AR897" s="184"/>
      <c r="AS897" s="128"/>
      <c r="AT897" s="184"/>
      <c r="AU897" s="128"/>
      <c r="AV897" s="184"/>
      <c r="AW897" s="128"/>
      <c r="AX897" s="184"/>
      <c r="AY897" s="111"/>
      <c r="AZ897" s="178"/>
      <c r="BC897" s="47"/>
      <c r="BD897" s="47"/>
      <c r="BF897" s="113"/>
      <c r="BG897" s="113"/>
      <c r="BH897" s="113"/>
      <c r="BI897" s="113"/>
      <c r="BJ897" s="113"/>
      <c r="BK897" s="113"/>
      <c r="BL897" s="5">
        <f t="shared" si="177"/>
        <v>0</v>
      </c>
    </row>
    <row r="898" spans="1:64" s="2" customFormat="1" ht="77.25" customHeight="1" outlineLevel="1" x14ac:dyDescent="0.2">
      <c r="A898" s="593" t="s">
        <v>328</v>
      </c>
      <c r="B898" s="600" t="s">
        <v>313</v>
      </c>
      <c r="C898" s="7" t="s">
        <v>1081</v>
      </c>
      <c r="D898" s="8" t="s">
        <v>397</v>
      </c>
      <c r="E898" s="23" t="s">
        <v>1241</v>
      </c>
      <c r="F898" s="8">
        <v>2013</v>
      </c>
      <c r="G898" s="8">
        <v>2015</v>
      </c>
      <c r="H898" s="5">
        <v>0.04</v>
      </c>
      <c r="I898" s="5">
        <v>3.1523000000000002E-2</v>
      </c>
      <c r="J898" s="5">
        <f>R898</f>
        <v>0.02</v>
      </c>
      <c r="K898" s="8"/>
      <c r="L898" s="23" t="s">
        <v>1241</v>
      </c>
      <c r="M898" s="8"/>
      <c r="N898" s="8"/>
      <c r="O898" s="8"/>
      <c r="P898" s="8"/>
      <c r="Q898" s="23" t="s">
        <v>1241</v>
      </c>
      <c r="R898" s="113">
        <v>0.02</v>
      </c>
      <c r="S898" s="113"/>
      <c r="T898" s="113"/>
      <c r="U898" s="113"/>
      <c r="V898" s="113"/>
      <c r="W898" s="113"/>
      <c r="X898" s="5">
        <f t="shared" si="175"/>
        <v>0.02</v>
      </c>
      <c r="Y898" s="302">
        <f>H898-H899-H900</f>
        <v>0</v>
      </c>
      <c r="Z898" s="5">
        <f>I898-I899-I900</f>
        <v>0</v>
      </c>
      <c r="AA898" s="94">
        <f>J898-J899-J900</f>
        <v>0</v>
      </c>
      <c r="AB898" s="311">
        <f t="shared" si="176"/>
        <v>1.1523000000000002E-2</v>
      </c>
      <c r="AC898" s="296"/>
      <c r="AD898" s="113"/>
      <c r="AE898" s="5"/>
      <c r="AF898" s="5"/>
      <c r="AG898" s="5">
        <f>H898</f>
        <v>0.04</v>
      </c>
      <c r="AH898" s="5"/>
      <c r="AI898" s="5"/>
      <c r="AJ898" s="5"/>
      <c r="AK898" s="141"/>
      <c r="AL898" s="94">
        <f>SUM(AF898:AK898)</f>
        <v>0.04</v>
      </c>
      <c r="AM898" s="128"/>
      <c r="AN898" s="180"/>
      <c r="AO898" s="128">
        <v>0</v>
      </c>
      <c r="AP898" s="184">
        <v>0</v>
      </c>
      <c r="AQ898" s="128"/>
      <c r="AR898" s="184"/>
      <c r="AS898" s="128"/>
      <c r="AT898" s="184"/>
      <c r="AU898" s="128"/>
      <c r="AV898" s="184"/>
      <c r="AW898" s="128"/>
      <c r="AX898" s="184"/>
      <c r="AY898" s="111">
        <f>AM898+AO898+AQ898+AS898+AU898+AW898</f>
        <v>0</v>
      </c>
      <c r="AZ898" s="178">
        <f>AN898+AP898+AR898+AT898+AV898+AX898</f>
        <v>0</v>
      </c>
      <c r="BC898" s="47"/>
      <c r="BD898" s="47"/>
      <c r="BF898" s="113">
        <v>0.02</v>
      </c>
      <c r="BG898" s="113"/>
      <c r="BH898" s="113"/>
      <c r="BI898" s="113"/>
      <c r="BJ898" s="113"/>
      <c r="BK898" s="113"/>
      <c r="BL898" s="5">
        <f t="shared" si="177"/>
        <v>0.02</v>
      </c>
    </row>
    <row r="899" spans="1:64" s="2" customFormat="1" ht="14.1" customHeight="1" outlineLevel="1" x14ac:dyDescent="0.2">
      <c r="A899" s="594"/>
      <c r="B899" s="601"/>
      <c r="C899" s="7" t="s">
        <v>1553</v>
      </c>
      <c r="D899" s="8"/>
      <c r="E899" s="23"/>
      <c r="F899" s="8"/>
      <c r="G899" s="8"/>
      <c r="H899" s="5"/>
      <c r="I899" s="5"/>
      <c r="J899" s="5"/>
      <c r="K899" s="8"/>
      <c r="L899" s="23"/>
      <c r="M899" s="8"/>
      <c r="N899" s="8"/>
      <c r="O899" s="8"/>
      <c r="P899" s="8"/>
      <c r="Q899" s="23"/>
      <c r="R899" s="113"/>
      <c r="S899" s="113"/>
      <c r="T899" s="113"/>
      <c r="U899" s="113"/>
      <c r="V899" s="113"/>
      <c r="W899" s="113"/>
      <c r="X899" s="5">
        <f>SUM(R899:W899)</f>
        <v>0</v>
      </c>
      <c r="Y899" s="302"/>
      <c r="Z899" s="5"/>
      <c r="AA899" s="94"/>
      <c r="AB899" s="311">
        <f t="shared" si="176"/>
        <v>0</v>
      </c>
      <c r="AC899" s="296"/>
      <c r="AD899" s="113"/>
      <c r="AE899" s="5"/>
      <c r="AF899" s="5"/>
      <c r="AG899" s="5"/>
      <c r="AH899" s="5"/>
      <c r="AI899" s="5"/>
      <c r="AJ899" s="5"/>
      <c r="AK899" s="141"/>
      <c r="AL899" s="94"/>
      <c r="AM899" s="128"/>
      <c r="AN899" s="180"/>
      <c r="AO899" s="128"/>
      <c r="AP899" s="184"/>
      <c r="AQ899" s="128"/>
      <c r="AR899" s="184"/>
      <c r="AS899" s="128"/>
      <c r="AT899" s="184"/>
      <c r="AU899" s="128"/>
      <c r="AV899" s="184"/>
      <c r="AW899" s="128"/>
      <c r="AX899" s="184"/>
      <c r="AY899" s="111"/>
      <c r="AZ899" s="178"/>
      <c r="BC899" s="47"/>
      <c r="BD899" s="47"/>
      <c r="BF899" s="113"/>
      <c r="BG899" s="113"/>
      <c r="BH899" s="113"/>
      <c r="BI899" s="113"/>
      <c r="BJ899" s="113"/>
      <c r="BK899" s="113"/>
      <c r="BL899" s="5">
        <f t="shared" si="177"/>
        <v>0</v>
      </c>
    </row>
    <row r="900" spans="1:64" s="2" customFormat="1" ht="14.1" customHeight="1" outlineLevel="1" x14ac:dyDescent="0.2">
      <c r="A900" s="595"/>
      <c r="B900" s="602"/>
      <c r="C900" s="7" t="s">
        <v>1554</v>
      </c>
      <c r="D900" s="8"/>
      <c r="E900" s="23"/>
      <c r="F900" s="8"/>
      <c r="G900" s="8"/>
      <c r="H900" s="5">
        <v>0.04</v>
      </c>
      <c r="I900" s="5">
        <v>3.1523000000000002E-2</v>
      </c>
      <c r="J900" s="5">
        <v>0.02</v>
      </c>
      <c r="K900" s="23"/>
      <c r="L900" s="8"/>
      <c r="M900" s="8"/>
      <c r="N900" s="8"/>
      <c r="O900" s="8"/>
      <c r="P900" s="8"/>
      <c r="Q900" s="23"/>
      <c r="R900" s="113"/>
      <c r="S900" s="113"/>
      <c r="T900" s="113"/>
      <c r="U900" s="113"/>
      <c r="V900" s="113"/>
      <c r="W900" s="113"/>
      <c r="X900" s="5">
        <f>SUM(R900:W900)</f>
        <v>0</v>
      </c>
      <c r="Y900" s="302"/>
      <c r="Z900" s="5"/>
      <c r="AA900" s="94"/>
      <c r="AB900" s="311">
        <f t="shared" si="176"/>
        <v>3.1523000000000002E-2</v>
      </c>
      <c r="AC900" s="296"/>
      <c r="AD900" s="113"/>
      <c r="AE900" s="5"/>
      <c r="AF900" s="5"/>
      <c r="AG900" s="5"/>
      <c r="AH900" s="5"/>
      <c r="AI900" s="5"/>
      <c r="AJ900" s="5"/>
      <c r="AK900" s="141"/>
      <c r="AL900" s="94"/>
      <c r="AM900" s="128"/>
      <c r="AN900" s="180"/>
      <c r="AO900" s="128"/>
      <c r="AP900" s="184"/>
      <c r="AQ900" s="128"/>
      <c r="AR900" s="184"/>
      <c r="AS900" s="128"/>
      <c r="AT900" s="184"/>
      <c r="AU900" s="128"/>
      <c r="AV900" s="184"/>
      <c r="AW900" s="128"/>
      <c r="AX900" s="184"/>
      <c r="AY900" s="111"/>
      <c r="AZ900" s="178"/>
      <c r="BC900" s="47"/>
      <c r="BD900" s="47"/>
      <c r="BF900" s="113"/>
      <c r="BG900" s="113"/>
      <c r="BH900" s="113"/>
      <c r="BI900" s="113"/>
      <c r="BJ900" s="113"/>
      <c r="BK900" s="113"/>
      <c r="BL900" s="5">
        <f t="shared" si="177"/>
        <v>0</v>
      </c>
    </row>
    <row r="901" spans="1:64" s="2" customFormat="1" ht="78" customHeight="1" outlineLevel="1" x14ac:dyDescent="0.2">
      <c r="A901" s="593" t="s">
        <v>1083</v>
      </c>
      <c r="B901" s="600" t="s">
        <v>316</v>
      </c>
      <c r="C901" s="7" t="s">
        <v>565</v>
      </c>
      <c r="D901" s="8" t="s">
        <v>397</v>
      </c>
      <c r="E901" s="23" t="s">
        <v>342</v>
      </c>
      <c r="F901" s="8">
        <v>2013</v>
      </c>
      <c r="G901" s="8">
        <v>2015</v>
      </c>
      <c r="H901" s="5">
        <v>1.51</v>
      </c>
      <c r="I901" s="5">
        <v>1.5018830000000001</v>
      </c>
      <c r="J901" s="5">
        <f>R901</f>
        <v>0</v>
      </c>
      <c r="K901" s="8"/>
      <c r="L901" s="23" t="s">
        <v>342</v>
      </c>
      <c r="M901" s="8"/>
      <c r="N901" s="8"/>
      <c r="O901" s="8"/>
      <c r="P901" s="8"/>
      <c r="Q901" s="23" t="s">
        <v>342</v>
      </c>
      <c r="R901" s="113">
        <v>0</v>
      </c>
      <c r="S901" s="113"/>
      <c r="T901" s="113"/>
      <c r="U901" s="113"/>
      <c r="V901" s="113"/>
      <c r="W901" s="113"/>
      <c r="X901" s="5">
        <f t="shared" si="175"/>
        <v>0</v>
      </c>
      <c r="Y901" s="302">
        <f>H901-H902-H903</f>
        <v>0</v>
      </c>
      <c r="Z901" s="5">
        <f>I901-I902-I903</f>
        <v>0</v>
      </c>
      <c r="AA901" s="94">
        <f>J901-J902-J903</f>
        <v>0</v>
      </c>
      <c r="AB901" s="311">
        <f t="shared" si="176"/>
        <v>1.5018830000000001</v>
      </c>
      <c r="AC901" s="296"/>
      <c r="AD901" s="113"/>
      <c r="AE901" s="5"/>
      <c r="AF901" s="5"/>
      <c r="AG901" s="5">
        <f>H901</f>
        <v>1.51</v>
      </c>
      <c r="AH901" s="5"/>
      <c r="AI901" s="5"/>
      <c r="AJ901" s="5"/>
      <c r="AK901" s="141"/>
      <c r="AL901" s="94">
        <f>SUM(AF901:AK901)</f>
        <v>1.51</v>
      </c>
      <c r="AM901" s="128"/>
      <c r="AN901" s="180"/>
      <c r="AO901" s="128">
        <v>0.7</v>
      </c>
      <c r="AP901" s="184">
        <v>0</v>
      </c>
      <c r="AQ901" s="128"/>
      <c r="AR901" s="184"/>
      <c r="AS901" s="128"/>
      <c r="AT901" s="184"/>
      <c r="AU901" s="128"/>
      <c r="AV901" s="184"/>
      <c r="AW901" s="128"/>
      <c r="AX901" s="184"/>
      <c r="AY901" s="111">
        <f>AM901+AO901+AQ901+AS901+AU901+AW901</f>
        <v>0.7</v>
      </c>
      <c r="AZ901" s="178">
        <f>AN901+AP901+AR901+AT901+AV901+AX901</f>
        <v>0</v>
      </c>
      <c r="BC901" s="47"/>
      <c r="BD901" s="47"/>
      <c r="BF901" s="113">
        <v>0</v>
      </c>
      <c r="BG901" s="113"/>
      <c r="BH901" s="113"/>
      <c r="BI901" s="113"/>
      <c r="BJ901" s="113"/>
      <c r="BK901" s="113"/>
      <c r="BL901" s="5">
        <f t="shared" si="177"/>
        <v>0</v>
      </c>
    </row>
    <row r="902" spans="1:64" s="2" customFormat="1" ht="14.1" customHeight="1" outlineLevel="1" x14ac:dyDescent="0.2">
      <c r="A902" s="594"/>
      <c r="B902" s="601"/>
      <c r="C902" s="7" t="s">
        <v>1553</v>
      </c>
      <c r="D902" s="8"/>
      <c r="E902" s="23"/>
      <c r="F902" s="8"/>
      <c r="G902" s="8"/>
      <c r="H902" s="5">
        <v>1.51</v>
      </c>
      <c r="I902" s="5">
        <v>1.5018830000000001</v>
      </c>
      <c r="J902" s="5">
        <f>R902</f>
        <v>0</v>
      </c>
      <c r="K902" s="8"/>
      <c r="L902" s="23"/>
      <c r="M902" s="8"/>
      <c r="N902" s="8"/>
      <c r="O902" s="8"/>
      <c r="P902" s="8"/>
      <c r="Q902" s="23"/>
      <c r="R902" s="113"/>
      <c r="S902" s="113"/>
      <c r="T902" s="113"/>
      <c r="U902" s="113"/>
      <c r="V902" s="113"/>
      <c r="W902" s="113"/>
      <c r="X902" s="5">
        <f t="shared" si="175"/>
        <v>0</v>
      </c>
      <c r="Y902" s="302"/>
      <c r="Z902" s="5"/>
      <c r="AA902" s="94"/>
      <c r="AB902" s="311">
        <f t="shared" si="176"/>
        <v>1.5018830000000001</v>
      </c>
      <c r="AC902" s="296"/>
      <c r="AD902" s="113"/>
      <c r="AE902" s="5"/>
      <c r="AF902" s="5"/>
      <c r="AG902" s="5"/>
      <c r="AH902" s="5"/>
      <c r="AI902" s="5"/>
      <c r="AJ902" s="5"/>
      <c r="AK902" s="141"/>
      <c r="AL902" s="94"/>
      <c r="AM902" s="128"/>
      <c r="AN902" s="180"/>
      <c r="AO902" s="128"/>
      <c r="AP902" s="184"/>
      <c r="AQ902" s="128"/>
      <c r="AR902" s="184"/>
      <c r="AS902" s="128"/>
      <c r="AT902" s="184"/>
      <c r="AU902" s="128"/>
      <c r="AV902" s="184"/>
      <c r="AW902" s="128"/>
      <c r="AX902" s="184"/>
      <c r="AY902" s="111"/>
      <c r="AZ902" s="178"/>
      <c r="BC902" s="47"/>
      <c r="BD902" s="47"/>
      <c r="BF902" s="113"/>
      <c r="BG902" s="113"/>
      <c r="BH902" s="113"/>
      <c r="BI902" s="113"/>
      <c r="BJ902" s="113"/>
      <c r="BK902" s="113"/>
      <c r="BL902" s="5">
        <f t="shared" si="177"/>
        <v>0</v>
      </c>
    </row>
    <row r="903" spans="1:64" s="2" customFormat="1" ht="14.1" customHeight="1" outlineLevel="1" x14ac:dyDescent="0.2">
      <c r="A903" s="595"/>
      <c r="B903" s="602"/>
      <c r="C903" s="7" t="s">
        <v>1554</v>
      </c>
      <c r="D903" s="8"/>
      <c r="E903" s="23"/>
      <c r="F903" s="8"/>
      <c r="G903" s="8"/>
      <c r="H903" s="5"/>
      <c r="I903" s="5"/>
      <c r="J903" s="5"/>
      <c r="K903" s="23"/>
      <c r="L903" s="8"/>
      <c r="M903" s="8"/>
      <c r="N903" s="8"/>
      <c r="O903" s="8"/>
      <c r="P903" s="8"/>
      <c r="Q903" s="23"/>
      <c r="R903" s="113"/>
      <c r="S903" s="113"/>
      <c r="T903" s="113"/>
      <c r="U903" s="113"/>
      <c r="V903" s="113"/>
      <c r="W903" s="113"/>
      <c r="X903" s="5">
        <f t="shared" si="175"/>
        <v>0</v>
      </c>
      <c r="Y903" s="302"/>
      <c r="Z903" s="5"/>
      <c r="AA903" s="94"/>
      <c r="AB903" s="311">
        <f t="shared" si="176"/>
        <v>0</v>
      </c>
      <c r="AC903" s="296"/>
      <c r="AD903" s="113"/>
      <c r="AE903" s="5"/>
      <c r="AF903" s="5"/>
      <c r="AG903" s="5"/>
      <c r="AH903" s="5"/>
      <c r="AI903" s="5"/>
      <c r="AJ903" s="5"/>
      <c r="AK903" s="141"/>
      <c r="AL903" s="94"/>
      <c r="AM903" s="128"/>
      <c r="AN903" s="180"/>
      <c r="AO903" s="128"/>
      <c r="AP903" s="184"/>
      <c r="AQ903" s="128"/>
      <c r="AR903" s="184"/>
      <c r="AS903" s="128"/>
      <c r="AT903" s="184"/>
      <c r="AU903" s="128"/>
      <c r="AV903" s="184"/>
      <c r="AW903" s="128"/>
      <c r="AX903" s="184"/>
      <c r="AY903" s="111"/>
      <c r="AZ903" s="178"/>
      <c r="BC903" s="47"/>
      <c r="BD903" s="47"/>
      <c r="BF903" s="113"/>
      <c r="BG903" s="113"/>
      <c r="BH903" s="113"/>
      <c r="BI903" s="113"/>
      <c r="BJ903" s="113"/>
      <c r="BK903" s="113"/>
      <c r="BL903" s="5">
        <f t="shared" si="177"/>
        <v>0</v>
      </c>
    </row>
    <row r="904" spans="1:64" s="2" customFormat="1" ht="38.25" customHeight="1" outlineLevel="1" x14ac:dyDescent="0.2">
      <c r="A904" s="593" t="s">
        <v>1085</v>
      </c>
      <c r="B904" s="600" t="s">
        <v>319</v>
      </c>
      <c r="C904" s="7" t="s">
        <v>1086</v>
      </c>
      <c r="D904" s="8" t="s">
        <v>397</v>
      </c>
      <c r="E904" s="23" t="s">
        <v>1241</v>
      </c>
      <c r="F904" s="8">
        <v>2013</v>
      </c>
      <c r="G904" s="8">
        <v>2015</v>
      </c>
      <c r="H904" s="5">
        <v>0.11</v>
      </c>
      <c r="I904" s="5">
        <v>8.6759000000000003E-2</v>
      </c>
      <c r="J904" s="5">
        <f>R904</f>
        <v>0</v>
      </c>
      <c r="K904" s="8"/>
      <c r="L904" s="23" t="s">
        <v>1241</v>
      </c>
      <c r="M904" s="8"/>
      <c r="N904" s="8"/>
      <c r="O904" s="8"/>
      <c r="P904" s="8"/>
      <c r="Q904" s="23" t="s">
        <v>1241</v>
      </c>
      <c r="R904" s="113">
        <v>0</v>
      </c>
      <c r="S904" s="113"/>
      <c r="T904" s="113"/>
      <c r="U904" s="113"/>
      <c r="V904" s="113"/>
      <c r="W904" s="113"/>
      <c r="X904" s="5">
        <f t="shared" si="175"/>
        <v>0</v>
      </c>
      <c r="Y904" s="302">
        <f>H904-H905-H906</f>
        <v>0</v>
      </c>
      <c r="Z904" s="5">
        <f>I904-I905-I906</f>
        <v>0</v>
      </c>
      <c r="AA904" s="94">
        <f>J904-J905-J906</f>
        <v>0</v>
      </c>
      <c r="AB904" s="311">
        <f t="shared" si="176"/>
        <v>8.6759000000000003E-2</v>
      </c>
      <c r="AC904" s="296"/>
      <c r="AD904" s="113"/>
      <c r="AE904" s="5"/>
      <c r="AF904" s="5"/>
      <c r="AG904" s="5">
        <f>H904</f>
        <v>0.11</v>
      </c>
      <c r="AH904" s="5"/>
      <c r="AI904" s="5"/>
      <c r="AJ904" s="5"/>
      <c r="AK904" s="141"/>
      <c r="AL904" s="94">
        <f>SUM(AF904:AK904)</f>
        <v>0.11</v>
      </c>
      <c r="AM904" s="128"/>
      <c r="AN904" s="180"/>
      <c r="AO904" s="128">
        <v>0</v>
      </c>
      <c r="AP904" s="184">
        <v>0</v>
      </c>
      <c r="AQ904" s="128"/>
      <c r="AR904" s="184"/>
      <c r="AS904" s="128"/>
      <c r="AT904" s="184"/>
      <c r="AU904" s="128"/>
      <c r="AV904" s="184"/>
      <c r="AW904" s="128"/>
      <c r="AX904" s="184"/>
      <c r="AY904" s="111">
        <f>AM904+AO904+AQ904+AS904+AU904+AW904</f>
        <v>0</v>
      </c>
      <c r="AZ904" s="178">
        <f>AN904+AP904+AR904+AT904+AV904+AX904</f>
        <v>0</v>
      </c>
      <c r="BC904" s="47"/>
      <c r="BD904" s="47"/>
      <c r="BF904" s="113">
        <v>0</v>
      </c>
      <c r="BG904" s="113"/>
      <c r="BH904" s="113"/>
      <c r="BI904" s="113"/>
      <c r="BJ904" s="113"/>
      <c r="BK904" s="113"/>
      <c r="BL904" s="5">
        <f t="shared" si="177"/>
        <v>0</v>
      </c>
    </row>
    <row r="905" spans="1:64" s="2" customFormat="1" ht="14.1" customHeight="1" outlineLevel="1" x14ac:dyDescent="0.2">
      <c r="A905" s="594"/>
      <c r="B905" s="601"/>
      <c r="C905" s="7" t="s">
        <v>1553</v>
      </c>
      <c r="D905" s="8"/>
      <c r="E905" s="23"/>
      <c r="F905" s="8"/>
      <c r="G905" s="8"/>
      <c r="H905" s="5">
        <v>0.11</v>
      </c>
      <c r="I905" s="5">
        <v>8.6759000000000003E-2</v>
      </c>
      <c r="J905" s="5">
        <f>R905</f>
        <v>0</v>
      </c>
      <c r="K905" s="8"/>
      <c r="L905" s="23"/>
      <c r="M905" s="8"/>
      <c r="N905" s="8"/>
      <c r="O905" s="8"/>
      <c r="P905" s="8"/>
      <c r="Q905" s="23"/>
      <c r="R905" s="113"/>
      <c r="S905" s="113"/>
      <c r="T905" s="113"/>
      <c r="U905" s="113"/>
      <c r="V905" s="113"/>
      <c r="W905" s="113"/>
      <c r="X905" s="5">
        <f>SUM(R905:W905)</f>
        <v>0</v>
      </c>
      <c r="Y905" s="302"/>
      <c r="Z905" s="5"/>
      <c r="AA905" s="94"/>
      <c r="AB905" s="311">
        <f t="shared" si="176"/>
        <v>8.6759000000000003E-2</v>
      </c>
      <c r="AC905" s="296"/>
      <c r="AD905" s="113"/>
      <c r="AE905" s="5"/>
      <c r="AF905" s="5"/>
      <c r="AG905" s="5"/>
      <c r="AH905" s="5"/>
      <c r="AI905" s="5"/>
      <c r="AJ905" s="5"/>
      <c r="AK905" s="141"/>
      <c r="AL905" s="94"/>
      <c r="AM905" s="128"/>
      <c r="AN905" s="180"/>
      <c r="AO905" s="128"/>
      <c r="AP905" s="184"/>
      <c r="AQ905" s="128"/>
      <c r="AR905" s="184"/>
      <c r="AS905" s="128"/>
      <c r="AT905" s="184"/>
      <c r="AU905" s="128"/>
      <c r="AV905" s="184"/>
      <c r="AW905" s="128"/>
      <c r="AX905" s="184"/>
      <c r="AY905" s="111"/>
      <c r="AZ905" s="178"/>
      <c r="BC905" s="47"/>
      <c r="BD905" s="47"/>
      <c r="BF905" s="113"/>
      <c r="BG905" s="113"/>
      <c r="BH905" s="113"/>
      <c r="BI905" s="113"/>
      <c r="BJ905" s="113"/>
      <c r="BK905" s="113"/>
      <c r="BL905" s="5">
        <f t="shared" si="177"/>
        <v>0</v>
      </c>
    </row>
    <row r="906" spans="1:64" s="2" customFormat="1" ht="14.1" customHeight="1" outlineLevel="1" x14ac:dyDescent="0.2">
      <c r="A906" s="595"/>
      <c r="B906" s="602"/>
      <c r="C906" s="7" t="s">
        <v>1554</v>
      </c>
      <c r="D906" s="8"/>
      <c r="E906" s="23"/>
      <c r="F906" s="8"/>
      <c r="G906" s="8"/>
      <c r="H906" s="5"/>
      <c r="I906" s="5"/>
      <c r="J906" s="5"/>
      <c r="K906" s="23"/>
      <c r="L906" s="8"/>
      <c r="M906" s="8"/>
      <c r="N906" s="8"/>
      <c r="O906" s="8"/>
      <c r="P906" s="8"/>
      <c r="Q906" s="23"/>
      <c r="R906" s="113"/>
      <c r="S906" s="113"/>
      <c r="T906" s="113"/>
      <c r="U906" s="113"/>
      <c r="V906" s="113"/>
      <c r="W906" s="113"/>
      <c r="X906" s="5">
        <f>SUM(R906:W906)</f>
        <v>0</v>
      </c>
      <c r="Y906" s="302"/>
      <c r="Z906" s="5"/>
      <c r="AA906" s="94"/>
      <c r="AB906" s="311">
        <f t="shared" si="176"/>
        <v>0</v>
      </c>
      <c r="AC906" s="296"/>
      <c r="AD906" s="113"/>
      <c r="AE906" s="5"/>
      <c r="AF906" s="5"/>
      <c r="AG906" s="5"/>
      <c r="AH906" s="5"/>
      <c r="AI906" s="5"/>
      <c r="AJ906" s="5"/>
      <c r="AK906" s="141"/>
      <c r="AL906" s="94"/>
      <c r="AM906" s="128"/>
      <c r="AN906" s="180"/>
      <c r="AO906" s="128"/>
      <c r="AP906" s="184"/>
      <c r="AQ906" s="128"/>
      <c r="AR906" s="184"/>
      <c r="AS906" s="128"/>
      <c r="AT906" s="184"/>
      <c r="AU906" s="128"/>
      <c r="AV906" s="184"/>
      <c r="AW906" s="128"/>
      <c r="AX906" s="184"/>
      <c r="AY906" s="111"/>
      <c r="AZ906" s="178"/>
      <c r="BC906" s="47"/>
      <c r="BD906" s="47"/>
      <c r="BF906" s="113"/>
      <c r="BG906" s="113"/>
      <c r="BH906" s="113"/>
      <c r="BI906" s="113"/>
      <c r="BJ906" s="113"/>
      <c r="BK906" s="113"/>
      <c r="BL906" s="5">
        <f t="shared" si="177"/>
        <v>0</v>
      </c>
    </row>
    <row r="907" spans="1:64" s="2" customFormat="1" ht="65.099999999999994" customHeight="1" outlineLevel="1" x14ac:dyDescent="0.2">
      <c r="A907" s="593" t="s">
        <v>1088</v>
      </c>
      <c r="B907" s="600" t="s">
        <v>321</v>
      </c>
      <c r="C907" s="7" t="s">
        <v>594</v>
      </c>
      <c r="D907" s="8" t="s">
        <v>397</v>
      </c>
      <c r="E907" s="23" t="s">
        <v>1241</v>
      </c>
      <c r="F907" s="8">
        <v>2013</v>
      </c>
      <c r="G907" s="8">
        <v>2015</v>
      </c>
      <c r="H907" s="5">
        <v>0.04</v>
      </c>
      <c r="I907" s="5">
        <v>0.04</v>
      </c>
      <c r="J907" s="5">
        <f>R907</f>
        <v>0.02</v>
      </c>
      <c r="K907" s="8"/>
      <c r="L907" s="23" t="s">
        <v>1241</v>
      </c>
      <c r="M907" s="8"/>
      <c r="N907" s="8"/>
      <c r="O907" s="8"/>
      <c r="P907" s="8"/>
      <c r="Q907" s="23" t="s">
        <v>1241</v>
      </c>
      <c r="R907" s="113">
        <v>0.02</v>
      </c>
      <c r="S907" s="113"/>
      <c r="T907" s="113"/>
      <c r="U907" s="113"/>
      <c r="V907" s="113"/>
      <c r="W907" s="113"/>
      <c r="X907" s="5">
        <f t="shared" si="175"/>
        <v>0.02</v>
      </c>
      <c r="Y907" s="302">
        <f>H907-H908-H909</f>
        <v>0</v>
      </c>
      <c r="Z907" s="5">
        <f>I907-I908-I909</f>
        <v>0</v>
      </c>
      <c r="AA907" s="94">
        <f>J907-J908-J909</f>
        <v>0</v>
      </c>
      <c r="AB907" s="311">
        <f t="shared" si="176"/>
        <v>0.02</v>
      </c>
      <c r="AC907" s="296"/>
      <c r="AD907" s="113"/>
      <c r="AE907" s="5"/>
      <c r="AF907" s="5"/>
      <c r="AG907" s="5">
        <f>H907</f>
        <v>0.04</v>
      </c>
      <c r="AH907" s="5"/>
      <c r="AI907" s="5"/>
      <c r="AJ907" s="5"/>
      <c r="AK907" s="141"/>
      <c r="AL907" s="94">
        <f>SUM(AF907:AK907)</f>
        <v>0.04</v>
      </c>
      <c r="AM907" s="128"/>
      <c r="AN907" s="180"/>
      <c r="AO907" s="128">
        <v>0</v>
      </c>
      <c r="AP907" s="184">
        <v>0</v>
      </c>
      <c r="AQ907" s="128"/>
      <c r="AR907" s="184"/>
      <c r="AS907" s="128"/>
      <c r="AT907" s="184"/>
      <c r="AU907" s="128"/>
      <c r="AV907" s="184"/>
      <c r="AW907" s="128"/>
      <c r="AX907" s="184"/>
      <c r="AY907" s="111">
        <f>AM907+AO907+AQ907+AS907+AU907+AW907</f>
        <v>0</v>
      </c>
      <c r="AZ907" s="178">
        <f>AN907+AP907+AR907+AT907+AV907+AX907</f>
        <v>0</v>
      </c>
      <c r="BC907" s="47"/>
      <c r="BD907" s="47"/>
      <c r="BF907" s="113">
        <v>0.02</v>
      </c>
      <c r="BG907" s="113"/>
      <c r="BH907" s="113"/>
      <c r="BI907" s="113"/>
      <c r="BJ907" s="113"/>
      <c r="BK907" s="113"/>
      <c r="BL907" s="5">
        <f t="shared" si="177"/>
        <v>0.02</v>
      </c>
    </row>
    <row r="908" spans="1:64" s="2" customFormat="1" ht="15.75" customHeight="1" outlineLevel="1" x14ac:dyDescent="0.2">
      <c r="A908" s="594"/>
      <c r="B908" s="601"/>
      <c r="C908" s="7" t="s">
        <v>1553</v>
      </c>
      <c r="D908" s="8"/>
      <c r="E908" s="23"/>
      <c r="F908" s="8"/>
      <c r="G908" s="8"/>
      <c r="H908" s="5"/>
      <c r="I908" s="5"/>
      <c r="J908" s="5"/>
      <c r="K908" s="8"/>
      <c r="L908" s="23"/>
      <c r="M908" s="8"/>
      <c r="N908" s="8"/>
      <c r="O908" s="8"/>
      <c r="P908" s="8"/>
      <c r="Q908" s="23"/>
      <c r="R908" s="113"/>
      <c r="S908" s="113"/>
      <c r="T908" s="113"/>
      <c r="U908" s="113"/>
      <c r="V908" s="113"/>
      <c r="W908" s="113"/>
      <c r="X908" s="5">
        <f t="shared" si="175"/>
        <v>0</v>
      </c>
      <c r="Y908" s="302"/>
      <c r="Z908" s="5"/>
      <c r="AA908" s="94"/>
      <c r="AB908" s="311">
        <f t="shared" si="176"/>
        <v>0</v>
      </c>
      <c r="AC908" s="296"/>
      <c r="AD908" s="113"/>
      <c r="AE908" s="5"/>
      <c r="AF908" s="5"/>
      <c r="AG908" s="5"/>
      <c r="AH908" s="5"/>
      <c r="AI908" s="5"/>
      <c r="AJ908" s="5"/>
      <c r="AK908" s="141"/>
      <c r="AL908" s="94"/>
      <c r="AM908" s="128"/>
      <c r="AN908" s="180"/>
      <c r="AO908" s="128"/>
      <c r="AP908" s="184"/>
      <c r="AQ908" s="128"/>
      <c r="AR908" s="184"/>
      <c r="AS908" s="128"/>
      <c r="AT908" s="184"/>
      <c r="AU908" s="128"/>
      <c r="AV908" s="184"/>
      <c r="AW908" s="128"/>
      <c r="AX908" s="184"/>
      <c r="AY908" s="111"/>
      <c r="AZ908" s="178"/>
      <c r="BC908" s="47"/>
      <c r="BD908" s="47"/>
      <c r="BF908" s="113"/>
      <c r="BG908" s="113"/>
      <c r="BH908" s="113"/>
      <c r="BI908" s="113"/>
      <c r="BJ908" s="113"/>
      <c r="BK908" s="113"/>
      <c r="BL908" s="5">
        <f t="shared" si="177"/>
        <v>0</v>
      </c>
    </row>
    <row r="909" spans="1:64" s="2" customFormat="1" ht="15.75" customHeight="1" outlineLevel="1" x14ac:dyDescent="0.2">
      <c r="A909" s="595"/>
      <c r="B909" s="602"/>
      <c r="C909" s="7" t="s">
        <v>1554</v>
      </c>
      <c r="D909" s="8"/>
      <c r="E909" s="23"/>
      <c r="F909" s="8"/>
      <c r="G909" s="8"/>
      <c r="H909" s="5">
        <v>0.04</v>
      </c>
      <c r="I909" s="5">
        <v>0.04</v>
      </c>
      <c r="J909" s="5">
        <v>0.02</v>
      </c>
      <c r="K909" s="23"/>
      <c r="L909" s="8"/>
      <c r="M909" s="8"/>
      <c r="N909" s="8"/>
      <c r="O909" s="8"/>
      <c r="P909" s="8"/>
      <c r="Q909" s="23"/>
      <c r="R909" s="113"/>
      <c r="S909" s="113"/>
      <c r="T909" s="113"/>
      <c r="U909" s="113"/>
      <c r="V909" s="113"/>
      <c r="W909" s="113"/>
      <c r="X909" s="5">
        <f t="shared" si="175"/>
        <v>0</v>
      </c>
      <c r="Y909" s="302"/>
      <c r="Z909" s="5"/>
      <c r="AA909" s="94"/>
      <c r="AB909" s="311">
        <f t="shared" si="176"/>
        <v>0.04</v>
      </c>
      <c r="AC909" s="296"/>
      <c r="AD909" s="113"/>
      <c r="AE909" s="5"/>
      <c r="AF909" s="5"/>
      <c r="AG909" s="5"/>
      <c r="AH909" s="5"/>
      <c r="AI909" s="5"/>
      <c r="AJ909" s="5"/>
      <c r="AK909" s="141"/>
      <c r="AL909" s="94"/>
      <c r="AM909" s="128"/>
      <c r="AN909" s="180"/>
      <c r="AO909" s="128"/>
      <c r="AP909" s="184"/>
      <c r="AQ909" s="128"/>
      <c r="AR909" s="184"/>
      <c r="AS909" s="128"/>
      <c r="AT909" s="184"/>
      <c r="AU909" s="128"/>
      <c r="AV909" s="184"/>
      <c r="AW909" s="128"/>
      <c r="AX909" s="184"/>
      <c r="AY909" s="111"/>
      <c r="AZ909" s="178"/>
      <c r="BC909" s="47"/>
      <c r="BD909" s="47"/>
      <c r="BF909" s="113"/>
      <c r="BG909" s="113"/>
      <c r="BH909" s="113"/>
      <c r="BI909" s="113"/>
      <c r="BJ909" s="113"/>
      <c r="BK909" s="113"/>
      <c r="BL909" s="5">
        <f t="shared" si="177"/>
        <v>0</v>
      </c>
    </row>
    <row r="910" spans="1:64" s="2" customFormat="1" ht="63.75" customHeight="1" outlineLevel="1" x14ac:dyDescent="0.2">
      <c r="A910" s="593" t="s">
        <v>1090</v>
      </c>
      <c r="B910" s="600" t="s">
        <v>324</v>
      </c>
      <c r="C910" s="7" t="s">
        <v>1091</v>
      </c>
      <c r="D910" s="8" t="s">
        <v>397</v>
      </c>
      <c r="E910" s="23" t="s">
        <v>1241</v>
      </c>
      <c r="F910" s="8">
        <v>2013</v>
      </c>
      <c r="G910" s="8">
        <v>2015</v>
      </c>
      <c r="H910" s="5">
        <v>4.1384999999999998E-2</v>
      </c>
      <c r="I910" s="5">
        <v>3.9E-2</v>
      </c>
      <c r="J910" s="5">
        <f>R910</f>
        <v>0.02</v>
      </c>
      <c r="K910" s="8"/>
      <c r="L910" s="23" t="s">
        <v>1241</v>
      </c>
      <c r="M910" s="8"/>
      <c r="N910" s="8"/>
      <c r="O910" s="8"/>
      <c r="P910" s="8"/>
      <c r="Q910" s="23" t="s">
        <v>1241</v>
      </c>
      <c r="R910" s="113">
        <v>0.02</v>
      </c>
      <c r="S910" s="113"/>
      <c r="T910" s="113"/>
      <c r="U910" s="113"/>
      <c r="V910" s="113"/>
      <c r="W910" s="113"/>
      <c r="X910" s="5">
        <f t="shared" si="175"/>
        <v>0.02</v>
      </c>
      <c r="Y910" s="302">
        <f>H910-H911-H912</f>
        <v>0</v>
      </c>
      <c r="Z910" s="5">
        <f>I910-I911-I912</f>
        <v>0</v>
      </c>
      <c r="AA910" s="94">
        <f>J910-J911-J912</f>
        <v>0</v>
      </c>
      <c r="AB910" s="311">
        <f t="shared" si="176"/>
        <v>1.9E-2</v>
      </c>
      <c r="AC910" s="296"/>
      <c r="AD910" s="113"/>
      <c r="AE910" s="5"/>
      <c r="AF910" s="5"/>
      <c r="AG910" s="5">
        <f>H910</f>
        <v>4.1384999999999998E-2</v>
      </c>
      <c r="AH910" s="5"/>
      <c r="AI910" s="5"/>
      <c r="AJ910" s="5"/>
      <c r="AK910" s="141"/>
      <c r="AL910" s="94">
        <f>SUM(AF910:AK910)</f>
        <v>4.1384999999999998E-2</v>
      </c>
      <c r="AM910" s="128"/>
      <c r="AN910" s="180"/>
      <c r="AO910" s="128">
        <v>0</v>
      </c>
      <c r="AP910" s="184">
        <v>0</v>
      </c>
      <c r="AQ910" s="128"/>
      <c r="AR910" s="184"/>
      <c r="AS910" s="128"/>
      <c r="AT910" s="184"/>
      <c r="AU910" s="128"/>
      <c r="AV910" s="184"/>
      <c r="AW910" s="128"/>
      <c r="AX910" s="184"/>
      <c r="AY910" s="111">
        <f>AM910+AO910+AQ910+AS910+AU910+AW910</f>
        <v>0</v>
      </c>
      <c r="AZ910" s="178">
        <f>AN910+AP910+AR910+AT910+AV910+AX910</f>
        <v>0</v>
      </c>
      <c r="BC910" s="47"/>
      <c r="BD910" s="47"/>
      <c r="BF910" s="113">
        <v>0.02</v>
      </c>
      <c r="BG910" s="113"/>
      <c r="BH910" s="113"/>
      <c r="BI910" s="113"/>
      <c r="BJ910" s="113"/>
      <c r="BK910" s="113"/>
      <c r="BL910" s="5">
        <f t="shared" si="177"/>
        <v>0.02</v>
      </c>
    </row>
    <row r="911" spans="1:64" s="2" customFormat="1" ht="15.75" customHeight="1" outlineLevel="1" x14ac:dyDescent="0.2">
      <c r="A911" s="594"/>
      <c r="B911" s="601"/>
      <c r="C911" s="7" t="s">
        <v>1553</v>
      </c>
      <c r="D911" s="8"/>
      <c r="E911" s="23"/>
      <c r="F911" s="8"/>
      <c r="G911" s="8"/>
      <c r="H911" s="5"/>
      <c r="I911" s="5"/>
      <c r="J911" s="5"/>
      <c r="K911" s="8"/>
      <c r="L911" s="23"/>
      <c r="M911" s="8"/>
      <c r="N911" s="8"/>
      <c r="O911" s="8"/>
      <c r="P911" s="8"/>
      <c r="Q911" s="23"/>
      <c r="R911" s="113"/>
      <c r="S911" s="113"/>
      <c r="T911" s="113"/>
      <c r="U911" s="113"/>
      <c r="V911" s="113"/>
      <c r="W911" s="113"/>
      <c r="X911" s="5">
        <f>SUM(R911:W911)</f>
        <v>0</v>
      </c>
      <c r="Y911" s="302"/>
      <c r="Z911" s="5"/>
      <c r="AA911" s="94"/>
      <c r="AB911" s="311">
        <f t="shared" si="176"/>
        <v>0</v>
      </c>
      <c r="AC911" s="296"/>
      <c r="AD911" s="113"/>
      <c r="AE911" s="5"/>
      <c r="AF911" s="5"/>
      <c r="AG911" s="5"/>
      <c r="AH911" s="5"/>
      <c r="AI911" s="5"/>
      <c r="AJ911" s="5"/>
      <c r="AK911" s="141"/>
      <c r="AL911" s="94"/>
      <c r="AM911" s="128"/>
      <c r="AN911" s="180"/>
      <c r="AO911" s="128"/>
      <c r="AP911" s="184"/>
      <c r="AQ911" s="128"/>
      <c r="AR911" s="184"/>
      <c r="AS911" s="128"/>
      <c r="AT911" s="184"/>
      <c r="AU911" s="128"/>
      <c r="AV911" s="184"/>
      <c r="AW911" s="128"/>
      <c r="AX911" s="184"/>
      <c r="AY911" s="111"/>
      <c r="AZ911" s="178"/>
      <c r="BC911" s="47"/>
      <c r="BD911" s="47"/>
      <c r="BF911" s="113"/>
      <c r="BG911" s="113"/>
      <c r="BH911" s="113"/>
      <c r="BI911" s="113"/>
      <c r="BJ911" s="113"/>
      <c r="BK911" s="113"/>
      <c r="BL911" s="5">
        <f t="shared" si="177"/>
        <v>0</v>
      </c>
    </row>
    <row r="912" spans="1:64" s="2" customFormat="1" ht="15.75" customHeight="1" outlineLevel="1" x14ac:dyDescent="0.2">
      <c r="A912" s="595"/>
      <c r="B912" s="602"/>
      <c r="C912" s="7" t="s">
        <v>1554</v>
      </c>
      <c r="D912" s="8"/>
      <c r="E912" s="23"/>
      <c r="F912" s="8"/>
      <c r="G912" s="8"/>
      <c r="H912" s="5">
        <f>H910</f>
        <v>4.1384999999999998E-2</v>
      </c>
      <c r="I912" s="5">
        <f>I910</f>
        <v>3.9E-2</v>
      </c>
      <c r="J912" s="5">
        <f>J910</f>
        <v>0.02</v>
      </c>
      <c r="K912" s="23"/>
      <c r="L912" s="8"/>
      <c r="M912" s="8"/>
      <c r="N912" s="8"/>
      <c r="O912" s="8"/>
      <c r="P912" s="8"/>
      <c r="Q912" s="23"/>
      <c r="R912" s="113"/>
      <c r="S912" s="113"/>
      <c r="T912" s="113"/>
      <c r="U912" s="113"/>
      <c r="V912" s="113"/>
      <c r="W912" s="113"/>
      <c r="X912" s="5">
        <f>SUM(R912:W912)</f>
        <v>0</v>
      </c>
      <c r="Y912" s="302"/>
      <c r="Z912" s="5"/>
      <c r="AA912" s="94"/>
      <c r="AB912" s="311">
        <f t="shared" si="176"/>
        <v>3.9E-2</v>
      </c>
      <c r="AC912" s="296"/>
      <c r="AD912" s="113"/>
      <c r="AE912" s="5"/>
      <c r="AF912" s="5"/>
      <c r="AG912" s="5"/>
      <c r="AH912" s="5"/>
      <c r="AI912" s="5"/>
      <c r="AJ912" s="5"/>
      <c r="AK912" s="141"/>
      <c r="AL912" s="94"/>
      <c r="AM912" s="128"/>
      <c r="AN912" s="180"/>
      <c r="AO912" s="128"/>
      <c r="AP912" s="184"/>
      <c r="AQ912" s="128"/>
      <c r="AR912" s="184"/>
      <c r="AS912" s="128"/>
      <c r="AT912" s="184"/>
      <c r="AU912" s="128"/>
      <c r="AV912" s="184"/>
      <c r="AW912" s="128"/>
      <c r="AX912" s="184"/>
      <c r="AY912" s="111"/>
      <c r="AZ912" s="178"/>
      <c r="BC912" s="47"/>
      <c r="BD912" s="47"/>
      <c r="BF912" s="113"/>
      <c r="BG912" s="113"/>
      <c r="BH912" s="113"/>
      <c r="BI912" s="113"/>
      <c r="BJ912" s="113"/>
      <c r="BK912" s="113"/>
      <c r="BL912" s="5">
        <f t="shared" si="177"/>
        <v>0</v>
      </c>
    </row>
    <row r="913" spans="1:64" s="2" customFormat="1" ht="28.5" customHeight="1" outlineLevel="1" x14ac:dyDescent="0.2">
      <c r="A913" s="593" t="s">
        <v>1093</v>
      </c>
      <c r="B913" s="600" t="s">
        <v>327</v>
      </c>
      <c r="C913" s="7" t="s">
        <v>1094</v>
      </c>
      <c r="D913" s="8" t="s">
        <v>397</v>
      </c>
      <c r="E913" s="23" t="s">
        <v>338</v>
      </c>
      <c r="F913" s="8">
        <v>2013</v>
      </c>
      <c r="G913" s="8">
        <v>2015</v>
      </c>
      <c r="H913" s="5">
        <v>6.3379000000000003</v>
      </c>
      <c r="I913" s="5">
        <v>6.3379000000000003</v>
      </c>
      <c r="J913" s="5">
        <f>R913</f>
        <v>4.1219800000000006</v>
      </c>
      <c r="K913" s="8"/>
      <c r="L913" s="23" t="s">
        <v>338</v>
      </c>
      <c r="M913" s="8"/>
      <c r="N913" s="8"/>
      <c r="O913" s="8"/>
      <c r="P913" s="8"/>
      <c r="Q913" s="23" t="s">
        <v>338</v>
      </c>
      <c r="R913" s="113">
        <f>6.3379-2.21592</f>
        <v>4.1219800000000006</v>
      </c>
      <c r="S913" s="113"/>
      <c r="T913" s="113"/>
      <c r="U913" s="113"/>
      <c r="V913" s="113"/>
      <c r="W913" s="113"/>
      <c r="X913" s="5">
        <f t="shared" si="175"/>
        <v>4.1219800000000006</v>
      </c>
      <c r="Y913" s="302">
        <f>H913-H914-H915</f>
        <v>0</v>
      </c>
      <c r="Z913" s="5">
        <f>I913-I914-I915</f>
        <v>0</v>
      </c>
      <c r="AA913" s="94">
        <f>J913-J914-J915</f>
        <v>0</v>
      </c>
      <c r="AB913" s="311">
        <f t="shared" si="176"/>
        <v>2.2159199999999997</v>
      </c>
      <c r="AC913" s="296"/>
      <c r="AD913" s="113"/>
      <c r="AE913" s="5"/>
      <c r="AF913" s="5"/>
      <c r="AG913" s="5">
        <f>H913</f>
        <v>6.3379000000000003</v>
      </c>
      <c r="AH913" s="5"/>
      <c r="AI913" s="5"/>
      <c r="AJ913" s="5"/>
      <c r="AK913" s="141"/>
      <c r="AL913" s="94">
        <f>SUM(AF913:AK913)</f>
        <v>6.3379000000000003</v>
      </c>
      <c r="AM913" s="128"/>
      <c r="AN913" s="180"/>
      <c r="AO913" s="128">
        <v>2</v>
      </c>
      <c r="AP913" s="184">
        <v>0.25</v>
      </c>
      <c r="AQ913" s="128"/>
      <c r="AR913" s="184"/>
      <c r="AS913" s="128"/>
      <c r="AT913" s="184"/>
      <c r="AU913" s="128"/>
      <c r="AV913" s="184"/>
      <c r="AW913" s="128"/>
      <c r="AX913" s="184"/>
      <c r="AY913" s="111">
        <f>AM913+AO913+AQ913+AS913+AU913+AW913</f>
        <v>2</v>
      </c>
      <c r="AZ913" s="178">
        <f>AN913+AP913+AR913+AT913+AV913+AX913</f>
        <v>0.25</v>
      </c>
      <c r="BC913" s="47"/>
      <c r="BD913" s="47"/>
      <c r="BF913" s="113">
        <v>6.3379000000000003</v>
      </c>
      <c r="BG913" s="113"/>
      <c r="BH913" s="113"/>
      <c r="BI913" s="113"/>
      <c r="BJ913" s="113"/>
      <c r="BK913" s="113"/>
      <c r="BL913" s="5">
        <f t="shared" si="177"/>
        <v>6.3379000000000003</v>
      </c>
    </row>
    <row r="914" spans="1:64" s="2" customFormat="1" ht="14.1" customHeight="1" outlineLevel="1" x14ac:dyDescent="0.2">
      <c r="A914" s="594"/>
      <c r="B914" s="601"/>
      <c r="C914" s="7" t="s">
        <v>1553</v>
      </c>
      <c r="D914" s="8"/>
      <c r="E914" s="23"/>
      <c r="F914" s="8"/>
      <c r="G914" s="8"/>
      <c r="H914" s="5"/>
      <c r="I914" s="5"/>
      <c r="J914" s="5"/>
      <c r="K914" s="8"/>
      <c r="L914" s="23"/>
      <c r="M914" s="8"/>
      <c r="N914" s="8"/>
      <c r="O914" s="8"/>
      <c r="P914" s="8"/>
      <c r="Q914" s="23"/>
      <c r="R914" s="113"/>
      <c r="S914" s="113"/>
      <c r="T914" s="113"/>
      <c r="U914" s="113"/>
      <c r="V914" s="113"/>
      <c r="W914" s="113"/>
      <c r="X914" s="5">
        <f t="shared" si="175"/>
        <v>0</v>
      </c>
      <c r="Y914" s="302"/>
      <c r="Z914" s="5"/>
      <c r="AA914" s="94"/>
      <c r="AB914" s="311">
        <f t="shared" si="176"/>
        <v>0</v>
      </c>
      <c r="AC914" s="296"/>
      <c r="AD914" s="113"/>
      <c r="AE914" s="5"/>
      <c r="AF914" s="5"/>
      <c r="AG914" s="5"/>
      <c r="AH914" s="5"/>
      <c r="AI914" s="5"/>
      <c r="AJ914" s="5"/>
      <c r="AK914" s="141"/>
      <c r="AL914" s="94"/>
      <c r="AM914" s="128"/>
      <c r="AN914" s="180"/>
      <c r="AO914" s="128"/>
      <c r="AP914" s="184"/>
      <c r="AQ914" s="128"/>
      <c r="AR914" s="184"/>
      <c r="AS914" s="128"/>
      <c r="AT914" s="184"/>
      <c r="AU914" s="128"/>
      <c r="AV914" s="184"/>
      <c r="AW914" s="128"/>
      <c r="AX914" s="184"/>
      <c r="AY914" s="111"/>
      <c r="AZ914" s="178"/>
      <c r="BC914" s="47"/>
      <c r="BD914" s="47"/>
      <c r="BF914" s="113"/>
      <c r="BG914" s="113"/>
      <c r="BH914" s="113"/>
      <c r="BI914" s="113"/>
      <c r="BJ914" s="113"/>
      <c r="BK914" s="113"/>
      <c r="BL914" s="5">
        <f t="shared" si="177"/>
        <v>0</v>
      </c>
    </row>
    <row r="915" spans="1:64" s="2" customFormat="1" ht="14.1" customHeight="1" outlineLevel="1" x14ac:dyDescent="0.2">
      <c r="A915" s="595"/>
      <c r="B915" s="602"/>
      <c r="C915" s="7" t="s">
        <v>1554</v>
      </c>
      <c r="D915" s="8"/>
      <c r="E915" s="23"/>
      <c r="F915" s="8"/>
      <c r="G915" s="8"/>
      <c r="H915" s="5">
        <f>H913</f>
        <v>6.3379000000000003</v>
      </c>
      <c r="I915" s="5">
        <f>I913</f>
        <v>6.3379000000000003</v>
      </c>
      <c r="J915" s="5">
        <f>J913</f>
        <v>4.1219800000000006</v>
      </c>
      <c r="K915" s="23"/>
      <c r="L915" s="8"/>
      <c r="M915" s="8"/>
      <c r="N915" s="8"/>
      <c r="O915" s="8"/>
      <c r="P915" s="8"/>
      <c r="Q915" s="23"/>
      <c r="R915" s="113"/>
      <c r="S915" s="113"/>
      <c r="T915" s="113"/>
      <c r="U915" s="113"/>
      <c r="V915" s="113"/>
      <c r="W915" s="113"/>
      <c r="X915" s="5">
        <f t="shared" si="175"/>
        <v>0</v>
      </c>
      <c r="Y915" s="302"/>
      <c r="Z915" s="5"/>
      <c r="AA915" s="94"/>
      <c r="AB915" s="311">
        <f t="shared" si="176"/>
        <v>6.3379000000000003</v>
      </c>
      <c r="AC915" s="296"/>
      <c r="AD915" s="113"/>
      <c r="AE915" s="5"/>
      <c r="AF915" s="5"/>
      <c r="AG915" s="5"/>
      <c r="AH915" s="5"/>
      <c r="AI915" s="5"/>
      <c r="AJ915" s="5"/>
      <c r="AK915" s="141"/>
      <c r="AL915" s="94"/>
      <c r="AM915" s="128"/>
      <c r="AN915" s="180"/>
      <c r="AO915" s="128"/>
      <c r="AP915" s="184"/>
      <c r="AQ915" s="128"/>
      <c r="AR915" s="184"/>
      <c r="AS915" s="128"/>
      <c r="AT915" s="184"/>
      <c r="AU915" s="128"/>
      <c r="AV915" s="184"/>
      <c r="AW915" s="128"/>
      <c r="AX915" s="184"/>
      <c r="AY915" s="111"/>
      <c r="AZ915" s="178"/>
      <c r="BC915" s="47"/>
      <c r="BD915" s="47"/>
      <c r="BF915" s="113"/>
      <c r="BG915" s="113"/>
      <c r="BH915" s="113"/>
      <c r="BI915" s="113"/>
      <c r="BJ915" s="113"/>
      <c r="BK915" s="113"/>
      <c r="BL915" s="5">
        <f t="shared" si="177"/>
        <v>0</v>
      </c>
    </row>
    <row r="916" spans="1:64" s="2" customFormat="1" ht="38.25" customHeight="1" outlineLevel="1" x14ac:dyDescent="0.2">
      <c r="A916" s="593" t="s">
        <v>1096</v>
      </c>
      <c r="B916" s="600" t="s">
        <v>1082</v>
      </c>
      <c r="C916" s="7" t="s">
        <v>1097</v>
      </c>
      <c r="D916" s="8" t="s">
        <v>397</v>
      </c>
      <c r="E916" s="23" t="s">
        <v>1387</v>
      </c>
      <c r="F916" s="8">
        <v>2013</v>
      </c>
      <c r="G916" s="8">
        <v>2015</v>
      </c>
      <c r="H916" s="5">
        <v>0.71</v>
      </c>
      <c r="I916" s="5">
        <v>0.70264199999999999</v>
      </c>
      <c r="J916" s="5">
        <f>R916</f>
        <v>8.8236999999999996E-2</v>
      </c>
      <c r="K916" s="8"/>
      <c r="L916" s="23" t="s">
        <v>1387</v>
      </c>
      <c r="M916" s="8"/>
      <c r="N916" s="8"/>
      <c r="O916" s="8"/>
      <c r="P916" s="8"/>
      <c r="Q916" s="23" t="s">
        <v>1387</v>
      </c>
      <c r="R916" s="113">
        <v>8.8236999999999996E-2</v>
      </c>
      <c r="S916" s="113"/>
      <c r="T916" s="113"/>
      <c r="U916" s="113"/>
      <c r="V916" s="113"/>
      <c r="W916" s="113"/>
      <c r="X916" s="5">
        <f t="shared" si="175"/>
        <v>8.8236999999999996E-2</v>
      </c>
      <c r="Y916" s="302">
        <f>H916-H917-H918</f>
        <v>0</v>
      </c>
      <c r="Z916" s="5">
        <f>I916-I917-I918</f>
        <v>0</v>
      </c>
      <c r="AA916" s="94">
        <f>J916-J917-J918</f>
        <v>0</v>
      </c>
      <c r="AB916" s="311">
        <f t="shared" si="176"/>
        <v>0.61440499999999998</v>
      </c>
      <c r="AC916" s="296"/>
      <c r="AD916" s="113"/>
      <c r="AE916" s="5"/>
      <c r="AF916" s="5"/>
      <c r="AG916" s="5">
        <f>H916</f>
        <v>0.71</v>
      </c>
      <c r="AH916" s="5"/>
      <c r="AI916" s="5"/>
      <c r="AJ916" s="5"/>
      <c r="AK916" s="141"/>
      <c r="AL916" s="94">
        <f>SUM(AF916:AK916)</f>
        <v>0.71</v>
      </c>
      <c r="AM916" s="128"/>
      <c r="AN916" s="180"/>
      <c r="AO916" s="128">
        <v>0.5</v>
      </c>
      <c r="AP916" s="184">
        <v>0</v>
      </c>
      <c r="AQ916" s="128"/>
      <c r="AR916" s="184"/>
      <c r="AS916" s="128"/>
      <c r="AT916" s="184"/>
      <c r="AU916" s="128"/>
      <c r="AV916" s="184"/>
      <c r="AW916" s="128"/>
      <c r="AX916" s="184"/>
      <c r="AY916" s="111">
        <f>AM916+AO916+AQ916+AS916+AU916+AW916</f>
        <v>0.5</v>
      </c>
      <c r="AZ916" s="178">
        <f>AN916+AP916+AR916+AT916+AV916+AX916</f>
        <v>0</v>
      </c>
      <c r="BC916" s="47"/>
      <c r="BD916" s="47"/>
      <c r="BF916" s="113">
        <v>8.8236999999999996E-2</v>
      </c>
      <c r="BG916" s="113"/>
      <c r="BH916" s="113"/>
      <c r="BI916" s="113"/>
      <c r="BJ916" s="113"/>
      <c r="BK916" s="113"/>
      <c r="BL916" s="5">
        <f t="shared" si="177"/>
        <v>8.8236999999999996E-2</v>
      </c>
    </row>
    <row r="917" spans="1:64" s="2" customFormat="1" ht="14.1" customHeight="1" outlineLevel="1" x14ac:dyDescent="0.2">
      <c r="A917" s="594"/>
      <c r="B917" s="601"/>
      <c r="C917" s="7" t="s">
        <v>1553</v>
      </c>
      <c r="D917" s="8"/>
      <c r="E917" s="23"/>
      <c r="F917" s="8"/>
      <c r="G917" s="8"/>
      <c r="H917" s="5">
        <v>0.71</v>
      </c>
      <c r="I917" s="5">
        <v>0.70264199999999999</v>
      </c>
      <c r="J917" s="5">
        <v>8.8236999999999996E-2</v>
      </c>
      <c r="K917" s="8"/>
      <c r="L917" s="23"/>
      <c r="M917" s="8"/>
      <c r="N917" s="8"/>
      <c r="O917" s="8"/>
      <c r="P917" s="8"/>
      <c r="Q917" s="23"/>
      <c r="R917" s="113"/>
      <c r="S917" s="113"/>
      <c r="T917" s="113"/>
      <c r="U917" s="113"/>
      <c r="V917" s="113"/>
      <c r="W917" s="113"/>
      <c r="X917" s="5">
        <f>SUM(R917:W917)</f>
        <v>0</v>
      </c>
      <c r="Y917" s="302"/>
      <c r="Z917" s="5"/>
      <c r="AA917" s="94"/>
      <c r="AB917" s="311">
        <f t="shared" ref="AB917:AB980" si="178">I917-X917</f>
        <v>0.70264199999999999</v>
      </c>
      <c r="AC917" s="296"/>
      <c r="AD917" s="113"/>
      <c r="AE917" s="5"/>
      <c r="AF917" s="5"/>
      <c r="AG917" s="5"/>
      <c r="AH917" s="5"/>
      <c r="AI917" s="5"/>
      <c r="AJ917" s="5"/>
      <c r="AK917" s="141"/>
      <c r="AL917" s="94"/>
      <c r="AM917" s="128"/>
      <c r="AN917" s="180"/>
      <c r="AO917" s="128"/>
      <c r="AP917" s="184"/>
      <c r="AQ917" s="128"/>
      <c r="AR917" s="184"/>
      <c r="AS917" s="128"/>
      <c r="AT917" s="184"/>
      <c r="AU917" s="128"/>
      <c r="AV917" s="184"/>
      <c r="AW917" s="128"/>
      <c r="AX917" s="184"/>
      <c r="AY917" s="111"/>
      <c r="AZ917" s="178"/>
      <c r="BC917" s="47"/>
      <c r="BD917" s="47"/>
      <c r="BF917" s="113"/>
      <c r="BG917" s="113"/>
      <c r="BH917" s="113"/>
      <c r="BI917" s="113"/>
      <c r="BJ917" s="113"/>
      <c r="BK917" s="113"/>
      <c r="BL917" s="5">
        <f t="shared" si="177"/>
        <v>0</v>
      </c>
    </row>
    <row r="918" spans="1:64" s="2" customFormat="1" ht="14.1" customHeight="1" outlineLevel="1" x14ac:dyDescent="0.2">
      <c r="A918" s="595"/>
      <c r="B918" s="602"/>
      <c r="C918" s="7" t="s">
        <v>1554</v>
      </c>
      <c r="D918" s="8"/>
      <c r="E918" s="23"/>
      <c r="F918" s="8"/>
      <c r="G918" s="8"/>
      <c r="H918" s="5"/>
      <c r="I918" s="5"/>
      <c r="J918" s="5"/>
      <c r="K918" s="23"/>
      <c r="L918" s="8"/>
      <c r="M918" s="8"/>
      <c r="N918" s="8"/>
      <c r="O918" s="8"/>
      <c r="P918" s="8"/>
      <c r="Q918" s="23"/>
      <c r="R918" s="113"/>
      <c r="S918" s="113"/>
      <c r="T918" s="113"/>
      <c r="U918" s="113"/>
      <c r="V918" s="113"/>
      <c r="W918" s="113"/>
      <c r="X918" s="5">
        <f>SUM(R918:W918)</f>
        <v>0</v>
      </c>
      <c r="Y918" s="302"/>
      <c r="Z918" s="5"/>
      <c r="AA918" s="94"/>
      <c r="AB918" s="311">
        <f t="shared" si="178"/>
        <v>0</v>
      </c>
      <c r="AC918" s="296"/>
      <c r="AD918" s="113"/>
      <c r="AE918" s="5"/>
      <c r="AF918" s="5"/>
      <c r="AG918" s="5"/>
      <c r="AH918" s="5"/>
      <c r="AI918" s="5"/>
      <c r="AJ918" s="5"/>
      <c r="AK918" s="141"/>
      <c r="AL918" s="94"/>
      <c r="AM918" s="128"/>
      <c r="AN918" s="180"/>
      <c r="AO918" s="128"/>
      <c r="AP918" s="184"/>
      <c r="AQ918" s="128"/>
      <c r="AR918" s="184"/>
      <c r="AS918" s="128"/>
      <c r="AT918" s="184"/>
      <c r="AU918" s="128"/>
      <c r="AV918" s="184"/>
      <c r="AW918" s="128"/>
      <c r="AX918" s="184"/>
      <c r="AY918" s="111"/>
      <c r="AZ918" s="178"/>
      <c r="BC918" s="47"/>
      <c r="BD918" s="47"/>
      <c r="BF918" s="113"/>
      <c r="BG918" s="113"/>
      <c r="BH918" s="113"/>
      <c r="BI918" s="113"/>
      <c r="BJ918" s="113"/>
      <c r="BK918" s="113"/>
      <c r="BL918" s="5">
        <f t="shared" si="177"/>
        <v>0</v>
      </c>
    </row>
    <row r="919" spans="1:64" s="2" customFormat="1" ht="51" customHeight="1" outlineLevel="1" x14ac:dyDescent="0.2">
      <c r="A919" s="593" t="s">
        <v>1099</v>
      </c>
      <c r="B919" s="600" t="s">
        <v>1084</v>
      </c>
      <c r="C919" s="7" t="s">
        <v>595</v>
      </c>
      <c r="D919" s="8" t="s">
        <v>397</v>
      </c>
      <c r="E919" s="23" t="s">
        <v>340</v>
      </c>
      <c r="F919" s="8">
        <v>2013</v>
      </c>
      <c r="G919" s="8">
        <v>2015</v>
      </c>
      <c r="H919" s="5">
        <v>0.41000000000000003</v>
      </c>
      <c r="I919" s="5">
        <v>0.40841600000000006</v>
      </c>
      <c r="J919" s="5">
        <f>R919</f>
        <v>0.11279699999999999</v>
      </c>
      <c r="K919" s="8"/>
      <c r="L919" s="23" t="s">
        <v>340</v>
      </c>
      <c r="M919" s="8"/>
      <c r="N919" s="8"/>
      <c r="O919" s="8"/>
      <c r="P919" s="8"/>
      <c r="Q919" s="23" t="s">
        <v>340</v>
      </c>
      <c r="R919" s="113">
        <v>0.11279699999999999</v>
      </c>
      <c r="S919" s="113"/>
      <c r="T919" s="113"/>
      <c r="U919" s="113"/>
      <c r="V919" s="113"/>
      <c r="W919" s="113"/>
      <c r="X919" s="5">
        <f t="shared" si="175"/>
        <v>0.11279699999999999</v>
      </c>
      <c r="Y919" s="302">
        <f>H919-H920-H921</f>
        <v>0</v>
      </c>
      <c r="Z919" s="5">
        <f>I919-I920-I921</f>
        <v>0</v>
      </c>
      <c r="AA919" s="94">
        <f>J919-J920-J921</f>
        <v>0</v>
      </c>
      <c r="AB919" s="311">
        <f t="shared" si="178"/>
        <v>0.29561900000000008</v>
      </c>
      <c r="AC919" s="296"/>
      <c r="AD919" s="113"/>
      <c r="AE919" s="5"/>
      <c r="AF919" s="5"/>
      <c r="AG919" s="5">
        <f>H919</f>
        <v>0.41000000000000003</v>
      </c>
      <c r="AH919" s="5"/>
      <c r="AI919" s="5"/>
      <c r="AJ919" s="5"/>
      <c r="AK919" s="141"/>
      <c r="AL919" s="94">
        <f>SUM(AF919:AK919)</f>
        <v>0.41000000000000003</v>
      </c>
      <c r="AM919" s="128"/>
      <c r="AN919" s="180"/>
      <c r="AO919" s="128">
        <v>0.2</v>
      </c>
      <c r="AP919" s="184">
        <v>0</v>
      </c>
      <c r="AQ919" s="128"/>
      <c r="AR919" s="184"/>
      <c r="AS919" s="128"/>
      <c r="AT919" s="184"/>
      <c r="AU919" s="128"/>
      <c r="AV919" s="184"/>
      <c r="AW919" s="128"/>
      <c r="AX919" s="184"/>
      <c r="AY919" s="111">
        <f>AM919+AO919+AQ919+AS919+AU919+AW919</f>
        <v>0.2</v>
      </c>
      <c r="AZ919" s="178">
        <f>AN919+AP919+AR919+AT919+AV919+AX919</f>
        <v>0</v>
      </c>
      <c r="BC919" s="47"/>
      <c r="BD919" s="47"/>
      <c r="BF919" s="113">
        <v>0.11279699999999999</v>
      </c>
      <c r="BG919" s="113"/>
      <c r="BH919" s="113"/>
      <c r="BI919" s="113"/>
      <c r="BJ919" s="113"/>
      <c r="BK919" s="113"/>
      <c r="BL919" s="5">
        <f t="shared" si="177"/>
        <v>0.11279699999999999</v>
      </c>
    </row>
    <row r="920" spans="1:64" s="2" customFormat="1" ht="14.1" customHeight="1" outlineLevel="1" x14ac:dyDescent="0.2">
      <c r="A920" s="594"/>
      <c r="B920" s="601"/>
      <c r="C920" s="7" t="s">
        <v>1553</v>
      </c>
      <c r="D920" s="8"/>
      <c r="E920" s="23"/>
      <c r="F920" s="8"/>
      <c r="G920" s="8"/>
      <c r="H920" s="5"/>
      <c r="I920" s="5"/>
      <c r="J920" s="5"/>
      <c r="K920" s="8"/>
      <c r="L920" s="23"/>
      <c r="M920" s="8"/>
      <c r="N920" s="8"/>
      <c r="O920" s="8"/>
      <c r="P920" s="8"/>
      <c r="Q920" s="23"/>
      <c r="R920" s="113"/>
      <c r="S920" s="113"/>
      <c r="T920" s="113"/>
      <c r="U920" s="113"/>
      <c r="V920" s="113"/>
      <c r="W920" s="113"/>
      <c r="X920" s="5">
        <f t="shared" si="175"/>
        <v>0</v>
      </c>
      <c r="Y920" s="302"/>
      <c r="Z920" s="5"/>
      <c r="AA920" s="94"/>
      <c r="AB920" s="311">
        <f t="shared" si="178"/>
        <v>0</v>
      </c>
      <c r="AC920" s="296"/>
      <c r="AD920" s="113"/>
      <c r="AE920" s="5"/>
      <c r="AF920" s="5"/>
      <c r="AG920" s="5"/>
      <c r="AH920" s="5"/>
      <c r="AI920" s="5"/>
      <c r="AJ920" s="5"/>
      <c r="AK920" s="141"/>
      <c r="AL920" s="94"/>
      <c r="AM920" s="128"/>
      <c r="AN920" s="180"/>
      <c r="AO920" s="128"/>
      <c r="AP920" s="184"/>
      <c r="AQ920" s="128"/>
      <c r="AR920" s="184"/>
      <c r="AS920" s="128"/>
      <c r="AT920" s="184"/>
      <c r="AU920" s="128"/>
      <c r="AV920" s="184"/>
      <c r="AW920" s="128"/>
      <c r="AX920" s="184"/>
      <c r="AY920" s="111"/>
      <c r="AZ920" s="178"/>
      <c r="BC920" s="47"/>
      <c r="BD920" s="47"/>
      <c r="BF920" s="113"/>
      <c r="BG920" s="113"/>
      <c r="BH920" s="113"/>
      <c r="BI920" s="113"/>
      <c r="BJ920" s="113"/>
      <c r="BK920" s="113"/>
      <c r="BL920" s="5">
        <f t="shared" si="177"/>
        <v>0</v>
      </c>
    </row>
    <row r="921" spans="1:64" s="2" customFormat="1" ht="14.1" customHeight="1" outlineLevel="1" x14ac:dyDescent="0.2">
      <c r="A921" s="595"/>
      <c r="B921" s="602"/>
      <c r="C921" s="7" t="s">
        <v>1554</v>
      </c>
      <c r="D921" s="8"/>
      <c r="E921" s="23"/>
      <c r="F921" s="8"/>
      <c r="G921" s="8"/>
      <c r="H921" s="5">
        <v>0.41000000000000003</v>
      </c>
      <c r="I921" s="5">
        <v>0.40841600000000006</v>
      </c>
      <c r="J921" s="5">
        <f>R919</f>
        <v>0.11279699999999999</v>
      </c>
      <c r="K921" s="23"/>
      <c r="L921" s="8"/>
      <c r="M921" s="8"/>
      <c r="N921" s="8"/>
      <c r="O921" s="8"/>
      <c r="P921" s="8"/>
      <c r="Q921" s="23"/>
      <c r="R921" s="113"/>
      <c r="S921" s="113"/>
      <c r="T921" s="113"/>
      <c r="U921" s="113"/>
      <c r="V921" s="113"/>
      <c r="W921" s="113"/>
      <c r="X921" s="5">
        <f t="shared" si="175"/>
        <v>0</v>
      </c>
      <c r="Y921" s="302"/>
      <c r="Z921" s="5"/>
      <c r="AA921" s="94"/>
      <c r="AB921" s="311">
        <f t="shared" si="178"/>
        <v>0.40841600000000006</v>
      </c>
      <c r="AC921" s="296"/>
      <c r="AD921" s="113"/>
      <c r="AE921" s="5"/>
      <c r="AF921" s="5"/>
      <c r="AG921" s="5"/>
      <c r="AH921" s="5"/>
      <c r="AI921" s="5"/>
      <c r="AJ921" s="5"/>
      <c r="AK921" s="141"/>
      <c r="AL921" s="94"/>
      <c r="AM921" s="128"/>
      <c r="AN921" s="180"/>
      <c r="AO921" s="128"/>
      <c r="AP921" s="184"/>
      <c r="AQ921" s="128"/>
      <c r="AR921" s="184"/>
      <c r="AS921" s="128"/>
      <c r="AT921" s="184"/>
      <c r="AU921" s="128"/>
      <c r="AV921" s="184"/>
      <c r="AW921" s="128"/>
      <c r="AX921" s="184"/>
      <c r="AY921" s="111"/>
      <c r="AZ921" s="178"/>
      <c r="BC921" s="47"/>
      <c r="BD921" s="47"/>
      <c r="BF921" s="113"/>
      <c r="BG921" s="113"/>
      <c r="BH921" s="113"/>
      <c r="BI921" s="113"/>
      <c r="BJ921" s="113"/>
      <c r="BK921" s="113"/>
      <c r="BL921" s="5">
        <f t="shared" si="177"/>
        <v>0</v>
      </c>
    </row>
    <row r="922" spans="1:64" s="2" customFormat="1" ht="25.5" customHeight="1" outlineLevel="1" x14ac:dyDescent="0.2">
      <c r="A922" s="593" t="s">
        <v>1101</v>
      </c>
      <c r="B922" s="600" t="s">
        <v>1087</v>
      </c>
      <c r="C922" s="7" t="s">
        <v>1102</v>
      </c>
      <c r="D922" s="8" t="s">
        <v>397</v>
      </c>
      <c r="E922" s="23" t="s">
        <v>340</v>
      </c>
      <c r="F922" s="8">
        <v>2013</v>
      </c>
      <c r="G922" s="8">
        <v>2015</v>
      </c>
      <c r="H922" s="5">
        <v>0.31</v>
      </c>
      <c r="I922" s="5">
        <v>0.30222599999999999</v>
      </c>
      <c r="J922" s="5">
        <f>R922</f>
        <v>0.13735600000000001</v>
      </c>
      <c r="K922" s="8"/>
      <c r="L922" s="23" t="s">
        <v>340</v>
      </c>
      <c r="M922" s="8"/>
      <c r="N922" s="8"/>
      <c r="O922" s="8"/>
      <c r="P922" s="8"/>
      <c r="Q922" s="23" t="s">
        <v>340</v>
      </c>
      <c r="R922" s="113">
        <v>0.13735600000000001</v>
      </c>
      <c r="S922" s="113"/>
      <c r="T922" s="113"/>
      <c r="U922" s="113"/>
      <c r="V922" s="113"/>
      <c r="W922" s="113"/>
      <c r="X922" s="5">
        <f t="shared" si="175"/>
        <v>0.13735600000000001</v>
      </c>
      <c r="Y922" s="302">
        <f>H922-H923-H924</f>
        <v>0</v>
      </c>
      <c r="Z922" s="5">
        <f>I922-I923-I924</f>
        <v>0</v>
      </c>
      <c r="AA922" s="94">
        <f>J922-J923-J924</f>
        <v>0</v>
      </c>
      <c r="AB922" s="311">
        <f t="shared" si="178"/>
        <v>0.16486999999999999</v>
      </c>
      <c r="AC922" s="296"/>
      <c r="AD922" s="113"/>
      <c r="AE922" s="5"/>
      <c r="AF922" s="5"/>
      <c r="AG922" s="5">
        <f>H922</f>
        <v>0.31</v>
      </c>
      <c r="AH922" s="5"/>
      <c r="AI922" s="5"/>
      <c r="AJ922" s="5"/>
      <c r="AK922" s="141"/>
      <c r="AL922" s="94">
        <f>SUM(AF922:AK922)</f>
        <v>0.31</v>
      </c>
      <c r="AM922" s="128"/>
      <c r="AN922" s="180"/>
      <c r="AO922" s="128">
        <v>0.2</v>
      </c>
      <c r="AP922" s="184">
        <v>0</v>
      </c>
      <c r="AQ922" s="128"/>
      <c r="AR922" s="184"/>
      <c r="AS922" s="128"/>
      <c r="AT922" s="184"/>
      <c r="AU922" s="128"/>
      <c r="AV922" s="184"/>
      <c r="AW922" s="128"/>
      <c r="AX922" s="184"/>
      <c r="AY922" s="111">
        <f>AM922+AO922+AQ922+AS922+AU922+AW922</f>
        <v>0.2</v>
      </c>
      <c r="AZ922" s="178">
        <f>AN922+AP922+AR922+AT922+AV922+AX922</f>
        <v>0</v>
      </c>
      <c r="BC922" s="47"/>
      <c r="BD922" s="47"/>
      <c r="BF922" s="113">
        <v>0.13735600000000001</v>
      </c>
      <c r="BG922" s="113"/>
      <c r="BH922" s="113"/>
      <c r="BI922" s="113"/>
      <c r="BJ922" s="113"/>
      <c r="BK922" s="113"/>
      <c r="BL922" s="5">
        <f t="shared" si="177"/>
        <v>0.13735600000000001</v>
      </c>
    </row>
    <row r="923" spans="1:64" s="2" customFormat="1" ht="14.1" customHeight="1" outlineLevel="1" x14ac:dyDescent="0.2">
      <c r="A923" s="594"/>
      <c r="B923" s="601"/>
      <c r="C923" s="7" t="s">
        <v>1553</v>
      </c>
      <c r="D923" s="8"/>
      <c r="E923" s="23"/>
      <c r="F923" s="8"/>
      <c r="G923" s="8"/>
      <c r="H923" s="5"/>
      <c r="I923" s="5"/>
      <c r="J923" s="5"/>
      <c r="K923" s="8"/>
      <c r="L923" s="23"/>
      <c r="M923" s="8"/>
      <c r="N923" s="8"/>
      <c r="O923" s="8"/>
      <c r="P923" s="8"/>
      <c r="Q923" s="23"/>
      <c r="R923" s="113"/>
      <c r="S923" s="113"/>
      <c r="T923" s="113"/>
      <c r="U923" s="113"/>
      <c r="V923" s="113"/>
      <c r="W923" s="113"/>
      <c r="X923" s="5">
        <f>SUM(R923:W923)</f>
        <v>0</v>
      </c>
      <c r="Y923" s="302"/>
      <c r="Z923" s="5"/>
      <c r="AA923" s="94"/>
      <c r="AB923" s="311">
        <f t="shared" si="178"/>
        <v>0</v>
      </c>
      <c r="AC923" s="296"/>
      <c r="AD923" s="113"/>
      <c r="AE923" s="5"/>
      <c r="AF923" s="5"/>
      <c r="AG923" s="5"/>
      <c r="AH923" s="5"/>
      <c r="AI923" s="5"/>
      <c r="AJ923" s="5"/>
      <c r="AK923" s="141"/>
      <c r="AL923" s="94"/>
      <c r="AM923" s="128"/>
      <c r="AN923" s="180"/>
      <c r="AO923" s="128"/>
      <c r="AP923" s="184"/>
      <c r="AQ923" s="128"/>
      <c r="AR923" s="184"/>
      <c r="AS923" s="128"/>
      <c r="AT923" s="184"/>
      <c r="AU923" s="128"/>
      <c r="AV923" s="184"/>
      <c r="AW923" s="128"/>
      <c r="AX923" s="184"/>
      <c r="AY923" s="111"/>
      <c r="AZ923" s="178"/>
      <c r="BC923" s="47"/>
      <c r="BD923" s="47"/>
      <c r="BF923" s="113"/>
      <c r="BG923" s="113"/>
      <c r="BH923" s="113"/>
      <c r="BI923" s="113"/>
      <c r="BJ923" s="113"/>
      <c r="BK923" s="113"/>
      <c r="BL923" s="5">
        <f t="shared" si="177"/>
        <v>0</v>
      </c>
    </row>
    <row r="924" spans="1:64" s="2" customFormat="1" ht="14.1" customHeight="1" outlineLevel="1" x14ac:dyDescent="0.2">
      <c r="A924" s="595"/>
      <c r="B924" s="602"/>
      <c r="C924" s="7" t="s">
        <v>1554</v>
      </c>
      <c r="D924" s="8"/>
      <c r="E924" s="23"/>
      <c r="F924" s="8"/>
      <c r="G924" s="8"/>
      <c r="H924" s="5">
        <v>0.31</v>
      </c>
      <c r="I924" s="5">
        <v>0.30222599999999999</v>
      </c>
      <c r="J924" s="5">
        <v>0.13735600000000001</v>
      </c>
      <c r="K924" s="23"/>
      <c r="L924" s="8"/>
      <c r="M924" s="8"/>
      <c r="N924" s="8"/>
      <c r="O924" s="8"/>
      <c r="P924" s="8"/>
      <c r="Q924" s="23"/>
      <c r="R924" s="113"/>
      <c r="S924" s="113"/>
      <c r="T924" s="113"/>
      <c r="U924" s="113"/>
      <c r="V924" s="113"/>
      <c r="W924" s="113"/>
      <c r="X924" s="5">
        <f>SUM(R924:W924)</f>
        <v>0</v>
      </c>
      <c r="Y924" s="302"/>
      <c r="Z924" s="5"/>
      <c r="AA924" s="94"/>
      <c r="AB924" s="311">
        <f t="shared" si="178"/>
        <v>0.30222599999999999</v>
      </c>
      <c r="AC924" s="296"/>
      <c r="AD924" s="113"/>
      <c r="AE924" s="5"/>
      <c r="AF924" s="5"/>
      <c r="AG924" s="5"/>
      <c r="AH924" s="5"/>
      <c r="AI924" s="5"/>
      <c r="AJ924" s="5"/>
      <c r="AK924" s="141"/>
      <c r="AL924" s="94"/>
      <c r="AM924" s="128"/>
      <c r="AN924" s="180"/>
      <c r="AO924" s="128"/>
      <c r="AP924" s="184"/>
      <c r="AQ924" s="128"/>
      <c r="AR924" s="184"/>
      <c r="AS924" s="128"/>
      <c r="AT924" s="184"/>
      <c r="AU924" s="128"/>
      <c r="AV924" s="184"/>
      <c r="AW924" s="128"/>
      <c r="AX924" s="184"/>
      <c r="AY924" s="111"/>
      <c r="AZ924" s="178"/>
      <c r="BC924" s="47"/>
      <c r="BD924" s="47"/>
      <c r="BF924" s="113"/>
      <c r="BG924" s="113"/>
      <c r="BH924" s="113"/>
      <c r="BI924" s="113"/>
      <c r="BJ924" s="113"/>
      <c r="BK924" s="113"/>
      <c r="BL924" s="5">
        <f t="shared" si="177"/>
        <v>0</v>
      </c>
    </row>
    <row r="925" spans="1:64" s="2" customFormat="1" ht="115.5" customHeight="1" outlineLevel="1" x14ac:dyDescent="0.2">
      <c r="A925" s="593" t="s">
        <v>1104</v>
      </c>
      <c r="B925" s="600" t="s">
        <v>1089</v>
      </c>
      <c r="C925" s="7" t="s">
        <v>596</v>
      </c>
      <c r="D925" s="8" t="s">
        <v>397</v>
      </c>
      <c r="E925" s="23" t="s">
        <v>333</v>
      </c>
      <c r="F925" s="8">
        <v>2013</v>
      </c>
      <c r="G925" s="8">
        <v>2015</v>
      </c>
      <c r="H925" s="5">
        <v>0.41000000000000003</v>
      </c>
      <c r="I925" s="5">
        <v>0.40214300000000003</v>
      </c>
      <c r="J925" s="5">
        <f>R925</f>
        <v>2.0699000000000002E-2</v>
      </c>
      <c r="K925" s="8"/>
      <c r="L925" s="23" t="s">
        <v>333</v>
      </c>
      <c r="M925" s="8"/>
      <c r="N925" s="8"/>
      <c r="O925" s="8"/>
      <c r="P925" s="8"/>
      <c r="Q925" s="23" t="s">
        <v>333</v>
      </c>
      <c r="R925" s="113">
        <v>2.0699000000000002E-2</v>
      </c>
      <c r="S925" s="113"/>
      <c r="T925" s="113"/>
      <c r="U925" s="113"/>
      <c r="V925" s="113"/>
      <c r="W925" s="113"/>
      <c r="X925" s="5">
        <f t="shared" si="175"/>
        <v>2.0699000000000002E-2</v>
      </c>
      <c r="Y925" s="302">
        <f>H925-H926-H927</f>
        <v>0</v>
      </c>
      <c r="Z925" s="5">
        <f>I925-I926-I927</f>
        <v>0</v>
      </c>
      <c r="AA925" s="94">
        <f>J925-J926-J927</f>
        <v>0</v>
      </c>
      <c r="AB925" s="311">
        <f t="shared" si="178"/>
        <v>0.38144400000000001</v>
      </c>
      <c r="AC925" s="296"/>
      <c r="AD925" s="113"/>
      <c r="AE925" s="5"/>
      <c r="AF925" s="5"/>
      <c r="AG925" s="5">
        <f>H925</f>
        <v>0.41000000000000003</v>
      </c>
      <c r="AH925" s="5"/>
      <c r="AI925" s="5"/>
      <c r="AJ925" s="5"/>
      <c r="AK925" s="141"/>
      <c r="AL925" s="94">
        <f>SUM(AF925:AK925)</f>
        <v>0.41000000000000003</v>
      </c>
      <c r="AM925" s="128"/>
      <c r="AN925" s="180"/>
      <c r="AO925" s="128">
        <v>0.3</v>
      </c>
      <c r="AP925" s="184">
        <v>0</v>
      </c>
      <c r="AQ925" s="128"/>
      <c r="AR925" s="184"/>
      <c r="AS925" s="128"/>
      <c r="AT925" s="184"/>
      <c r="AU925" s="128"/>
      <c r="AV925" s="184"/>
      <c r="AW925" s="128"/>
      <c r="AX925" s="184"/>
      <c r="AY925" s="111">
        <f>AM925+AO925+AQ925+AS925+AU925+AW925</f>
        <v>0.3</v>
      </c>
      <c r="AZ925" s="178">
        <f>AN925+AP925+AR925+AT925+AV925+AX925</f>
        <v>0</v>
      </c>
      <c r="BC925" s="47"/>
      <c r="BD925" s="47"/>
      <c r="BF925" s="113">
        <v>2.0699000000000002E-2</v>
      </c>
      <c r="BG925" s="113"/>
      <c r="BH925" s="113"/>
      <c r="BI925" s="113"/>
      <c r="BJ925" s="113"/>
      <c r="BK925" s="113"/>
      <c r="BL925" s="5">
        <f t="shared" si="177"/>
        <v>2.0699000000000002E-2</v>
      </c>
    </row>
    <row r="926" spans="1:64" s="2" customFormat="1" ht="14.1" customHeight="1" outlineLevel="1" x14ac:dyDescent="0.2">
      <c r="A926" s="594"/>
      <c r="B926" s="601"/>
      <c r="C926" s="7" t="s">
        <v>1553</v>
      </c>
      <c r="D926" s="8"/>
      <c r="E926" s="23"/>
      <c r="F926" s="8"/>
      <c r="G926" s="8"/>
      <c r="H926" s="5">
        <v>0.41000000000000003</v>
      </c>
      <c r="I926" s="5">
        <v>0.40214300000000003</v>
      </c>
      <c r="J926" s="5">
        <v>2.0699000000000002E-2</v>
      </c>
      <c r="K926" s="8"/>
      <c r="L926" s="23"/>
      <c r="M926" s="8"/>
      <c r="N926" s="8"/>
      <c r="O926" s="8"/>
      <c r="P926" s="8"/>
      <c r="Q926" s="23"/>
      <c r="R926" s="113"/>
      <c r="S926" s="113"/>
      <c r="T926" s="113"/>
      <c r="U926" s="113"/>
      <c r="V926" s="113"/>
      <c r="W926" s="113"/>
      <c r="X926" s="5">
        <f t="shared" si="175"/>
        <v>0</v>
      </c>
      <c r="Y926" s="302"/>
      <c r="Z926" s="5"/>
      <c r="AA926" s="94"/>
      <c r="AB926" s="311">
        <f t="shared" si="178"/>
        <v>0.40214300000000003</v>
      </c>
      <c r="AC926" s="296"/>
      <c r="AD926" s="113"/>
      <c r="AE926" s="5"/>
      <c r="AF926" s="5"/>
      <c r="AG926" s="5"/>
      <c r="AH926" s="5"/>
      <c r="AI926" s="5"/>
      <c r="AJ926" s="5"/>
      <c r="AK926" s="141"/>
      <c r="AL926" s="94"/>
      <c r="AM926" s="128"/>
      <c r="AN926" s="180"/>
      <c r="AO926" s="128"/>
      <c r="AP926" s="184"/>
      <c r="AQ926" s="128"/>
      <c r="AR926" s="184"/>
      <c r="AS926" s="128"/>
      <c r="AT926" s="184"/>
      <c r="AU926" s="128"/>
      <c r="AV926" s="184"/>
      <c r="AW926" s="128"/>
      <c r="AX926" s="184"/>
      <c r="AY926" s="111"/>
      <c r="AZ926" s="178"/>
      <c r="BC926" s="47"/>
      <c r="BD926" s="47"/>
      <c r="BF926" s="113"/>
      <c r="BG926" s="113"/>
      <c r="BH926" s="113"/>
      <c r="BI926" s="113"/>
      <c r="BJ926" s="113"/>
      <c r="BK926" s="113"/>
      <c r="BL926" s="5">
        <f t="shared" si="177"/>
        <v>0</v>
      </c>
    </row>
    <row r="927" spans="1:64" s="2" customFormat="1" ht="14.1" customHeight="1" outlineLevel="1" x14ac:dyDescent="0.2">
      <c r="A927" s="595"/>
      <c r="B927" s="602"/>
      <c r="C927" s="7" t="s">
        <v>1554</v>
      </c>
      <c r="D927" s="8"/>
      <c r="E927" s="23"/>
      <c r="F927" s="8"/>
      <c r="G927" s="8"/>
      <c r="H927" s="5"/>
      <c r="I927" s="5"/>
      <c r="J927" s="5"/>
      <c r="K927" s="23"/>
      <c r="L927" s="8"/>
      <c r="M927" s="8"/>
      <c r="N927" s="8"/>
      <c r="O927" s="8"/>
      <c r="P927" s="8"/>
      <c r="Q927" s="23"/>
      <c r="R927" s="113"/>
      <c r="S927" s="113"/>
      <c r="T927" s="113"/>
      <c r="U927" s="113"/>
      <c r="V927" s="113"/>
      <c r="W927" s="113"/>
      <c r="X927" s="5">
        <f t="shared" si="175"/>
        <v>0</v>
      </c>
      <c r="Y927" s="302"/>
      <c r="Z927" s="5"/>
      <c r="AA927" s="94"/>
      <c r="AB927" s="311">
        <f t="shared" si="178"/>
        <v>0</v>
      </c>
      <c r="AC927" s="296"/>
      <c r="AD927" s="113"/>
      <c r="AE927" s="5"/>
      <c r="AF927" s="5"/>
      <c r="AG927" s="5"/>
      <c r="AH927" s="5"/>
      <c r="AI927" s="5"/>
      <c r="AJ927" s="5"/>
      <c r="AK927" s="141"/>
      <c r="AL927" s="94"/>
      <c r="AM927" s="128"/>
      <c r="AN927" s="180"/>
      <c r="AO927" s="128"/>
      <c r="AP927" s="184"/>
      <c r="AQ927" s="128"/>
      <c r="AR927" s="184"/>
      <c r="AS927" s="128"/>
      <c r="AT927" s="184"/>
      <c r="AU927" s="128"/>
      <c r="AV927" s="184"/>
      <c r="AW927" s="128"/>
      <c r="AX927" s="184"/>
      <c r="AY927" s="111"/>
      <c r="AZ927" s="178"/>
      <c r="BC927" s="47"/>
      <c r="BD927" s="47"/>
      <c r="BF927" s="113"/>
      <c r="BG927" s="113"/>
      <c r="BH927" s="113"/>
      <c r="BI927" s="113"/>
      <c r="BJ927" s="113"/>
      <c r="BK927" s="113"/>
      <c r="BL927" s="5">
        <f t="shared" ref="BL927:BL990" si="179">SUM(BF927:BK927)</f>
        <v>0</v>
      </c>
    </row>
    <row r="928" spans="1:64" s="2" customFormat="1" ht="77.25" customHeight="1" outlineLevel="1" x14ac:dyDescent="0.2">
      <c r="A928" s="593" t="s">
        <v>1106</v>
      </c>
      <c r="B928" s="600" t="s">
        <v>1092</v>
      </c>
      <c r="C928" s="7" t="s">
        <v>597</v>
      </c>
      <c r="D928" s="8" t="s">
        <v>397</v>
      </c>
      <c r="E928" s="23" t="s">
        <v>1241</v>
      </c>
      <c r="F928" s="8">
        <v>2013</v>
      </c>
      <c r="G928" s="8">
        <v>2015</v>
      </c>
      <c r="H928" s="5">
        <v>4.0614999999999998E-2</v>
      </c>
      <c r="I928" s="5">
        <v>3.9E-2</v>
      </c>
      <c r="J928" s="5">
        <f>R928</f>
        <v>0.02</v>
      </c>
      <c r="K928" s="8"/>
      <c r="L928" s="23" t="s">
        <v>1241</v>
      </c>
      <c r="M928" s="8"/>
      <c r="N928" s="8"/>
      <c r="O928" s="8"/>
      <c r="P928" s="8"/>
      <c r="Q928" s="23" t="s">
        <v>1241</v>
      </c>
      <c r="R928" s="113">
        <v>0.02</v>
      </c>
      <c r="S928" s="113"/>
      <c r="T928" s="113"/>
      <c r="U928" s="113"/>
      <c r="V928" s="113"/>
      <c r="W928" s="113"/>
      <c r="X928" s="5">
        <f t="shared" si="175"/>
        <v>0.02</v>
      </c>
      <c r="Y928" s="302">
        <f>H928-H929-H930</f>
        <v>0</v>
      </c>
      <c r="Z928" s="5">
        <f>I928-I929-I930</f>
        <v>0</v>
      </c>
      <c r="AA928" s="94">
        <f>J928-J929-J930</f>
        <v>0</v>
      </c>
      <c r="AB928" s="311">
        <f t="shared" si="178"/>
        <v>1.9E-2</v>
      </c>
      <c r="AC928" s="296"/>
      <c r="AD928" s="113"/>
      <c r="AE928" s="5"/>
      <c r="AF928" s="5"/>
      <c r="AG928" s="5">
        <f>H928</f>
        <v>4.0614999999999998E-2</v>
      </c>
      <c r="AH928" s="5"/>
      <c r="AI928" s="5"/>
      <c r="AJ928" s="5"/>
      <c r="AK928" s="141"/>
      <c r="AL928" s="94">
        <f>SUM(AF928:AK928)</f>
        <v>4.0614999999999998E-2</v>
      </c>
      <c r="AM928" s="128"/>
      <c r="AN928" s="180"/>
      <c r="AO928" s="128">
        <v>0</v>
      </c>
      <c r="AP928" s="184">
        <v>0</v>
      </c>
      <c r="AQ928" s="128"/>
      <c r="AR928" s="184"/>
      <c r="AS928" s="128"/>
      <c r="AT928" s="184"/>
      <c r="AU928" s="128"/>
      <c r="AV928" s="184"/>
      <c r="AW928" s="128"/>
      <c r="AX928" s="184"/>
      <c r="AY928" s="111">
        <f>AM928+AO928+AQ928+AS928+AU928+AW928</f>
        <v>0</v>
      </c>
      <c r="AZ928" s="178">
        <f>AN928+AP928+AR928+AT928+AV928+AX928</f>
        <v>0</v>
      </c>
      <c r="BC928" s="47"/>
      <c r="BD928" s="47"/>
      <c r="BF928" s="113">
        <v>0.02</v>
      </c>
      <c r="BG928" s="113"/>
      <c r="BH928" s="113"/>
      <c r="BI928" s="113"/>
      <c r="BJ928" s="113"/>
      <c r="BK928" s="113"/>
      <c r="BL928" s="5">
        <f t="shared" si="179"/>
        <v>0.02</v>
      </c>
    </row>
    <row r="929" spans="1:64" s="2" customFormat="1" ht="15.75" customHeight="1" outlineLevel="1" x14ac:dyDescent="0.2">
      <c r="A929" s="594"/>
      <c r="B929" s="601"/>
      <c r="C929" s="7" t="s">
        <v>1553</v>
      </c>
      <c r="D929" s="8"/>
      <c r="E929" s="23"/>
      <c r="F929" s="8"/>
      <c r="G929" s="8"/>
      <c r="H929" s="5"/>
      <c r="I929" s="5"/>
      <c r="J929" s="12"/>
      <c r="K929" s="8"/>
      <c r="L929" s="23"/>
      <c r="M929" s="8"/>
      <c r="N929" s="8"/>
      <c r="O929" s="8"/>
      <c r="P929" s="8"/>
      <c r="Q929" s="23"/>
      <c r="R929" s="113"/>
      <c r="S929" s="113"/>
      <c r="T929" s="113"/>
      <c r="U929" s="113"/>
      <c r="V929" s="113"/>
      <c r="W929" s="113"/>
      <c r="X929" s="5">
        <f>SUM(R929:W929)</f>
        <v>0</v>
      </c>
      <c r="Y929" s="302"/>
      <c r="Z929" s="5"/>
      <c r="AA929" s="94"/>
      <c r="AB929" s="311">
        <f t="shared" si="178"/>
        <v>0</v>
      </c>
      <c r="AC929" s="296"/>
      <c r="AD929" s="113"/>
      <c r="AE929" s="5"/>
      <c r="AF929" s="5"/>
      <c r="AG929" s="5"/>
      <c r="AH929" s="5"/>
      <c r="AI929" s="5"/>
      <c r="AJ929" s="5"/>
      <c r="AK929" s="141"/>
      <c r="AL929" s="94"/>
      <c r="AM929" s="128"/>
      <c r="AN929" s="180"/>
      <c r="AO929" s="128"/>
      <c r="AP929" s="184"/>
      <c r="AQ929" s="128"/>
      <c r="AR929" s="184"/>
      <c r="AS929" s="128"/>
      <c r="AT929" s="184"/>
      <c r="AU929" s="128"/>
      <c r="AV929" s="184"/>
      <c r="AW929" s="128"/>
      <c r="AX929" s="184"/>
      <c r="AY929" s="111"/>
      <c r="AZ929" s="178"/>
      <c r="BC929" s="47"/>
      <c r="BD929" s="47"/>
      <c r="BF929" s="113"/>
      <c r="BG929" s="113"/>
      <c r="BH929" s="113"/>
      <c r="BI929" s="113"/>
      <c r="BJ929" s="113"/>
      <c r="BK929" s="113"/>
      <c r="BL929" s="5">
        <f t="shared" si="179"/>
        <v>0</v>
      </c>
    </row>
    <row r="930" spans="1:64" s="2" customFormat="1" ht="15.75" customHeight="1" outlineLevel="1" x14ac:dyDescent="0.2">
      <c r="A930" s="595"/>
      <c r="B930" s="602"/>
      <c r="C930" s="7" t="s">
        <v>1554</v>
      </c>
      <c r="D930" s="8"/>
      <c r="E930" s="23"/>
      <c r="F930" s="8"/>
      <c r="G930" s="8"/>
      <c r="H930" s="5">
        <f>H928</f>
        <v>4.0614999999999998E-2</v>
      </c>
      <c r="I930" s="5">
        <v>3.9E-2</v>
      </c>
      <c r="J930" s="5">
        <v>0.02</v>
      </c>
      <c r="K930" s="23"/>
      <c r="L930" s="8"/>
      <c r="M930" s="8"/>
      <c r="N930" s="8"/>
      <c r="O930" s="8"/>
      <c r="P930" s="8"/>
      <c r="Q930" s="23"/>
      <c r="R930" s="113"/>
      <c r="S930" s="113"/>
      <c r="T930" s="113"/>
      <c r="U930" s="113"/>
      <c r="V930" s="113"/>
      <c r="W930" s="113"/>
      <c r="X930" s="5">
        <f>SUM(R930:W930)</f>
        <v>0</v>
      </c>
      <c r="Y930" s="302"/>
      <c r="Z930" s="5"/>
      <c r="AA930" s="94"/>
      <c r="AB930" s="311">
        <f t="shared" si="178"/>
        <v>3.9E-2</v>
      </c>
      <c r="AC930" s="296"/>
      <c r="AD930" s="113"/>
      <c r="AE930" s="5"/>
      <c r="AF930" s="5"/>
      <c r="AG930" s="5"/>
      <c r="AH930" s="5"/>
      <c r="AI930" s="5"/>
      <c r="AJ930" s="5"/>
      <c r="AK930" s="141"/>
      <c r="AL930" s="94"/>
      <c r="AM930" s="128"/>
      <c r="AN930" s="180"/>
      <c r="AO930" s="128"/>
      <c r="AP930" s="184"/>
      <c r="AQ930" s="128"/>
      <c r="AR930" s="184"/>
      <c r="AS930" s="128"/>
      <c r="AT930" s="184"/>
      <c r="AU930" s="128"/>
      <c r="AV930" s="184"/>
      <c r="AW930" s="128"/>
      <c r="AX930" s="184"/>
      <c r="AY930" s="111"/>
      <c r="AZ930" s="178"/>
      <c r="BC930" s="47"/>
      <c r="BD930" s="47"/>
      <c r="BF930" s="113"/>
      <c r="BG930" s="113"/>
      <c r="BH930" s="113"/>
      <c r="BI930" s="113"/>
      <c r="BJ930" s="113"/>
      <c r="BK930" s="113"/>
      <c r="BL930" s="5">
        <f t="shared" si="179"/>
        <v>0</v>
      </c>
    </row>
    <row r="931" spans="1:64" s="2" customFormat="1" ht="76.5" outlineLevel="1" x14ac:dyDescent="0.2">
      <c r="A931" s="593" t="s">
        <v>1108</v>
      </c>
      <c r="B931" s="600" t="s">
        <v>1095</v>
      </c>
      <c r="C931" s="7" t="s">
        <v>1109</v>
      </c>
      <c r="D931" s="8" t="s">
        <v>397</v>
      </c>
      <c r="E931" s="23" t="s">
        <v>1241</v>
      </c>
      <c r="F931" s="8">
        <v>2013</v>
      </c>
      <c r="G931" s="8">
        <v>2014</v>
      </c>
      <c r="H931" s="5">
        <v>4.3034010000000004E-2</v>
      </c>
      <c r="I931" s="5">
        <v>0.02</v>
      </c>
      <c r="J931" s="5">
        <f>R931</f>
        <v>0.02</v>
      </c>
      <c r="K931" s="23" t="s">
        <v>1241</v>
      </c>
      <c r="L931" s="8"/>
      <c r="M931" s="8"/>
      <c r="N931" s="8"/>
      <c r="O931" s="8"/>
      <c r="P931" s="8"/>
      <c r="Q931" s="23" t="s">
        <v>1241</v>
      </c>
      <c r="R931" s="113">
        <v>0.02</v>
      </c>
      <c r="S931" s="113"/>
      <c r="T931" s="113"/>
      <c r="U931" s="113"/>
      <c r="V931" s="113"/>
      <c r="W931" s="113"/>
      <c r="X931" s="5">
        <f t="shared" si="175"/>
        <v>0.02</v>
      </c>
      <c r="Y931" s="302">
        <f>H931-H932-H933</f>
        <v>0</v>
      </c>
      <c r="Z931" s="5">
        <f>I931-I932-I933</f>
        <v>0</v>
      </c>
      <c r="AA931" s="94">
        <f>J931-J932-J933</f>
        <v>0</v>
      </c>
      <c r="AB931" s="311">
        <f t="shared" si="178"/>
        <v>0</v>
      </c>
      <c r="AC931" s="296"/>
      <c r="AD931" s="113"/>
      <c r="AE931" s="5"/>
      <c r="AF931" s="5">
        <f>H931</f>
        <v>4.3034010000000004E-2</v>
      </c>
      <c r="AG931" s="5"/>
      <c r="AH931" s="5"/>
      <c r="AI931" s="5"/>
      <c r="AJ931" s="5"/>
      <c r="AK931" s="141"/>
      <c r="AL931" s="94">
        <f>SUM(AF931:AK931)</f>
        <v>4.3034010000000004E-2</v>
      </c>
      <c r="AM931" s="128">
        <v>0</v>
      </c>
      <c r="AN931" s="180">
        <v>0</v>
      </c>
      <c r="AO931" s="128"/>
      <c r="AP931" s="184"/>
      <c r="AQ931" s="128"/>
      <c r="AR931" s="184"/>
      <c r="AS931" s="128"/>
      <c r="AT931" s="184"/>
      <c r="AU931" s="128"/>
      <c r="AV931" s="184"/>
      <c r="AW931" s="128"/>
      <c r="AX931" s="184"/>
      <c r="AY931" s="111">
        <f>AM931+AO931+AQ931+AS931+AU931+AW931</f>
        <v>0</v>
      </c>
      <c r="AZ931" s="178">
        <f>AN931+AP931+AR931+AT931+AV931+AX931</f>
        <v>0</v>
      </c>
      <c r="BC931" s="47"/>
      <c r="BD931" s="47"/>
      <c r="BF931" s="113">
        <v>0.02</v>
      </c>
      <c r="BG931" s="113"/>
      <c r="BH931" s="113"/>
      <c r="BI931" s="113"/>
      <c r="BJ931" s="113"/>
      <c r="BK931" s="113"/>
      <c r="BL931" s="5">
        <f t="shared" si="179"/>
        <v>0.02</v>
      </c>
    </row>
    <row r="932" spans="1:64" s="2" customFormat="1" ht="14.1" customHeight="1" outlineLevel="1" x14ac:dyDescent="0.2">
      <c r="A932" s="594"/>
      <c r="B932" s="601"/>
      <c r="C932" s="7" t="s">
        <v>1553</v>
      </c>
      <c r="D932" s="8"/>
      <c r="E932" s="23"/>
      <c r="F932" s="8"/>
      <c r="G932" s="8"/>
      <c r="H932" s="5"/>
      <c r="I932" s="5"/>
      <c r="J932" s="12"/>
      <c r="K932" s="8"/>
      <c r="L932" s="23"/>
      <c r="M932" s="8"/>
      <c r="N932" s="8"/>
      <c r="O932" s="8"/>
      <c r="P932" s="8"/>
      <c r="Q932" s="23"/>
      <c r="R932" s="113"/>
      <c r="S932" s="113"/>
      <c r="T932" s="113"/>
      <c r="U932" s="113"/>
      <c r="V932" s="113"/>
      <c r="W932" s="113"/>
      <c r="X932" s="5">
        <f t="shared" si="175"/>
        <v>0</v>
      </c>
      <c r="Y932" s="302"/>
      <c r="Z932" s="5"/>
      <c r="AA932" s="94"/>
      <c r="AB932" s="311">
        <f t="shared" si="178"/>
        <v>0</v>
      </c>
      <c r="AC932" s="296"/>
      <c r="AD932" s="113"/>
      <c r="AE932" s="5"/>
      <c r="AF932" s="5"/>
      <c r="AG932" s="5"/>
      <c r="AH932" s="5"/>
      <c r="AI932" s="5"/>
      <c r="AJ932" s="5"/>
      <c r="AK932" s="141"/>
      <c r="AL932" s="94"/>
      <c r="AM932" s="128"/>
      <c r="AN932" s="180"/>
      <c r="AO932" s="128"/>
      <c r="AP932" s="184"/>
      <c r="AQ932" s="128"/>
      <c r="AR932" s="184"/>
      <c r="AS932" s="128"/>
      <c r="AT932" s="184"/>
      <c r="AU932" s="128"/>
      <c r="AV932" s="184"/>
      <c r="AW932" s="128"/>
      <c r="AX932" s="184"/>
      <c r="AY932" s="111"/>
      <c r="AZ932" s="178"/>
      <c r="BC932" s="47"/>
      <c r="BD932" s="47"/>
      <c r="BF932" s="113"/>
      <c r="BG932" s="113"/>
      <c r="BH932" s="113"/>
      <c r="BI932" s="113"/>
      <c r="BJ932" s="113"/>
      <c r="BK932" s="113"/>
      <c r="BL932" s="5">
        <f t="shared" si="179"/>
        <v>0</v>
      </c>
    </row>
    <row r="933" spans="1:64" s="2" customFormat="1" ht="14.1" customHeight="1" outlineLevel="1" x14ac:dyDescent="0.2">
      <c r="A933" s="595"/>
      <c r="B933" s="602"/>
      <c r="C933" s="7" t="s">
        <v>1554</v>
      </c>
      <c r="D933" s="8"/>
      <c r="E933" s="23"/>
      <c r="F933" s="8"/>
      <c r="G933" s="8"/>
      <c r="H933" s="5">
        <f>H931</f>
        <v>4.3034010000000004E-2</v>
      </c>
      <c r="I933" s="5">
        <f>I931</f>
        <v>0.02</v>
      </c>
      <c r="J933" s="5">
        <v>0.02</v>
      </c>
      <c r="K933" s="23"/>
      <c r="L933" s="8"/>
      <c r="M933" s="8"/>
      <c r="N933" s="8"/>
      <c r="O933" s="8"/>
      <c r="P933" s="8"/>
      <c r="Q933" s="23"/>
      <c r="R933" s="113"/>
      <c r="S933" s="113"/>
      <c r="T933" s="113"/>
      <c r="U933" s="113"/>
      <c r="V933" s="113"/>
      <c r="W933" s="113"/>
      <c r="X933" s="5">
        <f t="shared" si="175"/>
        <v>0</v>
      </c>
      <c r="Y933" s="302"/>
      <c r="Z933" s="5"/>
      <c r="AA933" s="94"/>
      <c r="AB933" s="311">
        <f t="shared" si="178"/>
        <v>0.02</v>
      </c>
      <c r="AC933" s="296"/>
      <c r="AD933" s="113"/>
      <c r="AE933" s="5"/>
      <c r="AF933" s="5"/>
      <c r="AG933" s="5"/>
      <c r="AH933" s="5"/>
      <c r="AI933" s="5"/>
      <c r="AJ933" s="5"/>
      <c r="AK933" s="141"/>
      <c r="AL933" s="94"/>
      <c r="AM933" s="128"/>
      <c r="AN933" s="180"/>
      <c r="AO933" s="128"/>
      <c r="AP933" s="184"/>
      <c r="AQ933" s="128"/>
      <c r="AR933" s="184"/>
      <c r="AS933" s="128"/>
      <c r="AT933" s="184"/>
      <c r="AU933" s="128"/>
      <c r="AV933" s="184"/>
      <c r="AW933" s="128"/>
      <c r="AX933" s="184"/>
      <c r="AY933" s="111"/>
      <c r="AZ933" s="178"/>
      <c r="BC933" s="47"/>
      <c r="BD933" s="47"/>
      <c r="BF933" s="113"/>
      <c r="BG933" s="113"/>
      <c r="BH933" s="113"/>
      <c r="BI933" s="113"/>
      <c r="BJ933" s="113"/>
      <c r="BK933" s="113"/>
      <c r="BL933" s="5">
        <f t="shared" si="179"/>
        <v>0</v>
      </c>
    </row>
    <row r="934" spans="1:64" s="2" customFormat="1" ht="76.5" outlineLevel="1" x14ac:dyDescent="0.2">
      <c r="A934" s="593" t="s">
        <v>1111</v>
      </c>
      <c r="B934" s="600" t="s">
        <v>1098</v>
      </c>
      <c r="C934" s="7" t="s">
        <v>1112</v>
      </c>
      <c r="D934" s="8" t="s">
        <v>397</v>
      </c>
      <c r="E934" s="23" t="s">
        <v>1241</v>
      </c>
      <c r="F934" s="8">
        <v>2013</v>
      </c>
      <c r="G934" s="8">
        <v>2014</v>
      </c>
      <c r="H934" s="5">
        <v>4.3034010000000004E-2</v>
      </c>
      <c r="I934" s="5">
        <v>0.02</v>
      </c>
      <c r="J934" s="5">
        <f>R934</f>
        <v>0.02</v>
      </c>
      <c r="K934" s="23" t="s">
        <v>1241</v>
      </c>
      <c r="L934" s="8"/>
      <c r="M934" s="8"/>
      <c r="N934" s="8"/>
      <c r="O934" s="8"/>
      <c r="P934" s="8"/>
      <c r="Q934" s="23" t="s">
        <v>1241</v>
      </c>
      <c r="R934" s="113">
        <v>0.02</v>
      </c>
      <c r="S934" s="113"/>
      <c r="T934" s="113"/>
      <c r="U934" s="113"/>
      <c r="V934" s="113"/>
      <c r="W934" s="113"/>
      <c r="X934" s="5">
        <f t="shared" si="175"/>
        <v>0.02</v>
      </c>
      <c r="Y934" s="302">
        <f>H934-H935-H936</f>
        <v>0</v>
      </c>
      <c r="Z934" s="5">
        <f>I934-I935-I936</f>
        <v>0</v>
      </c>
      <c r="AA934" s="94">
        <f>J934-J935-J936</f>
        <v>0</v>
      </c>
      <c r="AB934" s="311">
        <f t="shared" si="178"/>
        <v>0</v>
      </c>
      <c r="AC934" s="296"/>
      <c r="AD934" s="113"/>
      <c r="AE934" s="5"/>
      <c r="AF934" s="5">
        <f>H934</f>
        <v>4.3034010000000004E-2</v>
      </c>
      <c r="AG934" s="5"/>
      <c r="AH934" s="5"/>
      <c r="AI934" s="5"/>
      <c r="AJ934" s="5"/>
      <c r="AK934" s="141"/>
      <c r="AL934" s="94">
        <f>SUM(AF934:AK934)</f>
        <v>4.3034010000000004E-2</v>
      </c>
      <c r="AM934" s="128">
        <v>0</v>
      </c>
      <c r="AN934" s="180">
        <v>0</v>
      </c>
      <c r="AO934" s="128"/>
      <c r="AP934" s="184"/>
      <c r="AQ934" s="128"/>
      <c r="AR934" s="184"/>
      <c r="AS934" s="128"/>
      <c r="AT934" s="184"/>
      <c r="AU934" s="128"/>
      <c r="AV934" s="184"/>
      <c r="AW934" s="128"/>
      <c r="AX934" s="184"/>
      <c r="AY934" s="111">
        <f>AM934+AO934+AQ934+AS934+AU934+AW934</f>
        <v>0</v>
      </c>
      <c r="AZ934" s="178">
        <f>AN934+AP934+AR934+AT934+AV934+AX934</f>
        <v>0</v>
      </c>
      <c r="BC934" s="47"/>
      <c r="BD934" s="47"/>
      <c r="BF934" s="113">
        <v>0.02</v>
      </c>
      <c r="BG934" s="113"/>
      <c r="BH934" s="113"/>
      <c r="BI934" s="113"/>
      <c r="BJ934" s="113"/>
      <c r="BK934" s="113"/>
      <c r="BL934" s="5">
        <f t="shared" si="179"/>
        <v>0.02</v>
      </c>
    </row>
    <row r="935" spans="1:64" s="2" customFormat="1" ht="14.1" customHeight="1" outlineLevel="1" x14ac:dyDescent="0.2">
      <c r="A935" s="594"/>
      <c r="B935" s="601"/>
      <c r="C935" s="7" t="s">
        <v>1553</v>
      </c>
      <c r="D935" s="8"/>
      <c r="E935" s="23"/>
      <c r="F935" s="8"/>
      <c r="G935" s="8"/>
      <c r="H935" s="5"/>
      <c r="I935" s="5"/>
      <c r="J935" s="12"/>
      <c r="K935" s="8"/>
      <c r="L935" s="23"/>
      <c r="M935" s="8"/>
      <c r="N935" s="8"/>
      <c r="O935" s="8"/>
      <c r="P935" s="8"/>
      <c r="Q935" s="23"/>
      <c r="R935" s="113"/>
      <c r="S935" s="113"/>
      <c r="T935" s="113"/>
      <c r="U935" s="113"/>
      <c r="V935" s="113"/>
      <c r="W935" s="113"/>
      <c r="X935" s="5">
        <f>SUM(R935:W935)</f>
        <v>0</v>
      </c>
      <c r="Y935" s="302"/>
      <c r="Z935" s="5"/>
      <c r="AA935" s="94"/>
      <c r="AB935" s="311">
        <f t="shared" si="178"/>
        <v>0</v>
      </c>
      <c r="AC935" s="296"/>
      <c r="AD935" s="113"/>
      <c r="AE935" s="5"/>
      <c r="AF935" s="5"/>
      <c r="AG935" s="5"/>
      <c r="AH935" s="5"/>
      <c r="AI935" s="5"/>
      <c r="AJ935" s="5"/>
      <c r="AK935" s="141"/>
      <c r="AL935" s="94"/>
      <c r="AM935" s="128"/>
      <c r="AN935" s="180"/>
      <c r="AO935" s="128"/>
      <c r="AP935" s="184"/>
      <c r="AQ935" s="128"/>
      <c r="AR935" s="184"/>
      <c r="AS935" s="128"/>
      <c r="AT935" s="184"/>
      <c r="AU935" s="128"/>
      <c r="AV935" s="184"/>
      <c r="AW935" s="128"/>
      <c r="AX935" s="184"/>
      <c r="AY935" s="111"/>
      <c r="AZ935" s="178"/>
      <c r="BC935" s="47"/>
      <c r="BD935" s="47"/>
      <c r="BF935" s="113"/>
      <c r="BG935" s="113"/>
      <c r="BH935" s="113"/>
      <c r="BI935" s="113"/>
      <c r="BJ935" s="113"/>
      <c r="BK935" s="113"/>
      <c r="BL935" s="5">
        <f t="shared" si="179"/>
        <v>0</v>
      </c>
    </row>
    <row r="936" spans="1:64" s="2" customFormat="1" ht="14.1" customHeight="1" outlineLevel="1" x14ac:dyDescent="0.2">
      <c r="A936" s="595"/>
      <c r="B936" s="602"/>
      <c r="C936" s="7" t="s">
        <v>1554</v>
      </c>
      <c r="D936" s="8"/>
      <c r="E936" s="23"/>
      <c r="F936" s="8"/>
      <c r="G936" s="8"/>
      <c r="H936" s="5">
        <f>H934</f>
        <v>4.3034010000000004E-2</v>
      </c>
      <c r="I936" s="5">
        <f>I934</f>
        <v>0.02</v>
      </c>
      <c r="J936" s="5">
        <f>J934</f>
        <v>0.02</v>
      </c>
      <c r="K936" s="23"/>
      <c r="L936" s="8"/>
      <c r="M936" s="8"/>
      <c r="N936" s="8"/>
      <c r="O936" s="8"/>
      <c r="P936" s="8"/>
      <c r="Q936" s="23"/>
      <c r="R936" s="113"/>
      <c r="S936" s="113"/>
      <c r="T936" s="113"/>
      <c r="U936" s="113"/>
      <c r="V936" s="113"/>
      <c r="W936" s="113"/>
      <c r="X936" s="5">
        <f>SUM(R936:W936)</f>
        <v>0</v>
      </c>
      <c r="Y936" s="302"/>
      <c r="Z936" s="5"/>
      <c r="AA936" s="94"/>
      <c r="AB936" s="311">
        <f t="shared" si="178"/>
        <v>0.02</v>
      </c>
      <c r="AC936" s="296"/>
      <c r="AD936" s="113"/>
      <c r="AE936" s="5"/>
      <c r="AF936" s="5"/>
      <c r="AG936" s="5"/>
      <c r="AH936" s="5"/>
      <c r="AI936" s="5"/>
      <c r="AJ936" s="5"/>
      <c r="AK936" s="141"/>
      <c r="AL936" s="94"/>
      <c r="AM936" s="128"/>
      <c r="AN936" s="180"/>
      <c r="AO936" s="128"/>
      <c r="AP936" s="184"/>
      <c r="AQ936" s="128"/>
      <c r="AR936" s="184"/>
      <c r="AS936" s="128"/>
      <c r="AT936" s="184"/>
      <c r="AU936" s="128"/>
      <c r="AV936" s="184"/>
      <c r="AW936" s="128"/>
      <c r="AX936" s="184"/>
      <c r="AY936" s="111"/>
      <c r="AZ936" s="178"/>
      <c r="BC936" s="47"/>
      <c r="BD936" s="47"/>
      <c r="BF936" s="113"/>
      <c r="BG936" s="113"/>
      <c r="BH936" s="113"/>
      <c r="BI936" s="113"/>
      <c r="BJ936" s="113"/>
      <c r="BK936" s="113"/>
      <c r="BL936" s="5">
        <f t="shared" si="179"/>
        <v>0</v>
      </c>
    </row>
    <row r="937" spans="1:64" s="2" customFormat="1" ht="63.75" customHeight="1" outlineLevel="1" x14ac:dyDescent="0.2">
      <c r="A937" s="593" t="s">
        <v>1114</v>
      </c>
      <c r="B937" s="600" t="s">
        <v>1100</v>
      </c>
      <c r="C937" s="7" t="s">
        <v>1115</v>
      </c>
      <c r="D937" s="8" t="s">
        <v>397</v>
      </c>
      <c r="E937" s="23" t="s">
        <v>335</v>
      </c>
      <c r="F937" s="8">
        <v>2013</v>
      </c>
      <c r="G937" s="8">
        <v>2015</v>
      </c>
      <c r="H937" s="5">
        <v>0.17419499999999999</v>
      </c>
      <c r="I937" s="5">
        <v>0.17419499999999999</v>
      </c>
      <c r="J937" s="5">
        <f>R937</f>
        <v>0.17419499999999999</v>
      </c>
      <c r="K937" s="8"/>
      <c r="L937" s="23" t="s">
        <v>335</v>
      </c>
      <c r="M937" s="8"/>
      <c r="N937" s="8"/>
      <c r="O937" s="8"/>
      <c r="P937" s="8"/>
      <c r="Q937" s="23" t="s">
        <v>335</v>
      </c>
      <c r="R937" s="113">
        <v>0.17419499999999999</v>
      </c>
      <c r="S937" s="113"/>
      <c r="T937" s="113"/>
      <c r="U937" s="113"/>
      <c r="V937" s="113"/>
      <c r="W937" s="113"/>
      <c r="X937" s="5">
        <f t="shared" si="175"/>
        <v>0.17419499999999999</v>
      </c>
      <c r="Y937" s="302">
        <f>H937-H938-H939</f>
        <v>0</v>
      </c>
      <c r="Z937" s="5">
        <f>I937-I938-I939</f>
        <v>0</v>
      </c>
      <c r="AA937" s="94">
        <f>J937-J938-J939</f>
        <v>0</v>
      </c>
      <c r="AB937" s="311">
        <f t="shared" si="178"/>
        <v>0</v>
      </c>
      <c r="AC937" s="296"/>
      <c r="AD937" s="113"/>
      <c r="AE937" s="5"/>
      <c r="AF937" s="5"/>
      <c r="AG937" s="5">
        <f>H937</f>
        <v>0.17419499999999999</v>
      </c>
      <c r="AH937" s="5"/>
      <c r="AI937" s="5"/>
      <c r="AJ937" s="5"/>
      <c r="AK937" s="141"/>
      <c r="AL937" s="94">
        <f>SUM(AF937:AK937)</f>
        <v>0.17419499999999999</v>
      </c>
      <c r="AM937" s="128"/>
      <c r="AN937" s="180"/>
      <c r="AO937" s="128">
        <v>0.1</v>
      </c>
      <c r="AP937" s="184">
        <v>0</v>
      </c>
      <c r="AQ937" s="128"/>
      <c r="AR937" s="184"/>
      <c r="AS937" s="128"/>
      <c r="AT937" s="184"/>
      <c r="AU937" s="128"/>
      <c r="AV937" s="184"/>
      <c r="AW937" s="128"/>
      <c r="AX937" s="184"/>
      <c r="AY937" s="111">
        <f>AM937+AO937+AQ937+AS937+AU937+AW937</f>
        <v>0.1</v>
      </c>
      <c r="AZ937" s="178">
        <f>AN937+AP937+AR937+AT937+AV937+AX937</f>
        <v>0</v>
      </c>
      <c r="BC937" s="47"/>
      <c r="BD937" s="47"/>
      <c r="BF937" s="113">
        <v>0.17419499999999999</v>
      </c>
      <c r="BG937" s="113"/>
      <c r="BH937" s="113"/>
      <c r="BI937" s="113"/>
      <c r="BJ937" s="113"/>
      <c r="BK937" s="113"/>
      <c r="BL937" s="5">
        <f t="shared" si="179"/>
        <v>0.17419499999999999</v>
      </c>
    </row>
    <row r="938" spans="1:64" s="2" customFormat="1" ht="14.1" customHeight="1" outlineLevel="1" x14ac:dyDescent="0.2">
      <c r="A938" s="594"/>
      <c r="B938" s="601"/>
      <c r="C938" s="7" t="s">
        <v>1553</v>
      </c>
      <c r="D938" s="8"/>
      <c r="E938" s="23"/>
      <c r="F938" s="8"/>
      <c r="G938" s="8"/>
      <c r="H938" s="5">
        <f>H937</f>
        <v>0.17419499999999999</v>
      </c>
      <c r="I938" s="5">
        <f>I937</f>
        <v>0.17419499999999999</v>
      </c>
      <c r="J938" s="5">
        <f>J937</f>
        <v>0.17419499999999999</v>
      </c>
      <c r="K938" s="8"/>
      <c r="L938" s="23"/>
      <c r="M938" s="8"/>
      <c r="N938" s="8"/>
      <c r="O938" s="8"/>
      <c r="P938" s="8"/>
      <c r="Q938" s="23"/>
      <c r="R938" s="113"/>
      <c r="S938" s="113"/>
      <c r="T938" s="113"/>
      <c r="U938" s="113"/>
      <c r="V938" s="113"/>
      <c r="W938" s="113"/>
      <c r="X938" s="5">
        <f t="shared" si="175"/>
        <v>0</v>
      </c>
      <c r="Y938" s="302"/>
      <c r="Z938" s="5"/>
      <c r="AA938" s="94"/>
      <c r="AB938" s="311">
        <f t="shared" si="178"/>
        <v>0.17419499999999999</v>
      </c>
      <c r="AC938" s="296"/>
      <c r="AD938" s="113"/>
      <c r="AE938" s="5"/>
      <c r="AF938" s="5"/>
      <c r="AG938" s="5"/>
      <c r="AH938" s="5"/>
      <c r="AI938" s="5"/>
      <c r="AJ938" s="5"/>
      <c r="AK938" s="141"/>
      <c r="AL938" s="94"/>
      <c r="AM938" s="128"/>
      <c r="AN938" s="180"/>
      <c r="AO938" s="128"/>
      <c r="AP938" s="184"/>
      <c r="AQ938" s="128"/>
      <c r="AR938" s="184"/>
      <c r="AS938" s="128"/>
      <c r="AT938" s="184"/>
      <c r="AU938" s="128"/>
      <c r="AV938" s="184"/>
      <c r="AW938" s="128"/>
      <c r="AX938" s="184"/>
      <c r="AY938" s="111"/>
      <c r="AZ938" s="178"/>
      <c r="BC938" s="47"/>
      <c r="BD938" s="47"/>
      <c r="BF938" s="113"/>
      <c r="BG938" s="113"/>
      <c r="BH938" s="113"/>
      <c r="BI938" s="113"/>
      <c r="BJ938" s="113"/>
      <c r="BK938" s="113"/>
      <c r="BL938" s="5">
        <f t="shared" si="179"/>
        <v>0</v>
      </c>
    </row>
    <row r="939" spans="1:64" s="2" customFormat="1" ht="14.1" customHeight="1" outlineLevel="1" x14ac:dyDescent="0.2">
      <c r="A939" s="595"/>
      <c r="B939" s="602"/>
      <c r="C939" s="7" t="s">
        <v>1554</v>
      </c>
      <c r="D939" s="8"/>
      <c r="E939" s="23"/>
      <c r="F939" s="8"/>
      <c r="G939" s="8"/>
      <c r="H939" s="5"/>
      <c r="I939" s="5"/>
      <c r="J939" s="5"/>
      <c r="K939" s="23"/>
      <c r="L939" s="8"/>
      <c r="M939" s="8"/>
      <c r="N939" s="8"/>
      <c r="O939" s="8"/>
      <c r="P939" s="8"/>
      <c r="Q939" s="23"/>
      <c r="R939" s="113"/>
      <c r="S939" s="113"/>
      <c r="T939" s="113"/>
      <c r="U939" s="113"/>
      <c r="V939" s="113"/>
      <c r="W939" s="113"/>
      <c r="X939" s="5">
        <f t="shared" si="175"/>
        <v>0</v>
      </c>
      <c r="Y939" s="302"/>
      <c r="Z939" s="5"/>
      <c r="AA939" s="94"/>
      <c r="AB939" s="311">
        <f t="shared" si="178"/>
        <v>0</v>
      </c>
      <c r="AC939" s="296"/>
      <c r="AD939" s="113"/>
      <c r="AE939" s="5"/>
      <c r="AF939" s="5"/>
      <c r="AG939" s="5"/>
      <c r="AH939" s="5"/>
      <c r="AI939" s="5"/>
      <c r="AJ939" s="5"/>
      <c r="AK939" s="141"/>
      <c r="AL939" s="94"/>
      <c r="AM939" s="128"/>
      <c r="AN939" s="180"/>
      <c r="AO939" s="128"/>
      <c r="AP939" s="184"/>
      <c r="AQ939" s="128"/>
      <c r="AR939" s="184"/>
      <c r="AS939" s="128"/>
      <c r="AT939" s="184"/>
      <c r="AU939" s="128"/>
      <c r="AV939" s="184"/>
      <c r="AW939" s="128"/>
      <c r="AX939" s="184"/>
      <c r="AY939" s="111"/>
      <c r="AZ939" s="178"/>
      <c r="BC939" s="47"/>
      <c r="BD939" s="47"/>
      <c r="BF939" s="113"/>
      <c r="BG939" s="113"/>
      <c r="BH939" s="113"/>
      <c r="BI939" s="113"/>
      <c r="BJ939" s="113"/>
      <c r="BK939" s="113"/>
      <c r="BL939" s="5">
        <f t="shared" si="179"/>
        <v>0</v>
      </c>
    </row>
    <row r="940" spans="1:64" s="2" customFormat="1" ht="38.25" customHeight="1" outlineLevel="1" x14ac:dyDescent="0.2">
      <c r="A940" s="593" t="s">
        <v>1117</v>
      </c>
      <c r="B940" s="600" t="s">
        <v>1103</v>
      </c>
      <c r="C940" s="7" t="s">
        <v>1118</v>
      </c>
      <c r="D940" s="8" t="s">
        <v>397</v>
      </c>
      <c r="E940" s="23" t="s">
        <v>340</v>
      </c>
      <c r="F940" s="8">
        <v>2013</v>
      </c>
      <c r="G940" s="8">
        <v>2015</v>
      </c>
      <c r="H940" s="5">
        <v>0.41000000000000003</v>
      </c>
      <c r="I940" s="5">
        <v>0.402258</v>
      </c>
      <c r="J940" s="5">
        <f>R940</f>
        <v>0.13735600000000001</v>
      </c>
      <c r="K940" s="8"/>
      <c r="L940" s="23" t="s">
        <v>340</v>
      </c>
      <c r="M940" s="8"/>
      <c r="N940" s="8"/>
      <c r="O940" s="8"/>
      <c r="P940" s="8"/>
      <c r="Q940" s="23" t="s">
        <v>340</v>
      </c>
      <c r="R940" s="113">
        <v>0.13735600000000001</v>
      </c>
      <c r="S940" s="113"/>
      <c r="T940" s="113"/>
      <c r="U940" s="113"/>
      <c r="V940" s="113"/>
      <c r="W940" s="113"/>
      <c r="X940" s="5">
        <f t="shared" si="175"/>
        <v>0.13735600000000001</v>
      </c>
      <c r="Y940" s="302">
        <f>H940-H941-H942</f>
        <v>0</v>
      </c>
      <c r="Z940" s="5">
        <f>I940-I941-I942</f>
        <v>0</v>
      </c>
      <c r="AA940" s="94">
        <f>J940-J941-J942</f>
        <v>0</v>
      </c>
      <c r="AB940" s="311">
        <f t="shared" si="178"/>
        <v>0.26490199999999997</v>
      </c>
      <c r="AC940" s="296"/>
      <c r="AD940" s="113"/>
      <c r="AE940" s="5"/>
      <c r="AF940" s="5"/>
      <c r="AG940" s="5">
        <f>H940</f>
        <v>0.41000000000000003</v>
      </c>
      <c r="AH940" s="5"/>
      <c r="AI940" s="5"/>
      <c r="AJ940" s="5"/>
      <c r="AK940" s="141"/>
      <c r="AL940" s="94">
        <f>SUM(AF940:AK940)</f>
        <v>0.41000000000000003</v>
      </c>
      <c r="AM940" s="128"/>
      <c r="AN940" s="180"/>
      <c r="AO940" s="128">
        <v>0.2</v>
      </c>
      <c r="AP940" s="184">
        <v>0</v>
      </c>
      <c r="AQ940" s="128"/>
      <c r="AR940" s="184"/>
      <c r="AS940" s="128"/>
      <c r="AT940" s="184"/>
      <c r="AU940" s="128"/>
      <c r="AV940" s="184"/>
      <c r="AW940" s="128"/>
      <c r="AX940" s="184"/>
      <c r="AY940" s="111">
        <f>AM940+AO940+AQ940+AS940+AU940+AW940</f>
        <v>0.2</v>
      </c>
      <c r="AZ940" s="178">
        <f>AN940+AP940+AR940+AT940+AV940+AX940</f>
        <v>0</v>
      </c>
      <c r="BC940" s="47"/>
      <c r="BD940" s="47"/>
      <c r="BF940" s="113">
        <v>0.13735600000000001</v>
      </c>
      <c r="BG940" s="113"/>
      <c r="BH940" s="113"/>
      <c r="BI940" s="113"/>
      <c r="BJ940" s="113"/>
      <c r="BK940" s="113"/>
      <c r="BL940" s="5">
        <f t="shared" si="179"/>
        <v>0.13735600000000001</v>
      </c>
    </row>
    <row r="941" spans="1:64" s="2" customFormat="1" ht="14.1" customHeight="1" outlineLevel="1" x14ac:dyDescent="0.2">
      <c r="A941" s="594"/>
      <c r="B941" s="601"/>
      <c r="C941" s="7" t="s">
        <v>1553</v>
      </c>
      <c r="D941" s="8"/>
      <c r="E941" s="23"/>
      <c r="F941" s="8"/>
      <c r="G941" s="8"/>
      <c r="H941" s="5"/>
      <c r="I941" s="5"/>
      <c r="J941" s="5"/>
      <c r="K941" s="8"/>
      <c r="L941" s="23"/>
      <c r="M941" s="8"/>
      <c r="N941" s="8"/>
      <c r="O941" s="8"/>
      <c r="P941" s="8"/>
      <c r="Q941" s="23"/>
      <c r="R941" s="113"/>
      <c r="S941" s="113"/>
      <c r="T941" s="113"/>
      <c r="U941" s="113"/>
      <c r="V941" s="113"/>
      <c r="W941" s="113"/>
      <c r="X941" s="5">
        <f>SUM(R941:W941)</f>
        <v>0</v>
      </c>
      <c r="Y941" s="302"/>
      <c r="Z941" s="5"/>
      <c r="AA941" s="94"/>
      <c r="AB941" s="311">
        <f t="shared" si="178"/>
        <v>0</v>
      </c>
      <c r="AC941" s="296"/>
      <c r="AD941" s="113"/>
      <c r="AE941" s="5"/>
      <c r="AF941" s="5"/>
      <c r="AG941" s="5"/>
      <c r="AH941" s="5"/>
      <c r="AI941" s="5"/>
      <c r="AJ941" s="5"/>
      <c r="AK941" s="141"/>
      <c r="AL941" s="94"/>
      <c r="AM941" s="128"/>
      <c r="AN941" s="180"/>
      <c r="AO941" s="128"/>
      <c r="AP941" s="184"/>
      <c r="AQ941" s="128"/>
      <c r="AR941" s="184"/>
      <c r="AS941" s="128"/>
      <c r="AT941" s="184"/>
      <c r="AU941" s="128"/>
      <c r="AV941" s="184"/>
      <c r="AW941" s="128"/>
      <c r="AX941" s="184"/>
      <c r="AY941" s="111"/>
      <c r="AZ941" s="178"/>
      <c r="BC941" s="47"/>
      <c r="BD941" s="47"/>
      <c r="BF941" s="113"/>
      <c r="BG941" s="113"/>
      <c r="BH941" s="113"/>
      <c r="BI941" s="113"/>
      <c r="BJ941" s="113"/>
      <c r="BK941" s="113"/>
      <c r="BL941" s="5">
        <f t="shared" si="179"/>
        <v>0</v>
      </c>
    </row>
    <row r="942" spans="1:64" s="2" customFormat="1" ht="14.1" customHeight="1" outlineLevel="1" x14ac:dyDescent="0.2">
      <c r="A942" s="595"/>
      <c r="B942" s="602"/>
      <c r="C942" s="7" t="s">
        <v>1554</v>
      </c>
      <c r="D942" s="8"/>
      <c r="E942" s="23"/>
      <c r="F942" s="8"/>
      <c r="G942" s="8"/>
      <c r="H942" s="5">
        <v>0.41000000000000003</v>
      </c>
      <c r="I942" s="5">
        <v>0.402258</v>
      </c>
      <c r="J942" s="5">
        <v>0.13735600000000001</v>
      </c>
      <c r="K942" s="23"/>
      <c r="L942" s="8"/>
      <c r="M942" s="8"/>
      <c r="N942" s="8"/>
      <c r="O942" s="8"/>
      <c r="P942" s="8"/>
      <c r="Q942" s="23"/>
      <c r="R942" s="113"/>
      <c r="S942" s="113"/>
      <c r="T942" s="113"/>
      <c r="U942" s="113"/>
      <c r="V942" s="113"/>
      <c r="W942" s="113"/>
      <c r="X942" s="5">
        <f>SUM(R942:W942)</f>
        <v>0</v>
      </c>
      <c r="Y942" s="302"/>
      <c r="Z942" s="5"/>
      <c r="AA942" s="94"/>
      <c r="AB942" s="311">
        <f t="shared" si="178"/>
        <v>0.402258</v>
      </c>
      <c r="AC942" s="296"/>
      <c r="AD942" s="113"/>
      <c r="AE942" s="5"/>
      <c r="AF942" s="5"/>
      <c r="AG942" s="5"/>
      <c r="AH942" s="5"/>
      <c r="AI942" s="5"/>
      <c r="AJ942" s="5"/>
      <c r="AK942" s="141"/>
      <c r="AL942" s="94"/>
      <c r="AM942" s="128"/>
      <c r="AN942" s="180"/>
      <c r="AO942" s="128"/>
      <c r="AP942" s="184"/>
      <c r="AQ942" s="128"/>
      <c r="AR942" s="184"/>
      <c r="AS942" s="128"/>
      <c r="AT942" s="184"/>
      <c r="AU942" s="128"/>
      <c r="AV942" s="184"/>
      <c r="AW942" s="128"/>
      <c r="AX942" s="184"/>
      <c r="AY942" s="111"/>
      <c r="AZ942" s="178"/>
      <c r="BC942" s="47"/>
      <c r="BD942" s="47"/>
      <c r="BF942" s="113"/>
      <c r="BG942" s="113"/>
      <c r="BH942" s="113"/>
      <c r="BI942" s="113"/>
      <c r="BJ942" s="113"/>
      <c r="BK942" s="113"/>
      <c r="BL942" s="5">
        <f t="shared" si="179"/>
        <v>0</v>
      </c>
    </row>
    <row r="943" spans="1:64" s="2" customFormat="1" ht="51" customHeight="1" outlineLevel="1" x14ac:dyDescent="0.2">
      <c r="A943" s="593" t="s">
        <v>1120</v>
      </c>
      <c r="B943" s="600" t="s">
        <v>1105</v>
      </c>
      <c r="C943" s="7" t="s">
        <v>1121</v>
      </c>
      <c r="D943" s="8" t="s">
        <v>397</v>
      </c>
      <c r="E943" s="23" t="s">
        <v>342</v>
      </c>
      <c r="F943" s="8">
        <v>2013</v>
      </c>
      <c r="G943" s="8">
        <v>2015</v>
      </c>
      <c r="H943" s="5">
        <v>0.91</v>
      </c>
      <c r="I943" s="5">
        <v>0.89431800000000006</v>
      </c>
      <c r="J943" s="5">
        <f>R943</f>
        <v>0</v>
      </c>
      <c r="K943" s="8"/>
      <c r="L943" s="23" t="s">
        <v>342</v>
      </c>
      <c r="M943" s="8"/>
      <c r="N943" s="8"/>
      <c r="O943" s="8"/>
      <c r="P943" s="8"/>
      <c r="Q943" s="23" t="s">
        <v>342</v>
      </c>
      <c r="R943" s="113">
        <v>0</v>
      </c>
      <c r="S943" s="113"/>
      <c r="T943" s="113"/>
      <c r="U943" s="113"/>
      <c r="V943" s="113"/>
      <c r="W943" s="113"/>
      <c r="X943" s="5">
        <f t="shared" si="175"/>
        <v>0</v>
      </c>
      <c r="Y943" s="302">
        <f>H943-H944-H945</f>
        <v>0</v>
      </c>
      <c r="Z943" s="5">
        <f>I943-I944-I945</f>
        <v>0</v>
      </c>
      <c r="AA943" s="94">
        <f>J943-J944-J945</f>
        <v>0</v>
      </c>
      <c r="AB943" s="311">
        <f t="shared" si="178"/>
        <v>0.89431800000000006</v>
      </c>
      <c r="AC943" s="296"/>
      <c r="AD943" s="113"/>
      <c r="AE943" s="5"/>
      <c r="AF943" s="5"/>
      <c r="AG943" s="5">
        <f>H943</f>
        <v>0.91</v>
      </c>
      <c r="AH943" s="5"/>
      <c r="AI943" s="5"/>
      <c r="AJ943" s="5"/>
      <c r="AK943" s="141"/>
      <c r="AL943" s="94">
        <f>SUM(AF943:AK943)</f>
        <v>0.91</v>
      </c>
      <c r="AM943" s="128"/>
      <c r="AN943" s="180"/>
      <c r="AO943" s="128">
        <v>0.7</v>
      </c>
      <c r="AP943" s="184">
        <v>0</v>
      </c>
      <c r="AQ943" s="128"/>
      <c r="AR943" s="184"/>
      <c r="AS943" s="128"/>
      <c r="AT943" s="184"/>
      <c r="AU943" s="128"/>
      <c r="AV943" s="184"/>
      <c r="AW943" s="128"/>
      <c r="AX943" s="184"/>
      <c r="AY943" s="111">
        <f>AM943+AO943+AQ943+AS943+AU943+AW943</f>
        <v>0.7</v>
      </c>
      <c r="AZ943" s="178">
        <f>AN943+AP943+AR943+AT943+AV943+AX943</f>
        <v>0</v>
      </c>
      <c r="BC943" s="47"/>
      <c r="BD943" s="47"/>
      <c r="BF943" s="113">
        <v>0</v>
      </c>
      <c r="BG943" s="113"/>
      <c r="BH943" s="113"/>
      <c r="BI943" s="113"/>
      <c r="BJ943" s="113"/>
      <c r="BK943" s="113"/>
      <c r="BL943" s="5">
        <f t="shared" si="179"/>
        <v>0</v>
      </c>
    </row>
    <row r="944" spans="1:64" s="2" customFormat="1" ht="14.1" customHeight="1" outlineLevel="1" x14ac:dyDescent="0.2">
      <c r="A944" s="594"/>
      <c r="B944" s="601"/>
      <c r="C944" s="7" t="s">
        <v>1553</v>
      </c>
      <c r="D944" s="8"/>
      <c r="E944" s="23"/>
      <c r="F944" s="8"/>
      <c r="G944" s="8"/>
      <c r="H944" s="5">
        <v>0.91</v>
      </c>
      <c r="I944" s="5">
        <v>0.89431800000000006</v>
      </c>
      <c r="J944" s="5">
        <f>R944</f>
        <v>0</v>
      </c>
      <c r="K944" s="8"/>
      <c r="L944" s="23"/>
      <c r="M944" s="8"/>
      <c r="N944" s="8"/>
      <c r="O944" s="8"/>
      <c r="P944" s="8"/>
      <c r="Q944" s="23"/>
      <c r="R944" s="113"/>
      <c r="S944" s="113"/>
      <c r="T944" s="113"/>
      <c r="U944" s="113"/>
      <c r="V944" s="113"/>
      <c r="W944" s="113"/>
      <c r="X944" s="5">
        <f t="shared" si="175"/>
        <v>0</v>
      </c>
      <c r="Y944" s="302"/>
      <c r="Z944" s="5"/>
      <c r="AA944" s="94"/>
      <c r="AB944" s="311">
        <f t="shared" si="178"/>
        <v>0.89431800000000006</v>
      </c>
      <c r="AC944" s="296"/>
      <c r="AD944" s="113"/>
      <c r="AE944" s="5"/>
      <c r="AF944" s="5"/>
      <c r="AG944" s="5"/>
      <c r="AH944" s="5"/>
      <c r="AI944" s="5"/>
      <c r="AJ944" s="5"/>
      <c r="AK944" s="141"/>
      <c r="AL944" s="94"/>
      <c r="AM944" s="128"/>
      <c r="AN944" s="180"/>
      <c r="AO944" s="128"/>
      <c r="AP944" s="184"/>
      <c r="AQ944" s="128"/>
      <c r="AR944" s="184"/>
      <c r="AS944" s="128"/>
      <c r="AT944" s="184"/>
      <c r="AU944" s="128"/>
      <c r="AV944" s="184"/>
      <c r="AW944" s="128"/>
      <c r="AX944" s="184"/>
      <c r="AY944" s="111"/>
      <c r="AZ944" s="178"/>
      <c r="BC944" s="47"/>
      <c r="BD944" s="47"/>
      <c r="BF944" s="113"/>
      <c r="BG944" s="113"/>
      <c r="BH944" s="113"/>
      <c r="BI944" s="113"/>
      <c r="BJ944" s="113"/>
      <c r="BK944" s="113"/>
      <c r="BL944" s="5">
        <f t="shared" si="179"/>
        <v>0</v>
      </c>
    </row>
    <row r="945" spans="1:64" s="2" customFormat="1" ht="14.1" customHeight="1" outlineLevel="1" x14ac:dyDescent="0.2">
      <c r="A945" s="595"/>
      <c r="B945" s="602"/>
      <c r="C945" s="7" t="s">
        <v>1554</v>
      </c>
      <c r="D945" s="8"/>
      <c r="E945" s="23"/>
      <c r="F945" s="8"/>
      <c r="G945" s="8"/>
      <c r="H945" s="5"/>
      <c r="I945" s="5"/>
      <c r="J945" s="5"/>
      <c r="K945" s="23"/>
      <c r="L945" s="8"/>
      <c r="M945" s="8"/>
      <c r="N945" s="8"/>
      <c r="O945" s="8"/>
      <c r="P945" s="8"/>
      <c r="Q945" s="23"/>
      <c r="R945" s="113"/>
      <c r="S945" s="113"/>
      <c r="T945" s="113"/>
      <c r="U945" s="113"/>
      <c r="V945" s="113"/>
      <c r="W945" s="113"/>
      <c r="X945" s="5">
        <f t="shared" si="175"/>
        <v>0</v>
      </c>
      <c r="Y945" s="302"/>
      <c r="Z945" s="5"/>
      <c r="AA945" s="94"/>
      <c r="AB945" s="311">
        <f t="shared" si="178"/>
        <v>0</v>
      </c>
      <c r="AC945" s="296"/>
      <c r="AD945" s="113"/>
      <c r="AE945" s="5"/>
      <c r="AF945" s="5"/>
      <c r="AG945" s="5"/>
      <c r="AH945" s="5"/>
      <c r="AI945" s="5"/>
      <c r="AJ945" s="5"/>
      <c r="AK945" s="141"/>
      <c r="AL945" s="94"/>
      <c r="AM945" s="128"/>
      <c r="AN945" s="180"/>
      <c r="AO945" s="128"/>
      <c r="AP945" s="184"/>
      <c r="AQ945" s="128"/>
      <c r="AR945" s="184"/>
      <c r="AS945" s="128"/>
      <c r="AT945" s="184"/>
      <c r="AU945" s="128"/>
      <c r="AV945" s="184"/>
      <c r="AW945" s="128"/>
      <c r="AX945" s="184"/>
      <c r="AY945" s="111"/>
      <c r="AZ945" s="178"/>
      <c r="BC945" s="47"/>
      <c r="BD945" s="47"/>
      <c r="BF945" s="113"/>
      <c r="BG945" s="113"/>
      <c r="BH945" s="113"/>
      <c r="BI945" s="113"/>
      <c r="BJ945" s="113"/>
      <c r="BK945" s="113"/>
      <c r="BL945" s="5">
        <f t="shared" si="179"/>
        <v>0</v>
      </c>
    </row>
    <row r="946" spans="1:64" s="2" customFormat="1" ht="77.25" customHeight="1" outlineLevel="1" x14ac:dyDescent="0.2">
      <c r="A946" s="593" t="s">
        <v>1123</v>
      </c>
      <c r="B946" s="600" t="s">
        <v>1107</v>
      </c>
      <c r="C946" s="7" t="s">
        <v>1124</v>
      </c>
      <c r="D946" s="8" t="s">
        <v>397</v>
      </c>
      <c r="E946" s="23" t="s">
        <v>1241</v>
      </c>
      <c r="F946" s="8">
        <v>2013</v>
      </c>
      <c r="G946" s="8">
        <v>2014</v>
      </c>
      <c r="H946" s="5">
        <v>4.0614999999999998E-2</v>
      </c>
      <c r="I946" s="5">
        <v>0.02</v>
      </c>
      <c r="J946" s="5">
        <f>R946</f>
        <v>0.02</v>
      </c>
      <c r="K946" s="23" t="s">
        <v>1241</v>
      </c>
      <c r="L946" s="8"/>
      <c r="M946" s="8"/>
      <c r="N946" s="8"/>
      <c r="O946" s="8"/>
      <c r="P946" s="8"/>
      <c r="Q946" s="23" t="s">
        <v>1241</v>
      </c>
      <c r="R946" s="113">
        <v>0.02</v>
      </c>
      <c r="S946" s="113"/>
      <c r="T946" s="113"/>
      <c r="U946" s="113"/>
      <c r="V946" s="113"/>
      <c r="W946" s="113"/>
      <c r="X946" s="5">
        <f t="shared" si="175"/>
        <v>0.02</v>
      </c>
      <c r="Y946" s="302">
        <f>H946-H947-H948</f>
        <v>0</v>
      </c>
      <c r="Z946" s="5">
        <f>I946-I947-I948</f>
        <v>0</v>
      </c>
      <c r="AA946" s="94">
        <f>J946-J947-J948</f>
        <v>0</v>
      </c>
      <c r="AB946" s="311">
        <f t="shared" si="178"/>
        <v>0</v>
      </c>
      <c r="AC946" s="296"/>
      <c r="AD946" s="113"/>
      <c r="AE946" s="5"/>
      <c r="AF946" s="5">
        <f>H946</f>
        <v>4.0614999999999998E-2</v>
      </c>
      <c r="AG946" s="5"/>
      <c r="AH946" s="5"/>
      <c r="AI946" s="5"/>
      <c r="AJ946" s="5"/>
      <c r="AK946" s="141"/>
      <c r="AL946" s="94">
        <f>SUM(AF946:AK946)</f>
        <v>4.0614999999999998E-2</v>
      </c>
      <c r="AM946" s="128">
        <v>0</v>
      </c>
      <c r="AN946" s="180">
        <v>0</v>
      </c>
      <c r="AO946" s="128"/>
      <c r="AP946" s="184"/>
      <c r="AQ946" s="128"/>
      <c r="AR946" s="184"/>
      <c r="AS946" s="128"/>
      <c r="AT946" s="184"/>
      <c r="AU946" s="128"/>
      <c r="AV946" s="184"/>
      <c r="AW946" s="128"/>
      <c r="AX946" s="184"/>
      <c r="AY946" s="111">
        <f>AM946+AO946+AQ946+AS946+AU946+AW946</f>
        <v>0</v>
      </c>
      <c r="AZ946" s="178">
        <f>AN946+AP946+AR946+AT946+AV946+AX946</f>
        <v>0</v>
      </c>
      <c r="BC946" s="47"/>
      <c r="BD946" s="47"/>
      <c r="BF946" s="113">
        <v>0.02</v>
      </c>
      <c r="BG946" s="113"/>
      <c r="BH946" s="113"/>
      <c r="BI946" s="113"/>
      <c r="BJ946" s="113"/>
      <c r="BK946" s="113"/>
      <c r="BL946" s="5">
        <f t="shared" si="179"/>
        <v>0.02</v>
      </c>
    </row>
    <row r="947" spans="1:64" s="2" customFormat="1" ht="14.1" customHeight="1" outlineLevel="1" x14ac:dyDescent="0.2">
      <c r="A947" s="594"/>
      <c r="B947" s="601"/>
      <c r="C947" s="7" t="s">
        <v>1553</v>
      </c>
      <c r="D947" s="8"/>
      <c r="E947" s="23"/>
      <c r="F947" s="8"/>
      <c r="G947" s="8"/>
      <c r="H947" s="5"/>
      <c r="I947" s="5"/>
      <c r="J947" s="5"/>
      <c r="K947" s="8"/>
      <c r="L947" s="23"/>
      <c r="M947" s="8"/>
      <c r="N947" s="8"/>
      <c r="O947" s="8"/>
      <c r="P947" s="8"/>
      <c r="Q947" s="23"/>
      <c r="R947" s="113"/>
      <c r="S947" s="113"/>
      <c r="T947" s="113"/>
      <c r="U947" s="113"/>
      <c r="V947" s="113"/>
      <c r="W947" s="113"/>
      <c r="X947" s="5">
        <f>SUM(R947:W947)</f>
        <v>0</v>
      </c>
      <c r="Y947" s="302"/>
      <c r="Z947" s="5"/>
      <c r="AA947" s="94"/>
      <c r="AB947" s="311">
        <f t="shared" si="178"/>
        <v>0</v>
      </c>
      <c r="AC947" s="296"/>
      <c r="AD947" s="113"/>
      <c r="AE947" s="5"/>
      <c r="AF947" s="5"/>
      <c r="AG947" s="5"/>
      <c r="AH947" s="5"/>
      <c r="AI947" s="5"/>
      <c r="AJ947" s="5"/>
      <c r="AK947" s="141"/>
      <c r="AL947" s="94"/>
      <c r="AM947" s="128"/>
      <c r="AN947" s="180"/>
      <c r="AO947" s="128"/>
      <c r="AP947" s="184"/>
      <c r="AQ947" s="128"/>
      <c r="AR947" s="184"/>
      <c r="AS947" s="128"/>
      <c r="AT947" s="184"/>
      <c r="AU947" s="128"/>
      <c r="AV947" s="184"/>
      <c r="AW947" s="128"/>
      <c r="AX947" s="184"/>
      <c r="AY947" s="111"/>
      <c r="AZ947" s="178"/>
      <c r="BC947" s="47"/>
      <c r="BD947" s="47"/>
      <c r="BF947" s="113"/>
      <c r="BG947" s="113"/>
      <c r="BH947" s="113"/>
      <c r="BI947" s="113"/>
      <c r="BJ947" s="113"/>
      <c r="BK947" s="113"/>
      <c r="BL947" s="5">
        <f t="shared" si="179"/>
        <v>0</v>
      </c>
    </row>
    <row r="948" spans="1:64" s="2" customFormat="1" ht="14.1" customHeight="1" outlineLevel="1" x14ac:dyDescent="0.2">
      <c r="A948" s="595"/>
      <c r="B948" s="602"/>
      <c r="C948" s="7" t="s">
        <v>1554</v>
      </c>
      <c r="D948" s="8"/>
      <c r="E948" s="23"/>
      <c r="F948" s="8"/>
      <c r="G948" s="8"/>
      <c r="H948" s="5">
        <f>H946</f>
        <v>4.0614999999999998E-2</v>
      </c>
      <c r="I948" s="5">
        <f>I946</f>
        <v>0.02</v>
      </c>
      <c r="J948" s="5">
        <f>J946</f>
        <v>0.02</v>
      </c>
      <c r="K948" s="23"/>
      <c r="L948" s="8"/>
      <c r="M948" s="8"/>
      <c r="N948" s="8"/>
      <c r="O948" s="8"/>
      <c r="P948" s="8"/>
      <c r="Q948" s="23"/>
      <c r="R948" s="113"/>
      <c r="S948" s="113"/>
      <c r="T948" s="113"/>
      <c r="U948" s="113"/>
      <c r="V948" s="113"/>
      <c r="W948" s="113"/>
      <c r="X948" s="5">
        <f>SUM(R948:W948)</f>
        <v>0</v>
      </c>
      <c r="Y948" s="302"/>
      <c r="Z948" s="5"/>
      <c r="AA948" s="94"/>
      <c r="AB948" s="311">
        <f t="shared" si="178"/>
        <v>0.02</v>
      </c>
      <c r="AC948" s="296"/>
      <c r="AD948" s="113"/>
      <c r="AE948" s="5"/>
      <c r="AF948" s="5"/>
      <c r="AG948" s="5"/>
      <c r="AH948" s="5"/>
      <c r="AI948" s="5"/>
      <c r="AJ948" s="5"/>
      <c r="AK948" s="141"/>
      <c r="AL948" s="94"/>
      <c r="AM948" s="128"/>
      <c r="AN948" s="180"/>
      <c r="AO948" s="128"/>
      <c r="AP948" s="184"/>
      <c r="AQ948" s="128"/>
      <c r="AR948" s="184"/>
      <c r="AS948" s="128"/>
      <c r="AT948" s="184"/>
      <c r="AU948" s="128"/>
      <c r="AV948" s="184"/>
      <c r="AW948" s="128"/>
      <c r="AX948" s="184"/>
      <c r="AY948" s="111"/>
      <c r="AZ948" s="178"/>
      <c r="BC948" s="47"/>
      <c r="BD948" s="47"/>
      <c r="BF948" s="113"/>
      <c r="BG948" s="113"/>
      <c r="BH948" s="113"/>
      <c r="BI948" s="113"/>
      <c r="BJ948" s="113"/>
      <c r="BK948" s="113"/>
      <c r="BL948" s="5">
        <f t="shared" si="179"/>
        <v>0</v>
      </c>
    </row>
    <row r="949" spans="1:64" s="2" customFormat="1" ht="25.5" customHeight="1" outlineLevel="1" x14ac:dyDescent="0.2">
      <c r="A949" s="593" t="s">
        <v>1126</v>
      </c>
      <c r="B949" s="600" t="s">
        <v>1110</v>
      </c>
      <c r="C949" s="7" t="s">
        <v>1127</v>
      </c>
      <c r="D949" s="8" t="s">
        <v>397</v>
      </c>
      <c r="E949" s="23" t="s">
        <v>340</v>
      </c>
      <c r="F949" s="8">
        <v>2013</v>
      </c>
      <c r="G949" s="8">
        <v>2015</v>
      </c>
      <c r="H949" s="5">
        <v>0.31</v>
      </c>
      <c r="I949" s="5">
        <v>0.286858</v>
      </c>
      <c r="J949" s="5">
        <f>R949</f>
        <v>0.235593</v>
      </c>
      <c r="K949" s="8"/>
      <c r="L949" s="23" t="s">
        <v>340</v>
      </c>
      <c r="M949" s="8"/>
      <c r="N949" s="8"/>
      <c r="O949" s="8"/>
      <c r="P949" s="8"/>
      <c r="Q949" s="23" t="s">
        <v>340</v>
      </c>
      <c r="R949" s="113">
        <v>0.235593</v>
      </c>
      <c r="S949" s="113"/>
      <c r="T949" s="113"/>
      <c r="U949" s="113"/>
      <c r="V949" s="113"/>
      <c r="W949" s="113"/>
      <c r="X949" s="5">
        <f t="shared" si="175"/>
        <v>0.235593</v>
      </c>
      <c r="Y949" s="302">
        <f>H949-H950-H951</f>
        <v>0</v>
      </c>
      <c r="Z949" s="5">
        <f>I949-I950-I951</f>
        <v>0</v>
      </c>
      <c r="AA949" s="94">
        <f>J949-J950-J951</f>
        <v>0</v>
      </c>
      <c r="AB949" s="311">
        <f t="shared" si="178"/>
        <v>5.1265000000000005E-2</v>
      </c>
      <c r="AC949" s="296"/>
      <c r="AD949" s="113"/>
      <c r="AE949" s="5"/>
      <c r="AF949" s="5"/>
      <c r="AG949" s="5">
        <f>H949</f>
        <v>0.31</v>
      </c>
      <c r="AH949" s="5"/>
      <c r="AI949" s="5"/>
      <c r="AJ949" s="5"/>
      <c r="AK949" s="141"/>
      <c r="AL949" s="94">
        <f>SUM(AF949:AK949)</f>
        <v>0.31</v>
      </c>
      <c r="AM949" s="128"/>
      <c r="AN949" s="180"/>
      <c r="AO949" s="128">
        <v>0.2</v>
      </c>
      <c r="AP949" s="184">
        <v>0</v>
      </c>
      <c r="AQ949" s="128"/>
      <c r="AR949" s="184"/>
      <c r="AS949" s="128"/>
      <c r="AT949" s="184"/>
      <c r="AU949" s="128"/>
      <c r="AV949" s="184"/>
      <c r="AW949" s="128"/>
      <c r="AX949" s="184"/>
      <c r="AY949" s="111">
        <f>AM949+AO949+AQ949+AS949+AU949+AW949</f>
        <v>0.2</v>
      </c>
      <c r="AZ949" s="178">
        <f>AN949+AP949+AR949+AT949+AV949+AX949</f>
        <v>0</v>
      </c>
      <c r="BC949" s="47"/>
      <c r="BD949" s="47"/>
      <c r="BF949" s="113">
        <v>0.235593</v>
      </c>
      <c r="BG949" s="113"/>
      <c r="BH949" s="113"/>
      <c r="BI949" s="113"/>
      <c r="BJ949" s="113"/>
      <c r="BK949" s="113"/>
      <c r="BL949" s="5">
        <f t="shared" si="179"/>
        <v>0.235593</v>
      </c>
    </row>
    <row r="950" spans="1:64" s="2" customFormat="1" ht="14.1" customHeight="1" outlineLevel="1" x14ac:dyDescent="0.2">
      <c r="A950" s="594"/>
      <c r="B950" s="601"/>
      <c r="C950" s="7" t="s">
        <v>1553</v>
      </c>
      <c r="D950" s="8"/>
      <c r="E950" s="23"/>
      <c r="F950" s="8"/>
      <c r="G950" s="8"/>
      <c r="H950" s="5"/>
      <c r="I950" s="5"/>
      <c r="J950" s="5"/>
      <c r="K950" s="8"/>
      <c r="L950" s="23"/>
      <c r="M950" s="8"/>
      <c r="N950" s="8"/>
      <c r="O950" s="8"/>
      <c r="P950" s="8"/>
      <c r="Q950" s="23"/>
      <c r="R950" s="113"/>
      <c r="S950" s="113"/>
      <c r="T950" s="113"/>
      <c r="U950" s="113"/>
      <c r="V950" s="113"/>
      <c r="W950" s="113"/>
      <c r="X950" s="5">
        <f t="shared" si="175"/>
        <v>0</v>
      </c>
      <c r="Y950" s="302"/>
      <c r="Z950" s="5"/>
      <c r="AA950" s="94"/>
      <c r="AB950" s="311">
        <f t="shared" si="178"/>
        <v>0</v>
      </c>
      <c r="AC950" s="296"/>
      <c r="AD950" s="113"/>
      <c r="AE950" s="5"/>
      <c r="AF950" s="5"/>
      <c r="AG950" s="5"/>
      <c r="AH950" s="5"/>
      <c r="AI950" s="5"/>
      <c r="AJ950" s="5"/>
      <c r="AK950" s="141"/>
      <c r="AL950" s="94"/>
      <c r="AM950" s="128"/>
      <c r="AN950" s="180"/>
      <c r="AO950" s="128"/>
      <c r="AP950" s="184"/>
      <c r="AQ950" s="128"/>
      <c r="AR950" s="184"/>
      <c r="AS950" s="128"/>
      <c r="AT950" s="184"/>
      <c r="AU950" s="128"/>
      <c r="AV950" s="184"/>
      <c r="AW950" s="128"/>
      <c r="AX950" s="184"/>
      <c r="AY950" s="111"/>
      <c r="AZ950" s="178"/>
      <c r="BC950" s="47"/>
      <c r="BD950" s="47"/>
      <c r="BF950" s="113"/>
      <c r="BG950" s="113"/>
      <c r="BH950" s="113"/>
      <c r="BI950" s="113"/>
      <c r="BJ950" s="113"/>
      <c r="BK950" s="113"/>
      <c r="BL950" s="5">
        <f t="shared" si="179"/>
        <v>0</v>
      </c>
    </row>
    <row r="951" spans="1:64" s="2" customFormat="1" ht="14.1" customHeight="1" outlineLevel="1" x14ac:dyDescent="0.2">
      <c r="A951" s="595"/>
      <c r="B951" s="602"/>
      <c r="C951" s="7" t="s">
        <v>1554</v>
      </c>
      <c r="D951" s="8"/>
      <c r="E951" s="23"/>
      <c r="F951" s="8"/>
      <c r="G951" s="8"/>
      <c r="H951" s="5">
        <v>0.31</v>
      </c>
      <c r="I951" s="5">
        <v>0.286858</v>
      </c>
      <c r="J951" s="5">
        <v>0.235593</v>
      </c>
      <c r="K951" s="23"/>
      <c r="L951" s="8"/>
      <c r="M951" s="8"/>
      <c r="N951" s="8"/>
      <c r="O951" s="8"/>
      <c r="P951" s="8"/>
      <c r="Q951" s="23"/>
      <c r="R951" s="113"/>
      <c r="S951" s="113"/>
      <c r="T951" s="113"/>
      <c r="U951" s="113"/>
      <c r="V951" s="113"/>
      <c r="W951" s="113"/>
      <c r="X951" s="5">
        <f t="shared" si="175"/>
        <v>0</v>
      </c>
      <c r="Y951" s="302"/>
      <c r="Z951" s="5"/>
      <c r="AA951" s="94"/>
      <c r="AB951" s="311">
        <f t="shared" si="178"/>
        <v>0.286858</v>
      </c>
      <c r="AC951" s="296"/>
      <c r="AD951" s="113"/>
      <c r="AE951" s="5"/>
      <c r="AF951" s="5"/>
      <c r="AG951" s="5"/>
      <c r="AH951" s="5"/>
      <c r="AI951" s="5"/>
      <c r="AJ951" s="5"/>
      <c r="AK951" s="141"/>
      <c r="AL951" s="94"/>
      <c r="AM951" s="128"/>
      <c r="AN951" s="180"/>
      <c r="AO951" s="128"/>
      <c r="AP951" s="184"/>
      <c r="AQ951" s="128"/>
      <c r="AR951" s="184"/>
      <c r="AS951" s="128"/>
      <c r="AT951" s="184"/>
      <c r="AU951" s="128"/>
      <c r="AV951" s="184"/>
      <c r="AW951" s="128"/>
      <c r="AX951" s="184"/>
      <c r="AY951" s="111"/>
      <c r="AZ951" s="178"/>
      <c r="BC951" s="47"/>
      <c r="BD951" s="47"/>
      <c r="BF951" s="113"/>
      <c r="BG951" s="113"/>
      <c r="BH951" s="113"/>
      <c r="BI951" s="113"/>
      <c r="BJ951" s="113"/>
      <c r="BK951" s="113"/>
      <c r="BL951" s="5">
        <f t="shared" si="179"/>
        <v>0</v>
      </c>
    </row>
    <row r="952" spans="1:64" s="2" customFormat="1" ht="102.75" customHeight="1" outlineLevel="1" x14ac:dyDescent="0.2">
      <c r="A952" s="593" t="s">
        <v>1129</v>
      </c>
      <c r="B952" s="600" t="s">
        <v>1113</v>
      </c>
      <c r="C952" s="7" t="s">
        <v>1130</v>
      </c>
      <c r="D952" s="8" t="s">
        <v>397</v>
      </c>
      <c r="E952" s="23" t="s">
        <v>347</v>
      </c>
      <c r="F952" s="8">
        <v>2013</v>
      </c>
      <c r="G952" s="8">
        <v>2015</v>
      </c>
      <c r="H952" s="5">
        <v>0.11912947</v>
      </c>
      <c r="I952" s="5">
        <v>0.102198</v>
      </c>
      <c r="J952" s="5">
        <f>R952</f>
        <v>5.1398000000000006E-2</v>
      </c>
      <c r="K952" s="8"/>
      <c r="L952" s="23" t="s">
        <v>347</v>
      </c>
      <c r="M952" s="8"/>
      <c r="N952" s="8"/>
      <c r="O952" s="8"/>
      <c r="P952" s="8"/>
      <c r="Q952" s="23" t="s">
        <v>347</v>
      </c>
      <c r="R952" s="113">
        <v>5.1398000000000006E-2</v>
      </c>
      <c r="S952" s="113"/>
      <c r="T952" s="113"/>
      <c r="U952" s="113"/>
      <c r="V952" s="113"/>
      <c r="W952" s="113"/>
      <c r="X952" s="5">
        <f t="shared" si="175"/>
        <v>5.1398000000000006E-2</v>
      </c>
      <c r="Y952" s="302">
        <f>H952-H953-H954</f>
        <v>0</v>
      </c>
      <c r="Z952" s="5">
        <f>I952-I953-I954</f>
        <v>0</v>
      </c>
      <c r="AA952" s="94">
        <f>J952-J953-J954</f>
        <v>0</v>
      </c>
      <c r="AB952" s="311">
        <f t="shared" si="178"/>
        <v>5.0799999999999991E-2</v>
      </c>
      <c r="AC952" s="296"/>
      <c r="AD952" s="113"/>
      <c r="AE952" s="5"/>
      <c r="AF952" s="5"/>
      <c r="AG952" s="5">
        <f>H952</f>
        <v>0.11912947</v>
      </c>
      <c r="AH952" s="5"/>
      <c r="AI952" s="5"/>
      <c r="AJ952" s="5"/>
      <c r="AK952" s="141"/>
      <c r="AL952" s="94">
        <f>SUM(AF952:AK952)</f>
        <v>0.11912947</v>
      </c>
      <c r="AM952" s="128"/>
      <c r="AN952" s="180"/>
      <c r="AO952" s="128">
        <v>0.05</v>
      </c>
      <c r="AP952" s="184">
        <v>0</v>
      </c>
      <c r="AQ952" s="128"/>
      <c r="AR952" s="184"/>
      <c r="AS952" s="128"/>
      <c r="AT952" s="184"/>
      <c r="AU952" s="128"/>
      <c r="AV952" s="184"/>
      <c r="AW952" s="128"/>
      <c r="AX952" s="184"/>
      <c r="AY952" s="111">
        <f>AM952+AO952+AQ952+AS952+AU952+AW952</f>
        <v>0.05</v>
      </c>
      <c r="AZ952" s="178">
        <f>AN952+AP952+AR952+AT952+AV952+AX952</f>
        <v>0</v>
      </c>
      <c r="BC952" s="47"/>
      <c r="BD952" s="47"/>
      <c r="BF952" s="113">
        <v>5.1398000000000006E-2</v>
      </c>
      <c r="BG952" s="113"/>
      <c r="BH952" s="113"/>
      <c r="BI952" s="113"/>
      <c r="BJ952" s="113"/>
      <c r="BK952" s="113"/>
      <c r="BL952" s="5">
        <f t="shared" si="179"/>
        <v>5.1398000000000006E-2</v>
      </c>
    </row>
    <row r="953" spans="1:64" s="2" customFormat="1" ht="14.1" customHeight="1" outlineLevel="1" x14ac:dyDescent="0.2">
      <c r="A953" s="594"/>
      <c r="B953" s="601"/>
      <c r="C953" s="7" t="s">
        <v>1553</v>
      </c>
      <c r="D953" s="8"/>
      <c r="E953" s="23"/>
      <c r="F953" s="8"/>
      <c r="G953" s="8"/>
      <c r="H953" s="5"/>
      <c r="I953" s="5"/>
      <c r="J953" s="5"/>
      <c r="K953" s="8"/>
      <c r="L953" s="23"/>
      <c r="M953" s="8"/>
      <c r="N953" s="8"/>
      <c r="O953" s="8"/>
      <c r="P953" s="8"/>
      <c r="Q953" s="23"/>
      <c r="R953" s="113"/>
      <c r="S953" s="113"/>
      <c r="T953" s="113"/>
      <c r="U953" s="113"/>
      <c r="V953" s="113"/>
      <c r="W953" s="113"/>
      <c r="X953" s="5">
        <f>SUM(R953:W953)</f>
        <v>0</v>
      </c>
      <c r="Y953" s="302"/>
      <c r="Z953" s="5"/>
      <c r="AA953" s="94"/>
      <c r="AB953" s="311">
        <f t="shared" si="178"/>
        <v>0</v>
      </c>
      <c r="AC953" s="296"/>
      <c r="AD953" s="113"/>
      <c r="AE953" s="5"/>
      <c r="AF953" s="5"/>
      <c r="AG953" s="5"/>
      <c r="AH953" s="5"/>
      <c r="AI953" s="5"/>
      <c r="AJ953" s="5"/>
      <c r="AK953" s="141"/>
      <c r="AL953" s="94"/>
      <c r="AM953" s="128"/>
      <c r="AN953" s="180"/>
      <c r="AO953" s="128"/>
      <c r="AP953" s="184"/>
      <c r="AQ953" s="128"/>
      <c r="AR953" s="184"/>
      <c r="AS953" s="128"/>
      <c r="AT953" s="184"/>
      <c r="AU953" s="128"/>
      <c r="AV953" s="184"/>
      <c r="AW953" s="128"/>
      <c r="AX953" s="184"/>
      <c r="AY953" s="111"/>
      <c r="AZ953" s="178"/>
      <c r="BC953" s="47"/>
      <c r="BD953" s="47"/>
      <c r="BF953" s="113"/>
      <c r="BG953" s="113"/>
      <c r="BH953" s="113"/>
      <c r="BI953" s="113"/>
      <c r="BJ953" s="113"/>
      <c r="BK953" s="113"/>
      <c r="BL953" s="5">
        <f t="shared" si="179"/>
        <v>0</v>
      </c>
    </row>
    <row r="954" spans="1:64" s="2" customFormat="1" ht="14.1" customHeight="1" outlineLevel="1" x14ac:dyDescent="0.2">
      <c r="A954" s="595"/>
      <c r="B954" s="602"/>
      <c r="C954" s="7" t="s">
        <v>1554</v>
      </c>
      <c r="D954" s="8"/>
      <c r="E954" s="23"/>
      <c r="F954" s="8"/>
      <c r="G954" s="8"/>
      <c r="H954" s="5">
        <f>H952</f>
        <v>0.11912947</v>
      </c>
      <c r="I954" s="5">
        <f>I952</f>
        <v>0.102198</v>
      </c>
      <c r="J954" s="5">
        <f>J952</f>
        <v>5.1398000000000006E-2</v>
      </c>
      <c r="K954" s="23"/>
      <c r="L954" s="8"/>
      <c r="M954" s="8"/>
      <c r="N954" s="8"/>
      <c r="O954" s="8"/>
      <c r="P954" s="8"/>
      <c r="Q954" s="23"/>
      <c r="R954" s="113"/>
      <c r="S954" s="113"/>
      <c r="T954" s="113"/>
      <c r="U954" s="113"/>
      <c r="V954" s="113"/>
      <c r="W954" s="113"/>
      <c r="X954" s="5">
        <f>SUM(R954:W954)</f>
        <v>0</v>
      </c>
      <c r="Y954" s="302"/>
      <c r="Z954" s="5"/>
      <c r="AA954" s="94"/>
      <c r="AB954" s="311">
        <f t="shared" si="178"/>
        <v>0.102198</v>
      </c>
      <c r="AC954" s="296"/>
      <c r="AD954" s="113"/>
      <c r="AE954" s="5"/>
      <c r="AF954" s="5"/>
      <c r="AG954" s="5"/>
      <c r="AH954" s="5"/>
      <c r="AI954" s="5"/>
      <c r="AJ954" s="5"/>
      <c r="AK954" s="141"/>
      <c r="AL954" s="94"/>
      <c r="AM954" s="128"/>
      <c r="AN954" s="180"/>
      <c r="AO954" s="128"/>
      <c r="AP954" s="184"/>
      <c r="AQ954" s="128"/>
      <c r="AR954" s="184"/>
      <c r="AS954" s="128"/>
      <c r="AT954" s="184"/>
      <c r="AU954" s="128"/>
      <c r="AV954" s="184"/>
      <c r="AW954" s="128"/>
      <c r="AX954" s="184"/>
      <c r="AY954" s="111"/>
      <c r="AZ954" s="178"/>
      <c r="BC954" s="47"/>
      <c r="BD954" s="47"/>
      <c r="BF954" s="113"/>
      <c r="BG954" s="113"/>
      <c r="BH954" s="113"/>
      <c r="BI954" s="113"/>
      <c r="BJ954" s="113"/>
      <c r="BK954" s="113"/>
      <c r="BL954" s="5">
        <f t="shared" si="179"/>
        <v>0</v>
      </c>
    </row>
    <row r="955" spans="1:64" s="2" customFormat="1" ht="51.75" customHeight="1" outlineLevel="1" x14ac:dyDescent="0.2">
      <c r="A955" s="593" t="s">
        <v>1132</v>
      </c>
      <c r="B955" s="600" t="s">
        <v>1116</v>
      </c>
      <c r="C955" s="7" t="s">
        <v>1133</v>
      </c>
      <c r="D955" s="8" t="s">
        <v>397</v>
      </c>
      <c r="E955" s="23" t="s">
        <v>350</v>
      </c>
      <c r="F955" s="8">
        <v>2013</v>
      </c>
      <c r="G955" s="8">
        <v>2015</v>
      </c>
      <c r="H955" s="5">
        <v>0.71</v>
      </c>
      <c r="I955" s="5">
        <v>0.71</v>
      </c>
      <c r="J955" s="5">
        <f>R955</f>
        <v>0.71</v>
      </c>
      <c r="K955" s="8"/>
      <c r="L955" s="23" t="s">
        <v>350</v>
      </c>
      <c r="M955" s="8"/>
      <c r="N955" s="8"/>
      <c r="O955" s="8"/>
      <c r="P955" s="8"/>
      <c r="Q955" s="23" t="s">
        <v>350</v>
      </c>
      <c r="R955" s="113">
        <v>0.71</v>
      </c>
      <c r="S955" s="113"/>
      <c r="T955" s="113"/>
      <c r="U955" s="113"/>
      <c r="V955" s="113"/>
      <c r="W955" s="113"/>
      <c r="X955" s="5">
        <f t="shared" si="175"/>
        <v>0.71</v>
      </c>
      <c r="Y955" s="302">
        <f>H955-H956-H957</f>
        <v>0</v>
      </c>
      <c r="Z955" s="5">
        <f>I955-I956-I957</f>
        <v>0</v>
      </c>
      <c r="AA955" s="94">
        <f>J955-J956-J957</f>
        <v>0</v>
      </c>
      <c r="AB955" s="311">
        <f t="shared" si="178"/>
        <v>0</v>
      </c>
      <c r="AC955" s="296"/>
      <c r="AD955" s="113"/>
      <c r="AE955" s="5"/>
      <c r="AF955" s="5"/>
      <c r="AG955" s="5">
        <f>H955</f>
        <v>0.71</v>
      </c>
      <c r="AH955" s="5"/>
      <c r="AI955" s="5"/>
      <c r="AJ955" s="5"/>
      <c r="AK955" s="141"/>
      <c r="AL955" s="94">
        <f>SUM(AF955:AK955)</f>
        <v>0.71</v>
      </c>
      <c r="AM955" s="128"/>
      <c r="AN955" s="180"/>
      <c r="AO955" s="128">
        <v>0.1</v>
      </c>
      <c r="AP955" s="184">
        <v>0.1</v>
      </c>
      <c r="AQ955" s="128"/>
      <c r="AR955" s="184"/>
      <c r="AS955" s="128"/>
      <c r="AT955" s="184"/>
      <c r="AU955" s="128"/>
      <c r="AV955" s="184"/>
      <c r="AW955" s="128"/>
      <c r="AX955" s="184"/>
      <c r="AY955" s="111">
        <f>AM955+AO955+AQ955+AS955+AU955+AW955</f>
        <v>0.1</v>
      </c>
      <c r="AZ955" s="178">
        <f>AN955+AP955+AR955+AT955+AV955+AX955</f>
        <v>0.1</v>
      </c>
      <c r="BC955" s="47"/>
      <c r="BD955" s="47"/>
      <c r="BF955" s="113">
        <v>0.71</v>
      </c>
      <c r="BG955" s="113"/>
      <c r="BH955" s="113"/>
      <c r="BI955" s="113"/>
      <c r="BJ955" s="113"/>
      <c r="BK955" s="113"/>
      <c r="BL955" s="5">
        <f t="shared" si="179"/>
        <v>0.71</v>
      </c>
    </row>
    <row r="956" spans="1:64" s="2" customFormat="1" ht="15.75" customHeight="1" outlineLevel="1" x14ac:dyDescent="0.2">
      <c r="A956" s="594"/>
      <c r="B956" s="601"/>
      <c r="C956" s="7" t="s">
        <v>1553</v>
      </c>
      <c r="D956" s="8"/>
      <c r="E956" s="23"/>
      <c r="F956" s="8"/>
      <c r="G956" s="8"/>
      <c r="H956" s="5"/>
      <c r="I956" s="5"/>
      <c r="J956" s="5"/>
      <c r="K956" s="8"/>
      <c r="L956" s="23"/>
      <c r="M956" s="8"/>
      <c r="N956" s="8"/>
      <c r="O956" s="8"/>
      <c r="P956" s="8"/>
      <c r="Q956" s="23"/>
      <c r="R956" s="113"/>
      <c r="S956" s="113"/>
      <c r="T956" s="113"/>
      <c r="U956" s="113"/>
      <c r="V956" s="113"/>
      <c r="W956" s="113"/>
      <c r="X956" s="5">
        <f t="shared" si="175"/>
        <v>0</v>
      </c>
      <c r="Y956" s="302"/>
      <c r="Z956" s="5"/>
      <c r="AA956" s="94"/>
      <c r="AB956" s="311">
        <f t="shared" si="178"/>
        <v>0</v>
      </c>
      <c r="AC956" s="296"/>
      <c r="AD956" s="113"/>
      <c r="AE956" s="5"/>
      <c r="AF956" s="5"/>
      <c r="AG956" s="5"/>
      <c r="AH956" s="5"/>
      <c r="AI956" s="5"/>
      <c r="AJ956" s="5"/>
      <c r="AK956" s="141"/>
      <c r="AL956" s="94"/>
      <c r="AM956" s="128"/>
      <c r="AN956" s="180"/>
      <c r="AO956" s="128"/>
      <c r="AP956" s="184"/>
      <c r="AQ956" s="128"/>
      <c r="AR956" s="184"/>
      <c r="AS956" s="128"/>
      <c r="AT956" s="184"/>
      <c r="AU956" s="128"/>
      <c r="AV956" s="184"/>
      <c r="AW956" s="128"/>
      <c r="AX956" s="184"/>
      <c r="AY956" s="111"/>
      <c r="AZ956" s="178"/>
      <c r="BC956" s="47"/>
      <c r="BD956" s="47"/>
      <c r="BF956" s="113"/>
      <c r="BG956" s="113"/>
      <c r="BH956" s="113"/>
      <c r="BI956" s="113"/>
      <c r="BJ956" s="113"/>
      <c r="BK956" s="113"/>
      <c r="BL956" s="5">
        <f t="shared" si="179"/>
        <v>0</v>
      </c>
    </row>
    <row r="957" spans="1:64" s="2" customFormat="1" ht="15.75" customHeight="1" outlineLevel="1" x14ac:dyDescent="0.2">
      <c r="A957" s="595"/>
      <c r="B957" s="602"/>
      <c r="C957" s="7" t="s">
        <v>1554</v>
      </c>
      <c r="D957" s="8"/>
      <c r="E957" s="23"/>
      <c r="F957" s="8"/>
      <c r="G957" s="8"/>
      <c r="H957" s="5">
        <v>0.71</v>
      </c>
      <c r="I957" s="5">
        <v>0.71</v>
      </c>
      <c r="J957" s="5">
        <v>0.71</v>
      </c>
      <c r="K957" s="23"/>
      <c r="L957" s="8"/>
      <c r="M957" s="8"/>
      <c r="N957" s="8"/>
      <c r="O957" s="8"/>
      <c r="P957" s="8"/>
      <c r="Q957" s="23"/>
      <c r="R957" s="113"/>
      <c r="S957" s="113"/>
      <c r="T957" s="113"/>
      <c r="U957" s="113"/>
      <c r="V957" s="113"/>
      <c r="W957" s="113"/>
      <c r="X957" s="5">
        <f t="shared" si="175"/>
        <v>0</v>
      </c>
      <c r="Y957" s="302"/>
      <c r="Z957" s="5"/>
      <c r="AA957" s="94"/>
      <c r="AB957" s="311">
        <f t="shared" si="178"/>
        <v>0.71</v>
      </c>
      <c r="AC957" s="296"/>
      <c r="AD957" s="113"/>
      <c r="AE957" s="5"/>
      <c r="AF957" s="5"/>
      <c r="AG957" s="5"/>
      <c r="AH957" s="5"/>
      <c r="AI957" s="5"/>
      <c r="AJ957" s="5"/>
      <c r="AK957" s="141"/>
      <c r="AL957" s="94"/>
      <c r="AM957" s="128"/>
      <c r="AN957" s="180"/>
      <c r="AO957" s="128"/>
      <c r="AP957" s="184"/>
      <c r="AQ957" s="128"/>
      <c r="AR957" s="184"/>
      <c r="AS957" s="128"/>
      <c r="AT957" s="184"/>
      <c r="AU957" s="128"/>
      <c r="AV957" s="184"/>
      <c r="AW957" s="128"/>
      <c r="AX957" s="184"/>
      <c r="AY957" s="111"/>
      <c r="AZ957" s="178"/>
      <c r="BC957" s="47"/>
      <c r="BD957" s="47"/>
      <c r="BF957" s="113"/>
      <c r="BG957" s="113"/>
      <c r="BH957" s="113"/>
      <c r="BI957" s="113"/>
      <c r="BJ957" s="113"/>
      <c r="BK957" s="113"/>
      <c r="BL957" s="5">
        <f t="shared" si="179"/>
        <v>0</v>
      </c>
    </row>
    <row r="958" spans="1:64" s="2" customFormat="1" ht="38.25" customHeight="1" outlineLevel="1" x14ac:dyDescent="0.2">
      <c r="A958" s="593" t="s">
        <v>1135</v>
      </c>
      <c r="B958" s="600" t="s">
        <v>1119</v>
      </c>
      <c r="C958" s="7" t="s">
        <v>598</v>
      </c>
      <c r="D958" s="8" t="s">
        <v>397</v>
      </c>
      <c r="E958" s="23" t="s">
        <v>345</v>
      </c>
      <c r="F958" s="8">
        <v>2013</v>
      </c>
      <c r="G958" s="8">
        <v>2015</v>
      </c>
      <c r="H958" s="5">
        <v>3.01</v>
      </c>
      <c r="I958" s="5">
        <v>0.24</v>
      </c>
      <c r="J958" s="5">
        <f>R958</f>
        <v>0.235593</v>
      </c>
      <c r="K958" s="8"/>
      <c r="L958" s="23" t="s">
        <v>345</v>
      </c>
      <c r="M958" s="8"/>
      <c r="N958" s="8"/>
      <c r="O958" s="8"/>
      <c r="P958" s="8"/>
      <c r="Q958" s="23" t="s">
        <v>345</v>
      </c>
      <c r="R958" s="113">
        <v>0.235593</v>
      </c>
      <c r="S958" s="113"/>
      <c r="T958" s="113"/>
      <c r="U958" s="113"/>
      <c r="V958" s="113"/>
      <c r="W958" s="113"/>
      <c r="X958" s="5">
        <f t="shared" si="175"/>
        <v>0.235593</v>
      </c>
      <c r="Y958" s="302">
        <f>H958-H959-H960</f>
        <v>0</v>
      </c>
      <c r="Z958" s="5">
        <f>I958-I959-I960</f>
        <v>0</v>
      </c>
      <c r="AA958" s="94">
        <f>J958-J959-J960</f>
        <v>0</v>
      </c>
      <c r="AB958" s="311">
        <f t="shared" si="178"/>
        <v>4.4069999999999943E-3</v>
      </c>
      <c r="AC958" s="296"/>
      <c r="AD958" s="113"/>
      <c r="AE958" s="5"/>
      <c r="AF958" s="5"/>
      <c r="AG958" s="5">
        <f>H958</f>
        <v>3.01</v>
      </c>
      <c r="AH958" s="5"/>
      <c r="AI958" s="5"/>
      <c r="AJ958" s="5"/>
      <c r="AK958" s="141"/>
      <c r="AL958" s="94">
        <f>SUM(AF958:AK958)</f>
        <v>3.01</v>
      </c>
      <c r="AM958" s="128"/>
      <c r="AN958" s="180"/>
      <c r="AO958" s="128">
        <v>1.5</v>
      </c>
      <c r="AP958" s="184">
        <v>0.25</v>
      </c>
      <c r="AQ958" s="128"/>
      <c r="AR958" s="184"/>
      <c r="AS958" s="128"/>
      <c r="AT958" s="184"/>
      <c r="AU958" s="128"/>
      <c r="AV958" s="184"/>
      <c r="AW958" s="128"/>
      <c r="AX958" s="184"/>
      <c r="AY958" s="111">
        <f>AM958+AO958+AQ958+AS958+AU958+AW958</f>
        <v>1.5</v>
      </c>
      <c r="AZ958" s="178">
        <f>AN958+AP958+AR958+AT958+AV958+AX958</f>
        <v>0.25</v>
      </c>
      <c r="BC958" s="47"/>
      <c r="BD958" s="47"/>
      <c r="BF958" s="113">
        <v>0.235593</v>
      </c>
      <c r="BG958" s="113"/>
      <c r="BH958" s="113"/>
      <c r="BI958" s="113"/>
      <c r="BJ958" s="113"/>
      <c r="BK958" s="113"/>
      <c r="BL958" s="5">
        <f t="shared" si="179"/>
        <v>0.235593</v>
      </c>
    </row>
    <row r="959" spans="1:64" s="2" customFormat="1" ht="15.75" customHeight="1" outlineLevel="1" x14ac:dyDescent="0.2">
      <c r="A959" s="594"/>
      <c r="B959" s="601"/>
      <c r="C959" s="7" t="s">
        <v>1553</v>
      </c>
      <c r="D959" s="8"/>
      <c r="E959" s="23"/>
      <c r="F959" s="8"/>
      <c r="G959" s="8"/>
      <c r="H959" s="5"/>
      <c r="I959" s="5"/>
      <c r="J959" s="5"/>
      <c r="K959" s="8"/>
      <c r="L959" s="23"/>
      <c r="M959" s="8"/>
      <c r="N959" s="8"/>
      <c r="O959" s="8"/>
      <c r="P959" s="8"/>
      <c r="Q959" s="23"/>
      <c r="R959" s="113"/>
      <c r="S959" s="113"/>
      <c r="T959" s="113"/>
      <c r="U959" s="113"/>
      <c r="V959" s="113"/>
      <c r="W959" s="113"/>
      <c r="X959" s="5">
        <f>SUM(R959:W959)</f>
        <v>0</v>
      </c>
      <c r="Y959" s="302"/>
      <c r="Z959" s="5"/>
      <c r="AA959" s="94"/>
      <c r="AB959" s="311">
        <f t="shared" si="178"/>
        <v>0</v>
      </c>
      <c r="AC959" s="296"/>
      <c r="AD959" s="113"/>
      <c r="AE959" s="5"/>
      <c r="AF959" s="5"/>
      <c r="AG959" s="5"/>
      <c r="AH959" s="5"/>
      <c r="AI959" s="5"/>
      <c r="AJ959" s="5"/>
      <c r="AK959" s="141"/>
      <c r="AL959" s="94"/>
      <c r="AM959" s="128"/>
      <c r="AN959" s="180"/>
      <c r="AO959" s="128"/>
      <c r="AP959" s="184"/>
      <c r="AQ959" s="128"/>
      <c r="AR959" s="184"/>
      <c r="AS959" s="128"/>
      <c r="AT959" s="184"/>
      <c r="AU959" s="128"/>
      <c r="AV959" s="184"/>
      <c r="AW959" s="128"/>
      <c r="AX959" s="184"/>
      <c r="AY959" s="111"/>
      <c r="AZ959" s="178"/>
      <c r="BC959" s="47"/>
      <c r="BD959" s="47"/>
      <c r="BF959" s="113"/>
      <c r="BG959" s="113"/>
      <c r="BH959" s="113"/>
      <c r="BI959" s="113"/>
      <c r="BJ959" s="113"/>
      <c r="BK959" s="113"/>
      <c r="BL959" s="5">
        <f t="shared" si="179"/>
        <v>0</v>
      </c>
    </row>
    <row r="960" spans="1:64" s="2" customFormat="1" ht="15.75" customHeight="1" outlineLevel="1" x14ac:dyDescent="0.2">
      <c r="A960" s="595"/>
      <c r="B960" s="602"/>
      <c r="C960" s="7" t="s">
        <v>1554</v>
      </c>
      <c r="D960" s="8"/>
      <c r="E960" s="23"/>
      <c r="F960" s="8"/>
      <c r="G960" s="8"/>
      <c r="H960" s="5">
        <v>3.01</v>
      </c>
      <c r="I960" s="5">
        <f>I958</f>
        <v>0.24</v>
      </c>
      <c r="J960" s="5">
        <v>0.235593</v>
      </c>
      <c r="K960" s="23"/>
      <c r="L960" s="8"/>
      <c r="M960" s="8"/>
      <c r="N960" s="8"/>
      <c r="O960" s="8"/>
      <c r="P960" s="8"/>
      <c r="Q960" s="23"/>
      <c r="R960" s="113"/>
      <c r="S960" s="113"/>
      <c r="T960" s="113"/>
      <c r="U960" s="113"/>
      <c r="V960" s="113"/>
      <c r="W960" s="113"/>
      <c r="X960" s="5">
        <f>SUM(R960:W960)</f>
        <v>0</v>
      </c>
      <c r="Y960" s="302"/>
      <c r="Z960" s="5"/>
      <c r="AA960" s="94"/>
      <c r="AB960" s="311">
        <f t="shared" si="178"/>
        <v>0.24</v>
      </c>
      <c r="AC960" s="296"/>
      <c r="AD960" s="113"/>
      <c r="AE960" s="5"/>
      <c r="AF960" s="5"/>
      <c r="AG960" s="5"/>
      <c r="AH960" s="5"/>
      <c r="AI960" s="5"/>
      <c r="AJ960" s="5"/>
      <c r="AK960" s="141"/>
      <c r="AL960" s="94"/>
      <c r="AM960" s="128"/>
      <c r="AN960" s="180"/>
      <c r="AO960" s="128"/>
      <c r="AP960" s="184"/>
      <c r="AQ960" s="128"/>
      <c r="AR960" s="184"/>
      <c r="AS960" s="128"/>
      <c r="AT960" s="184"/>
      <c r="AU960" s="128"/>
      <c r="AV960" s="184"/>
      <c r="AW960" s="128"/>
      <c r="AX960" s="184"/>
      <c r="AY960" s="111"/>
      <c r="AZ960" s="178"/>
      <c r="BC960" s="47"/>
      <c r="BD960" s="47"/>
      <c r="BF960" s="113"/>
      <c r="BG960" s="113"/>
      <c r="BH960" s="113"/>
      <c r="BI960" s="113"/>
      <c r="BJ960" s="113"/>
      <c r="BK960" s="113"/>
      <c r="BL960" s="5">
        <f t="shared" si="179"/>
        <v>0</v>
      </c>
    </row>
    <row r="961" spans="1:64" s="2" customFormat="1" ht="38.25" outlineLevel="1" x14ac:dyDescent="0.2">
      <c r="A961" s="593" t="s">
        <v>1137</v>
      </c>
      <c r="B961" s="600" t="s">
        <v>1122</v>
      </c>
      <c r="C961" s="7" t="s">
        <v>9</v>
      </c>
      <c r="D961" s="8" t="s">
        <v>397</v>
      </c>
      <c r="E961" s="23" t="s">
        <v>333</v>
      </c>
      <c r="F961" s="8">
        <v>2013</v>
      </c>
      <c r="G961" s="8">
        <v>2014</v>
      </c>
      <c r="H961" s="5">
        <v>1.252</v>
      </c>
      <c r="I961" s="5">
        <v>1.2479659999999999</v>
      </c>
      <c r="J961" s="5">
        <f>R961</f>
        <v>1.2479659999999999</v>
      </c>
      <c r="K961" s="23" t="s">
        <v>333</v>
      </c>
      <c r="L961" s="8"/>
      <c r="M961" s="8"/>
      <c r="N961" s="8"/>
      <c r="O961" s="8"/>
      <c r="P961" s="8"/>
      <c r="Q961" s="23" t="s">
        <v>333</v>
      </c>
      <c r="R961" s="113">
        <v>1.2479659999999999</v>
      </c>
      <c r="S961" s="113"/>
      <c r="T961" s="113"/>
      <c r="U961" s="113"/>
      <c r="V961" s="113"/>
      <c r="W961" s="113"/>
      <c r="X961" s="5">
        <f t="shared" si="175"/>
        <v>1.2479659999999999</v>
      </c>
      <c r="Y961" s="302">
        <f>H961-H962-H963</f>
        <v>0</v>
      </c>
      <c r="Z961" s="5">
        <f>I961-I962-I963</f>
        <v>-4.0340000000000931E-3</v>
      </c>
      <c r="AA961" s="94">
        <f>J961-J962-J963</f>
        <v>0</v>
      </c>
      <c r="AB961" s="311">
        <f t="shared" si="178"/>
        <v>0</v>
      </c>
      <c r="AC961" s="296"/>
      <c r="AD961" s="113"/>
      <c r="AE961" s="5"/>
      <c r="AF961" s="5">
        <f>H961</f>
        <v>1.252</v>
      </c>
      <c r="AG961" s="5"/>
      <c r="AH961" s="5"/>
      <c r="AI961" s="5"/>
      <c r="AJ961" s="5"/>
      <c r="AK961" s="141"/>
      <c r="AL961" s="94">
        <f>SUM(AF961:AK961)</f>
        <v>1.252</v>
      </c>
      <c r="AM961" s="128">
        <v>0.3</v>
      </c>
      <c r="AN961" s="180">
        <v>0</v>
      </c>
      <c r="AO961" s="128"/>
      <c r="AP961" s="184"/>
      <c r="AQ961" s="128"/>
      <c r="AR961" s="184"/>
      <c r="AS961" s="128"/>
      <c r="AT961" s="184"/>
      <c r="AU961" s="128"/>
      <c r="AV961" s="184"/>
      <c r="AW961" s="128"/>
      <c r="AX961" s="184"/>
      <c r="AY961" s="111">
        <f>AM961+AO961+AQ961+AS961+AU961+AW961</f>
        <v>0.3</v>
      </c>
      <c r="AZ961" s="178">
        <f>AN961+AP961+AR961+AT961+AV961+AX961</f>
        <v>0</v>
      </c>
      <c r="BC961" s="47"/>
      <c r="BD961" s="47"/>
      <c r="BF961" s="113">
        <v>1.2479659999999999</v>
      </c>
      <c r="BG961" s="113"/>
      <c r="BH961" s="113"/>
      <c r="BI961" s="113"/>
      <c r="BJ961" s="113"/>
      <c r="BK961" s="113"/>
      <c r="BL961" s="5">
        <f t="shared" si="179"/>
        <v>1.2479659999999999</v>
      </c>
    </row>
    <row r="962" spans="1:64" s="2" customFormat="1" ht="14.1" customHeight="1" outlineLevel="1" x14ac:dyDescent="0.2">
      <c r="A962" s="594"/>
      <c r="B962" s="601"/>
      <c r="C962" s="7" t="s">
        <v>1553</v>
      </c>
      <c r="D962" s="8"/>
      <c r="E962" s="23"/>
      <c r="F962" s="8"/>
      <c r="G962" s="8"/>
      <c r="H962" s="5"/>
      <c r="I962" s="5"/>
      <c r="J962" s="5"/>
      <c r="K962" s="8"/>
      <c r="L962" s="23"/>
      <c r="M962" s="8"/>
      <c r="N962" s="8"/>
      <c r="O962" s="8"/>
      <c r="P962" s="8"/>
      <c r="Q962" s="23"/>
      <c r="R962" s="113"/>
      <c r="S962" s="113"/>
      <c r="T962" s="113"/>
      <c r="U962" s="113"/>
      <c r="V962" s="113"/>
      <c r="W962" s="113"/>
      <c r="X962" s="5">
        <f t="shared" si="175"/>
        <v>0</v>
      </c>
      <c r="Y962" s="302"/>
      <c r="Z962" s="5"/>
      <c r="AA962" s="94"/>
      <c r="AB962" s="311">
        <f t="shared" si="178"/>
        <v>0</v>
      </c>
      <c r="AC962" s="296"/>
      <c r="AD962" s="113"/>
      <c r="AE962" s="5"/>
      <c r="AF962" s="5"/>
      <c r="AG962" s="5"/>
      <c r="AH962" s="5"/>
      <c r="AI962" s="5"/>
      <c r="AJ962" s="5"/>
      <c r="AK962" s="141"/>
      <c r="AL962" s="94"/>
      <c r="AM962" s="128"/>
      <c r="AN962" s="180"/>
      <c r="AO962" s="128"/>
      <c r="AP962" s="184"/>
      <c r="AQ962" s="128"/>
      <c r="AR962" s="184"/>
      <c r="AS962" s="128"/>
      <c r="AT962" s="184"/>
      <c r="AU962" s="128"/>
      <c r="AV962" s="184"/>
      <c r="AW962" s="128"/>
      <c r="AX962" s="184"/>
      <c r="AY962" s="111"/>
      <c r="AZ962" s="178"/>
      <c r="BC962" s="47"/>
      <c r="BD962" s="47"/>
      <c r="BF962" s="113"/>
      <c r="BG962" s="113"/>
      <c r="BH962" s="113"/>
      <c r="BI962" s="113"/>
      <c r="BJ962" s="113"/>
      <c r="BK962" s="113"/>
      <c r="BL962" s="5">
        <f t="shared" si="179"/>
        <v>0</v>
      </c>
    </row>
    <row r="963" spans="1:64" s="2" customFormat="1" ht="14.1" customHeight="1" outlineLevel="1" x14ac:dyDescent="0.2">
      <c r="A963" s="595"/>
      <c r="B963" s="602"/>
      <c r="C963" s="7" t="s">
        <v>1554</v>
      </c>
      <c r="D963" s="8"/>
      <c r="E963" s="23"/>
      <c r="F963" s="8"/>
      <c r="G963" s="8"/>
      <c r="H963" s="5">
        <v>1.252</v>
      </c>
      <c r="I963" s="5">
        <v>1.252</v>
      </c>
      <c r="J963" s="5">
        <v>1.2479659999999999</v>
      </c>
      <c r="K963" s="23"/>
      <c r="L963" s="8"/>
      <c r="M963" s="8"/>
      <c r="N963" s="8"/>
      <c r="O963" s="8"/>
      <c r="P963" s="8"/>
      <c r="Q963" s="23"/>
      <c r="R963" s="113"/>
      <c r="S963" s="113"/>
      <c r="T963" s="113"/>
      <c r="U963" s="113"/>
      <c r="V963" s="113"/>
      <c r="W963" s="113"/>
      <c r="X963" s="5">
        <f t="shared" si="175"/>
        <v>0</v>
      </c>
      <c r="Y963" s="302"/>
      <c r="Z963" s="5"/>
      <c r="AA963" s="94"/>
      <c r="AB963" s="311">
        <f t="shared" si="178"/>
        <v>1.252</v>
      </c>
      <c r="AC963" s="296"/>
      <c r="AD963" s="113"/>
      <c r="AE963" s="5"/>
      <c r="AF963" s="5"/>
      <c r="AG963" s="5"/>
      <c r="AH963" s="5"/>
      <c r="AI963" s="5"/>
      <c r="AJ963" s="5"/>
      <c r="AK963" s="141"/>
      <c r="AL963" s="94"/>
      <c r="AM963" s="128"/>
      <c r="AN963" s="180"/>
      <c r="AO963" s="128"/>
      <c r="AP963" s="184"/>
      <c r="AQ963" s="128"/>
      <c r="AR963" s="184"/>
      <c r="AS963" s="128"/>
      <c r="AT963" s="184"/>
      <c r="AU963" s="128"/>
      <c r="AV963" s="184"/>
      <c r="AW963" s="128"/>
      <c r="AX963" s="184"/>
      <c r="AY963" s="111"/>
      <c r="AZ963" s="178"/>
      <c r="BC963" s="47"/>
      <c r="BD963" s="47"/>
      <c r="BF963" s="113"/>
      <c r="BG963" s="113"/>
      <c r="BH963" s="113"/>
      <c r="BI963" s="113"/>
      <c r="BJ963" s="113"/>
      <c r="BK963" s="113"/>
      <c r="BL963" s="5">
        <f t="shared" si="179"/>
        <v>0</v>
      </c>
    </row>
    <row r="964" spans="1:64" s="2" customFormat="1" ht="63.75" customHeight="1" outlineLevel="1" x14ac:dyDescent="0.2">
      <c r="A964" s="593" t="s">
        <v>1139</v>
      </c>
      <c r="B964" s="600" t="s">
        <v>1125</v>
      </c>
      <c r="C964" s="7" t="s">
        <v>1140</v>
      </c>
      <c r="D964" s="8" t="s">
        <v>397</v>
      </c>
      <c r="E964" s="23" t="s">
        <v>340</v>
      </c>
      <c r="F964" s="8">
        <v>2013</v>
      </c>
      <c r="G964" s="8">
        <v>2015</v>
      </c>
      <c r="H964" s="5">
        <v>0.31</v>
      </c>
      <c r="I964" s="5">
        <v>0.270949</v>
      </c>
      <c r="J964" s="5">
        <f>R964</f>
        <v>0.235593</v>
      </c>
      <c r="K964" s="8"/>
      <c r="L964" s="23" t="s">
        <v>340</v>
      </c>
      <c r="M964" s="8"/>
      <c r="N964" s="8"/>
      <c r="O964" s="8"/>
      <c r="P964" s="8"/>
      <c r="Q964" s="23" t="s">
        <v>340</v>
      </c>
      <c r="R964" s="113">
        <v>0.235593</v>
      </c>
      <c r="S964" s="113"/>
      <c r="T964" s="113"/>
      <c r="U964" s="113"/>
      <c r="V964" s="113"/>
      <c r="W964" s="113"/>
      <c r="X964" s="5">
        <f t="shared" si="175"/>
        <v>0.235593</v>
      </c>
      <c r="Y964" s="302">
        <f>H964-H965-H966</f>
        <v>0</v>
      </c>
      <c r="Z964" s="5">
        <f>I964-I965-I966</f>
        <v>0</v>
      </c>
      <c r="AA964" s="94">
        <f>J964-J965-J966</f>
        <v>0</v>
      </c>
      <c r="AB964" s="311">
        <f t="shared" si="178"/>
        <v>3.5355999999999999E-2</v>
      </c>
      <c r="AC964" s="296"/>
      <c r="AD964" s="113"/>
      <c r="AE964" s="5"/>
      <c r="AF964" s="5"/>
      <c r="AG964" s="5">
        <f>H964</f>
        <v>0.31</v>
      </c>
      <c r="AH964" s="5"/>
      <c r="AI964" s="5"/>
      <c r="AJ964" s="5"/>
      <c r="AK964" s="141"/>
      <c r="AL964" s="94">
        <f>SUM(AF964:AK964)</f>
        <v>0.31</v>
      </c>
      <c r="AM964" s="128"/>
      <c r="AN964" s="180"/>
      <c r="AO964" s="128">
        <v>0.2</v>
      </c>
      <c r="AP964" s="184">
        <v>0</v>
      </c>
      <c r="AQ964" s="128"/>
      <c r="AR964" s="184"/>
      <c r="AS964" s="128"/>
      <c r="AT964" s="184"/>
      <c r="AU964" s="128"/>
      <c r="AV964" s="184"/>
      <c r="AW964" s="128"/>
      <c r="AX964" s="184"/>
      <c r="AY964" s="111">
        <f>AM964+AO964+AQ964+AS964+AU964+AW964</f>
        <v>0.2</v>
      </c>
      <c r="AZ964" s="178">
        <f>AN964+AP964+AR964+AT964+AV964+AX964</f>
        <v>0</v>
      </c>
      <c r="BC964" s="47"/>
      <c r="BD964" s="47"/>
      <c r="BF964" s="113">
        <v>0.235593</v>
      </c>
      <c r="BG964" s="113"/>
      <c r="BH964" s="113"/>
      <c r="BI964" s="113"/>
      <c r="BJ964" s="113"/>
      <c r="BK964" s="113"/>
      <c r="BL964" s="5">
        <f t="shared" si="179"/>
        <v>0.235593</v>
      </c>
    </row>
    <row r="965" spans="1:64" s="2" customFormat="1" ht="14.1" customHeight="1" outlineLevel="1" x14ac:dyDescent="0.2">
      <c r="A965" s="594"/>
      <c r="B965" s="601"/>
      <c r="C965" s="7" t="s">
        <v>1553</v>
      </c>
      <c r="D965" s="8"/>
      <c r="E965" s="23"/>
      <c r="F965" s="8"/>
      <c r="G965" s="8"/>
      <c r="H965" s="5"/>
      <c r="I965" s="5"/>
      <c r="J965" s="5"/>
      <c r="K965" s="8"/>
      <c r="L965" s="23"/>
      <c r="M965" s="8"/>
      <c r="N965" s="8"/>
      <c r="O965" s="8"/>
      <c r="P965" s="8"/>
      <c r="Q965" s="23"/>
      <c r="R965" s="113"/>
      <c r="S965" s="113"/>
      <c r="T965" s="113"/>
      <c r="U965" s="113"/>
      <c r="V965" s="113"/>
      <c r="W965" s="113"/>
      <c r="X965" s="5">
        <f>SUM(R965:W965)</f>
        <v>0</v>
      </c>
      <c r="Y965" s="302"/>
      <c r="Z965" s="5"/>
      <c r="AA965" s="94"/>
      <c r="AB965" s="311">
        <f t="shared" si="178"/>
        <v>0</v>
      </c>
      <c r="AC965" s="296"/>
      <c r="AD965" s="113"/>
      <c r="AE965" s="5"/>
      <c r="AF965" s="5"/>
      <c r="AG965" s="5"/>
      <c r="AH965" s="5"/>
      <c r="AI965" s="5"/>
      <c r="AJ965" s="5"/>
      <c r="AK965" s="141"/>
      <c r="AL965" s="94"/>
      <c r="AM965" s="128"/>
      <c r="AN965" s="180"/>
      <c r="AO965" s="128"/>
      <c r="AP965" s="184"/>
      <c r="AQ965" s="128"/>
      <c r="AR965" s="184"/>
      <c r="AS965" s="128"/>
      <c r="AT965" s="184"/>
      <c r="AU965" s="128"/>
      <c r="AV965" s="184"/>
      <c r="AW965" s="128"/>
      <c r="AX965" s="184"/>
      <c r="AY965" s="111"/>
      <c r="AZ965" s="178"/>
      <c r="BC965" s="47"/>
      <c r="BD965" s="47"/>
      <c r="BF965" s="113"/>
      <c r="BG965" s="113"/>
      <c r="BH965" s="113"/>
      <c r="BI965" s="113"/>
      <c r="BJ965" s="113"/>
      <c r="BK965" s="113"/>
      <c r="BL965" s="5">
        <f t="shared" si="179"/>
        <v>0</v>
      </c>
    </row>
    <row r="966" spans="1:64" s="2" customFormat="1" ht="14.1" customHeight="1" outlineLevel="1" x14ac:dyDescent="0.2">
      <c r="A966" s="595"/>
      <c r="B966" s="602"/>
      <c r="C966" s="7" t="s">
        <v>1554</v>
      </c>
      <c r="D966" s="8"/>
      <c r="E966" s="23"/>
      <c r="F966" s="8"/>
      <c r="G966" s="8"/>
      <c r="H966" s="5">
        <v>0.31</v>
      </c>
      <c r="I966" s="5">
        <v>0.270949</v>
      </c>
      <c r="J966" s="5">
        <v>0.235593</v>
      </c>
      <c r="K966" s="23"/>
      <c r="L966" s="8"/>
      <c r="M966" s="8"/>
      <c r="N966" s="8"/>
      <c r="O966" s="8"/>
      <c r="P966" s="8"/>
      <c r="Q966" s="23"/>
      <c r="R966" s="113"/>
      <c r="S966" s="113"/>
      <c r="T966" s="113"/>
      <c r="U966" s="113"/>
      <c r="V966" s="113"/>
      <c r="W966" s="113"/>
      <c r="X966" s="5">
        <f>SUM(R966:W966)</f>
        <v>0</v>
      </c>
      <c r="Y966" s="302"/>
      <c r="Z966" s="5"/>
      <c r="AA966" s="94"/>
      <c r="AB966" s="311">
        <f t="shared" si="178"/>
        <v>0.270949</v>
      </c>
      <c r="AC966" s="296"/>
      <c r="AD966" s="113"/>
      <c r="AE966" s="5"/>
      <c r="AF966" s="5"/>
      <c r="AG966" s="5"/>
      <c r="AH966" s="5"/>
      <c r="AI966" s="5"/>
      <c r="AJ966" s="5"/>
      <c r="AK966" s="141"/>
      <c r="AL966" s="94"/>
      <c r="AM966" s="128"/>
      <c r="AN966" s="180"/>
      <c r="AO966" s="128"/>
      <c r="AP966" s="184"/>
      <c r="AQ966" s="128"/>
      <c r="AR966" s="184"/>
      <c r="AS966" s="128"/>
      <c r="AT966" s="184"/>
      <c r="AU966" s="128"/>
      <c r="AV966" s="184"/>
      <c r="AW966" s="128"/>
      <c r="AX966" s="184"/>
      <c r="AY966" s="111"/>
      <c r="AZ966" s="178"/>
      <c r="BC966" s="47"/>
      <c r="BD966" s="47"/>
      <c r="BF966" s="113"/>
      <c r="BG966" s="113"/>
      <c r="BH966" s="113"/>
      <c r="BI966" s="113"/>
      <c r="BJ966" s="113"/>
      <c r="BK966" s="113"/>
      <c r="BL966" s="5">
        <f t="shared" si="179"/>
        <v>0</v>
      </c>
    </row>
    <row r="967" spans="1:64" s="2" customFormat="1" ht="63.75" customHeight="1" outlineLevel="1" x14ac:dyDescent="0.2">
      <c r="A967" s="593" t="s">
        <v>1142</v>
      </c>
      <c r="B967" s="600" t="s">
        <v>1128</v>
      </c>
      <c r="C967" s="7" t="s">
        <v>599</v>
      </c>
      <c r="D967" s="8" t="s">
        <v>397</v>
      </c>
      <c r="E967" s="23" t="s">
        <v>340</v>
      </c>
      <c r="F967" s="8">
        <v>2013</v>
      </c>
      <c r="G967" s="8">
        <v>2015</v>
      </c>
      <c r="H967" s="5">
        <v>0.31</v>
      </c>
      <c r="I967" s="5">
        <v>0.30266599999999999</v>
      </c>
      <c r="J967" s="5">
        <f>R967</f>
        <v>5.1398000000000006E-2</v>
      </c>
      <c r="K967" s="8"/>
      <c r="L967" s="23" t="s">
        <v>340</v>
      </c>
      <c r="M967" s="8"/>
      <c r="N967" s="8"/>
      <c r="O967" s="8"/>
      <c r="P967" s="8"/>
      <c r="Q967" s="23" t="s">
        <v>340</v>
      </c>
      <c r="R967" s="113">
        <v>5.1398000000000006E-2</v>
      </c>
      <c r="S967" s="113"/>
      <c r="T967" s="113"/>
      <c r="U967" s="113"/>
      <c r="V967" s="113"/>
      <c r="W967" s="113"/>
      <c r="X967" s="5">
        <f t="shared" si="175"/>
        <v>5.1398000000000006E-2</v>
      </c>
      <c r="Y967" s="302">
        <f>H967-H968-H969</f>
        <v>0</v>
      </c>
      <c r="Z967" s="5">
        <f>I967-I968-I969</f>
        <v>0</v>
      </c>
      <c r="AA967" s="94">
        <f>J967-J968-J969</f>
        <v>0</v>
      </c>
      <c r="AB967" s="311">
        <f t="shared" si="178"/>
        <v>0.25126799999999999</v>
      </c>
      <c r="AC967" s="296"/>
      <c r="AD967" s="113"/>
      <c r="AE967" s="5"/>
      <c r="AF967" s="5"/>
      <c r="AG967" s="5">
        <f>H967</f>
        <v>0.31</v>
      </c>
      <c r="AH967" s="5"/>
      <c r="AI967" s="5"/>
      <c r="AJ967" s="5"/>
      <c r="AK967" s="141"/>
      <c r="AL967" s="94">
        <f>SUM(AF967:AK967)</f>
        <v>0.31</v>
      </c>
      <c r="AM967" s="128"/>
      <c r="AN967" s="180"/>
      <c r="AO967" s="128">
        <v>0.2</v>
      </c>
      <c r="AP967" s="184">
        <v>0</v>
      </c>
      <c r="AQ967" s="128"/>
      <c r="AR967" s="184"/>
      <c r="AS967" s="128"/>
      <c r="AT967" s="184"/>
      <c r="AU967" s="128"/>
      <c r="AV967" s="184"/>
      <c r="AW967" s="128"/>
      <c r="AX967" s="184"/>
      <c r="AY967" s="111">
        <f>AM967+AO967+AQ967+AS967+AU967+AW967</f>
        <v>0.2</v>
      </c>
      <c r="AZ967" s="178">
        <f>AN967+AP967+AR967+AT967+AV967+AX967</f>
        <v>0</v>
      </c>
      <c r="BC967" s="47"/>
      <c r="BD967" s="47"/>
      <c r="BF967" s="113">
        <v>5.1398000000000006E-2</v>
      </c>
      <c r="BG967" s="113"/>
      <c r="BH967" s="113"/>
      <c r="BI967" s="113"/>
      <c r="BJ967" s="113"/>
      <c r="BK967" s="113"/>
      <c r="BL967" s="5">
        <f t="shared" si="179"/>
        <v>5.1398000000000006E-2</v>
      </c>
    </row>
    <row r="968" spans="1:64" s="2" customFormat="1" ht="14.1" customHeight="1" outlineLevel="1" x14ac:dyDescent="0.2">
      <c r="A968" s="594"/>
      <c r="B968" s="601"/>
      <c r="C968" s="7" t="s">
        <v>1553</v>
      </c>
      <c r="D968" s="8"/>
      <c r="E968" s="23"/>
      <c r="F968" s="8"/>
      <c r="G968" s="8"/>
      <c r="H968" s="5"/>
      <c r="I968" s="5"/>
      <c r="J968" s="5"/>
      <c r="K968" s="8"/>
      <c r="L968" s="23"/>
      <c r="M968" s="8"/>
      <c r="N968" s="8"/>
      <c r="O968" s="8"/>
      <c r="P968" s="8"/>
      <c r="Q968" s="23"/>
      <c r="R968" s="113"/>
      <c r="S968" s="113"/>
      <c r="T968" s="113"/>
      <c r="U968" s="113"/>
      <c r="V968" s="113"/>
      <c r="W968" s="113"/>
      <c r="X968" s="5">
        <f t="shared" si="175"/>
        <v>0</v>
      </c>
      <c r="Y968" s="302"/>
      <c r="Z968" s="5"/>
      <c r="AA968" s="94"/>
      <c r="AB968" s="311">
        <f t="shared" si="178"/>
        <v>0</v>
      </c>
      <c r="AC968" s="296"/>
      <c r="AD968" s="113"/>
      <c r="AE968" s="5"/>
      <c r="AF968" s="5"/>
      <c r="AG968" s="5"/>
      <c r="AH968" s="5"/>
      <c r="AI968" s="5"/>
      <c r="AJ968" s="5"/>
      <c r="AK968" s="141"/>
      <c r="AL968" s="94"/>
      <c r="AM968" s="128"/>
      <c r="AN968" s="180"/>
      <c r="AO968" s="128"/>
      <c r="AP968" s="184"/>
      <c r="AQ968" s="128"/>
      <c r="AR968" s="184"/>
      <c r="AS968" s="128"/>
      <c r="AT968" s="184"/>
      <c r="AU968" s="128"/>
      <c r="AV968" s="184"/>
      <c r="AW968" s="128"/>
      <c r="AX968" s="184"/>
      <c r="AY968" s="111"/>
      <c r="AZ968" s="178"/>
      <c r="BC968" s="47"/>
      <c r="BD968" s="47"/>
      <c r="BF968" s="113"/>
      <c r="BG968" s="113"/>
      <c r="BH968" s="113"/>
      <c r="BI968" s="113"/>
      <c r="BJ968" s="113"/>
      <c r="BK968" s="113"/>
      <c r="BL968" s="5">
        <f t="shared" si="179"/>
        <v>0</v>
      </c>
    </row>
    <row r="969" spans="1:64" s="2" customFormat="1" ht="14.1" customHeight="1" outlineLevel="1" x14ac:dyDescent="0.2">
      <c r="A969" s="595"/>
      <c r="B969" s="602"/>
      <c r="C969" s="7" t="s">
        <v>1554</v>
      </c>
      <c r="D969" s="8"/>
      <c r="E969" s="23"/>
      <c r="F969" s="8"/>
      <c r="G969" s="8"/>
      <c r="H969" s="5">
        <v>0.31</v>
      </c>
      <c r="I969" s="5">
        <v>0.30266599999999999</v>
      </c>
      <c r="J969" s="5">
        <v>5.1398000000000006E-2</v>
      </c>
      <c r="K969" s="23"/>
      <c r="L969" s="8"/>
      <c r="M969" s="8"/>
      <c r="N969" s="8"/>
      <c r="O969" s="8"/>
      <c r="P969" s="8"/>
      <c r="Q969" s="23"/>
      <c r="R969" s="113"/>
      <c r="S969" s="113"/>
      <c r="T969" s="113"/>
      <c r="U969" s="113"/>
      <c r="V969" s="113"/>
      <c r="W969" s="113"/>
      <c r="X969" s="5">
        <f t="shared" si="175"/>
        <v>0</v>
      </c>
      <c r="Y969" s="302"/>
      <c r="Z969" s="5"/>
      <c r="AA969" s="94"/>
      <c r="AB969" s="311">
        <f t="shared" si="178"/>
        <v>0.30266599999999999</v>
      </c>
      <c r="AC969" s="296"/>
      <c r="AD969" s="113"/>
      <c r="AE969" s="5"/>
      <c r="AF969" s="5"/>
      <c r="AG969" s="5"/>
      <c r="AH969" s="5"/>
      <c r="AI969" s="5"/>
      <c r="AJ969" s="5"/>
      <c r="AK969" s="141"/>
      <c r="AL969" s="94"/>
      <c r="AM969" s="128"/>
      <c r="AN969" s="180"/>
      <c r="AO969" s="128"/>
      <c r="AP969" s="184"/>
      <c r="AQ969" s="128"/>
      <c r="AR969" s="184"/>
      <c r="AS969" s="128"/>
      <c r="AT969" s="184"/>
      <c r="AU969" s="128"/>
      <c r="AV969" s="184"/>
      <c r="AW969" s="128"/>
      <c r="AX969" s="184"/>
      <c r="AY969" s="111"/>
      <c r="AZ969" s="178"/>
      <c r="BC969" s="47"/>
      <c r="BD969" s="47"/>
      <c r="BF969" s="113"/>
      <c r="BG969" s="113"/>
      <c r="BH969" s="113"/>
      <c r="BI969" s="113"/>
      <c r="BJ969" s="113"/>
      <c r="BK969" s="113"/>
      <c r="BL969" s="5">
        <f t="shared" si="179"/>
        <v>0</v>
      </c>
    </row>
    <row r="970" spans="1:64" s="2" customFormat="1" ht="63.75" outlineLevel="1" x14ac:dyDescent="0.2">
      <c r="A970" s="593" t="s">
        <v>1144</v>
      </c>
      <c r="B970" s="600" t="s">
        <v>1131</v>
      </c>
      <c r="C970" s="7" t="s">
        <v>1145</v>
      </c>
      <c r="D970" s="8" t="s">
        <v>397</v>
      </c>
      <c r="E970" s="23" t="s">
        <v>1241</v>
      </c>
      <c r="F970" s="8">
        <v>2013</v>
      </c>
      <c r="G970" s="8">
        <v>2014</v>
      </c>
      <c r="H970" s="5">
        <v>0.04</v>
      </c>
      <c r="I970" s="5">
        <v>0.02</v>
      </c>
      <c r="J970" s="5">
        <f>R970</f>
        <v>0.02</v>
      </c>
      <c r="K970" s="23" t="s">
        <v>1241</v>
      </c>
      <c r="L970" s="8"/>
      <c r="M970" s="8"/>
      <c r="N970" s="8"/>
      <c r="O970" s="8"/>
      <c r="P970" s="8"/>
      <c r="Q970" s="23" t="s">
        <v>1241</v>
      </c>
      <c r="R970" s="113">
        <v>0.02</v>
      </c>
      <c r="S970" s="113"/>
      <c r="T970" s="113"/>
      <c r="U970" s="113"/>
      <c r="V970" s="113"/>
      <c r="W970" s="113"/>
      <c r="X970" s="5">
        <f t="shared" si="175"/>
        <v>0.02</v>
      </c>
      <c r="Y970" s="302">
        <f>H970-H971-H972</f>
        <v>0</v>
      </c>
      <c r="Z970" s="5">
        <f>I970-I971-I972</f>
        <v>0</v>
      </c>
      <c r="AA970" s="94">
        <f>J970-J971-J972</f>
        <v>0</v>
      </c>
      <c r="AB970" s="311">
        <f t="shared" si="178"/>
        <v>0</v>
      </c>
      <c r="AC970" s="296"/>
      <c r="AD970" s="113"/>
      <c r="AE970" s="5"/>
      <c r="AF970" s="5">
        <f>H970</f>
        <v>0.04</v>
      </c>
      <c r="AG970" s="5"/>
      <c r="AH970" s="5"/>
      <c r="AI970" s="5"/>
      <c r="AJ970" s="5"/>
      <c r="AK970" s="141"/>
      <c r="AL970" s="94">
        <f>SUM(AF970:AK970)</f>
        <v>0.04</v>
      </c>
      <c r="AM970" s="128">
        <v>0</v>
      </c>
      <c r="AN970" s="180">
        <v>0</v>
      </c>
      <c r="AO970" s="128"/>
      <c r="AP970" s="184"/>
      <c r="AQ970" s="128"/>
      <c r="AR970" s="184"/>
      <c r="AS970" s="128"/>
      <c r="AT970" s="184"/>
      <c r="AU970" s="128"/>
      <c r="AV970" s="184"/>
      <c r="AW970" s="128"/>
      <c r="AX970" s="184"/>
      <c r="AY970" s="111">
        <f>AM970+AO970+AQ970+AS970+AU970+AW970</f>
        <v>0</v>
      </c>
      <c r="AZ970" s="178">
        <f>AN970+AP970+AR970+AT970+AV970+AX970</f>
        <v>0</v>
      </c>
      <c r="BC970" s="47"/>
      <c r="BD970" s="47"/>
      <c r="BF970" s="113">
        <v>0.02</v>
      </c>
      <c r="BG970" s="113"/>
      <c r="BH970" s="113"/>
      <c r="BI970" s="113"/>
      <c r="BJ970" s="113"/>
      <c r="BK970" s="113"/>
      <c r="BL970" s="5">
        <f t="shared" si="179"/>
        <v>0.02</v>
      </c>
    </row>
    <row r="971" spans="1:64" s="2" customFormat="1" ht="14.1" customHeight="1" outlineLevel="1" x14ac:dyDescent="0.2">
      <c r="A971" s="594"/>
      <c r="B971" s="601"/>
      <c r="C971" s="7" t="s">
        <v>1553</v>
      </c>
      <c r="D971" s="8"/>
      <c r="E971" s="23"/>
      <c r="F971" s="8"/>
      <c r="G971" s="8"/>
      <c r="H971" s="5">
        <v>0.04</v>
      </c>
      <c r="I971" s="5">
        <f>I970</f>
        <v>0.02</v>
      </c>
      <c r="J971" s="5">
        <v>0.02</v>
      </c>
      <c r="K971" s="8"/>
      <c r="L971" s="23"/>
      <c r="M971" s="8"/>
      <c r="N971" s="8"/>
      <c r="O971" s="8"/>
      <c r="P971" s="8"/>
      <c r="Q971" s="23"/>
      <c r="R971" s="113"/>
      <c r="S971" s="113"/>
      <c r="T971" s="113"/>
      <c r="U971" s="113"/>
      <c r="V971" s="113"/>
      <c r="W971" s="113"/>
      <c r="X971" s="5">
        <f>SUM(R971:W971)</f>
        <v>0</v>
      </c>
      <c r="Y971" s="302"/>
      <c r="Z971" s="5"/>
      <c r="AA971" s="94"/>
      <c r="AB971" s="311">
        <f t="shared" si="178"/>
        <v>0.02</v>
      </c>
      <c r="AC971" s="296"/>
      <c r="AD971" s="113"/>
      <c r="AE971" s="5"/>
      <c r="AF971" s="5"/>
      <c r="AG971" s="5"/>
      <c r="AH971" s="5"/>
      <c r="AI971" s="5"/>
      <c r="AJ971" s="5"/>
      <c r="AK971" s="141"/>
      <c r="AL971" s="94"/>
      <c r="AM971" s="128"/>
      <c r="AN971" s="180"/>
      <c r="AO971" s="128"/>
      <c r="AP971" s="184"/>
      <c r="AQ971" s="128"/>
      <c r="AR971" s="184"/>
      <c r="AS971" s="128"/>
      <c r="AT971" s="184"/>
      <c r="AU971" s="128"/>
      <c r="AV971" s="184"/>
      <c r="AW971" s="128"/>
      <c r="AX971" s="184"/>
      <c r="AY971" s="111"/>
      <c r="AZ971" s="178"/>
      <c r="BC971" s="47"/>
      <c r="BD971" s="47"/>
      <c r="BF971" s="113"/>
      <c r="BG971" s="113"/>
      <c r="BH971" s="113"/>
      <c r="BI971" s="113"/>
      <c r="BJ971" s="113"/>
      <c r="BK971" s="113"/>
      <c r="BL971" s="5">
        <f t="shared" si="179"/>
        <v>0</v>
      </c>
    </row>
    <row r="972" spans="1:64" s="2" customFormat="1" ht="14.1" customHeight="1" outlineLevel="1" x14ac:dyDescent="0.2">
      <c r="A972" s="595"/>
      <c r="B972" s="602"/>
      <c r="C972" s="7" t="s">
        <v>1554</v>
      </c>
      <c r="D972" s="8"/>
      <c r="E972" s="23"/>
      <c r="F972" s="8"/>
      <c r="G972" s="8"/>
      <c r="H972" s="5"/>
      <c r="I972" s="5"/>
      <c r="J972" s="5"/>
      <c r="K972" s="23"/>
      <c r="L972" s="8"/>
      <c r="M972" s="8"/>
      <c r="N972" s="8"/>
      <c r="O972" s="8"/>
      <c r="P972" s="8"/>
      <c r="Q972" s="23"/>
      <c r="R972" s="113"/>
      <c r="S972" s="113"/>
      <c r="T972" s="113"/>
      <c r="U972" s="113"/>
      <c r="V972" s="113"/>
      <c r="W972" s="113"/>
      <c r="X972" s="5">
        <f>SUM(R972:W972)</f>
        <v>0</v>
      </c>
      <c r="Y972" s="302"/>
      <c r="Z972" s="5"/>
      <c r="AA972" s="94"/>
      <c r="AB972" s="311">
        <f t="shared" si="178"/>
        <v>0</v>
      </c>
      <c r="AC972" s="296"/>
      <c r="AD972" s="113"/>
      <c r="AE972" s="5"/>
      <c r="AF972" s="5"/>
      <c r="AG972" s="5"/>
      <c r="AH972" s="5"/>
      <c r="AI972" s="5"/>
      <c r="AJ972" s="5"/>
      <c r="AK972" s="141"/>
      <c r="AL972" s="94"/>
      <c r="AM972" s="128"/>
      <c r="AN972" s="180"/>
      <c r="AO972" s="128"/>
      <c r="AP972" s="184"/>
      <c r="AQ972" s="128"/>
      <c r="AR972" s="184"/>
      <c r="AS972" s="128"/>
      <c r="AT972" s="184"/>
      <c r="AU972" s="128"/>
      <c r="AV972" s="184"/>
      <c r="AW972" s="128"/>
      <c r="AX972" s="184"/>
      <c r="AY972" s="111"/>
      <c r="AZ972" s="178"/>
      <c r="BC972" s="47"/>
      <c r="BD972" s="47"/>
      <c r="BF972" s="113"/>
      <c r="BG972" s="113"/>
      <c r="BH972" s="113"/>
      <c r="BI972" s="113"/>
      <c r="BJ972" s="113"/>
      <c r="BK972" s="113"/>
      <c r="BL972" s="5">
        <f t="shared" si="179"/>
        <v>0</v>
      </c>
    </row>
    <row r="973" spans="1:64" s="2" customFormat="1" ht="25.5" outlineLevel="1" x14ac:dyDescent="0.2">
      <c r="A973" s="593" t="s">
        <v>1147</v>
      </c>
      <c r="B973" s="600" t="s">
        <v>1134</v>
      </c>
      <c r="C973" s="7" t="s">
        <v>1148</v>
      </c>
      <c r="D973" s="8" t="s">
        <v>397</v>
      </c>
      <c r="E973" s="23" t="s">
        <v>333</v>
      </c>
      <c r="F973" s="8">
        <v>2013</v>
      </c>
      <c r="G973" s="8">
        <v>2014</v>
      </c>
      <c r="H973" s="5">
        <v>0.62575716000000003</v>
      </c>
      <c r="I973" s="5">
        <v>0.481186</v>
      </c>
      <c r="J973" s="5">
        <f>R973</f>
        <v>0.481186</v>
      </c>
      <c r="K973" s="23" t="s">
        <v>333</v>
      </c>
      <c r="L973" s="8"/>
      <c r="M973" s="8"/>
      <c r="N973" s="8"/>
      <c r="O973" s="8"/>
      <c r="P973" s="8"/>
      <c r="Q973" s="23" t="s">
        <v>333</v>
      </c>
      <c r="R973" s="113">
        <v>0.481186</v>
      </c>
      <c r="S973" s="113"/>
      <c r="T973" s="113"/>
      <c r="U973" s="113"/>
      <c r="V973" s="113"/>
      <c r="W973" s="113"/>
      <c r="X973" s="5">
        <f t="shared" si="175"/>
        <v>0.481186</v>
      </c>
      <c r="Y973" s="302">
        <f>H973-H974-H975</f>
        <v>0</v>
      </c>
      <c r="Z973" s="5">
        <f>I973-I974-I975</f>
        <v>0</v>
      </c>
      <c r="AA973" s="94">
        <f>J973-J974-J975</f>
        <v>0</v>
      </c>
      <c r="AB973" s="311">
        <f t="shared" si="178"/>
        <v>0</v>
      </c>
      <c r="AC973" s="296"/>
      <c r="AD973" s="113"/>
      <c r="AE973" s="5"/>
      <c r="AF973" s="5">
        <f>H973</f>
        <v>0.62575716000000003</v>
      </c>
      <c r="AG973" s="5"/>
      <c r="AH973" s="5"/>
      <c r="AI973" s="5"/>
      <c r="AJ973" s="5"/>
      <c r="AK973" s="141"/>
      <c r="AL973" s="94">
        <f>SUM(AF973:AK973)</f>
        <v>0.62575716000000003</v>
      </c>
      <c r="AM973" s="128">
        <v>0.3</v>
      </c>
      <c r="AN973" s="180">
        <v>0</v>
      </c>
      <c r="AO973" s="128"/>
      <c r="AP973" s="184"/>
      <c r="AQ973" s="128"/>
      <c r="AR973" s="184"/>
      <c r="AS973" s="128"/>
      <c r="AT973" s="184"/>
      <c r="AU973" s="128"/>
      <c r="AV973" s="184"/>
      <c r="AW973" s="128"/>
      <c r="AX973" s="184"/>
      <c r="AY973" s="111">
        <f>AM973+AO973+AQ973+AS973+AU973+AW973</f>
        <v>0.3</v>
      </c>
      <c r="AZ973" s="178">
        <f>AN973+AP973+AR973+AT973+AV973+AX973</f>
        <v>0</v>
      </c>
      <c r="BC973" s="47"/>
      <c r="BD973" s="47"/>
      <c r="BF973" s="113">
        <v>0.481186</v>
      </c>
      <c r="BG973" s="113"/>
      <c r="BH973" s="113"/>
      <c r="BI973" s="113"/>
      <c r="BJ973" s="113"/>
      <c r="BK973" s="113"/>
      <c r="BL973" s="5">
        <f t="shared" si="179"/>
        <v>0.481186</v>
      </c>
    </row>
    <row r="974" spans="1:64" s="2" customFormat="1" ht="14.1" customHeight="1" outlineLevel="1" x14ac:dyDescent="0.2">
      <c r="A974" s="594"/>
      <c r="B974" s="601"/>
      <c r="C974" s="7" t="s">
        <v>1553</v>
      </c>
      <c r="D974" s="8"/>
      <c r="E974" s="23"/>
      <c r="F974" s="8"/>
      <c r="G974" s="8"/>
      <c r="H974" s="5"/>
      <c r="I974" s="5"/>
      <c r="J974" s="5"/>
      <c r="K974" s="8"/>
      <c r="L974" s="23"/>
      <c r="M974" s="8"/>
      <c r="N974" s="8"/>
      <c r="O974" s="8"/>
      <c r="P974" s="8"/>
      <c r="Q974" s="23"/>
      <c r="R974" s="113"/>
      <c r="S974" s="113"/>
      <c r="T974" s="113"/>
      <c r="U974" s="113"/>
      <c r="V974" s="113"/>
      <c r="W974" s="113"/>
      <c r="X974" s="5">
        <f t="shared" si="175"/>
        <v>0</v>
      </c>
      <c r="Y974" s="302"/>
      <c r="Z974" s="5"/>
      <c r="AA974" s="94"/>
      <c r="AB974" s="311">
        <f t="shared" si="178"/>
        <v>0</v>
      </c>
      <c r="AC974" s="296"/>
      <c r="AD974" s="113"/>
      <c r="AE974" s="5"/>
      <c r="AF974" s="5"/>
      <c r="AG974" s="5"/>
      <c r="AH974" s="5"/>
      <c r="AI974" s="5"/>
      <c r="AJ974" s="5"/>
      <c r="AK974" s="141"/>
      <c r="AL974" s="94"/>
      <c r="AM974" s="128"/>
      <c r="AN974" s="180"/>
      <c r="AO974" s="128"/>
      <c r="AP974" s="184"/>
      <c r="AQ974" s="128"/>
      <c r="AR974" s="184"/>
      <c r="AS974" s="128"/>
      <c r="AT974" s="184"/>
      <c r="AU974" s="128"/>
      <c r="AV974" s="184"/>
      <c r="AW974" s="128"/>
      <c r="AX974" s="184"/>
      <c r="AY974" s="111"/>
      <c r="AZ974" s="178"/>
      <c r="BC974" s="47"/>
      <c r="BD974" s="47"/>
      <c r="BF974" s="113"/>
      <c r="BG974" s="113"/>
      <c r="BH974" s="113"/>
      <c r="BI974" s="113"/>
      <c r="BJ974" s="113"/>
      <c r="BK974" s="113"/>
      <c r="BL974" s="5">
        <f t="shared" si="179"/>
        <v>0</v>
      </c>
    </row>
    <row r="975" spans="1:64" s="2" customFormat="1" ht="14.1" customHeight="1" outlineLevel="1" x14ac:dyDescent="0.2">
      <c r="A975" s="595"/>
      <c r="B975" s="602"/>
      <c r="C975" s="7" t="s">
        <v>1554</v>
      </c>
      <c r="D975" s="8"/>
      <c r="E975" s="23"/>
      <c r="F975" s="8"/>
      <c r="G975" s="8"/>
      <c r="H975" s="5">
        <f>H973</f>
        <v>0.62575716000000003</v>
      </c>
      <c r="I975" s="5">
        <f>I973</f>
        <v>0.481186</v>
      </c>
      <c r="J975" s="5">
        <f>J973</f>
        <v>0.481186</v>
      </c>
      <c r="K975" s="23"/>
      <c r="L975" s="8"/>
      <c r="M975" s="8"/>
      <c r="N975" s="8"/>
      <c r="O975" s="8"/>
      <c r="P975" s="8"/>
      <c r="Q975" s="23"/>
      <c r="R975" s="113"/>
      <c r="S975" s="113"/>
      <c r="T975" s="113"/>
      <c r="U975" s="113"/>
      <c r="V975" s="113"/>
      <c r="W975" s="113"/>
      <c r="X975" s="5">
        <f t="shared" si="175"/>
        <v>0</v>
      </c>
      <c r="Y975" s="302"/>
      <c r="Z975" s="5"/>
      <c r="AA975" s="94"/>
      <c r="AB975" s="311">
        <f t="shared" si="178"/>
        <v>0.481186</v>
      </c>
      <c r="AC975" s="296"/>
      <c r="AD975" s="113"/>
      <c r="AE975" s="5"/>
      <c r="AF975" s="5"/>
      <c r="AG975" s="5"/>
      <c r="AH975" s="5"/>
      <c r="AI975" s="5"/>
      <c r="AJ975" s="5"/>
      <c r="AK975" s="141"/>
      <c r="AL975" s="94"/>
      <c r="AM975" s="128"/>
      <c r="AN975" s="180"/>
      <c r="AO975" s="128"/>
      <c r="AP975" s="184"/>
      <c r="AQ975" s="128"/>
      <c r="AR975" s="184"/>
      <c r="AS975" s="128"/>
      <c r="AT975" s="184"/>
      <c r="AU975" s="128"/>
      <c r="AV975" s="184"/>
      <c r="AW975" s="128"/>
      <c r="AX975" s="184"/>
      <c r="AY975" s="111"/>
      <c r="AZ975" s="178"/>
      <c r="BC975" s="47"/>
      <c r="BD975" s="47"/>
      <c r="BF975" s="113"/>
      <c r="BG975" s="113"/>
      <c r="BH975" s="113"/>
      <c r="BI975" s="113"/>
      <c r="BJ975" s="113"/>
      <c r="BK975" s="113"/>
      <c r="BL975" s="5">
        <f t="shared" si="179"/>
        <v>0</v>
      </c>
    </row>
    <row r="976" spans="1:64" s="2" customFormat="1" ht="25.5" outlineLevel="1" x14ac:dyDescent="0.2">
      <c r="A976" s="593" t="s">
        <v>1150</v>
      </c>
      <c r="B976" s="600" t="s">
        <v>1136</v>
      </c>
      <c r="C976" s="7" t="s">
        <v>1151</v>
      </c>
      <c r="D976" s="8" t="s">
        <v>397</v>
      </c>
      <c r="E976" s="23" t="s">
        <v>1241</v>
      </c>
      <c r="F976" s="8">
        <v>2013</v>
      </c>
      <c r="G976" s="8">
        <v>2014</v>
      </c>
      <c r="H976" s="5">
        <v>0.04</v>
      </c>
      <c r="I976" s="5">
        <v>0.02</v>
      </c>
      <c r="J976" s="5">
        <f>R976</f>
        <v>0.02</v>
      </c>
      <c r="K976" s="23" t="s">
        <v>1241</v>
      </c>
      <c r="L976" s="8"/>
      <c r="M976" s="8"/>
      <c r="N976" s="8"/>
      <c r="O976" s="8"/>
      <c r="P976" s="8"/>
      <c r="Q976" s="23" t="s">
        <v>1241</v>
      </c>
      <c r="R976" s="113">
        <v>0.02</v>
      </c>
      <c r="S976" s="113"/>
      <c r="T976" s="113"/>
      <c r="U976" s="113"/>
      <c r="V976" s="113"/>
      <c r="W976" s="113"/>
      <c r="X976" s="5">
        <f t="shared" si="175"/>
        <v>0.02</v>
      </c>
      <c r="Y976" s="302">
        <f>H976-H977-H978</f>
        <v>0</v>
      </c>
      <c r="Z976" s="5">
        <f>I976-I977-I978</f>
        <v>0</v>
      </c>
      <c r="AA976" s="94">
        <f>J976-J977-J978</f>
        <v>0</v>
      </c>
      <c r="AB976" s="311">
        <f t="shared" si="178"/>
        <v>0</v>
      </c>
      <c r="AC976" s="296"/>
      <c r="AD976" s="113"/>
      <c r="AE976" s="5"/>
      <c r="AF976" s="5">
        <f>H976</f>
        <v>0.04</v>
      </c>
      <c r="AG976" s="5"/>
      <c r="AH976" s="5"/>
      <c r="AI976" s="5"/>
      <c r="AJ976" s="5"/>
      <c r="AK976" s="141"/>
      <c r="AL976" s="94">
        <f>SUM(AF976:AK976)</f>
        <v>0.04</v>
      </c>
      <c r="AM976" s="128">
        <v>0</v>
      </c>
      <c r="AN976" s="180">
        <v>0</v>
      </c>
      <c r="AO976" s="128"/>
      <c r="AP976" s="184"/>
      <c r="AQ976" s="128"/>
      <c r="AR976" s="184"/>
      <c r="AS976" s="128"/>
      <c r="AT976" s="184"/>
      <c r="AU976" s="128"/>
      <c r="AV976" s="184"/>
      <c r="AW976" s="128"/>
      <c r="AX976" s="184"/>
      <c r="AY976" s="111">
        <f>AM976+AO976+AQ976+AS976+AU976+AW976</f>
        <v>0</v>
      </c>
      <c r="AZ976" s="178">
        <f>AN976+AP976+AR976+AT976+AV976+AX976</f>
        <v>0</v>
      </c>
      <c r="BC976" s="47"/>
      <c r="BD976" s="47"/>
      <c r="BF976" s="113">
        <v>0.02</v>
      </c>
      <c r="BG976" s="113"/>
      <c r="BH976" s="113"/>
      <c r="BI976" s="113"/>
      <c r="BJ976" s="113"/>
      <c r="BK976" s="113"/>
      <c r="BL976" s="5">
        <f t="shared" si="179"/>
        <v>0.02</v>
      </c>
    </row>
    <row r="977" spans="1:64" s="2" customFormat="1" ht="14.1" customHeight="1" outlineLevel="1" x14ac:dyDescent="0.2">
      <c r="A977" s="594"/>
      <c r="B977" s="601"/>
      <c r="C977" s="7" t="s">
        <v>1553</v>
      </c>
      <c r="D977" s="8"/>
      <c r="E977" s="23"/>
      <c r="F977" s="8"/>
      <c r="G977" s="8"/>
      <c r="H977" s="5"/>
      <c r="I977" s="5"/>
      <c r="J977" s="5"/>
      <c r="K977" s="8"/>
      <c r="L977" s="23"/>
      <c r="M977" s="8"/>
      <c r="N977" s="8"/>
      <c r="O977" s="8"/>
      <c r="P977" s="8"/>
      <c r="Q977" s="23"/>
      <c r="R977" s="113"/>
      <c r="S977" s="113"/>
      <c r="T977" s="113"/>
      <c r="U977" s="113"/>
      <c r="V977" s="113"/>
      <c r="W977" s="113"/>
      <c r="X977" s="5">
        <f>SUM(R977:W977)</f>
        <v>0</v>
      </c>
      <c r="Y977" s="302"/>
      <c r="Z977" s="5"/>
      <c r="AA977" s="94"/>
      <c r="AB977" s="311">
        <f t="shared" si="178"/>
        <v>0</v>
      </c>
      <c r="AC977" s="296"/>
      <c r="AD977" s="113"/>
      <c r="AE977" s="5"/>
      <c r="AF977" s="5"/>
      <c r="AG977" s="5"/>
      <c r="AH977" s="5"/>
      <c r="AI977" s="5"/>
      <c r="AJ977" s="5"/>
      <c r="AK977" s="141"/>
      <c r="AL977" s="94"/>
      <c r="AM977" s="128"/>
      <c r="AN977" s="180"/>
      <c r="AO977" s="128"/>
      <c r="AP977" s="184"/>
      <c r="AQ977" s="128"/>
      <c r="AR977" s="184"/>
      <c r="AS977" s="128"/>
      <c r="AT977" s="184"/>
      <c r="AU977" s="128"/>
      <c r="AV977" s="184"/>
      <c r="AW977" s="128"/>
      <c r="AX977" s="184"/>
      <c r="AY977" s="111"/>
      <c r="AZ977" s="178"/>
      <c r="BC977" s="47"/>
      <c r="BD977" s="47"/>
      <c r="BF977" s="113"/>
      <c r="BG977" s="113"/>
      <c r="BH977" s="113"/>
      <c r="BI977" s="113"/>
      <c r="BJ977" s="113"/>
      <c r="BK977" s="113"/>
      <c r="BL977" s="5">
        <f t="shared" si="179"/>
        <v>0</v>
      </c>
    </row>
    <row r="978" spans="1:64" s="2" customFormat="1" ht="14.1" customHeight="1" outlineLevel="1" x14ac:dyDescent="0.2">
      <c r="A978" s="595"/>
      <c r="B978" s="602"/>
      <c r="C978" s="7" t="s">
        <v>1554</v>
      </c>
      <c r="D978" s="8"/>
      <c r="E978" s="23"/>
      <c r="F978" s="8"/>
      <c r="G978" s="8"/>
      <c r="H978" s="5">
        <v>0.04</v>
      </c>
      <c r="I978" s="5">
        <f>I976</f>
        <v>0.02</v>
      </c>
      <c r="J978" s="5">
        <v>0.02</v>
      </c>
      <c r="K978" s="23"/>
      <c r="L978" s="8"/>
      <c r="M978" s="8"/>
      <c r="N978" s="8"/>
      <c r="O978" s="8"/>
      <c r="P978" s="8"/>
      <c r="Q978" s="23"/>
      <c r="R978" s="113"/>
      <c r="S978" s="113"/>
      <c r="T978" s="113"/>
      <c r="U978" s="113"/>
      <c r="V978" s="113"/>
      <c r="W978" s="113"/>
      <c r="X978" s="5">
        <f>SUM(R978:W978)</f>
        <v>0</v>
      </c>
      <c r="Y978" s="302"/>
      <c r="Z978" s="5"/>
      <c r="AA978" s="94"/>
      <c r="AB978" s="311">
        <f t="shared" si="178"/>
        <v>0.02</v>
      </c>
      <c r="AC978" s="296"/>
      <c r="AD978" s="113"/>
      <c r="AE978" s="5"/>
      <c r="AF978" s="5"/>
      <c r="AG978" s="5"/>
      <c r="AH978" s="5"/>
      <c r="AI978" s="5"/>
      <c r="AJ978" s="5"/>
      <c r="AK978" s="141"/>
      <c r="AL978" s="94"/>
      <c r="AM978" s="128"/>
      <c r="AN978" s="180"/>
      <c r="AO978" s="128"/>
      <c r="AP978" s="184"/>
      <c r="AQ978" s="128"/>
      <c r="AR978" s="184"/>
      <c r="AS978" s="128"/>
      <c r="AT978" s="184"/>
      <c r="AU978" s="128"/>
      <c r="AV978" s="184"/>
      <c r="AW978" s="128"/>
      <c r="AX978" s="184"/>
      <c r="AY978" s="111"/>
      <c r="AZ978" s="178"/>
      <c r="BC978" s="47"/>
      <c r="BD978" s="47"/>
      <c r="BF978" s="113"/>
      <c r="BG978" s="113"/>
      <c r="BH978" s="113"/>
      <c r="BI978" s="113"/>
      <c r="BJ978" s="113"/>
      <c r="BK978" s="113"/>
      <c r="BL978" s="5">
        <f t="shared" si="179"/>
        <v>0</v>
      </c>
    </row>
    <row r="979" spans="1:64" s="2" customFormat="1" ht="38.25" outlineLevel="1" x14ac:dyDescent="0.2">
      <c r="A979" s="593" t="s">
        <v>1153</v>
      </c>
      <c r="B979" s="600" t="s">
        <v>1138</v>
      </c>
      <c r="C979" s="7" t="s">
        <v>1154</v>
      </c>
      <c r="D979" s="8" t="s">
        <v>397</v>
      </c>
      <c r="E979" s="23" t="s">
        <v>1387</v>
      </c>
      <c r="F979" s="8">
        <v>2013</v>
      </c>
      <c r="G979" s="8">
        <v>2014</v>
      </c>
      <c r="H979" s="5">
        <v>1.6719999999999999</v>
      </c>
      <c r="I979" s="5">
        <v>1.1000000000000001</v>
      </c>
      <c r="J979" s="5">
        <f>R979</f>
        <v>1.099594</v>
      </c>
      <c r="K979" s="23" t="s">
        <v>1387</v>
      </c>
      <c r="L979" s="8"/>
      <c r="M979" s="8"/>
      <c r="N979" s="8"/>
      <c r="O979" s="8"/>
      <c r="P979" s="8"/>
      <c r="Q979" s="23" t="s">
        <v>1387</v>
      </c>
      <c r="R979" s="113">
        <v>1.099594</v>
      </c>
      <c r="S979" s="113"/>
      <c r="T979" s="113"/>
      <c r="U979" s="113"/>
      <c r="V979" s="113"/>
      <c r="W979" s="113"/>
      <c r="X979" s="5">
        <f t="shared" si="175"/>
        <v>1.099594</v>
      </c>
      <c r="Y979" s="302">
        <f>H979-H980-H981</f>
        <v>0</v>
      </c>
      <c r="Z979" s="5">
        <f>I979-I980-I981</f>
        <v>0</v>
      </c>
      <c r="AA979" s="94">
        <f>J979-J980-J981</f>
        <v>0</v>
      </c>
      <c r="AB979" s="311">
        <f t="shared" si="178"/>
        <v>4.0600000000012848E-4</v>
      </c>
      <c r="AC979" s="296"/>
      <c r="AD979" s="113"/>
      <c r="AE979" s="5"/>
      <c r="AF979" s="5">
        <f>H979</f>
        <v>1.6719999999999999</v>
      </c>
      <c r="AG979" s="5"/>
      <c r="AH979" s="5"/>
      <c r="AI979" s="5"/>
      <c r="AJ979" s="5"/>
      <c r="AK979" s="141"/>
      <c r="AL979" s="94">
        <f>SUM(AF979:AK979)</f>
        <v>1.6719999999999999</v>
      </c>
      <c r="AM979" s="128">
        <v>0.5</v>
      </c>
      <c r="AN979" s="180">
        <v>0</v>
      </c>
      <c r="AO979" s="128"/>
      <c r="AP979" s="184"/>
      <c r="AQ979" s="128"/>
      <c r="AR979" s="184"/>
      <c r="AS979" s="128"/>
      <c r="AT979" s="184"/>
      <c r="AU979" s="128"/>
      <c r="AV979" s="184"/>
      <c r="AW979" s="128"/>
      <c r="AX979" s="184"/>
      <c r="AY979" s="111">
        <f>AM979+AO979+AQ979+AS979+AU979+AW979</f>
        <v>0.5</v>
      </c>
      <c r="AZ979" s="178">
        <f>AN979+AP979+AR979+AT979+AV979+AX979</f>
        <v>0</v>
      </c>
      <c r="BC979" s="47"/>
      <c r="BD979" s="47"/>
      <c r="BF979" s="113">
        <v>1.099594</v>
      </c>
      <c r="BG979" s="113"/>
      <c r="BH979" s="113"/>
      <c r="BI979" s="113"/>
      <c r="BJ979" s="113"/>
      <c r="BK979" s="113"/>
      <c r="BL979" s="5">
        <f t="shared" si="179"/>
        <v>1.099594</v>
      </c>
    </row>
    <row r="980" spans="1:64" s="2" customFormat="1" ht="14.1" customHeight="1" outlineLevel="1" x14ac:dyDescent="0.2">
      <c r="A980" s="594"/>
      <c r="B980" s="601"/>
      <c r="C980" s="7" t="s">
        <v>1553</v>
      </c>
      <c r="D980" s="8"/>
      <c r="E980" s="23"/>
      <c r="F980" s="8"/>
      <c r="G980" s="8"/>
      <c r="H980" s="5"/>
      <c r="I980" s="5"/>
      <c r="J980" s="5"/>
      <c r="K980" s="8"/>
      <c r="L980" s="23"/>
      <c r="M980" s="8"/>
      <c r="N980" s="8"/>
      <c r="O980" s="8"/>
      <c r="P980" s="8"/>
      <c r="Q980" s="23"/>
      <c r="R980" s="113"/>
      <c r="S980" s="113"/>
      <c r="T980" s="113"/>
      <c r="U980" s="113"/>
      <c r="V980" s="113"/>
      <c r="W980" s="113"/>
      <c r="X980" s="5">
        <f t="shared" si="175"/>
        <v>0</v>
      </c>
      <c r="Y980" s="302"/>
      <c r="Z980" s="5"/>
      <c r="AA980" s="94"/>
      <c r="AB980" s="311">
        <f t="shared" si="178"/>
        <v>0</v>
      </c>
      <c r="AC980" s="296"/>
      <c r="AD980" s="113"/>
      <c r="AE980" s="5"/>
      <c r="AF980" s="5"/>
      <c r="AG980" s="5"/>
      <c r="AH980" s="5"/>
      <c r="AI980" s="5"/>
      <c r="AJ980" s="5"/>
      <c r="AK980" s="141"/>
      <c r="AL980" s="94"/>
      <c r="AM980" s="128"/>
      <c r="AN980" s="180"/>
      <c r="AO980" s="128"/>
      <c r="AP980" s="184"/>
      <c r="AQ980" s="128"/>
      <c r="AR980" s="184"/>
      <c r="AS980" s="128"/>
      <c r="AT980" s="184"/>
      <c r="AU980" s="128"/>
      <c r="AV980" s="184"/>
      <c r="AW980" s="128"/>
      <c r="AX980" s="184"/>
      <c r="AY980" s="111"/>
      <c r="AZ980" s="178"/>
      <c r="BC980" s="47"/>
      <c r="BD980" s="47"/>
      <c r="BF980" s="113"/>
      <c r="BG980" s="113"/>
      <c r="BH980" s="113"/>
      <c r="BI980" s="113"/>
      <c r="BJ980" s="113"/>
      <c r="BK980" s="113"/>
      <c r="BL980" s="5">
        <f t="shared" si="179"/>
        <v>0</v>
      </c>
    </row>
    <row r="981" spans="1:64" s="2" customFormat="1" ht="14.1" customHeight="1" outlineLevel="1" x14ac:dyDescent="0.2">
      <c r="A981" s="595"/>
      <c r="B981" s="602"/>
      <c r="C981" s="7" t="s">
        <v>1554</v>
      </c>
      <c r="D981" s="8"/>
      <c r="E981" s="23"/>
      <c r="F981" s="8"/>
      <c r="G981" s="8"/>
      <c r="H981" s="5">
        <v>1.6719999999999999</v>
      </c>
      <c r="I981" s="5">
        <f>I979</f>
        <v>1.1000000000000001</v>
      </c>
      <c r="J981" s="5">
        <v>1.099594</v>
      </c>
      <c r="K981" s="23"/>
      <c r="L981" s="8"/>
      <c r="M981" s="8"/>
      <c r="N981" s="8"/>
      <c r="O981" s="8"/>
      <c r="P981" s="8"/>
      <c r="Q981" s="23"/>
      <c r="R981" s="113"/>
      <c r="S981" s="113"/>
      <c r="T981" s="113"/>
      <c r="U981" s="113"/>
      <c r="V981" s="113"/>
      <c r="W981" s="113"/>
      <c r="X981" s="5">
        <f t="shared" si="175"/>
        <v>0</v>
      </c>
      <c r="Y981" s="302"/>
      <c r="Z981" s="5"/>
      <c r="AA981" s="94"/>
      <c r="AB981" s="311">
        <f t="shared" ref="AB981:AB1044" si="180">I981-X981</f>
        <v>1.1000000000000001</v>
      </c>
      <c r="AC981" s="296"/>
      <c r="AD981" s="113"/>
      <c r="AE981" s="5"/>
      <c r="AF981" s="5"/>
      <c r="AG981" s="5"/>
      <c r="AH981" s="5"/>
      <c r="AI981" s="5"/>
      <c r="AJ981" s="5"/>
      <c r="AK981" s="141"/>
      <c r="AL981" s="94"/>
      <c r="AM981" s="128"/>
      <c r="AN981" s="180"/>
      <c r="AO981" s="128"/>
      <c r="AP981" s="184"/>
      <c r="AQ981" s="128"/>
      <c r="AR981" s="184"/>
      <c r="AS981" s="128"/>
      <c r="AT981" s="184"/>
      <c r="AU981" s="128"/>
      <c r="AV981" s="184"/>
      <c r="AW981" s="128"/>
      <c r="AX981" s="184"/>
      <c r="AY981" s="111"/>
      <c r="AZ981" s="178"/>
      <c r="BC981" s="47"/>
      <c r="BD981" s="47"/>
      <c r="BF981" s="113"/>
      <c r="BG981" s="113"/>
      <c r="BH981" s="113"/>
      <c r="BI981" s="113"/>
      <c r="BJ981" s="113"/>
      <c r="BK981" s="113"/>
      <c r="BL981" s="5">
        <f t="shared" si="179"/>
        <v>0</v>
      </c>
    </row>
    <row r="982" spans="1:64" s="2" customFormat="1" ht="38.25" customHeight="1" outlineLevel="1" x14ac:dyDescent="0.2">
      <c r="A982" s="593" t="s">
        <v>1156</v>
      </c>
      <c r="B982" s="600" t="s">
        <v>1141</v>
      </c>
      <c r="C982" s="7" t="s">
        <v>1157</v>
      </c>
      <c r="D982" s="8" t="s">
        <v>397</v>
      </c>
      <c r="E982" s="23" t="s">
        <v>340</v>
      </c>
      <c r="F982" s="8">
        <v>2013</v>
      </c>
      <c r="G982" s="8">
        <v>2015</v>
      </c>
      <c r="H982" s="5">
        <v>0.31</v>
      </c>
      <c r="I982" s="5">
        <v>0.27238699999999999</v>
      </c>
      <c r="J982" s="5">
        <f>R982</f>
        <v>0</v>
      </c>
      <c r="K982" s="8"/>
      <c r="L982" s="23" t="s">
        <v>340</v>
      </c>
      <c r="M982" s="8"/>
      <c r="N982" s="8"/>
      <c r="O982" s="8"/>
      <c r="P982" s="8"/>
      <c r="Q982" s="23" t="s">
        <v>340</v>
      </c>
      <c r="R982" s="113">
        <v>0</v>
      </c>
      <c r="S982" s="113"/>
      <c r="T982" s="113"/>
      <c r="U982" s="113"/>
      <c r="V982" s="113"/>
      <c r="W982" s="113"/>
      <c r="X982" s="5">
        <f t="shared" si="175"/>
        <v>0</v>
      </c>
      <c r="Y982" s="302">
        <f>H982-H983-H984</f>
        <v>0</v>
      </c>
      <c r="Z982" s="5">
        <f>I982-I983-I984</f>
        <v>0</v>
      </c>
      <c r="AA982" s="94">
        <f>J982-J983-J984</f>
        <v>0</v>
      </c>
      <c r="AB982" s="311">
        <f t="shared" si="180"/>
        <v>0.27238699999999999</v>
      </c>
      <c r="AC982" s="296"/>
      <c r="AD982" s="113"/>
      <c r="AE982" s="5"/>
      <c r="AF982" s="5"/>
      <c r="AG982" s="5">
        <f>H982</f>
        <v>0.31</v>
      </c>
      <c r="AH982" s="5"/>
      <c r="AI982" s="5"/>
      <c r="AJ982" s="5"/>
      <c r="AK982" s="141"/>
      <c r="AL982" s="94">
        <f>SUM(AF982:AK982)</f>
        <v>0.31</v>
      </c>
      <c r="AM982" s="128"/>
      <c r="AN982" s="180"/>
      <c r="AO982" s="128">
        <v>0.2</v>
      </c>
      <c r="AP982" s="184">
        <v>0</v>
      </c>
      <c r="AQ982" s="128"/>
      <c r="AR982" s="184"/>
      <c r="AS982" s="128"/>
      <c r="AT982" s="184"/>
      <c r="AU982" s="128"/>
      <c r="AV982" s="184"/>
      <c r="AW982" s="128"/>
      <c r="AX982" s="184"/>
      <c r="AY982" s="111">
        <f>AM982+AO982+AQ982+AS982+AU982+AW982</f>
        <v>0.2</v>
      </c>
      <c r="AZ982" s="178">
        <f>AN982+AP982+AR982+AT982+AV982+AX982</f>
        <v>0</v>
      </c>
      <c r="BC982" s="47"/>
      <c r="BD982" s="47"/>
      <c r="BF982" s="113">
        <v>0</v>
      </c>
      <c r="BG982" s="113"/>
      <c r="BH982" s="113"/>
      <c r="BI982" s="113"/>
      <c r="BJ982" s="113"/>
      <c r="BK982" s="113"/>
      <c r="BL982" s="5">
        <f t="shared" si="179"/>
        <v>0</v>
      </c>
    </row>
    <row r="983" spans="1:64" s="2" customFormat="1" ht="14.1" customHeight="1" outlineLevel="1" x14ac:dyDescent="0.2">
      <c r="A983" s="594"/>
      <c r="B983" s="601"/>
      <c r="C983" s="7" t="s">
        <v>1553</v>
      </c>
      <c r="D983" s="8"/>
      <c r="E983" s="23"/>
      <c r="F983" s="8"/>
      <c r="G983" s="8"/>
      <c r="H983" s="5">
        <v>0.31</v>
      </c>
      <c r="I983" s="5">
        <v>0.27238699999999999</v>
      </c>
      <c r="J983" s="5">
        <f>R983</f>
        <v>0</v>
      </c>
      <c r="K983" s="8"/>
      <c r="L983" s="23"/>
      <c r="M983" s="8"/>
      <c r="N983" s="8"/>
      <c r="O983" s="8"/>
      <c r="P983" s="8"/>
      <c r="Q983" s="23"/>
      <c r="R983" s="113"/>
      <c r="S983" s="113"/>
      <c r="T983" s="113"/>
      <c r="U983" s="113"/>
      <c r="V983" s="113"/>
      <c r="W983" s="113"/>
      <c r="X983" s="5">
        <f>SUM(R983:W983)</f>
        <v>0</v>
      </c>
      <c r="Y983" s="302"/>
      <c r="Z983" s="5"/>
      <c r="AA983" s="94"/>
      <c r="AB983" s="311">
        <f t="shared" si="180"/>
        <v>0.27238699999999999</v>
      </c>
      <c r="AC983" s="296"/>
      <c r="AD983" s="113"/>
      <c r="AE983" s="5"/>
      <c r="AF983" s="5"/>
      <c r="AG983" s="5"/>
      <c r="AH983" s="5"/>
      <c r="AI983" s="5"/>
      <c r="AJ983" s="5"/>
      <c r="AK983" s="141"/>
      <c r="AL983" s="94"/>
      <c r="AM983" s="128"/>
      <c r="AN983" s="180"/>
      <c r="AO983" s="128"/>
      <c r="AP983" s="184"/>
      <c r="AQ983" s="128"/>
      <c r="AR983" s="184"/>
      <c r="AS983" s="128"/>
      <c r="AT983" s="184"/>
      <c r="AU983" s="128"/>
      <c r="AV983" s="184"/>
      <c r="AW983" s="128"/>
      <c r="AX983" s="184"/>
      <c r="AY983" s="111"/>
      <c r="AZ983" s="178"/>
      <c r="BC983" s="47"/>
      <c r="BD983" s="47"/>
      <c r="BF983" s="113"/>
      <c r="BG983" s="113"/>
      <c r="BH983" s="113"/>
      <c r="BI983" s="113"/>
      <c r="BJ983" s="113"/>
      <c r="BK983" s="113"/>
      <c r="BL983" s="5">
        <f t="shared" si="179"/>
        <v>0</v>
      </c>
    </row>
    <row r="984" spans="1:64" s="2" customFormat="1" ht="14.1" customHeight="1" outlineLevel="1" x14ac:dyDescent="0.2">
      <c r="A984" s="595"/>
      <c r="B984" s="602"/>
      <c r="C984" s="7" t="s">
        <v>1554</v>
      </c>
      <c r="D984" s="8"/>
      <c r="E984" s="23"/>
      <c r="F984" s="8"/>
      <c r="G984" s="8"/>
      <c r="H984" s="5"/>
      <c r="I984" s="5"/>
      <c r="J984" s="5"/>
      <c r="K984" s="23"/>
      <c r="L984" s="8"/>
      <c r="M984" s="8"/>
      <c r="N984" s="8"/>
      <c r="O984" s="8"/>
      <c r="P984" s="8"/>
      <c r="Q984" s="23"/>
      <c r="R984" s="113"/>
      <c r="S984" s="113"/>
      <c r="T984" s="113"/>
      <c r="U984" s="113"/>
      <c r="V984" s="113"/>
      <c r="W984" s="113"/>
      <c r="X984" s="5">
        <f>SUM(R984:W984)</f>
        <v>0</v>
      </c>
      <c r="Y984" s="302"/>
      <c r="Z984" s="5"/>
      <c r="AA984" s="94"/>
      <c r="AB984" s="311">
        <f t="shared" si="180"/>
        <v>0</v>
      </c>
      <c r="AC984" s="296"/>
      <c r="AD984" s="113"/>
      <c r="AE984" s="5"/>
      <c r="AF984" s="5"/>
      <c r="AG984" s="5"/>
      <c r="AH984" s="5"/>
      <c r="AI984" s="5"/>
      <c r="AJ984" s="5"/>
      <c r="AK984" s="141"/>
      <c r="AL984" s="94"/>
      <c r="AM984" s="128"/>
      <c r="AN984" s="180"/>
      <c r="AO984" s="128"/>
      <c r="AP984" s="184"/>
      <c r="AQ984" s="128"/>
      <c r="AR984" s="184"/>
      <c r="AS984" s="128"/>
      <c r="AT984" s="184"/>
      <c r="AU984" s="128"/>
      <c r="AV984" s="184"/>
      <c r="AW984" s="128"/>
      <c r="AX984" s="184"/>
      <c r="AY984" s="111"/>
      <c r="AZ984" s="178"/>
      <c r="BC984" s="47"/>
      <c r="BD984" s="47"/>
      <c r="BF984" s="113"/>
      <c r="BG984" s="113"/>
      <c r="BH984" s="113"/>
      <c r="BI984" s="113"/>
      <c r="BJ984" s="113"/>
      <c r="BK984" s="113"/>
      <c r="BL984" s="5">
        <f t="shared" si="179"/>
        <v>0</v>
      </c>
    </row>
    <row r="985" spans="1:64" s="2" customFormat="1" ht="76.5" customHeight="1" outlineLevel="1" x14ac:dyDescent="0.2">
      <c r="A985" s="593" t="s">
        <v>1159</v>
      </c>
      <c r="B985" s="600" t="s">
        <v>1143</v>
      </c>
      <c r="C985" s="7" t="s">
        <v>1160</v>
      </c>
      <c r="D985" s="8" t="s">
        <v>397</v>
      </c>
      <c r="E985" s="23" t="s">
        <v>333</v>
      </c>
      <c r="F985" s="8">
        <v>2013</v>
      </c>
      <c r="G985" s="8">
        <v>2015</v>
      </c>
      <c r="H985" s="5">
        <v>0.51</v>
      </c>
      <c r="I985" s="5">
        <v>0.48013300000000003</v>
      </c>
      <c r="J985" s="5">
        <f>R985</f>
        <v>0.27559300000000003</v>
      </c>
      <c r="K985" s="8"/>
      <c r="L985" s="23" t="s">
        <v>333</v>
      </c>
      <c r="M985" s="8"/>
      <c r="N985" s="8"/>
      <c r="O985" s="8"/>
      <c r="P985" s="8"/>
      <c r="Q985" s="23" t="s">
        <v>333</v>
      </c>
      <c r="R985" s="113">
        <v>0.27559300000000003</v>
      </c>
      <c r="S985" s="113"/>
      <c r="T985" s="113"/>
      <c r="U985" s="113"/>
      <c r="V985" s="113"/>
      <c r="W985" s="113"/>
      <c r="X985" s="5">
        <f t="shared" si="175"/>
        <v>0.27559300000000003</v>
      </c>
      <c r="Y985" s="302">
        <f>H985-H986-H987</f>
        <v>0</v>
      </c>
      <c r="Z985" s="5">
        <f>I985-I986-I987</f>
        <v>0</v>
      </c>
      <c r="AA985" s="94">
        <f>J985-J986-J987</f>
        <v>0</v>
      </c>
      <c r="AB985" s="311">
        <f t="shared" si="180"/>
        <v>0.20454</v>
      </c>
      <c r="AC985" s="296"/>
      <c r="AD985" s="113"/>
      <c r="AE985" s="5"/>
      <c r="AF985" s="5"/>
      <c r="AG985" s="5">
        <f>H985</f>
        <v>0.51</v>
      </c>
      <c r="AH985" s="5"/>
      <c r="AI985" s="5"/>
      <c r="AJ985" s="5"/>
      <c r="AK985" s="141"/>
      <c r="AL985" s="94">
        <f>SUM(AF985:AK985)</f>
        <v>0.51</v>
      </c>
      <c r="AM985" s="128"/>
      <c r="AN985" s="180"/>
      <c r="AO985" s="128">
        <v>0.3</v>
      </c>
      <c r="AP985" s="184">
        <v>0</v>
      </c>
      <c r="AQ985" s="128"/>
      <c r="AR985" s="184"/>
      <c r="AS985" s="128"/>
      <c r="AT985" s="184"/>
      <c r="AU985" s="128"/>
      <c r="AV985" s="184"/>
      <c r="AW985" s="128"/>
      <c r="AX985" s="184"/>
      <c r="AY985" s="111">
        <f>AM985+AO985+AQ985+AS985+AU985+AW985</f>
        <v>0.3</v>
      </c>
      <c r="AZ985" s="178">
        <f>AN985+AP985+AR985+AT985+AV985+AX985</f>
        <v>0</v>
      </c>
      <c r="BC985" s="47"/>
      <c r="BD985" s="47"/>
      <c r="BF985" s="113">
        <v>0.27559300000000003</v>
      </c>
      <c r="BG985" s="113"/>
      <c r="BH985" s="113"/>
      <c r="BI985" s="113"/>
      <c r="BJ985" s="113"/>
      <c r="BK985" s="113"/>
      <c r="BL985" s="5">
        <f t="shared" si="179"/>
        <v>0.27559300000000003</v>
      </c>
    </row>
    <row r="986" spans="1:64" s="2" customFormat="1" ht="14.1" customHeight="1" outlineLevel="1" x14ac:dyDescent="0.2">
      <c r="A986" s="594"/>
      <c r="B986" s="601"/>
      <c r="C986" s="7" t="s">
        <v>1553</v>
      </c>
      <c r="D986" s="8"/>
      <c r="E986" s="23"/>
      <c r="F986" s="8"/>
      <c r="G986" s="8"/>
      <c r="H986" s="5">
        <v>0.51</v>
      </c>
      <c r="I986" s="5">
        <v>0.48013300000000003</v>
      </c>
      <c r="J986" s="5">
        <f>R985</f>
        <v>0.27559300000000003</v>
      </c>
      <c r="K986" s="8"/>
      <c r="L986" s="23"/>
      <c r="M986" s="8"/>
      <c r="N986" s="8"/>
      <c r="O986" s="8"/>
      <c r="P986" s="8"/>
      <c r="Q986" s="23"/>
      <c r="R986" s="113"/>
      <c r="S986" s="113"/>
      <c r="T986" s="113"/>
      <c r="U986" s="113"/>
      <c r="V986" s="113"/>
      <c r="W986" s="113"/>
      <c r="X986" s="5">
        <f t="shared" si="175"/>
        <v>0</v>
      </c>
      <c r="Y986" s="302"/>
      <c r="Z986" s="5"/>
      <c r="AA986" s="94"/>
      <c r="AB986" s="311">
        <f t="shared" si="180"/>
        <v>0.48013300000000003</v>
      </c>
      <c r="AC986" s="296"/>
      <c r="AD986" s="113"/>
      <c r="AE986" s="5"/>
      <c r="AF986" s="5"/>
      <c r="AG986" s="5"/>
      <c r="AH986" s="5"/>
      <c r="AI986" s="5"/>
      <c r="AJ986" s="5"/>
      <c r="AK986" s="141"/>
      <c r="AL986" s="94"/>
      <c r="AM986" s="128"/>
      <c r="AN986" s="180"/>
      <c r="AO986" s="128"/>
      <c r="AP986" s="184"/>
      <c r="AQ986" s="128"/>
      <c r="AR986" s="184"/>
      <c r="AS986" s="128"/>
      <c r="AT986" s="184"/>
      <c r="AU986" s="128"/>
      <c r="AV986" s="184"/>
      <c r="AW986" s="128"/>
      <c r="AX986" s="184"/>
      <c r="AY986" s="111"/>
      <c r="AZ986" s="178"/>
      <c r="BC986" s="47"/>
      <c r="BD986" s="47"/>
      <c r="BF986" s="113"/>
      <c r="BG986" s="113"/>
      <c r="BH986" s="113"/>
      <c r="BI986" s="113"/>
      <c r="BJ986" s="113"/>
      <c r="BK986" s="113"/>
      <c r="BL986" s="5">
        <f t="shared" si="179"/>
        <v>0</v>
      </c>
    </row>
    <row r="987" spans="1:64" s="2" customFormat="1" ht="14.1" customHeight="1" outlineLevel="1" x14ac:dyDescent="0.2">
      <c r="A987" s="595"/>
      <c r="B987" s="602"/>
      <c r="C987" s="7" t="s">
        <v>1554</v>
      </c>
      <c r="D987" s="8"/>
      <c r="E987" s="23"/>
      <c r="F987" s="8"/>
      <c r="G987" s="8"/>
      <c r="H987" s="5"/>
      <c r="I987" s="5"/>
      <c r="J987" s="5"/>
      <c r="K987" s="23"/>
      <c r="L987" s="8"/>
      <c r="M987" s="8"/>
      <c r="N987" s="8"/>
      <c r="O987" s="8"/>
      <c r="P987" s="8"/>
      <c r="Q987" s="23"/>
      <c r="R987" s="113"/>
      <c r="S987" s="113"/>
      <c r="T987" s="113"/>
      <c r="U987" s="113"/>
      <c r="V987" s="113"/>
      <c r="W987" s="113"/>
      <c r="X987" s="5">
        <f t="shared" si="175"/>
        <v>0</v>
      </c>
      <c r="Y987" s="302"/>
      <c r="Z987" s="5"/>
      <c r="AA987" s="94"/>
      <c r="AB987" s="311">
        <f t="shared" si="180"/>
        <v>0</v>
      </c>
      <c r="AC987" s="296"/>
      <c r="AD987" s="113"/>
      <c r="AE987" s="5"/>
      <c r="AF987" s="5"/>
      <c r="AG987" s="5"/>
      <c r="AH987" s="5"/>
      <c r="AI987" s="5"/>
      <c r="AJ987" s="5"/>
      <c r="AK987" s="141"/>
      <c r="AL987" s="94"/>
      <c r="AM987" s="128"/>
      <c r="AN987" s="180"/>
      <c r="AO987" s="128"/>
      <c r="AP987" s="184"/>
      <c r="AQ987" s="128"/>
      <c r="AR987" s="184"/>
      <c r="AS987" s="128"/>
      <c r="AT987" s="184"/>
      <c r="AU987" s="128"/>
      <c r="AV987" s="184"/>
      <c r="AW987" s="128"/>
      <c r="AX987" s="184"/>
      <c r="AY987" s="111"/>
      <c r="AZ987" s="178"/>
      <c r="BC987" s="47"/>
      <c r="BD987" s="47"/>
      <c r="BF987" s="113"/>
      <c r="BG987" s="113"/>
      <c r="BH987" s="113"/>
      <c r="BI987" s="113"/>
      <c r="BJ987" s="113"/>
      <c r="BK987" s="113"/>
      <c r="BL987" s="5">
        <f t="shared" si="179"/>
        <v>0</v>
      </c>
    </row>
    <row r="988" spans="1:64" s="2" customFormat="1" ht="51" customHeight="1" outlineLevel="1" x14ac:dyDescent="0.2">
      <c r="A988" s="593" t="s">
        <v>1162</v>
      </c>
      <c r="B988" s="600" t="s">
        <v>1146</v>
      </c>
      <c r="C988" s="7" t="s">
        <v>1163</v>
      </c>
      <c r="D988" s="8" t="s">
        <v>397</v>
      </c>
      <c r="E988" s="23" t="s">
        <v>1387</v>
      </c>
      <c r="F988" s="8">
        <v>2013</v>
      </c>
      <c r="G988" s="8">
        <v>2015</v>
      </c>
      <c r="H988" s="5">
        <v>0.71</v>
      </c>
      <c r="I988" s="5">
        <v>0.55324399999999996</v>
      </c>
      <c r="J988" s="5">
        <f>R988</f>
        <v>0.33155099999999998</v>
      </c>
      <c r="K988" s="8"/>
      <c r="L988" s="23" t="s">
        <v>1387</v>
      </c>
      <c r="M988" s="8"/>
      <c r="N988" s="8"/>
      <c r="O988" s="8"/>
      <c r="P988" s="8"/>
      <c r="Q988" s="23" t="s">
        <v>1387</v>
      </c>
      <c r="R988" s="113">
        <v>0.33155099999999998</v>
      </c>
      <c r="S988" s="113"/>
      <c r="T988" s="113"/>
      <c r="U988" s="113"/>
      <c r="V988" s="113"/>
      <c r="W988" s="113"/>
      <c r="X988" s="5">
        <f t="shared" si="175"/>
        <v>0.33155099999999998</v>
      </c>
      <c r="Y988" s="302">
        <f>H988-H989-H990</f>
        <v>0</v>
      </c>
      <c r="Z988" s="5">
        <f>I988-I989-I990</f>
        <v>0</v>
      </c>
      <c r="AA988" s="94">
        <f>J988-J989-J990</f>
        <v>0</v>
      </c>
      <c r="AB988" s="311">
        <f t="shared" si="180"/>
        <v>0.22169299999999997</v>
      </c>
      <c r="AC988" s="296"/>
      <c r="AD988" s="113"/>
      <c r="AE988" s="5"/>
      <c r="AF988" s="5"/>
      <c r="AG988" s="5">
        <f>H988</f>
        <v>0.71</v>
      </c>
      <c r="AH988" s="5"/>
      <c r="AI988" s="5"/>
      <c r="AJ988" s="5"/>
      <c r="AK988" s="141"/>
      <c r="AL988" s="94">
        <f>SUM(AF988:AK988)</f>
        <v>0.71</v>
      </c>
      <c r="AM988" s="128"/>
      <c r="AN988" s="180"/>
      <c r="AO988" s="128">
        <v>0.5</v>
      </c>
      <c r="AP988" s="184">
        <v>0</v>
      </c>
      <c r="AQ988" s="128"/>
      <c r="AR988" s="184"/>
      <c r="AS988" s="128"/>
      <c r="AT988" s="184"/>
      <c r="AU988" s="128"/>
      <c r="AV988" s="184"/>
      <c r="AW988" s="128"/>
      <c r="AX988" s="184"/>
      <c r="AY988" s="111">
        <f>AM988+AO988+AQ988+AS988+AU988+AW988</f>
        <v>0.5</v>
      </c>
      <c r="AZ988" s="178">
        <f>AN988+AP988+AR988+AT988+AV988+AX988</f>
        <v>0</v>
      </c>
      <c r="BC988" s="47"/>
      <c r="BD988" s="47"/>
      <c r="BF988" s="113">
        <v>0.33155099999999998</v>
      </c>
      <c r="BG988" s="113"/>
      <c r="BH988" s="113"/>
      <c r="BI988" s="113"/>
      <c r="BJ988" s="113"/>
      <c r="BK988" s="113"/>
      <c r="BL988" s="5">
        <f t="shared" si="179"/>
        <v>0.33155099999999998</v>
      </c>
    </row>
    <row r="989" spans="1:64" s="2" customFormat="1" ht="14.1" customHeight="1" outlineLevel="1" x14ac:dyDescent="0.2">
      <c r="A989" s="594"/>
      <c r="B989" s="601"/>
      <c r="C989" s="7" t="s">
        <v>1553</v>
      </c>
      <c r="D989" s="8"/>
      <c r="E989" s="23"/>
      <c r="F989" s="8"/>
      <c r="G989" s="8"/>
      <c r="H989" s="5"/>
      <c r="I989" s="5"/>
      <c r="J989" s="5"/>
      <c r="K989" s="8"/>
      <c r="L989" s="23"/>
      <c r="M989" s="8"/>
      <c r="N989" s="8"/>
      <c r="O989" s="8"/>
      <c r="P989" s="8"/>
      <c r="Q989" s="23"/>
      <c r="R989" s="113"/>
      <c r="S989" s="113"/>
      <c r="T989" s="113"/>
      <c r="U989" s="113"/>
      <c r="V989" s="113"/>
      <c r="W989" s="113"/>
      <c r="X989" s="5">
        <f>SUM(R989:W989)</f>
        <v>0</v>
      </c>
      <c r="Y989" s="302"/>
      <c r="Z989" s="5"/>
      <c r="AA989" s="94"/>
      <c r="AB989" s="311">
        <f t="shared" si="180"/>
        <v>0</v>
      </c>
      <c r="AC989" s="296"/>
      <c r="AD989" s="113"/>
      <c r="AE989" s="5"/>
      <c r="AF989" s="5"/>
      <c r="AG989" s="5"/>
      <c r="AH989" s="5"/>
      <c r="AI989" s="5"/>
      <c r="AJ989" s="5"/>
      <c r="AK989" s="141"/>
      <c r="AL989" s="94"/>
      <c r="AM989" s="128"/>
      <c r="AN989" s="180"/>
      <c r="AO989" s="128"/>
      <c r="AP989" s="184"/>
      <c r="AQ989" s="128"/>
      <c r="AR989" s="184"/>
      <c r="AS989" s="128"/>
      <c r="AT989" s="184"/>
      <c r="AU989" s="128"/>
      <c r="AV989" s="184"/>
      <c r="AW989" s="128"/>
      <c r="AX989" s="184"/>
      <c r="AY989" s="111"/>
      <c r="AZ989" s="178"/>
      <c r="BC989" s="47"/>
      <c r="BD989" s="47"/>
      <c r="BF989" s="113"/>
      <c r="BG989" s="113"/>
      <c r="BH989" s="113"/>
      <c r="BI989" s="113"/>
      <c r="BJ989" s="113"/>
      <c r="BK989" s="113"/>
      <c r="BL989" s="5">
        <f t="shared" si="179"/>
        <v>0</v>
      </c>
    </row>
    <row r="990" spans="1:64" s="2" customFormat="1" ht="14.1" customHeight="1" outlineLevel="1" x14ac:dyDescent="0.2">
      <c r="A990" s="595"/>
      <c r="B990" s="602"/>
      <c r="C990" s="7" t="s">
        <v>1554</v>
      </c>
      <c r="D990" s="8"/>
      <c r="E990" s="23"/>
      <c r="F990" s="8"/>
      <c r="G990" s="8"/>
      <c r="H990" s="5">
        <v>0.71</v>
      </c>
      <c r="I990" s="5">
        <v>0.55324399999999996</v>
      </c>
      <c r="J990" s="5">
        <v>0.33155099999999998</v>
      </c>
      <c r="K990" s="23"/>
      <c r="L990" s="8"/>
      <c r="M990" s="8"/>
      <c r="N990" s="8"/>
      <c r="O990" s="8"/>
      <c r="P990" s="8"/>
      <c r="Q990" s="23"/>
      <c r="R990" s="113"/>
      <c r="S990" s="113"/>
      <c r="T990" s="113"/>
      <c r="U990" s="113"/>
      <c r="V990" s="113"/>
      <c r="W990" s="113"/>
      <c r="X990" s="5">
        <f>SUM(R990:W990)</f>
        <v>0</v>
      </c>
      <c r="Y990" s="302"/>
      <c r="Z990" s="5"/>
      <c r="AA990" s="94"/>
      <c r="AB990" s="311">
        <f t="shared" si="180"/>
        <v>0.55324399999999996</v>
      </c>
      <c r="AC990" s="296"/>
      <c r="AD990" s="113"/>
      <c r="AE990" s="5"/>
      <c r="AF990" s="5"/>
      <c r="AG990" s="5"/>
      <c r="AH990" s="5"/>
      <c r="AI990" s="5"/>
      <c r="AJ990" s="5"/>
      <c r="AK990" s="141"/>
      <c r="AL990" s="94"/>
      <c r="AM990" s="128"/>
      <c r="AN990" s="180"/>
      <c r="AO990" s="128"/>
      <c r="AP990" s="184"/>
      <c r="AQ990" s="128"/>
      <c r="AR990" s="184"/>
      <c r="AS990" s="128"/>
      <c r="AT990" s="184"/>
      <c r="AU990" s="128"/>
      <c r="AV990" s="184"/>
      <c r="AW990" s="128"/>
      <c r="AX990" s="184"/>
      <c r="AY990" s="111"/>
      <c r="AZ990" s="178"/>
      <c r="BC990" s="47"/>
      <c r="BD990" s="47"/>
      <c r="BF990" s="113"/>
      <c r="BG990" s="113"/>
      <c r="BH990" s="113"/>
      <c r="BI990" s="113"/>
      <c r="BJ990" s="113"/>
      <c r="BK990" s="113"/>
      <c r="BL990" s="5">
        <f t="shared" si="179"/>
        <v>0</v>
      </c>
    </row>
    <row r="991" spans="1:64" s="2" customFormat="1" ht="89.25" customHeight="1" outlineLevel="1" x14ac:dyDescent="0.2">
      <c r="A991" s="593" t="s">
        <v>1281</v>
      </c>
      <c r="B991" s="600" t="s">
        <v>1149</v>
      </c>
      <c r="C991" s="7" t="s">
        <v>1282</v>
      </c>
      <c r="D991" s="8" t="s">
        <v>397</v>
      </c>
      <c r="E991" s="23" t="s">
        <v>335</v>
      </c>
      <c r="F991" s="8">
        <v>2013</v>
      </c>
      <c r="G991" s="8">
        <v>2015</v>
      </c>
      <c r="H991" s="5">
        <v>0.21000000000000002</v>
      </c>
      <c r="I991" s="5">
        <v>0.19024000000000002</v>
      </c>
      <c r="J991" s="5">
        <f>R991</f>
        <v>0.11279699999999999</v>
      </c>
      <c r="K991" s="8"/>
      <c r="L991" s="23" t="s">
        <v>335</v>
      </c>
      <c r="M991" s="8"/>
      <c r="N991" s="8"/>
      <c r="O991" s="8"/>
      <c r="P991" s="8"/>
      <c r="Q991" s="23" t="s">
        <v>335</v>
      </c>
      <c r="R991" s="113">
        <v>0.11279699999999999</v>
      </c>
      <c r="S991" s="113"/>
      <c r="T991" s="113"/>
      <c r="U991" s="113"/>
      <c r="V991" s="113"/>
      <c r="W991" s="113"/>
      <c r="X991" s="5">
        <f t="shared" si="175"/>
        <v>0.11279699999999999</v>
      </c>
      <c r="Y991" s="302">
        <f>H991-H992-H993</f>
        <v>0</v>
      </c>
      <c r="Z991" s="5">
        <f>I991-I992-I993</f>
        <v>0</v>
      </c>
      <c r="AA991" s="94">
        <f>J991-J992-J993</f>
        <v>0</v>
      </c>
      <c r="AB991" s="311">
        <f t="shared" si="180"/>
        <v>7.7443000000000026E-2</v>
      </c>
      <c r="AC991" s="296"/>
      <c r="AD991" s="113"/>
      <c r="AE991" s="5"/>
      <c r="AF991" s="5"/>
      <c r="AG991" s="5">
        <f>H991</f>
        <v>0.21000000000000002</v>
      </c>
      <c r="AH991" s="5"/>
      <c r="AI991" s="5"/>
      <c r="AJ991" s="5"/>
      <c r="AK991" s="141"/>
      <c r="AL991" s="94">
        <f>SUM(AF991:AK991)</f>
        <v>0.21000000000000002</v>
      </c>
      <c r="AM991" s="128"/>
      <c r="AN991" s="180"/>
      <c r="AO991" s="128">
        <v>0.1</v>
      </c>
      <c r="AP991" s="184">
        <v>0</v>
      </c>
      <c r="AQ991" s="128"/>
      <c r="AR991" s="184"/>
      <c r="AS991" s="128"/>
      <c r="AT991" s="184"/>
      <c r="AU991" s="128"/>
      <c r="AV991" s="184"/>
      <c r="AW991" s="128"/>
      <c r="AX991" s="184"/>
      <c r="AY991" s="111">
        <f>AM991+AO991+AQ991+AS991+AU991+AW991</f>
        <v>0.1</v>
      </c>
      <c r="AZ991" s="178">
        <f>AN991+AP991+AR991+AT991+AV991+AX991</f>
        <v>0</v>
      </c>
      <c r="BC991" s="47"/>
      <c r="BD991" s="47"/>
      <c r="BF991" s="113">
        <v>0.11279699999999999</v>
      </c>
      <c r="BG991" s="113"/>
      <c r="BH991" s="113"/>
      <c r="BI991" s="113"/>
      <c r="BJ991" s="113"/>
      <c r="BK991" s="113"/>
      <c r="BL991" s="5">
        <f t="shared" ref="BL991:BL1054" si="181">SUM(BF991:BK991)</f>
        <v>0.11279699999999999</v>
      </c>
    </row>
    <row r="992" spans="1:64" s="2" customFormat="1" ht="14.1" customHeight="1" outlineLevel="1" x14ac:dyDescent="0.2">
      <c r="A992" s="594"/>
      <c r="B992" s="601"/>
      <c r="C992" s="7" t="s">
        <v>1553</v>
      </c>
      <c r="D992" s="8"/>
      <c r="E992" s="23"/>
      <c r="F992" s="8"/>
      <c r="G992" s="8"/>
      <c r="H992" s="5">
        <v>0.21000000000000002</v>
      </c>
      <c r="I992" s="5">
        <v>0.19024000000000002</v>
      </c>
      <c r="J992" s="5">
        <v>0.11279699999999999</v>
      </c>
      <c r="K992" s="8"/>
      <c r="L992" s="23"/>
      <c r="M992" s="8"/>
      <c r="N992" s="8"/>
      <c r="O992" s="8"/>
      <c r="P992" s="8"/>
      <c r="Q992" s="23"/>
      <c r="R992" s="113"/>
      <c r="S992" s="113"/>
      <c r="T992" s="113"/>
      <c r="U992" s="113"/>
      <c r="V992" s="113"/>
      <c r="W992" s="113"/>
      <c r="X992" s="5">
        <f t="shared" si="175"/>
        <v>0</v>
      </c>
      <c r="Y992" s="302"/>
      <c r="Z992" s="5"/>
      <c r="AA992" s="94"/>
      <c r="AB992" s="311">
        <f t="shared" si="180"/>
        <v>0.19024000000000002</v>
      </c>
      <c r="AC992" s="296"/>
      <c r="AD992" s="113"/>
      <c r="AE992" s="5"/>
      <c r="AF992" s="5"/>
      <c r="AG992" s="5"/>
      <c r="AH992" s="5"/>
      <c r="AI992" s="5"/>
      <c r="AJ992" s="5"/>
      <c r="AK992" s="141"/>
      <c r="AL992" s="94"/>
      <c r="AM992" s="128"/>
      <c r="AN992" s="180"/>
      <c r="AO992" s="128"/>
      <c r="AP992" s="184"/>
      <c r="AQ992" s="128"/>
      <c r="AR992" s="184"/>
      <c r="AS992" s="128"/>
      <c r="AT992" s="184"/>
      <c r="AU992" s="128"/>
      <c r="AV992" s="184"/>
      <c r="AW992" s="128"/>
      <c r="AX992" s="184"/>
      <c r="AY992" s="111"/>
      <c r="AZ992" s="178"/>
      <c r="BC992" s="47"/>
      <c r="BD992" s="47"/>
      <c r="BF992" s="113"/>
      <c r="BG992" s="113"/>
      <c r="BH992" s="113"/>
      <c r="BI992" s="113"/>
      <c r="BJ992" s="113"/>
      <c r="BK992" s="113"/>
      <c r="BL992" s="5">
        <f t="shared" si="181"/>
        <v>0</v>
      </c>
    </row>
    <row r="993" spans="1:64" s="2" customFormat="1" ht="14.1" customHeight="1" outlineLevel="1" x14ac:dyDescent="0.2">
      <c r="A993" s="595"/>
      <c r="B993" s="602"/>
      <c r="C993" s="7" t="s">
        <v>1554</v>
      </c>
      <c r="D993" s="8"/>
      <c r="E993" s="23"/>
      <c r="F993" s="8"/>
      <c r="G993" s="8"/>
      <c r="H993" s="5"/>
      <c r="I993" s="5"/>
      <c r="J993" s="5"/>
      <c r="K993" s="23"/>
      <c r="L993" s="8"/>
      <c r="M993" s="8"/>
      <c r="N993" s="8"/>
      <c r="O993" s="8"/>
      <c r="P993" s="8"/>
      <c r="Q993" s="23"/>
      <c r="R993" s="113"/>
      <c r="S993" s="113"/>
      <c r="T993" s="113"/>
      <c r="U993" s="113"/>
      <c r="V993" s="113"/>
      <c r="W993" s="113"/>
      <c r="X993" s="5">
        <f t="shared" si="175"/>
        <v>0</v>
      </c>
      <c r="Y993" s="302"/>
      <c r="Z993" s="5"/>
      <c r="AA993" s="94"/>
      <c r="AB993" s="311">
        <f t="shared" si="180"/>
        <v>0</v>
      </c>
      <c r="AC993" s="296"/>
      <c r="AD993" s="113"/>
      <c r="AE993" s="5"/>
      <c r="AF993" s="5"/>
      <c r="AG993" s="5"/>
      <c r="AH993" s="5"/>
      <c r="AI993" s="5"/>
      <c r="AJ993" s="5"/>
      <c r="AK993" s="141"/>
      <c r="AL993" s="94"/>
      <c r="AM993" s="128"/>
      <c r="AN993" s="180"/>
      <c r="AO993" s="128"/>
      <c r="AP993" s="184"/>
      <c r="AQ993" s="128"/>
      <c r="AR993" s="184"/>
      <c r="AS993" s="128"/>
      <c r="AT993" s="184"/>
      <c r="AU993" s="128"/>
      <c r="AV993" s="184"/>
      <c r="AW993" s="128"/>
      <c r="AX993" s="184"/>
      <c r="AY993" s="111"/>
      <c r="AZ993" s="178"/>
      <c r="BC993" s="47"/>
      <c r="BD993" s="47"/>
      <c r="BF993" s="113"/>
      <c r="BG993" s="113"/>
      <c r="BH993" s="113"/>
      <c r="BI993" s="113"/>
      <c r="BJ993" s="113"/>
      <c r="BK993" s="113"/>
      <c r="BL993" s="5">
        <f t="shared" si="181"/>
        <v>0</v>
      </c>
    </row>
    <row r="994" spans="1:64" s="2" customFormat="1" ht="89.25" outlineLevel="1" x14ac:dyDescent="0.2">
      <c r="A994" s="593" t="s">
        <v>1284</v>
      </c>
      <c r="B994" s="600" t="s">
        <v>1152</v>
      </c>
      <c r="C994" s="7" t="s">
        <v>600</v>
      </c>
      <c r="D994" s="8" t="s">
        <v>397</v>
      </c>
      <c r="E994" s="23" t="s">
        <v>1241</v>
      </c>
      <c r="F994" s="8">
        <v>2013</v>
      </c>
      <c r="G994" s="8">
        <v>2014</v>
      </c>
      <c r="H994" s="5">
        <v>4.1000000000000002E-2</v>
      </c>
      <c r="I994" s="5">
        <v>4.1000000000000002E-2</v>
      </c>
      <c r="J994" s="5">
        <f>R994</f>
        <v>4.1000000000000002E-2</v>
      </c>
      <c r="K994" s="23" t="s">
        <v>1241</v>
      </c>
      <c r="L994" s="8"/>
      <c r="M994" s="8"/>
      <c r="N994" s="8"/>
      <c r="O994" s="8"/>
      <c r="P994" s="8"/>
      <c r="Q994" s="23" t="s">
        <v>1241</v>
      </c>
      <c r="R994" s="286">
        <v>4.1000000000000002E-2</v>
      </c>
      <c r="S994" s="113"/>
      <c r="T994" s="113"/>
      <c r="U994" s="113"/>
      <c r="V994" s="113"/>
      <c r="W994" s="113"/>
      <c r="X994" s="5">
        <f t="shared" si="175"/>
        <v>4.1000000000000002E-2</v>
      </c>
      <c r="Y994" s="302">
        <f>H994-H995-H996</f>
        <v>0</v>
      </c>
      <c r="Z994" s="5">
        <f>I994-I995-I996</f>
        <v>0</v>
      </c>
      <c r="AA994" s="94">
        <f>J994-J995-J996</f>
        <v>0</v>
      </c>
      <c r="AB994" s="311">
        <f t="shared" si="180"/>
        <v>0</v>
      </c>
      <c r="AC994" s="296"/>
      <c r="AD994" s="113"/>
      <c r="AE994" s="5"/>
      <c r="AF994" s="5">
        <f>H994</f>
        <v>4.1000000000000002E-2</v>
      </c>
      <c r="AG994" s="5"/>
      <c r="AH994" s="5"/>
      <c r="AI994" s="5"/>
      <c r="AJ994" s="5"/>
      <c r="AK994" s="141"/>
      <c r="AL994" s="94">
        <f>SUM(AF994:AK994)</f>
        <v>4.1000000000000002E-2</v>
      </c>
      <c r="AM994" s="128">
        <v>0</v>
      </c>
      <c r="AN994" s="180">
        <v>0</v>
      </c>
      <c r="AO994" s="128"/>
      <c r="AP994" s="184"/>
      <c r="AQ994" s="128"/>
      <c r="AR994" s="184"/>
      <c r="AS994" s="128"/>
      <c r="AT994" s="184"/>
      <c r="AU994" s="128"/>
      <c r="AV994" s="184"/>
      <c r="AW994" s="128"/>
      <c r="AX994" s="184"/>
      <c r="AY994" s="111">
        <f>AM994+AO994+AQ994+AS994+AU994+AW994</f>
        <v>0</v>
      </c>
      <c r="AZ994" s="178">
        <f>AN994+AP994+AR994+AT994+AV994+AX994</f>
        <v>0</v>
      </c>
      <c r="BC994" s="47"/>
      <c r="BD994" s="47"/>
      <c r="BF994" s="113">
        <v>0</v>
      </c>
      <c r="BG994" s="113"/>
      <c r="BH994" s="113"/>
      <c r="BI994" s="113"/>
      <c r="BJ994" s="113"/>
      <c r="BK994" s="113"/>
      <c r="BL994" s="5">
        <f t="shared" si="181"/>
        <v>0</v>
      </c>
    </row>
    <row r="995" spans="1:64" s="2" customFormat="1" ht="14.1" customHeight="1" outlineLevel="1" x14ac:dyDescent="0.2">
      <c r="A995" s="594"/>
      <c r="B995" s="601"/>
      <c r="C995" s="7" t="s">
        <v>1553</v>
      </c>
      <c r="D995" s="8"/>
      <c r="E995" s="23"/>
      <c r="F995" s="8"/>
      <c r="G995" s="8"/>
      <c r="H995" s="5"/>
      <c r="I995" s="5"/>
      <c r="J995" s="5"/>
      <c r="K995" s="8"/>
      <c r="L995" s="23"/>
      <c r="M995" s="8"/>
      <c r="N995" s="8"/>
      <c r="O995" s="8"/>
      <c r="P995" s="8"/>
      <c r="Q995" s="23"/>
      <c r="R995" s="113"/>
      <c r="S995" s="113"/>
      <c r="T995" s="113"/>
      <c r="U995" s="113"/>
      <c r="V995" s="113"/>
      <c r="W995" s="113"/>
      <c r="X995" s="5">
        <f>SUM(R995:W995)</f>
        <v>0</v>
      </c>
      <c r="Y995" s="302"/>
      <c r="Z995" s="5"/>
      <c r="AA995" s="94"/>
      <c r="AB995" s="311">
        <f t="shared" si="180"/>
        <v>0</v>
      </c>
      <c r="AC995" s="296"/>
      <c r="AD995" s="113"/>
      <c r="AE995" s="5"/>
      <c r="AF995" s="5"/>
      <c r="AG995" s="5"/>
      <c r="AH995" s="5"/>
      <c r="AI995" s="5"/>
      <c r="AJ995" s="5"/>
      <c r="AK995" s="141"/>
      <c r="AL995" s="94"/>
      <c r="AM995" s="128"/>
      <c r="AN995" s="180"/>
      <c r="AO995" s="128"/>
      <c r="AP995" s="184"/>
      <c r="AQ995" s="128"/>
      <c r="AR995" s="184"/>
      <c r="AS995" s="128"/>
      <c r="AT995" s="184"/>
      <c r="AU995" s="128"/>
      <c r="AV995" s="184"/>
      <c r="AW995" s="128"/>
      <c r="AX995" s="184"/>
      <c r="AY995" s="111"/>
      <c r="AZ995" s="178"/>
      <c r="BC995" s="47"/>
      <c r="BD995" s="47"/>
      <c r="BF995" s="113"/>
      <c r="BG995" s="113"/>
      <c r="BH995" s="113"/>
      <c r="BI995" s="113"/>
      <c r="BJ995" s="113"/>
      <c r="BK995" s="113"/>
      <c r="BL995" s="5">
        <f t="shared" si="181"/>
        <v>0</v>
      </c>
    </row>
    <row r="996" spans="1:64" s="2" customFormat="1" ht="14.1" customHeight="1" outlineLevel="1" x14ac:dyDescent="0.2">
      <c r="A996" s="595"/>
      <c r="B996" s="602"/>
      <c r="C996" s="7" t="s">
        <v>1554</v>
      </c>
      <c r="D996" s="8"/>
      <c r="E996" s="23"/>
      <c r="F996" s="8"/>
      <c r="G996" s="8"/>
      <c r="H996" s="5">
        <f>H994</f>
        <v>4.1000000000000002E-2</v>
      </c>
      <c r="I996" s="5">
        <f>I994</f>
        <v>4.1000000000000002E-2</v>
      </c>
      <c r="J996" s="5">
        <f>J994</f>
        <v>4.1000000000000002E-2</v>
      </c>
      <c r="K996" s="23"/>
      <c r="L996" s="8"/>
      <c r="M996" s="8"/>
      <c r="N996" s="8"/>
      <c r="O996" s="8"/>
      <c r="P996" s="8"/>
      <c r="Q996" s="23"/>
      <c r="R996" s="113"/>
      <c r="S996" s="113"/>
      <c r="T996" s="113"/>
      <c r="U996" s="113"/>
      <c r="V996" s="113"/>
      <c r="W996" s="113"/>
      <c r="X996" s="5">
        <f>SUM(R996:W996)</f>
        <v>0</v>
      </c>
      <c r="Y996" s="302"/>
      <c r="Z996" s="5"/>
      <c r="AA996" s="94"/>
      <c r="AB996" s="311">
        <f t="shared" si="180"/>
        <v>4.1000000000000002E-2</v>
      </c>
      <c r="AC996" s="296"/>
      <c r="AD996" s="113"/>
      <c r="AE996" s="5"/>
      <c r="AF996" s="5"/>
      <c r="AG996" s="5"/>
      <c r="AH996" s="5"/>
      <c r="AI996" s="5"/>
      <c r="AJ996" s="5"/>
      <c r="AK996" s="141"/>
      <c r="AL996" s="94"/>
      <c r="AM996" s="128"/>
      <c r="AN996" s="180"/>
      <c r="AO996" s="128"/>
      <c r="AP996" s="184"/>
      <c r="AQ996" s="128"/>
      <c r="AR996" s="184"/>
      <c r="AS996" s="128"/>
      <c r="AT996" s="184"/>
      <c r="AU996" s="128"/>
      <c r="AV996" s="184"/>
      <c r="AW996" s="128"/>
      <c r="AX996" s="184"/>
      <c r="AY996" s="111"/>
      <c r="AZ996" s="178"/>
      <c r="BC996" s="47"/>
      <c r="BD996" s="47"/>
      <c r="BF996" s="113"/>
      <c r="BG996" s="113"/>
      <c r="BH996" s="113"/>
      <c r="BI996" s="113"/>
      <c r="BJ996" s="113"/>
      <c r="BK996" s="113"/>
      <c r="BL996" s="5">
        <f t="shared" si="181"/>
        <v>0</v>
      </c>
    </row>
    <row r="997" spans="1:64" s="2" customFormat="1" ht="63.75" customHeight="1" outlineLevel="1" x14ac:dyDescent="0.2">
      <c r="A997" s="593" t="s">
        <v>1286</v>
      </c>
      <c r="B997" s="600" t="s">
        <v>1155</v>
      </c>
      <c r="C997" s="7" t="s">
        <v>601</v>
      </c>
      <c r="D997" s="8" t="s">
        <v>397</v>
      </c>
      <c r="E997" s="23" t="s">
        <v>1241</v>
      </c>
      <c r="F997" s="8">
        <v>2013</v>
      </c>
      <c r="G997" s="8">
        <v>2015</v>
      </c>
      <c r="H997" s="5">
        <v>8.610000000000001E-2</v>
      </c>
      <c r="I997" s="5">
        <v>8.610000000000001E-2</v>
      </c>
      <c r="J997" s="5">
        <f>R997</f>
        <v>0</v>
      </c>
      <c r="K997" s="8"/>
      <c r="L997" s="8" t="s">
        <v>1241</v>
      </c>
      <c r="M997" s="8"/>
      <c r="N997" s="8"/>
      <c r="O997" s="8"/>
      <c r="P997" s="8"/>
      <c r="Q997" s="8" t="s">
        <v>1241</v>
      </c>
      <c r="R997" s="113">
        <v>0</v>
      </c>
      <c r="S997" s="113"/>
      <c r="T997" s="113"/>
      <c r="U997" s="113"/>
      <c r="V997" s="113"/>
      <c r="W997" s="113"/>
      <c r="X997" s="5">
        <f t="shared" si="175"/>
        <v>0</v>
      </c>
      <c r="Y997" s="302">
        <f>H997-H998-H999</f>
        <v>0</v>
      </c>
      <c r="Z997" s="5">
        <f>I997-I998-I999</f>
        <v>0</v>
      </c>
      <c r="AA997" s="94">
        <f>J997-J998-J999</f>
        <v>0</v>
      </c>
      <c r="AB997" s="311">
        <f t="shared" si="180"/>
        <v>8.610000000000001E-2</v>
      </c>
      <c r="AC997" s="296"/>
      <c r="AD997" s="113"/>
      <c r="AE997" s="5"/>
      <c r="AF997" s="5"/>
      <c r="AG997" s="5">
        <f>H997</f>
        <v>8.610000000000001E-2</v>
      </c>
      <c r="AH997" s="5"/>
      <c r="AI997" s="5"/>
      <c r="AJ997" s="5"/>
      <c r="AK997" s="141"/>
      <c r="AL997" s="94">
        <f>SUM(AF997:AK997)</f>
        <v>8.610000000000001E-2</v>
      </c>
      <c r="AM997" s="128"/>
      <c r="AN997" s="180"/>
      <c r="AO997" s="128">
        <v>0</v>
      </c>
      <c r="AP997" s="184">
        <v>0</v>
      </c>
      <c r="AQ997" s="128"/>
      <c r="AR997" s="184"/>
      <c r="AS997" s="128"/>
      <c r="AT997" s="184"/>
      <c r="AU997" s="128"/>
      <c r="AV997" s="184"/>
      <c r="AW997" s="128"/>
      <c r="AX997" s="184"/>
      <c r="AY997" s="111">
        <f>AM997+AO997+AQ997+AS997+AU997+AW997</f>
        <v>0</v>
      </c>
      <c r="AZ997" s="178">
        <f>AN997+AP997+AR997+AT997+AV997+AX997</f>
        <v>0</v>
      </c>
      <c r="BC997" s="47"/>
      <c r="BD997" s="47"/>
      <c r="BF997" s="113">
        <v>0</v>
      </c>
      <c r="BG997" s="113"/>
      <c r="BH997" s="113"/>
      <c r="BI997" s="113"/>
      <c r="BJ997" s="113"/>
      <c r="BK997" s="113"/>
      <c r="BL997" s="5">
        <f t="shared" si="181"/>
        <v>0</v>
      </c>
    </row>
    <row r="998" spans="1:64" s="2" customFormat="1" ht="14.1" customHeight="1" outlineLevel="1" x14ac:dyDescent="0.2">
      <c r="A998" s="594"/>
      <c r="B998" s="601"/>
      <c r="C998" s="7" t="s">
        <v>1553</v>
      </c>
      <c r="D998" s="8"/>
      <c r="E998" s="23"/>
      <c r="F998" s="8"/>
      <c r="G998" s="8"/>
      <c r="H998" s="5"/>
      <c r="I998" s="5"/>
      <c r="J998" s="5"/>
      <c r="K998" s="8"/>
      <c r="L998" s="23"/>
      <c r="M998" s="8"/>
      <c r="N998" s="8"/>
      <c r="O998" s="8"/>
      <c r="P998" s="8"/>
      <c r="Q998" s="23"/>
      <c r="R998" s="113"/>
      <c r="S998" s="113"/>
      <c r="T998" s="113"/>
      <c r="U998" s="113"/>
      <c r="V998" s="113"/>
      <c r="W998" s="113"/>
      <c r="X998" s="5">
        <f>SUM(R998:W998)</f>
        <v>0</v>
      </c>
      <c r="Y998" s="302"/>
      <c r="Z998" s="5"/>
      <c r="AA998" s="94"/>
      <c r="AB998" s="311">
        <f t="shared" si="180"/>
        <v>0</v>
      </c>
      <c r="AC998" s="296"/>
      <c r="AD998" s="113"/>
      <c r="AE998" s="5"/>
      <c r="AF998" s="5"/>
      <c r="AG998" s="5"/>
      <c r="AH998" s="5"/>
      <c r="AI998" s="5"/>
      <c r="AJ998" s="5"/>
      <c r="AK998" s="141"/>
      <c r="AL998" s="94"/>
      <c r="AM998" s="128"/>
      <c r="AN998" s="180"/>
      <c r="AO998" s="128"/>
      <c r="AP998" s="184"/>
      <c r="AQ998" s="128"/>
      <c r="AR998" s="184"/>
      <c r="AS998" s="128"/>
      <c r="AT998" s="184"/>
      <c r="AU998" s="128"/>
      <c r="AV998" s="184"/>
      <c r="AW998" s="128"/>
      <c r="AX998" s="184"/>
      <c r="AY998" s="111"/>
      <c r="AZ998" s="178"/>
      <c r="BC998" s="47"/>
      <c r="BD998" s="47"/>
      <c r="BF998" s="113"/>
      <c r="BG998" s="113"/>
      <c r="BH998" s="113"/>
      <c r="BI998" s="113"/>
      <c r="BJ998" s="113"/>
      <c r="BK998" s="113"/>
      <c r="BL998" s="5">
        <f t="shared" si="181"/>
        <v>0</v>
      </c>
    </row>
    <row r="999" spans="1:64" s="2" customFormat="1" ht="14.1" customHeight="1" outlineLevel="1" x14ac:dyDescent="0.2">
      <c r="A999" s="595"/>
      <c r="B999" s="602"/>
      <c r="C999" s="7" t="s">
        <v>1554</v>
      </c>
      <c r="D999" s="8"/>
      <c r="E999" s="23"/>
      <c r="F999" s="8"/>
      <c r="G999" s="8"/>
      <c r="H999" s="5">
        <v>8.610000000000001E-2</v>
      </c>
      <c r="I999" s="5">
        <v>8.610000000000001E-2</v>
      </c>
      <c r="J999" s="5">
        <f>R999</f>
        <v>0</v>
      </c>
      <c r="K999" s="23"/>
      <c r="L999" s="8"/>
      <c r="M999" s="8"/>
      <c r="N999" s="8"/>
      <c r="O999" s="8"/>
      <c r="P999" s="8"/>
      <c r="Q999" s="23"/>
      <c r="R999" s="113"/>
      <c r="S999" s="113"/>
      <c r="T999" s="113"/>
      <c r="U999" s="113"/>
      <c r="V999" s="113"/>
      <c r="W999" s="113"/>
      <c r="X999" s="5">
        <f>SUM(R999:W999)</f>
        <v>0</v>
      </c>
      <c r="Y999" s="302"/>
      <c r="Z999" s="5"/>
      <c r="AA999" s="94"/>
      <c r="AB999" s="311">
        <f t="shared" si="180"/>
        <v>8.610000000000001E-2</v>
      </c>
      <c r="AC999" s="296"/>
      <c r="AD999" s="113"/>
      <c r="AE999" s="5"/>
      <c r="AF999" s="5"/>
      <c r="AG999" s="5"/>
      <c r="AH999" s="5"/>
      <c r="AI999" s="5"/>
      <c r="AJ999" s="5"/>
      <c r="AK999" s="141"/>
      <c r="AL999" s="94"/>
      <c r="AM999" s="128"/>
      <c r="AN999" s="180"/>
      <c r="AO999" s="128"/>
      <c r="AP999" s="184"/>
      <c r="AQ999" s="128"/>
      <c r="AR999" s="184"/>
      <c r="AS999" s="128"/>
      <c r="AT999" s="184"/>
      <c r="AU999" s="128"/>
      <c r="AV999" s="184"/>
      <c r="AW999" s="128"/>
      <c r="AX999" s="184"/>
      <c r="AY999" s="111"/>
      <c r="AZ999" s="178"/>
      <c r="BC999" s="47"/>
      <c r="BD999" s="47"/>
      <c r="BF999" s="113"/>
      <c r="BG999" s="113"/>
      <c r="BH999" s="113"/>
      <c r="BI999" s="113"/>
      <c r="BJ999" s="113"/>
      <c r="BK999" s="113"/>
      <c r="BL999" s="5">
        <f t="shared" si="181"/>
        <v>0</v>
      </c>
    </row>
    <row r="1000" spans="1:64" s="2" customFormat="1" ht="77.099999999999994" customHeight="1" outlineLevel="1" x14ac:dyDescent="0.2">
      <c r="A1000" s="593" t="s">
        <v>1288</v>
      </c>
      <c r="B1000" s="600" t="s">
        <v>1158</v>
      </c>
      <c r="C1000" s="7" t="s">
        <v>1289</v>
      </c>
      <c r="D1000" s="8" t="s">
        <v>397</v>
      </c>
      <c r="E1000" s="23" t="s">
        <v>1241</v>
      </c>
      <c r="F1000" s="8">
        <v>2013</v>
      </c>
      <c r="G1000" s="8">
        <v>2014</v>
      </c>
      <c r="H1000" s="5">
        <v>4.7E-2</v>
      </c>
      <c r="I1000" s="5">
        <v>0.02</v>
      </c>
      <c r="J1000" s="5">
        <f>R1000</f>
        <v>0.02</v>
      </c>
      <c r="K1000" s="23" t="s">
        <v>1241</v>
      </c>
      <c r="L1000" s="12"/>
      <c r="M1000" s="8"/>
      <c r="N1000" s="8"/>
      <c r="O1000" s="8"/>
      <c r="P1000" s="8"/>
      <c r="Q1000" s="23" t="s">
        <v>1241</v>
      </c>
      <c r="R1000" s="113">
        <v>0.02</v>
      </c>
      <c r="S1000" s="113"/>
      <c r="T1000" s="113"/>
      <c r="U1000" s="113"/>
      <c r="V1000" s="113"/>
      <c r="W1000" s="113"/>
      <c r="X1000" s="5">
        <f t="shared" ref="X1000:X1189" si="182">SUM(R1000:W1000)</f>
        <v>0.02</v>
      </c>
      <c r="Y1000" s="302">
        <f>H1000-H1001-H1002</f>
        <v>0</v>
      </c>
      <c r="Z1000" s="5">
        <f>I1000-I1001-I1002</f>
        <v>0</v>
      </c>
      <c r="AA1000" s="94">
        <f>J1000-J1001-J1002</f>
        <v>0</v>
      </c>
      <c r="AB1000" s="311">
        <f t="shared" si="180"/>
        <v>0</v>
      </c>
      <c r="AC1000" s="296"/>
      <c r="AD1000" s="113"/>
      <c r="AE1000" s="5"/>
      <c r="AF1000" s="5">
        <f>H1000</f>
        <v>4.7E-2</v>
      </c>
      <c r="AG1000" s="5"/>
      <c r="AH1000" s="5"/>
      <c r="AI1000" s="5"/>
      <c r="AJ1000" s="5"/>
      <c r="AK1000" s="141"/>
      <c r="AL1000" s="94">
        <f>SUM(AF1000:AK1000)</f>
        <v>4.7E-2</v>
      </c>
      <c r="AM1000" s="128">
        <v>0</v>
      </c>
      <c r="AN1000" s="180">
        <v>0</v>
      </c>
      <c r="AO1000" s="128"/>
      <c r="AP1000" s="184"/>
      <c r="AQ1000" s="128"/>
      <c r="AR1000" s="184"/>
      <c r="AS1000" s="128"/>
      <c r="AT1000" s="184"/>
      <c r="AU1000" s="128"/>
      <c r="AV1000" s="184"/>
      <c r="AW1000" s="128"/>
      <c r="AX1000" s="184"/>
      <c r="AY1000" s="111">
        <f>AM1000+AO1000+AQ1000+AS1000+AU1000+AW1000</f>
        <v>0</v>
      </c>
      <c r="AZ1000" s="178">
        <f>AN1000+AP1000+AR1000+AT1000+AV1000+AX1000</f>
        <v>0</v>
      </c>
      <c r="BC1000" s="47"/>
      <c r="BD1000" s="47"/>
      <c r="BF1000" s="113">
        <v>0.02</v>
      </c>
      <c r="BG1000" s="113"/>
      <c r="BH1000" s="113"/>
      <c r="BI1000" s="113"/>
      <c r="BJ1000" s="113"/>
      <c r="BK1000" s="113"/>
      <c r="BL1000" s="5">
        <f t="shared" si="181"/>
        <v>0.02</v>
      </c>
    </row>
    <row r="1001" spans="1:64" s="2" customFormat="1" ht="15.75" customHeight="1" outlineLevel="1" x14ac:dyDescent="0.2">
      <c r="A1001" s="594"/>
      <c r="B1001" s="601"/>
      <c r="C1001" s="7" t="s">
        <v>1553</v>
      </c>
      <c r="D1001" s="8"/>
      <c r="E1001" s="23"/>
      <c r="F1001" s="8"/>
      <c r="G1001" s="8"/>
      <c r="H1001" s="5"/>
      <c r="I1001" s="5"/>
      <c r="J1001" s="5"/>
      <c r="K1001" s="8"/>
      <c r="L1001" s="23"/>
      <c r="M1001" s="8"/>
      <c r="N1001" s="8"/>
      <c r="O1001" s="8"/>
      <c r="P1001" s="8"/>
      <c r="Q1001" s="23"/>
      <c r="R1001" s="113"/>
      <c r="S1001" s="113"/>
      <c r="T1001" s="113"/>
      <c r="U1001" s="113"/>
      <c r="V1001" s="113"/>
      <c r="W1001" s="113"/>
      <c r="X1001" s="5">
        <f t="shared" si="182"/>
        <v>0</v>
      </c>
      <c r="Y1001" s="302"/>
      <c r="Z1001" s="5"/>
      <c r="AA1001" s="94"/>
      <c r="AB1001" s="311">
        <f t="shared" si="180"/>
        <v>0</v>
      </c>
      <c r="AC1001" s="296"/>
      <c r="AD1001" s="113"/>
      <c r="AE1001" s="5"/>
      <c r="AF1001" s="5"/>
      <c r="AG1001" s="5"/>
      <c r="AH1001" s="5"/>
      <c r="AI1001" s="5"/>
      <c r="AJ1001" s="5"/>
      <c r="AK1001" s="141"/>
      <c r="AL1001" s="94"/>
      <c r="AM1001" s="128"/>
      <c r="AN1001" s="180"/>
      <c r="AO1001" s="128"/>
      <c r="AP1001" s="184"/>
      <c r="AQ1001" s="128"/>
      <c r="AR1001" s="184"/>
      <c r="AS1001" s="128"/>
      <c r="AT1001" s="184"/>
      <c r="AU1001" s="128"/>
      <c r="AV1001" s="184"/>
      <c r="AW1001" s="128"/>
      <c r="AX1001" s="184"/>
      <c r="AY1001" s="111"/>
      <c r="AZ1001" s="178"/>
      <c r="BC1001" s="47"/>
      <c r="BD1001" s="47"/>
      <c r="BF1001" s="113"/>
      <c r="BG1001" s="113"/>
      <c r="BH1001" s="113"/>
      <c r="BI1001" s="113"/>
      <c r="BJ1001" s="113"/>
      <c r="BK1001" s="113"/>
      <c r="BL1001" s="5">
        <f t="shared" si="181"/>
        <v>0</v>
      </c>
    </row>
    <row r="1002" spans="1:64" s="2" customFormat="1" ht="15.75" customHeight="1" outlineLevel="1" x14ac:dyDescent="0.2">
      <c r="A1002" s="595"/>
      <c r="B1002" s="602"/>
      <c r="C1002" s="7" t="s">
        <v>1554</v>
      </c>
      <c r="D1002" s="8"/>
      <c r="E1002" s="23"/>
      <c r="F1002" s="8"/>
      <c r="G1002" s="8"/>
      <c r="H1002" s="5">
        <v>4.7E-2</v>
      </c>
      <c r="I1002" s="5">
        <f>I1000</f>
        <v>0.02</v>
      </c>
      <c r="J1002" s="5">
        <v>0.02</v>
      </c>
      <c r="K1002" s="23"/>
      <c r="L1002" s="8"/>
      <c r="M1002" s="8"/>
      <c r="N1002" s="8"/>
      <c r="O1002" s="8"/>
      <c r="P1002" s="8"/>
      <c r="Q1002" s="23"/>
      <c r="R1002" s="113"/>
      <c r="S1002" s="113"/>
      <c r="T1002" s="113"/>
      <c r="U1002" s="113"/>
      <c r="V1002" s="113"/>
      <c r="W1002" s="113"/>
      <c r="X1002" s="5">
        <f t="shared" si="182"/>
        <v>0</v>
      </c>
      <c r="Y1002" s="302"/>
      <c r="Z1002" s="5"/>
      <c r="AA1002" s="94"/>
      <c r="AB1002" s="311">
        <f t="shared" si="180"/>
        <v>0.02</v>
      </c>
      <c r="AC1002" s="296"/>
      <c r="AD1002" s="113"/>
      <c r="AE1002" s="5"/>
      <c r="AF1002" s="5"/>
      <c r="AG1002" s="5"/>
      <c r="AH1002" s="5"/>
      <c r="AI1002" s="5"/>
      <c r="AJ1002" s="5"/>
      <c r="AK1002" s="141"/>
      <c r="AL1002" s="94"/>
      <c r="AM1002" s="128"/>
      <c r="AN1002" s="180"/>
      <c r="AO1002" s="128"/>
      <c r="AP1002" s="184"/>
      <c r="AQ1002" s="128"/>
      <c r="AR1002" s="184"/>
      <c r="AS1002" s="128"/>
      <c r="AT1002" s="184"/>
      <c r="AU1002" s="128"/>
      <c r="AV1002" s="184"/>
      <c r="AW1002" s="128"/>
      <c r="AX1002" s="184"/>
      <c r="AY1002" s="111"/>
      <c r="AZ1002" s="178"/>
      <c r="BC1002" s="47"/>
      <c r="BD1002" s="47"/>
      <c r="BF1002" s="113"/>
      <c r="BG1002" s="113"/>
      <c r="BH1002" s="113"/>
      <c r="BI1002" s="113"/>
      <c r="BJ1002" s="113"/>
      <c r="BK1002" s="113"/>
      <c r="BL1002" s="5">
        <f t="shared" si="181"/>
        <v>0</v>
      </c>
    </row>
    <row r="1003" spans="1:64" s="2" customFormat="1" ht="38.25" outlineLevel="1" x14ac:dyDescent="0.2">
      <c r="A1003" s="593" t="s">
        <v>1291</v>
      </c>
      <c r="B1003" s="600" t="s">
        <v>1161</v>
      </c>
      <c r="C1003" s="7" t="s">
        <v>602</v>
      </c>
      <c r="D1003" s="8" t="s">
        <v>397</v>
      </c>
      <c r="E1003" s="23" t="s">
        <v>340</v>
      </c>
      <c r="F1003" s="8">
        <v>2012</v>
      </c>
      <c r="G1003" s="8">
        <v>2014</v>
      </c>
      <c r="H1003" s="5">
        <v>0.45258999999999999</v>
      </c>
      <c r="I1003" s="5">
        <v>9.3003000000000002E-2</v>
      </c>
      <c r="J1003" s="5">
        <f>R1003</f>
        <v>9.3003000000000002E-2</v>
      </c>
      <c r="K1003" s="23" t="s">
        <v>340</v>
      </c>
      <c r="L1003" s="8"/>
      <c r="M1003" s="8"/>
      <c r="N1003" s="8"/>
      <c r="O1003" s="8"/>
      <c r="P1003" s="8"/>
      <c r="Q1003" s="23" t="s">
        <v>340</v>
      </c>
      <c r="R1003" s="113">
        <v>9.3003000000000002E-2</v>
      </c>
      <c r="S1003" s="113"/>
      <c r="T1003" s="113"/>
      <c r="U1003" s="113"/>
      <c r="V1003" s="113"/>
      <c r="W1003" s="113"/>
      <c r="X1003" s="5">
        <f t="shared" si="182"/>
        <v>9.3003000000000002E-2</v>
      </c>
      <c r="Y1003" s="302">
        <f>H1003-H1004-H1005</f>
        <v>0</v>
      </c>
      <c r="Z1003" s="5">
        <f>I1003-I1004-I1005</f>
        <v>0</v>
      </c>
      <c r="AA1003" s="94">
        <f>J1003-J1004-J1005</f>
        <v>0</v>
      </c>
      <c r="AB1003" s="311">
        <f t="shared" si="180"/>
        <v>0</v>
      </c>
      <c r="AC1003" s="296"/>
      <c r="AD1003" s="113"/>
      <c r="AE1003" s="5"/>
      <c r="AF1003" s="5">
        <f>H1003</f>
        <v>0.45258999999999999</v>
      </c>
      <c r="AG1003" s="5"/>
      <c r="AH1003" s="5"/>
      <c r="AI1003" s="5"/>
      <c r="AJ1003" s="5"/>
      <c r="AK1003" s="141"/>
      <c r="AL1003" s="94">
        <f>SUM(AF1003:AK1003)</f>
        <v>0.45258999999999999</v>
      </c>
      <c r="AM1003" s="128">
        <v>0.2</v>
      </c>
      <c r="AN1003" s="180">
        <v>0</v>
      </c>
      <c r="AO1003" s="128"/>
      <c r="AP1003" s="184"/>
      <c r="AQ1003" s="128"/>
      <c r="AR1003" s="184"/>
      <c r="AS1003" s="128"/>
      <c r="AT1003" s="184"/>
      <c r="AU1003" s="128"/>
      <c r="AV1003" s="184"/>
      <c r="AW1003" s="128"/>
      <c r="AX1003" s="184"/>
      <c r="AY1003" s="111">
        <f>AM1003+AO1003+AQ1003+AS1003+AU1003+AW1003</f>
        <v>0.2</v>
      </c>
      <c r="AZ1003" s="178">
        <f>AN1003+AP1003+AR1003+AT1003+AV1003+AX1003</f>
        <v>0</v>
      </c>
      <c r="BC1003" s="47"/>
      <c r="BD1003" s="47"/>
      <c r="BF1003" s="113">
        <v>9.3003000000000002E-2</v>
      </c>
      <c r="BG1003" s="113"/>
      <c r="BH1003" s="113"/>
      <c r="BI1003" s="113"/>
      <c r="BJ1003" s="113"/>
      <c r="BK1003" s="113"/>
      <c r="BL1003" s="5">
        <f t="shared" si="181"/>
        <v>9.3003000000000002E-2</v>
      </c>
    </row>
    <row r="1004" spans="1:64" s="2" customFormat="1" ht="15.75" customHeight="1" outlineLevel="1" x14ac:dyDescent="0.2">
      <c r="A1004" s="594"/>
      <c r="B1004" s="601"/>
      <c r="C1004" s="7" t="s">
        <v>1553</v>
      </c>
      <c r="D1004" s="8"/>
      <c r="E1004" s="23"/>
      <c r="F1004" s="8"/>
      <c r="G1004" s="8"/>
      <c r="H1004" s="5"/>
      <c r="I1004" s="5"/>
      <c r="J1004" s="5"/>
      <c r="K1004" s="8"/>
      <c r="L1004" s="23"/>
      <c r="M1004" s="8"/>
      <c r="N1004" s="8"/>
      <c r="O1004" s="8"/>
      <c r="P1004" s="8"/>
      <c r="Q1004" s="23"/>
      <c r="R1004" s="113"/>
      <c r="S1004" s="113"/>
      <c r="T1004" s="113"/>
      <c r="U1004" s="113"/>
      <c r="V1004" s="113"/>
      <c r="W1004" s="113"/>
      <c r="X1004" s="5">
        <f>SUM(R1004:W1004)</f>
        <v>0</v>
      </c>
      <c r="Y1004" s="302"/>
      <c r="Z1004" s="5"/>
      <c r="AA1004" s="94"/>
      <c r="AB1004" s="311">
        <f t="shared" si="180"/>
        <v>0</v>
      </c>
      <c r="AC1004" s="296"/>
      <c r="AD1004" s="113"/>
      <c r="AE1004" s="5"/>
      <c r="AF1004" s="5"/>
      <c r="AG1004" s="5"/>
      <c r="AH1004" s="5"/>
      <c r="AI1004" s="5"/>
      <c r="AJ1004" s="5"/>
      <c r="AK1004" s="141"/>
      <c r="AL1004" s="94"/>
      <c r="AM1004" s="128"/>
      <c r="AN1004" s="180"/>
      <c r="AO1004" s="128"/>
      <c r="AP1004" s="184"/>
      <c r="AQ1004" s="128"/>
      <c r="AR1004" s="184"/>
      <c r="AS1004" s="128"/>
      <c r="AT1004" s="184"/>
      <c r="AU1004" s="128"/>
      <c r="AV1004" s="184"/>
      <c r="AW1004" s="128"/>
      <c r="AX1004" s="184"/>
      <c r="AY1004" s="111"/>
      <c r="AZ1004" s="178"/>
      <c r="BC1004" s="47"/>
      <c r="BD1004" s="47"/>
      <c r="BF1004" s="113"/>
      <c r="BG1004" s="113"/>
      <c r="BH1004" s="113"/>
      <c r="BI1004" s="113"/>
      <c r="BJ1004" s="113"/>
      <c r="BK1004" s="113"/>
      <c r="BL1004" s="5">
        <f t="shared" si="181"/>
        <v>0</v>
      </c>
    </row>
    <row r="1005" spans="1:64" s="2" customFormat="1" ht="15.75" customHeight="1" outlineLevel="1" x14ac:dyDescent="0.2">
      <c r="A1005" s="595"/>
      <c r="B1005" s="602"/>
      <c r="C1005" s="7" t="s">
        <v>1554</v>
      </c>
      <c r="D1005" s="8"/>
      <c r="E1005" s="23"/>
      <c r="F1005" s="8"/>
      <c r="G1005" s="8"/>
      <c r="H1005" s="5">
        <v>0.45258999999999999</v>
      </c>
      <c r="I1005" s="5">
        <f>I1003</f>
        <v>9.3003000000000002E-2</v>
      </c>
      <c r="J1005" s="5">
        <v>9.3003000000000002E-2</v>
      </c>
      <c r="K1005" s="23"/>
      <c r="L1005" s="8"/>
      <c r="M1005" s="8"/>
      <c r="N1005" s="8"/>
      <c r="O1005" s="8"/>
      <c r="P1005" s="8"/>
      <c r="Q1005" s="23"/>
      <c r="R1005" s="113"/>
      <c r="S1005" s="113"/>
      <c r="T1005" s="113"/>
      <c r="U1005" s="113"/>
      <c r="V1005" s="113"/>
      <c r="W1005" s="113"/>
      <c r="X1005" s="5">
        <f>SUM(R1005:W1005)</f>
        <v>0</v>
      </c>
      <c r="Y1005" s="302"/>
      <c r="Z1005" s="5"/>
      <c r="AA1005" s="94"/>
      <c r="AB1005" s="311">
        <f t="shared" si="180"/>
        <v>9.3003000000000002E-2</v>
      </c>
      <c r="AC1005" s="296"/>
      <c r="AD1005" s="113"/>
      <c r="AE1005" s="5"/>
      <c r="AF1005" s="5"/>
      <c r="AG1005" s="5"/>
      <c r="AH1005" s="5"/>
      <c r="AI1005" s="5"/>
      <c r="AJ1005" s="5"/>
      <c r="AK1005" s="141"/>
      <c r="AL1005" s="94"/>
      <c r="AM1005" s="128"/>
      <c r="AN1005" s="180"/>
      <c r="AO1005" s="128"/>
      <c r="AP1005" s="184"/>
      <c r="AQ1005" s="128"/>
      <c r="AR1005" s="184"/>
      <c r="AS1005" s="128"/>
      <c r="AT1005" s="184"/>
      <c r="AU1005" s="128"/>
      <c r="AV1005" s="184"/>
      <c r="AW1005" s="128"/>
      <c r="AX1005" s="184"/>
      <c r="AY1005" s="111"/>
      <c r="AZ1005" s="178"/>
      <c r="BC1005" s="47"/>
      <c r="BD1005" s="47"/>
      <c r="BF1005" s="113"/>
      <c r="BG1005" s="113"/>
      <c r="BH1005" s="113"/>
      <c r="BI1005" s="113"/>
      <c r="BJ1005" s="113"/>
      <c r="BK1005" s="113"/>
      <c r="BL1005" s="5">
        <f t="shared" si="181"/>
        <v>0</v>
      </c>
    </row>
    <row r="1006" spans="1:64" s="2" customFormat="1" ht="76.5" customHeight="1" outlineLevel="1" x14ac:dyDescent="0.2">
      <c r="A1006" s="593" t="s">
        <v>576</v>
      </c>
      <c r="B1006" s="600" t="s">
        <v>1164</v>
      </c>
      <c r="C1006" s="7" t="s">
        <v>578</v>
      </c>
      <c r="D1006" s="8" t="s">
        <v>145</v>
      </c>
      <c r="E1006" s="8" t="s">
        <v>1241</v>
      </c>
      <c r="F1006" s="8">
        <v>2013</v>
      </c>
      <c r="G1006" s="8">
        <v>2015</v>
      </c>
      <c r="H1006" s="5">
        <v>2.7966101694915257E-2</v>
      </c>
      <c r="I1006" s="5">
        <v>2.7966101694915257E-2</v>
      </c>
      <c r="J1006" s="5">
        <f>R1006</f>
        <v>0.01</v>
      </c>
      <c r="K1006" s="8"/>
      <c r="L1006" s="8" t="s">
        <v>1241</v>
      </c>
      <c r="M1006" s="8"/>
      <c r="N1006" s="8"/>
      <c r="O1006" s="8"/>
      <c r="P1006" s="8"/>
      <c r="Q1006" s="8" t="s">
        <v>1241</v>
      </c>
      <c r="R1006" s="113">
        <v>0.01</v>
      </c>
      <c r="S1006" s="113"/>
      <c r="T1006" s="113"/>
      <c r="U1006" s="113"/>
      <c r="V1006" s="113"/>
      <c r="W1006" s="113"/>
      <c r="X1006" s="5">
        <f t="shared" si="182"/>
        <v>0.01</v>
      </c>
      <c r="Y1006" s="302">
        <f>H1006-H1007-H1008</f>
        <v>0</v>
      </c>
      <c r="Z1006" s="5">
        <f>I1006-I1007-I1008</f>
        <v>0</v>
      </c>
      <c r="AA1006" s="94">
        <f>J1006-J1007-J1008</f>
        <v>0</v>
      </c>
      <c r="AB1006" s="311">
        <f t="shared" si="180"/>
        <v>1.7966101694915255E-2</v>
      </c>
      <c r="AC1006" s="296"/>
      <c r="AD1006" s="113"/>
      <c r="AE1006" s="5"/>
      <c r="AF1006" s="5"/>
      <c r="AG1006" s="5">
        <f>H1006</f>
        <v>2.7966101694915257E-2</v>
      </c>
      <c r="AH1006" s="5"/>
      <c r="AI1006" s="5"/>
      <c r="AJ1006" s="5"/>
      <c r="AK1006" s="141"/>
      <c r="AL1006" s="94">
        <f>SUM(AF1006:AK1006)</f>
        <v>2.7966101694915257E-2</v>
      </c>
      <c r="AM1006" s="128"/>
      <c r="AN1006" s="180"/>
      <c r="AO1006" s="128">
        <v>0</v>
      </c>
      <c r="AP1006" s="184">
        <v>0</v>
      </c>
      <c r="AQ1006" s="128"/>
      <c r="AR1006" s="184"/>
      <c r="AS1006" s="128"/>
      <c r="AT1006" s="184"/>
      <c r="AU1006" s="128"/>
      <c r="AV1006" s="184"/>
      <c r="AW1006" s="128"/>
      <c r="AX1006" s="184"/>
      <c r="AY1006" s="111">
        <f>AM1006+AO1006+AQ1006+AS1006+AU1006+AW1006</f>
        <v>0</v>
      </c>
      <c r="AZ1006" s="178">
        <f>AN1006+AP1006+AR1006+AT1006+AV1006+AX1006</f>
        <v>0</v>
      </c>
      <c r="BC1006" s="47"/>
      <c r="BD1006" s="47"/>
      <c r="BF1006" s="113">
        <v>0.01</v>
      </c>
      <c r="BG1006" s="113"/>
      <c r="BH1006" s="113"/>
      <c r="BI1006" s="113"/>
      <c r="BJ1006" s="113"/>
      <c r="BK1006" s="113"/>
      <c r="BL1006" s="5">
        <f t="shared" si="181"/>
        <v>0.01</v>
      </c>
    </row>
    <row r="1007" spans="1:64" s="2" customFormat="1" ht="15.75" customHeight="1" outlineLevel="1" x14ac:dyDescent="0.2">
      <c r="A1007" s="594"/>
      <c r="B1007" s="601"/>
      <c r="C1007" s="7" t="s">
        <v>1553</v>
      </c>
      <c r="D1007" s="8"/>
      <c r="E1007" s="23"/>
      <c r="F1007" s="8"/>
      <c r="G1007" s="8"/>
      <c r="H1007" s="5"/>
      <c r="I1007" s="5"/>
      <c r="J1007" s="5"/>
      <c r="K1007" s="8"/>
      <c r="L1007" s="23"/>
      <c r="M1007" s="8"/>
      <c r="N1007" s="8"/>
      <c r="O1007" s="8"/>
      <c r="P1007" s="8"/>
      <c r="Q1007" s="23"/>
      <c r="R1007" s="113"/>
      <c r="S1007" s="113"/>
      <c r="T1007" s="113"/>
      <c r="U1007" s="113"/>
      <c r="V1007" s="113"/>
      <c r="W1007" s="113"/>
      <c r="X1007" s="5">
        <f t="shared" si="182"/>
        <v>0</v>
      </c>
      <c r="Y1007" s="302"/>
      <c r="Z1007" s="5"/>
      <c r="AA1007" s="94"/>
      <c r="AB1007" s="311">
        <f t="shared" si="180"/>
        <v>0</v>
      </c>
      <c r="AC1007" s="296"/>
      <c r="AD1007" s="113"/>
      <c r="AE1007" s="5"/>
      <c r="AF1007" s="5"/>
      <c r="AG1007" s="5"/>
      <c r="AH1007" s="5"/>
      <c r="AI1007" s="5"/>
      <c r="AJ1007" s="5"/>
      <c r="AK1007" s="141"/>
      <c r="AL1007" s="94"/>
      <c r="AM1007" s="128"/>
      <c r="AN1007" s="180"/>
      <c r="AO1007" s="128"/>
      <c r="AP1007" s="184"/>
      <c r="AQ1007" s="128"/>
      <c r="AR1007" s="184"/>
      <c r="AS1007" s="128"/>
      <c r="AT1007" s="184"/>
      <c r="AU1007" s="128"/>
      <c r="AV1007" s="184"/>
      <c r="AW1007" s="128"/>
      <c r="AX1007" s="184"/>
      <c r="AY1007" s="111"/>
      <c r="AZ1007" s="178"/>
      <c r="BC1007" s="47"/>
      <c r="BD1007" s="47"/>
      <c r="BF1007" s="113"/>
      <c r="BG1007" s="113"/>
      <c r="BH1007" s="113"/>
      <c r="BI1007" s="113"/>
      <c r="BJ1007" s="113"/>
      <c r="BK1007" s="113"/>
      <c r="BL1007" s="5">
        <f t="shared" si="181"/>
        <v>0</v>
      </c>
    </row>
    <row r="1008" spans="1:64" s="2" customFormat="1" ht="15.75" customHeight="1" outlineLevel="1" x14ac:dyDescent="0.2">
      <c r="A1008" s="595"/>
      <c r="B1008" s="602"/>
      <c r="C1008" s="7" t="s">
        <v>1554</v>
      </c>
      <c r="D1008" s="8"/>
      <c r="E1008" s="23"/>
      <c r="F1008" s="8"/>
      <c r="G1008" s="8"/>
      <c r="H1008" s="5">
        <v>2.7966101694915257E-2</v>
      </c>
      <c r="I1008" s="5">
        <v>2.7966101694915257E-2</v>
      </c>
      <c r="J1008" s="5">
        <v>0.01</v>
      </c>
      <c r="K1008" s="23"/>
      <c r="L1008" s="8"/>
      <c r="M1008" s="8"/>
      <c r="N1008" s="8"/>
      <c r="O1008" s="8"/>
      <c r="P1008" s="8"/>
      <c r="Q1008" s="23"/>
      <c r="R1008" s="113"/>
      <c r="S1008" s="113"/>
      <c r="T1008" s="113"/>
      <c r="U1008" s="113"/>
      <c r="V1008" s="113"/>
      <c r="W1008" s="113"/>
      <c r="X1008" s="5">
        <f t="shared" si="182"/>
        <v>0</v>
      </c>
      <c r="Y1008" s="302"/>
      <c r="Z1008" s="5"/>
      <c r="AA1008" s="94"/>
      <c r="AB1008" s="311">
        <f t="shared" si="180"/>
        <v>2.7966101694915257E-2</v>
      </c>
      <c r="AC1008" s="296"/>
      <c r="AD1008" s="113"/>
      <c r="AE1008" s="5"/>
      <c r="AF1008" s="5"/>
      <c r="AG1008" s="5"/>
      <c r="AH1008" s="5"/>
      <c r="AI1008" s="5"/>
      <c r="AJ1008" s="5"/>
      <c r="AK1008" s="141"/>
      <c r="AL1008" s="94"/>
      <c r="AM1008" s="128"/>
      <c r="AN1008" s="180"/>
      <c r="AO1008" s="128"/>
      <c r="AP1008" s="184"/>
      <c r="AQ1008" s="128"/>
      <c r="AR1008" s="184"/>
      <c r="AS1008" s="128"/>
      <c r="AT1008" s="184"/>
      <c r="AU1008" s="128"/>
      <c r="AV1008" s="184"/>
      <c r="AW1008" s="128"/>
      <c r="AX1008" s="184"/>
      <c r="AY1008" s="111"/>
      <c r="AZ1008" s="178"/>
      <c r="BC1008" s="47"/>
      <c r="BD1008" s="47"/>
      <c r="BF1008" s="113"/>
      <c r="BG1008" s="113"/>
      <c r="BH1008" s="113"/>
      <c r="BI1008" s="113"/>
      <c r="BJ1008" s="113"/>
      <c r="BK1008" s="113"/>
      <c r="BL1008" s="5">
        <f t="shared" si="181"/>
        <v>0</v>
      </c>
    </row>
    <row r="1009" spans="1:64" s="2" customFormat="1" ht="25.5" outlineLevel="1" x14ac:dyDescent="0.2">
      <c r="A1009" s="593" t="s">
        <v>579</v>
      </c>
      <c r="B1009" s="600" t="s">
        <v>1283</v>
      </c>
      <c r="C1009" s="7" t="s">
        <v>581</v>
      </c>
      <c r="D1009" s="8" t="s">
        <v>145</v>
      </c>
      <c r="E1009" s="23" t="s">
        <v>340</v>
      </c>
      <c r="F1009" s="8">
        <v>2013</v>
      </c>
      <c r="G1009" s="8">
        <v>2014</v>
      </c>
      <c r="H1009" s="5">
        <v>0.255</v>
      </c>
      <c r="I1009" s="5">
        <v>0.01</v>
      </c>
      <c r="J1009" s="5">
        <f>R1009</f>
        <v>0.01</v>
      </c>
      <c r="K1009" s="23" t="s">
        <v>340</v>
      </c>
      <c r="L1009" s="8"/>
      <c r="M1009" s="8"/>
      <c r="N1009" s="8"/>
      <c r="O1009" s="8"/>
      <c r="P1009" s="8"/>
      <c r="Q1009" s="23" t="s">
        <v>340</v>
      </c>
      <c r="R1009" s="113">
        <v>0.01</v>
      </c>
      <c r="S1009" s="113"/>
      <c r="T1009" s="113"/>
      <c r="U1009" s="113"/>
      <c r="V1009" s="113"/>
      <c r="W1009" s="113"/>
      <c r="X1009" s="5">
        <f t="shared" si="182"/>
        <v>0.01</v>
      </c>
      <c r="Y1009" s="302">
        <f>H1009-H1010-H1011</f>
        <v>0</v>
      </c>
      <c r="Z1009" s="5">
        <f>I1009-I1010-I1011</f>
        <v>0</v>
      </c>
      <c r="AA1009" s="94">
        <f>J1009-J1010-J1011</f>
        <v>0</v>
      </c>
      <c r="AB1009" s="311">
        <f t="shared" si="180"/>
        <v>0</v>
      </c>
      <c r="AC1009" s="296"/>
      <c r="AD1009" s="113"/>
      <c r="AE1009" s="5"/>
      <c r="AF1009" s="5">
        <f>H1009</f>
        <v>0.255</v>
      </c>
      <c r="AG1009" s="5"/>
      <c r="AH1009" s="5"/>
      <c r="AI1009" s="5"/>
      <c r="AJ1009" s="5"/>
      <c r="AK1009" s="141"/>
      <c r="AL1009" s="94">
        <f>SUM(AF1009:AK1009)</f>
        <v>0.255</v>
      </c>
      <c r="AM1009" s="128">
        <v>0.2</v>
      </c>
      <c r="AN1009" s="180">
        <v>0</v>
      </c>
      <c r="AO1009" s="128"/>
      <c r="AP1009" s="184"/>
      <c r="AQ1009" s="128"/>
      <c r="AR1009" s="184"/>
      <c r="AS1009" s="128"/>
      <c r="AT1009" s="184"/>
      <c r="AU1009" s="128"/>
      <c r="AV1009" s="184"/>
      <c r="AW1009" s="128"/>
      <c r="AX1009" s="184"/>
      <c r="AY1009" s="111">
        <f>AM1009+AO1009+AQ1009+AS1009+AU1009+AW1009</f>
        <v>0.2</v>
      </c>
      <c r="AZ1009" s="178">
        <f>AN1009+AP1009+AR1009+AT1009+AV1009+AX1009</f>
        <v>0</v>
      </c>
      <c r="BC1009" s="47"/>
      <c r="BD1009" s="47"/>
      <c r="BF1009" s="113">
        <v>0.01</v>
      </c>
      <c r="BG1009" s="113"/>
      <c r="BH1009" s="113"/>
      <c r="BI1009" s="113"/>
      <c r="BJ1009" s="113"/>
      <c r="BK1009" s="113"/>
      <c r="BL1009" s="5">
        <f t="shared" si="181"/>
        <v>0.01</v>
      </c>
    </row>
    <row r="1010" spans="1:64" s="2" customFormat="1" ht="15.75" customHeight="1" outlineLevel="1" x14ac:dyDescent="0.2">
      <c r="A1010" s="594"/>
      <c r="B1010" s="601"/>
      <c r="C1010" s="7" t="s">
        <v>1553</v>
      </c>
      <c r="D1010" s="8"/>
      <c r="E1010" s="23"/>
      <c r="F1010" s="8"/>
      <c r="G1010" s="8"/>
      <c r="H1010" s="5"/>
      <c r="I1010" s="5"/>
      <c r="J1010" s="5"/>
      <c r="K1010" s="8"/>
      <c r="L1010" s="23"/>
      <c r="M1010" s="8"/>
      <c r="N1010" s="8"/>
      <c r="O1010" s="8"/>
      <c r="P1010" s="8"/>
      <c r="Q1010" s="23"/>
      <c r="R1010" s="113"/>
      <c r="S1010" s="113"/>
      <c r="T1010" s="113"/>
      <c r="U1010" s="113"/>
      <c r="V1010" s="113"/>
      <c r="W1010" s="113"/>
      <c r="X1010" s="5">
        <f>SUM(R1010:W1010)</f>
        <v>0</v>
      </c>
      <c r="Y1010" s="302"/>
      <c r="Z1010" s="5"/>
      <c r="AA1010" s="94"/>
      <c r="AB1010" s="311">
        <f t="shared" si="180"/>
        <v>0</v>
      </c>
      <c r="AC1010" s="296"/>
      <c r="AD1010" s="113"/>
      <c r="AE1010" s="5"/>
      <c r="AF1010" s="5"/>
      <c r="AG1010" s="5"/>
      <c r="AH1010" s="5"/>
      <c r="AI1010" s="5"/>
      <c r="AJ1010" s="5"/>
      <c r="AK1010" s="141"/>
      <c r="AL1010" s="94"/>
      <c r="AM1010" s="128"/>
      <c r="AN1010" s="180"/>
      <c r="AO1010" s="128"/>
      <c r="AP1010" s="184"/>
      <c r="AQ1010" s="128"/>
      <c r="AR1010" s="184"/>
      <c r="AS1010" s="128"/>
      <c r="AT1010" s="184"/>
      <c r="AU1010" s="128"/>
      <c r="AV1010" s="184"/>
      <c r="AW1010" s="128"/>
      <c r="AX1010" s="184"/>
      <c r="AY1010" s="111"/>
      <c r="AZ1010" s="178"/>
      <c r="BC1010" s="47"/>
      <c r="BD1010" s="47"/>
      <c r="BF1010" s="113"/>
      <c r="BG1010" s="113"/>
      <c r="BH1010" s="113"/>
      <c r="BI1010" s="113"/>
      <c r="BJ1010" s="113"/>
      <c r="BK1010" s="113"/>
      <c r="BL1010" s="5">
        <f t="shared" si="181"/>
        <v>0</v>
      </c>
    </row>
    <row r="1011" spans="1:64" s="2" customFormat="1" ht="15.75" customHeight="1" outlineLevel="1" x14ac:dyDescent="0.2">
      <c r="A1011" s="595"/>
      <c r="B1011" s="602"/>
      <c r="C1011" s="7" t="s">
        <v>1554</v>
      </c>
      <c r="D1011" s="8"/>
      <c r="E1011" s="23"/>
      <c r="F1011" s="8"/>
      <c r="G1011" s="8"/>
      <c r="H1011" s="5">
        <v>0.255</v>
      </c>
      <c r="I1011" s="5">
        <f>I1009</f>
        <v>0.01</v>
      </c>
      <c r="J1011" s="5">
        <v>0.01</v>
      </c>
      <c r="K1011" s="23"/>
      <c r="L1011" s="8"/>
      <c r="M1011" s="8"/>
      <c r="N1011" s="8"/>
      <c r="O1011" s="8"/>
      <c r="P1011" s="8"/>
      <c r="Q1011" s="23"/>
      <c r="R1011" s="113"/>
      <c r="S1011" s="113"/>
      <c r="T1011" s="113"/>
      <c r="U1011" s="113"/>
      <c r="V1011" s="113"/>
      <c r="W1011" s="113"/>
      <c r="X1011" s="5">
        <f>SUM(R1011:W1011)</f>
        <v>0</v>
      </c>
      <c r="Y1011" s="302"/>
      <c r="Z1011" s="5"/>
      <c r="AA1011" s="94"/>
      <c r="AB1011" s="311">
        <f t="shared" si="180"/>
        <v>0.01</v>
      </c>
      <c r="AC1011" s="296"/>
      <c r="AD1011" s="113"/>
      <c r="AE1011" s="5"/>
      <c r="AF1011" s="5"/>
      <c r="AG1011" s="5"/>
      <c r="AH1011" s="5"/>
      <c r="AI1011" s="5"/>
      <c r="AJ1011" s="5"/>
      <c r="AK1011" s="141"/>
      <c r="AL1011" s="94"/>
      <c r="AM1011" s="128"/>
      <c r="AN1011" s="180"/>
      <c r="AO1011" s="128"/>
      <c r="AP1011" s="184"/>
      <c r="AQ1011" s="128"/>
      <c r="AR1011" s="184"/>
      <c r="AS1011" s="128"/>
      <c r="AT1011" s="184"/>
      <c r="AU1011" s="128"/>
      <c r="AV1011" s="184"/>
      <c r="AW1011" s="128"/>
      <c r="AX1011" s="184"/>
      <c r="AY1011" s="111"/>
      <c r="AZ1011" s="178"/>
      <c r="BC1011" s="47"/>
      <c r="BD1011" s="47"/>
      <c r="BF1011" s="113"/>
      <c r="BG1011" s="113"/>
      <c r="BH1011" s="113"/>
      <c r="BI1011" s="113"/>
      <c r="BJ1011" s="113"/>
      <c r="BK1011" s="113"/>
      <c r="BL1011" s="5">
        <f t="shared" si="181"/>
        <v>0</v>
      </c>
    </row>
    <row r="1012" spans="1:64" s="2" customFormat="1" ht="38.25" outlineLevel="1" x14ac:dyDescent="0.2">
      <c r="A1012" s="593" t="s">
        <v>582</v>
      </c>
      <c r="B1012" s="600" t="s">
        <v>1285</v>
      </c>
      <c r="C1012" s="7" t="s">
        <v>584</v>
      </c>
      <c r="D1012" s="8" t="s">
        <v>145</v>
      </c>
      <c r="E1012" s="23" t="s">
        <v>333</v>
      </c>
      <c r="F1012" s="8">
        <v>2013</v>
      </c>
      <c r="G1012" s="8">
        <v>2014</v>
      </c>
      <c r="H1012" s="5">
        <v>0.13300000000000001</v>
      </c>
      <c r="I1012" s="5">
        <v>0.01</v>
      </c>
      <c r="J1012" s="5">
        <f>R1012</f>
        <v>0.01</v>
      </c>
      <c r="K1012" s="23" t="s">
        <v>333</v>
      </c>
      <c r="L1012" s="8"/>
      <c r="M1012" s="8"/>
      <c r="N1012" s="8"/>
      <c r="O1012" s="8"/>
      <c r="P1012" s="8"/>
      <c r="Q1012" s="23" t="s">
        <v>333</v>
      </c>
      <c r="R1012" s="113">
        <v>0.01</v>
      </c>
      <c r="S1012" s="113"/>
      <c r="T1012" s="113"/>
      <c r="U1012" s="113"/>
      <c r="V1012" s="113"/>
      <c r="W1012" s="113"/>
      <c r="X1012" s="5">
        <f t="shared" si="182"/>
        <v>0.01</v>
      </c>
      <c r="Y1012" s="302">
        <f>H1012-H1013-H1014</f>
        <v>0</v>
      </c>
      <c r="Z1012" s="5">
        <f>I1012-I1013-I1014</f>
        <v>0</v>
      </c>
      <c r="AA1012" s="94">
        <f>J1012-J1013-J1014</f>
        <v>0</v>
      </c>
      <c r="AB1012" s="311">
        <f t="shared" si="180"/>
        <v>0</v>
      </c>
      <c r="AC1012" s="296"/>
      <c r="AD1012" s="113"/>
      <c r="AE1012" s="5"/>
      <c r="AF1012" s="5">
        <f>H1012</f>
        <v>0.13300000000000001</v>
      </c>
      <c r="AG1012" s="5"/>
      <c r="AH1012" s="5"/>
      <c r="AI1012" s="5"/>
      <c r="AJ1012" s="5"/>
      <c r="AK1012" s="141"/>
      <c r="AL1012" s="94">
        <f>SUM(AF1012:AK1012)</f>
        <v>0.13300000000000001</v>
      </c>
      <c r="AM1012" s="128">
        <v>0.3</v>
      </c>
      <c r="AN1012" s="180">
        <v>0</v>
      </c>
      <c r="AO1012" s="128"/>
      <c r="AP1012" s="184"/>
      <c r="AQ1012" s="128"/>
      <c r="AR1012" s="184"/>
      <c r="AS1012" s="128"/>
      <c r="AT1012" s="184"/>
      <c r="AU1012" s="128"/>
      <c r="AV1012" s="184"/>
      <c r="AW1012" s="128"/>
      <c r="AX1012" s="184"/>
      <c r="AY1012" s="111">
        <f>AM1012+AO1012+AQ1012+AS1012+AU1012+AW1012</f>
        <v>0.3</v>
      </c>
      <c r="AZ1012" s="178">
        <f>AN1012+AP1012+AR1012+AT1012+AV1012+AX1012</f>
        <v>0</v>
      </c>
      <c r="BC1012" s="47"/>
      <c r="BD1012" s="47"/>
      <c r="BF1012" s="113">
        <v>0.01</v>
      </c>
      <c r="BG1012" s="113"/>
      <c r="BH1012" s="113"/>
      <c r="BI1012" s="113"/>
      <c r="BJ1012" s="113"/>
      <c r="BK1012" s="113"/>
      <c r="BL1012" s="5">
        <f t="shared" si="181"/>
        <v>0.01</v>
      </c>
    </row>
    <row r="1013" spans="1:64" s="2" customFormat="1" ht="15.75" customHeight="1" outlineLevel="1" x14ac:dyDescent="0.2">
      <c r="A1013" s="594"/>
      <c r="B1013" s="601"/>
      <c r="C1013" s="7" t="s">
        <v>1553</v>
      </c>
      <c r="D1013" s="8"/>
      <c r="E1013" s="23"/>
      <c r="F1013" s="8"/>
      <c r="G1013" s="8"/>
      <c r="H1013" s="5">
        <v>0.13300000000000001</v>
      </c>
      <c r="I1013" s="5">
        <f>I1012</f>
        <v>0.01</v>
      </c>
      <c r="J1013" s="5">
        <f>R1012</f>
        <v>0.01</v>
      </c>
      <c r="K1013" s="8"/>
      <c r="L1013" s="23"/>
      <c r="M1013" s="8"/>
      <c r="N1013" s="8"/>
      <c r="O1013" s="8"/>
      <c r="P1013" s="8"/>
      <c r="Q1013" s="23"/>
      <c r="R1013" s="113"/>
      <c r="S1013" s="113"/>
      <c r="T1013" s="113"/>
      <c r="U1013" s="113"/>
      <c r="V1013" s="113"/>
      <c r="W1013" s="113"/>
      <c r="X1013" s="5">
        <f t="shared" si="182"/>
        <v>0</v>
      </c>
      <c r="Y1013" s="302"/>
      <c r="Z1013" s="5"/>
      <c r="AA1013" s="94"/>
      <c r="AB1013" s="311">
        <f t="shared" si="180"/>
        <v>0.01</v>
      </c>
      <c r="AC1013" s="296"/>
      <c r="AD1013" s="113"/>
      <c r="AE1013" s="5"/>
      <c r="AF1013" s="5"/>
      <c r="AG1013" s="5"/>
      <c r="AH1013" s="5"/>
      <c r="AI1013" s="5"/>
      <c r="AJ1013" s="5"/>
      <c r="AK1013" s="141"/>
      <c r="AL1013" s="94"/>
      <c r="AM1013" s="128"/>
      <c r="AN1013" s="180"/>
      <c r="AO1013" s="128"/>
      <c r="AP1013" s="184"/>
      <c r="AQ1013" s="128"/>
      <c r="AR1013" s="184"/>
      <c r="AS1013" s="128"/>
      <c r="AT1013" s="184"/>
      <c r="AU1013" s="128"/>
      <c r="AV1013" s="184"/>
      <c r="AW1013" s="128"/>
      <c r="AX1013" s="184"/>
      <c r="AY1013" s="111"/>
      <c r="AZ1013" s="178"/>
      <c r="BC1013" s="47"/>
      <c r="BD1013" s="47"/>
      <c r="BF1013" s="113"/>
      <c r="BG1013" s="113"/>
      <c r="BH1013" s="113"/>
      <c r="BI1013" s="113"/>
      <c r="BJ1013" s="113"/>
      <c r="BK1013" s="113"/>
      <c r="BL1013" s="5">
        <f t="shared" si="181"/>
        <v>0</v>
      </c>
    </row>
    <row r="1014" spans="1:64" s="2" customFormat="1" ht="15.75" customHeight="1" outlineLevel="1" x14ac:dyDescent="0.2">
      <c r="A1014" s="595"/>
      <c r="B1014" s="602"/>
      <c r="C1014" s="7" t="s">
        <v>1554</v>
      </c>
      <c r="D1014" s="8"/>
      <c r="E1014" s="23"/>
      <c r="F1014" s="8"/>
      <c r="G1014" s="8"/>
      <c r="H1014" s="5"/>
      <c r="I1014" s="5"/>
      <c r="J1014" s="5"/>
      <c r="K1014" s="23"/>
      <c r="L1014" s="8"/>
      <c r="M1014" s="8"/>
      <c r="N1014" s="8"/>
      <c r="O1014" s="8"/>
      <c r="P1014" s="8"/>
      <c r="Q1014" s="23"/>
      <c r="R1014" s="113"/>
      <c r="S1014" s="113"/>
      <c r="T1014" s="113"/>
      <c r="U1014" s="113"/>
      <c r="V1014" s="113"/>
      <c r="W1014" s="113"/>
      <c r="X1014" s="5">
        <f t="shared" si="182"/>
        <v>0</v>
      </c>
      <c r="Y1014" s="302"/>
      <c r="Z1014" s="5"/>
      <c r="AA1014" s="94"/>
      <c r="AB1014" s="311">
        <f t="shared" si="180"/>
        <v>0</v>
      </c>
      <c r="AC1014" s="296"/>
      <c r="AD1014" s="113"/>
      <c r="AE1014" s="5"/>
      <c r="AF1014" s="5"/>
      <c r="AG1014" s="5"/>
      <c r="AH1014" s="5"/>
      <c r="AI1014" s="5"/>
      <c r="AJ1014" s="5"/>
      <c r="AK1014" s="141"/>
      <c r="AL1014" s="94"/>
      <c r="AM1014" s="128"/>
      <c r="AN1014" s="180"/>
      <c r="AO1014" s="128"/>
      <c r="AP1014" s="184"/>
      <c r="AQ1014" s="128"/>
      <c r="AR1014" s="184"/>
      <c r="AS1014" s="128"/>
      <c r="AT1014" s="184"/>
      <c r="AU1014" s="128"/>
      <c r="AV1014" s="184"/>
      <c r="AW1014" s="128"/>
      <c r="AX1014" s="184"/>
      <c r="AY1014" s="111"/>
      <c r="AZ1014" s="178"/>
      <c r="BC1014" s="47"/>
      <c r="BD1014" s="47"/>
      <c r="BF1014" s="113"/>
      <c r="BG1014" s="113"/>
      <c r="BH1014" s="113"/>
      <c r="BI1014" s="113"/>
      <c r="BJ1014" s="113"/>
      <c r="BK1014" s="113"/>
      <c r="BL1014" s="5">
        <f t="shared" si="181"/>
        <v>0</v>
      </c>
    </row>
    <row r="1015" spans="1:64" s="2" customFormat="1" ht="38.25" outlineLevel="1" x14ac:dyDescent="0.2">
      <c r="A1015" s="593" t="s">
        <v>585</v>
      </c>
      <c r="B1015" s="600" t="s">
        <v>1287</v>
      </c>
      <c r="C1015" s="7" t="s">
        <v>587</v>
      </c>
      <c r="D1015" s="8" t="s">
        <v>145</v>
      </c>
      <c r="E1015" s="23" t="s">
        <v>1387</v>
      </c>
      <c r="F1015" s="8">
        <v>2013</v>
      </c>
      <c r="G1015" s="8">
        <v>2014</v>
      </c>
      <c r="H1015" s="5">
        <v>0.55800000000000005</v>
      </c>
      <c r="I1015" s="5">
        <v>0.01</v>
      </c>
      <c r="J1015" s="5">
        <f>R1015</f>
        <v>0.01</v>
      </c>
      <c r="K1015" s="23" t="s">
        <v>1387</v>
      </c>
      <c r="L1015" s="8"/>
      <c r="M1015" s="8"/>
      <c r="N1015" s="8"/>
      <c r="O1015" s="8"/>
      <c r="P1015" s="8"/>
      <c r="Q1015" s="23" t="s">
        <v>1387</v>
      </c>
      <c r="R1015" s="113">
        <v>0.01</v>
      </c>
      <c r="S1015" s="113"/>
      <c r="T1015" s="113"/>
      <c r="U1015" s="113"/>
      <c r="V1015" s="113"/>
      <c r="W1015" s="113"/>
      <c r="X1015" s="5">
        <f t="shared" si="182"/>
        <v>0.01</v>
      </c>
      <c r="Y1015" s="302">
        <f>H1015-H1016-H1017</f>
        <v>0</v>
      </c>
      <c r="Z1015" s="5">
        <f>I1015-I1016-I1017</f>
        <v>0</v>
      </c>
      <c r="AA1015" s="94">
        <f>J1015-J1016-J1017</f>
        <v>0</v>
      </c>
      <c r="AB1015" s="311">
        <f t="shared" si="180"/>
        <v>0</v>
      </c>
      <c r="AC1015" s="296"/>
      <c r="AD1015" s="113"/>
      <c r="AE1015" s="5"/>
      <c r="AF1015" s="5">
        <f>H1015</f>
        <v>0.55800000000000005</v>
      </c>
      <c r="AG1015" s="5"/>
      <c r="AH1015" s="5"/>
      <c r="AI1015" s="5"/>
      <c r="AJ1015" s="5"/>
      <c r="AK1015" s="141"/>
      <c r="AL1015" s="94">
        <f>SUM(AF1015:AK1015)</f>
        <v>0.55800000000000005</v>
      </c>
      <c r="AM1015" s="128">
        <v>0.5</v>
      </c>
      <c r="AN1015" s="180">
        <v>0</v>
      </c>
      <c r="AO1015" s="128"/>
      <c r="AP1015" s="184"/>
      <c r="AQ1015" s="128"/>
      <c r="AR1015" s="184"/>
      <c r="AS1015" s="128"/>
      <c r="AT1015" s="184"/>
      <c r="AU1015" s="128"/>
      <c r="AV1015" s="184"/>
      <c r="AW1015" s="128"/>
      <c r="AX1015" s="184"/>
      <c r="AY1015" s="111">
        <f>AM1015+AO1015+AQ1015+AS1015+AU1015+AW1015</f>
        <v>0.5</v>
      </c>
      <c r="AZ1015" s="178">
        <f>AN1015+AP1015+AR1015+AT1015+AV1015+AX1015</f>
        <v>0</v>
      </c>
      <c r="BC1015" s="47"/>
      <c r="BD1015" s="47"/>
      <c r="BF1015" s="113">
        <v>0.01</v>
      </c>
      <c r="BG1015" s="113"/>
      <c r="BH1015" s="113"/>
      <c r="BI1015" s="113"/>
      <c r="BJ1015" s="113"/>
      <c r="BK1015" s="113"/>
      <c r="BL1015" s="5">
        <f t="shared" si="181"/>
        <v>0.01</v>
      </c>
    </row>
    <row r="1016" spans="1:64" s="2" customFormat="1" ht="15.75" customHeight="1" outlineLevel="1" x14ac:dyDescent="0.2">
      <c r="A1016" s="594"/>
      <c r="B1016" s="601"/>
      <c r="C1016" s="7" t="s">
        <v>1553</v>
      </c>
      <c r="D1016" s="8"/>
      <c r="E1016" s="23"/>
      <c r="F1016" s="8"/>
      <c r="G1016" s="8"/>
      <c r="H1016" s="5"/>
      <c r="I1016" s="5"/>
      <c r="J1016" s="5"/>
      <c r="K1016" s="8"/>
      <c r="L1016" s="23"/>
      <c r="M1016" s="8"/>
      <c r="N1016" s="8"/>
      <c r="O1016" s="8"/>
      <c r="P1016" s="8"/>
      <c r="Q1016" s="23"/>
      <c r="R1016" s="113"/>
      <c r="S1016" s="113"/>
      <c r="T1016" s="113"/>
      <c r="U1016" s="113"/>
      <c r="V1016" s="113"/>
      <c r="W1016" s="113"/>
      <c r="X1016" s="5">
        <f>SUM(R1016:W1016)</f>
        <v>0</v>
      </c>
      <c r="Y1016" s="302"/>
      <c r="Z1016" s="5"/>
      <c r="AA1016" s="94"/>
      <c r="AB1016" s="311">
        <f t="shared" si="180"/>
        <v>0</v>
      </c>
      <c r="AC1016" s="296"/>
      <c r="AD1016" s="113"/>
      <c r="AE1016" s="5"/>
      <c r="AF1016" s="5"/>
      <c r="AG1016" s="5"/>
      <c r="AH1016" s="5"/>
      <c r="AI1016" s="5"/>
      <c r="AJ1016" s="5"/>
      <c r="AK1016" s="141"/>
      <c r="AL1016" s="94"/>
      <c r="AM1016" s="128"/>
      <c r="AN1016" s="180"/>
      <c r="AO1016" s="128"/>
      <c r="AP1016" s="184"/>
      <c r="AQ1016" s="128"/>
      <c r="AR1016" s="184"/>
      <c r="AS1016" s="128"/>
      <c r="AT1016" s="184"/>
      <c r="AU1016" s="128"/>
      <c r="AV1016" s="184"/>
      <c r="AW1016" s="128"/>
      <c r="AX1016" s="184"/>
      <c r="AY1016" s="111"/>
      <c r="AZ1016" s="178"/>
      <c r="BC1016" s="47"/>
      <c r="BD1016" s="47"/>
      <c r="BF1016" s="113"/>
      <c r="BG1016" s="113"/>
      <c r="BH1016" s="113"/>
      <c r="BI1016" s="113"/>
      <c r="BJ1016" s="113"/>
      <c r="BK1016" s="113"/>
      <c r="BL1016" s="5">
        <f t="shared" si="181"/>
        <v>0</v>
      </c>
    </row>
    <row r="1017" spans="1:64" s="2" customFormat="1" ht="15.75" customHeight="1" outlineLevel="1" x14ac:dyDescent="0.2">
      <c r="A1017" s="595"/>
      <c r="B1017" s="602"/>
      <c r="C1017" s="7" t="s">
        <v>1554</v>
      </c>
      <c r="D1017" s="8"/>
      <c r="E1017" s="23"/>
      <c r="F1017" s="8"/>
      <c r="G1017" s="8"/>
      <c r="H1017" s="5">
        <v>0.55800000000000005</v>
      </c>
      <c r="I1017" s="5">
        <f>I1015</f>
        <v>0.01</v>
      </c>
      <c r="J1017" s="5">
        <v>0.01</v>
      </c>
      <c r="K1017" s="23"/>
      <c r="L1017" s="8"/>
      <c r="M1017" s="8"/>
      <c r="N1017" s="8"/>
      <c r="O1017" s="8"/>
      <c r="P1017" s="8"/>
      <c r="Q1017" s="23"/>
      <c r="R1017" s="113"/>
      <c r="S1017" s="113"/>
      <c r="T1017" s="113"/>
      <c r="U1017" s="113"/>
      <c r="V1017" s="113"/>
      <c r="W1017" s="113"/>
      <c r="X1017" s="5">
        <f>SUM(R1017:W1017)</f>
        <v>0</v>
      </c>
      <c r="Y1017" s="302"/>
      <c r="Z1017" s="5"/>
      <c r="AA1017" s="94"/>
      <c r="AB1017" s="311">
        <f t="shared" si="180"/>
        <v>0.01</v>
      </c>
      <c r="AC1017" s="296"/>
      <c r="AD1017" s="113"/>
      <c r="AE1017" s="5"/>
      <c r="AF1017" s="5"/>
      <c r="AG1017" s="5"/>
      <c r="AH1017" s="5"/>
      <c r="AI1017" s="5"/>
      <c r="AJ1017" s="5"/>
      <c r="AK1017" s="141"/>
      <c r="AL1017" s="94"/>
      <c r="AM1017" s="128"/>
      <c r="AN1017" s="180"/>
      <c r="AO1017" s="128"/>
      <c r="AP1017" s="184"/>
      <c r="AQ1017" s="128"/>
      <c r="AR1017" s="184"/>
      <c r="AS1017" s="128"/>
      <c r="AT1017" s="184"/>
      <c r="AU1017" s="128"/>
      <c r="AV1017" s="184"/>
      <c r="AW1017" s="128"/>
      <c r="AX1017" s="184"/>
      <c r="AY1017" s="111"/>
      <c r="AZ1017" s="178"/>
      <c r="BC1017" s="47"/>
      <c r="BD1017" s="47"/>
      <c r="BF1017" s="113"/>
      <c r="BG1017" s="113"/>
      <c r="BH1017" s="113"/>
      <c r="BI1017" s="113"/>
      <c r="BJ1017" s="113"/>
      <c r="BK1017" s="113"/>
      <c r="BL1017" s="5">
        <f t="shared" si="181"/>
        <v>0</v>
      </c>
    </row>
    <row r="1018" spans="1:64" s="2" customFormat="1" ht="51" outlineLevel="1" x14ac:dyDescent="0.2">
      <c r="A1018" s="593" t="s">
        <v>588</v>
      </c>
      <c r="B1018" s="600" t="s">
        <v>1290</v>
      </c>
      <c r="C1018" s="7" t="s">
        <v>590</v>
      </c>
      <c r="D1018" s="8" t="s">
        <v>145</v>
      </c>
      <c r="E1018" s="23" t="s">
        <v>335</v>
      </c>
      <c r="F1018" s="8">
        <v>2013</v>
      </c>
      <c r="G1018" s="8">
        <v>2014</v>
      </c>
      <c r="H1018" s="5">
        <v>0.33700000000000002</v>
      </c>
      <c r="I1018" s="5">
        <v>0.01</v>
      </c>
      <c r="J1018" s="5">
        <f>R1018</f>
        <v>0.01</v>
      </c>
      <c r="K1018" s="23" t="s">
        <v>335</v>
      </c>
      <c r="L1018" s="8"/>
      <c r="M1018" s="8"/>
      <c r="N1018" s="8"/>
      <c r="O1018" s="8"/>
      <c r="P1018" s="8"/>
      <c r="Q1018" s="23" t="s">
        <v>335</v>
      </c>
      <c r="R1018" s="113">
        <v>0.01</v>
      </c>
      <c r="S1018" s="113"/>
      <c r="T1018" s="113"/>
      <c r="U1018" s="113"/>
      <c r="V1018" s="113"/>
      <c r="W1018" s="113"/>
      <c r="X1018" s="5">
        <f t="shared" si="182"/>
        <v>0.01</v>
      </c>
      <c r="Y1018" s="302">
        <f>H1018-H1019-H1020</f>
        <v>0</v>
      </c>
      <c r="Z1018" s="5">
        <f>I1018-I1019-I1020</f>
        <v>0</v>
      </c>
      <c r="AA1018" s="94">
        <f>J1018-J1019-J1020</f>
        <v>0</v>
      </c>
      <c r="AB1018" s="311">
        <f t="shared" si="180"/>
        <v>0</v>
      </c>
      <c r="AC1018" s="296"/>
      <c r="AD1018" s="113"/>
      <c r="AE1018" s="5"/>
      <c r="AF1018" s="5">
        <f>H1018</f>
        <v>0.33700000000000002</v>
      </c>
      <c r="AG1018" s="5"/>
      <c r="AH1018" s="5"/>
      <c r="AI1018" s="5"/>
      <c r="AJ1018" s="5"/>
      <c r="AK1018" s="141"/>
      <c r="AL1018" s="94">
        <f>SUM(AF1018:AK1018)</f>
        <v>0.33700000000000002</v>
      </c>
      <c r="AM1018" s="128">
        <v>0.1</v>
      </c>
      <c r="AN1018" s="180">
        <v>0</v>
      </c>
      <c r="AO1018" s="128"/>
      <c r="AP1018" s="184"/>
      <c r="AQ1018" s="128"/>
      <c r="AR1018" s="184"/>
      <c r="AS1018" s="128"/>
      <c r="AT1018" s="184"/>
      <c r="AU1018" s="128"/>
      <c r="AV1018" s="184"/>
      <c r="AW1018" s="128"/>
      <c r="AX1018" s="184"/>
      <c r="AY1018" s="111">
        <f>AM1018+AO1018+AQ1018+AS1018+AU1018+AW1018</f>
        <v>0.1</v>
      </c>
      <c r="AZ1018" s="178">
        <f>AN1018+AP1018+AR1018+AT1018+AV1018+AX1018</f>
        <v>0</v>
      </c>
      <c r="BC1018" s="47"/>
      <c r="BD1018" s="47"/>
      <c r="BF1018" s="113">
        <v>0.01</v>
      </c>
      <c r="BG1018" s="113"/>
      <c r="BH1018" s="113"/>
      <c r="BI1018" s="113"/>
      <c r="BJ1018" s="113"/>
      <c r="BK1018" s="113"/>
      <c r="BL1018" s="5">
        <f t="shared" si="181"/>
        <v>0.01</v>
      </c>
    </row>
    <row r="1019" spans="1:64" s="2" customFormat="1" ht="15.75" customHeight="1" outlineLevel="1" x14ac:dyDescent="0.2">
      <c r="A1019" s="594"/>
      <c r="B1019" s="601"/>
      <c r="C1019" s="7" t="s">
        <v>1553</v>
      </c>
      <c r="D1019" s="8"/>
      <c r="E1019" s="23"/>
      <c r="F1019" s="8"/>
      <c r="G1019" s="8"/>
      <c r="H1019" s="5"/>
      <c r="I1019" s="5"/>
      <c r="J1019" s="5"/>
      <c r="K1019" s="8"/>
      <c r="L1019" s="23"/>
      <c r="M1019" s="8"/>
      <c r="N1019" s="8"/>
      <c r="O1019" s="8"/>
      <c r="P1019" s="8"/>
      <c r="Q1019" s="23"/>
      <c r="R1019" s="113"/>
      <c r="S1019" s="113"/>
      <c r="T1019" s="113"/>
      <c r="U1019" s="113"/>
      <c r="V1019" s="113"/>
      <c r="W1019" s="113"/>
      <c r="X1019" s="5">
        <f t="shared" si="182"/>
        <v>0</v>
      </c>
      <c r="Y1019" s="302"/>
      <c r="Z1019" s="5"/>
      <c r="AA1019" s="94"/>
      <c r="AB1019" s="311">
        <f t="shared" si="180"/>
        <v>0</v>
      </c>
      <c r="AC1019" s="296"/>
      <c r="AD1019" s="113"/>
      <c r="AE1019" s="5"/>
      <c r="AF1019" s="5"/>
      <c r="AG1019" s="5"/>
      <c r="AH1019" s="5"/>
      <c r="AI1019" s="5"/>
      <c r="AJ1019" s="5"/>
      <c r="AK1019" s="141"/>
      <c r="AL1019" s="94"/>
      <c r="AM1019" s="128"/>
      <c r="AN1019" s="180"/>
      <c r="AO1019" s="128"/>
      <c r="AP1019" s="184"/>
      <c r="AQ1019" s="128"/>
      <c r="AR1019" s="184"/>
      <c r="AS1019" s="128"/>
      <c r="AT1019" s="184"/>
      <c r="AU1019" s="128"/>
      <c r="AV1019" s="184"/>
      <c r="AW1019" s="128"/>
      <c r="AX1019" s="184"/>
      <c r="AY1019" s="111"/>
      <c r="AZ1019" s="178"/>
      <c r="BC1019" s="47"/>
      <c r="BD1019" s="47"/>
      <c r="BF1019" s="113"/>
      <c r="BG1019" s="113"/>
      <c r="BH1019" s="113"/>
      <c r="BI1019" s="113"/>
      <c r="BJ1019" s="113"/>
      <c r="BK1019" s="113"/>
      <c r="BL1019" s="5">
        <f t="shared" si="181"/>
        <v>0</v>
      </c>
    </row>
    <row r="1020" spans="1:64" s="2" customFormat="1" ht="15.75" customHeight="1" outlineLevel="1" x14ac:dyDescent="0.2">
      <c r="A1020" s="595"/>
      <c r="B1020" s="602"/>
      <c r="C1020" s="7" t="s">
        <v>1554</v>
      </c>
      <c r="D1020" s="8"/>
      <c r="E1020" s="23"/>
      <c r="F1020" s="8"/>
      <c r="G1020" s="8"/>
      <c r="H1020" s="5">
        <v>0.33700000000000002</v>
      </c>
      <c r="I1020" s="5">
        <f>I1018</f>
        <v>0.01</v>
      </c>
      <c r="J1020" s="5">
        <v>0.01</v>
      </c>
      <c r="K1020" s="23"/>
      <c r="L1020" s="8"/>
      <c r="M1020" s="8"/>
      <c r="N1020" s="8"/>
      <c r="O1020" s="8"/>
      <c r="P1020" s="8"/>
      <c r="Q1020" s="23"/>
      <c r="R1020" s="113"/>
      <c r="S1020" s="113"/>
      <c r="T1020" s="113"/>
      <c r="U1020" s="113"/>
      <c r="V1020" s="113"/>
      <c r="W1020" s="113"/>
      <c r="X1020" s="5">
        <f t="shared" si="182"/>
        <v>0</v>
      </c>
      <c r="Y1020" s="302"/>
      <c r="Z1020" s="5"/>
      <c r="AA1020" s="94"/>
      <c r="AB1020" s="311">
        <f t="shared" si="180"/>
        <v>0.01</v>
      </c>
      <c r="AC1020" s="296"/>
      <c r="AD1020" s="113"/>
      <c r="AE1020" s="5"/>
      <c r="AF1020" s="5"/>
      <c r="AG1020" s="5"/>
      <c r="AH1020" s="5"/>
      <c r="AI1020" s="5"/>
      <c r="AJ1020" s="5"/>
      <c r="AK1020" s="141"/>
      <c r="AL1020" s="94"/>
      <c r="AM1020" s="128"/>
      <c r="AN1020" s="180"/>
      <c r="AO1020" s="128"/>
      <c r="AP1020" s="184"/>
      <c r="AQ1020" s="128"/>
      <c r="AR1020" s="184"/>
      <c r="AS1020" s="128"/>
      <c r="AT1020" s="184"/>
      <c r="AU1020" s="128"/>
      <c r="AV1020" s="184"/>
      <c r="AW1020" s="128"/>
      <c r="AX1020" s="184"/>
      <c r="AY1020" s="111"/>
      <c r="AZ1020" s="178"/>
      <c r="BC1020" s="47"/>
      <c r="BD1020" s="47"/>
      <c r="BF1020" s="113"/>
      <c r="BG1020" s="113"/>
      <c r="BH1020" s="113"/>
      <c r="BI1020" s="113"/>
      <c r="BJ1020" s="113"/>
      <c r="BK1020" s="113"/>
      <c r="BL1020" s="5">
        <f t="shared" si="181"/>
        <v>0</v>
      </c>
    </row>
    <row r="1021" spans="1:64" s="2" customFormat="1" ht="63.75" outlineLevel="1" x14ac:dyDescent="0.2">
      <c r="A1021" s="593" t="s">
        <v>591</v>
      </c>
      <c r="B1021" s="600" t="s">
        <v>577</v>
      </c>
      <c r="C1021" s="7" t="s">
        <v>593</v>
      </c>
      <c r="D1021" s="8" t="s">
        <v>145</v>
      </c>
      <c r="E1021" s="23" t="s">
        <v>1241</v>
      </c>
      <c r="F1021" s="8">
        <v>2013</v>
      </c>
      <c r="G1021" s="8">
        <v>2014</v>
      </c>
      <c r="H1021" s="5">
        <v>7.4999999999999997E-2</v>
      </c>
      <c r="I1021" s="5">
        <v>0.01</v>
      </c>
      <c r="J1021" s="5">
        <f>R1021</f>
        <v>0.01</v>
      </c>
      <c r="K1021" s="23" t="s">
        <v>1241</v>
      </c>
      <c r="L1021" s="8"/>
      <c r="M1021" s="8"/>
      <c r="N1021" s="8"/>
      <c r="O1021" s="8"/>
      <c r="P1021" s="8"/>
      <c r="Q1021" s="23" t="s">
        <v>1241</v>
      </c>
      <c r="R1021" s="113">
        <v>0.01</v>
      </c>
      <c r="S1021" s="113"/>
      <c r="T1021" s="113"/>
      <c r="U1021" s="113"/>
      <c r="V1021" s="113"/>
      <c r="W1021" s="113"/>
      <c r="X1021" s="5">
        <f t="shared" si="182"/>
        <v>0.01</v>
      </c>
      <c r="Y1021" s="302">
        <f>H1021-H1022-H1023</f>
        <v>0</v>
      </c>
      <c r="Z1021" s="5">
        <f>I1021-I1022-I1023</f>
        <v>0</v>
      </c>
      <c r="AA1021" s="94">
        <f>J1021-J1022-J1023</f>
        <v>0</v>
      </c>
      <c r="AB1021" s="311">
        <f t="shared" si="180"/>
        <v>0</v>
      </c>
      <c r="AC1021" s="296"/>
      <c r="AD1021" s="113"/>
      <c r="AE1021" s="5"/>
      <c r="AF1021" s="5">
        <f>H1021</f>
        <v>7.4999999999999997E-2</v>
      </c>
      <c r="AG1021" s="5"/>
      <c r="AH1021" s="5"/>
      <c r="AI1021" s="5"/>
      <c r="AJ1021" s="5"/>
      <c r="AK1021" s="141"/>
      <c r="AL1021" s="94">
        <f>SUM(AF1021:AK1021)</f>
        <v>7.4999999999999997E-2</v>
      </c>
      <c r="AM1021" s="128">
        <v>0</v>
      </c>
      <c r="AN1021" s="180">
        <v>0</v>
      </c>
      <c r="AO1021" s="128"/>
      <c r="AP1021" s="184"/>
      <c r="AQ1021" s="128"/>
      <c r="AR1021" s="184"/>
      <c r="AS1021" s="128"/>
      <c r="AT1021" s="184"/>
      <c r="AU1021" s="128"/>
      <c r="AV1021" s="184"/>
      <c r="AW1021" s="128"/>
      <c r="AX1021" s="184"/>
      <c r="AY1021" s="111">
        <f>AM1021+AO1021+AQ1021+AS1021+AU1021+AW1021</f>
        <v>0</v>
      </c>
      <c r="AZ1021" s="178">
        <f>AN1021+AP1021+AR1021+AT1021+AV1021+AX1021</f>
        <v>0</v>
      </c>
      <c r="BC1021" s="47"/>
      <c r="BD1021" s="47"/>
      <c r="BF1021" s="113">
        <v>0.01</v>
      </c>
      <c r="BG1021" s="113"/>
      <c r="BH1021" s="113"/>
      <c r="BI1021" s="113"/>
      <c r="BJ1021" s="113"/>
      <c r="BK1021" s="113"/>
      <c r="BL1021" s="5">
        <f t="shared" si="181"/>
        <v>0.01</v>
      </c>
    </row>
    <row r="1022" spans="1:64" s="2" customFormat="1" ht="14.1" customHeight="1" outlineLevel="1" x14ac:dyDescent="0.2">
      <c r="A1022" s="594"/>
      <c r="B1022" s="601"/>
      <c r="C1022" s="7" t="s">
        <v>1553</v>
      </c>
      <c r="D1022" s="8"/>
      <c r="E1022" s="23"/>
      <c r="F1022" s="8"/>
      <c r="G1022" s="8"/>
      <c r="H1022" s="5"/>
      <c r="I1022" s="5"/>
      <c r="J1022" s="5"/>
      <c r="K1022" s="8"/>
      <c r="L1022" s="23"/>
      <c r="M1022" s="8"/>
      <c r="N1022" s="8"/>
      <c r="O1022" s="8"/>
      <c r="P1022" s="8"/>
      <c r="Q1022" s="23"/>
      <c r="R1022" s="113"/>
      <c r="S1022" s="113"/>
      <c r="T1022" s="113"/>
      <c r="U1022" s="113"/>
      <c r="V1022" s="113"/>
      <c r="W1022" s="113"/>
      <c r="X1022" s="5">
        <f>SUM(R1022:W1022)</f>
        <v>0</v>
      </c>
      <c r="Y1022" s="302"/>
      <c r="Z1022" s="5"/>
      <c r="AA1022" s="94"/>
      <c r="AB1022" s="311">
        <f t="shared" si="180"/>
        <v>0</v>
      </c>
      <c r="AC1022" s="296"/>
      <c r="AD1022" s="113"/>
      <c r="AE1022" s="5"/>
      <c r="AF1022" s="5"/>
      <c r="AG1022" s="5"/>
      <c r="AH1022" s="5"/>
      <c r="AI1022" s="5"/>
      <c r="AJ1022" s="5"/>
      <c r="AK1022" s="141"/>
      <c r="AL1022" s="94"/>
      <c r="AM1022" s="128"/>
      <c r="AN1022" s="180"/>
      <c r="AO1022" s="128"/>
      <c r="AP1022" s="184"/>
      <c r="AQ1022" s="128"/>
      <c r="AR1022" s="184"/>
      <c r="AS1022" s="128"/>
      <c r="AT1022" s="184"/>
      <c r="AU1022" s="128"/>
      <c r="AV1022" s="184"/>
      <c r="AW1022" s="128"/>
      <c r="AX1022" s="184"/>
      <c r="AY1022" s="111"/>
      <c r="AZ1022" s="178"/>
      <c r="BC1022" s="47"/>
      <c r="BD1022" s="47"/>
      <c r="BF1022" s="113"/>
      <c r="BG1022" s="113"/>
      <c r="BH1022" s="113"/>
      <c r="BI1022" s="113"/>
      <c r="BJ1022" s="113"/>
      <c r="BK1022" s="113"/>
      <c r="BL1022" s="5">
        <f t="shared" si="181"/>
        <v>0</v>
      </c>
    </row>
    <row r="1023" spans="1:64" s="2" customFormat="1" ht="14.1" customHeight="1" outlineLevel="1" x14ac:dyDescent="0.2">
      <c r="A1023" s="595"/>
      <c r="B1023" s="602"/>
      <c r="C1023" s="7" t="s">
        <v>1554</v>
      </c>
      <c r="D1023" s="8"/>
      <c r="E1023" s="23"/>
      <c r="F1023" s="8"/>
      <c r="G1023" s="8"/>
      <c r="H1023" s="5">
        <v>7.4999999999999997E-2</v>
      </c>
      <c r="I1023" s="5">
        <f>I1021</f>
        <v>0.01</v>
      </c>
      <c r="J1023" s="5">
        <v>0.01</v>
      </c>
      <c r="K1023" s="23"/>
      <c r="L1023" s="8"/>
      <c r="M1023" s="8"/>
      <c r="N1023" s="8"/>
      <c r="O1023" s="8"/>
      <c r="P1023" s="8"/>
      <c r="Q1023" s="23"/>
      <c r="R1023" s="113"/>
      <c r="S1023" s="113"/>
      <c r="T1023" s="113"/>
      <c r="U1023" s="113"/>
      <c r="V1023" s="113"/>
      <c r="W1023" s="113"/>
      <c r="X1023" s="5">
        <f>SUM(R1023:W1023)</f>
        <v>0</v>
      </c>
      <c r="Y1023" s="302"/>
      <c r="Z1023" s="5"/>
      <c r="AA1023" s="94"/>
      <c r="AB1023" s="311">
        <f t="shared" si="180"/>
        <v>0.01</v>
      </c>
      <c r="AC1023" s="296"/>
      <c r="AD1023" s="113"/>
      <c r="AE1023" s="5"/>
      <c r="AF1023" s="5"/>
      <c r="AG1023" s="5"/>
      <c r="AH1023" s="5"/>
      <c r="AI1023" s="5"/>
      <c r="AJ1023" s="5"/>
      <c r="AK1023" s="141"/>
      <c r="AL1023" s="94"/>
      <c r="AM1023" s="128"/>
      <c r="AN1023" s="180"/>
      <c r="AO1023" s="128"/>
      <c r="AP1023" s="184"/>
      <c r="AQ1023" s="128"/>
      <c r="AR1023" s="184"/>
      <c r="AS1023" s="128"/>
      <c r="AT1023" s="184"/>
      <c r="AU1023" s="128"/>
      <c r="AV1023" s="184"/>
      <c r="AW1023" s="128"/>
      <c r="AX1023" s="184"/>
      <c r="AY1023" s="111"/>
      <c r="AZ1023" s="178"/>
      <c r="BC1023" s="47"/>
      <c r="BD1023" s="47"/>
      <c r="BF1023" s="113"/>
      <c r="BG1023" s="113"/>
      <c r="BH1023" s="113"/>
      <c r="BI1023" s="113"/>
      <c r="BJ1023" s="113"/>
      <c r="BK1023" s="113"/>
      <c r="BL1023" s="5">
        <f t="shared" si="181"/>
        <v>0</v>
      </c>
    </row>
    <row r="1024" spans="1:64" s="2" customFormat="1" ht="51" outlineLevel="1" x14ac:dyDescent="0.2">
      <c r="A1024" s="593" t="s">
        <v>1952</v>
      </c>
      <c r="B1024" s="600" t="s">
        <v>580</v>
      </c>
      <c r="C1024" s="7" t="s">
        <v>1954</v>
      </c>
      <c r="D1024" s="8" t="s">
        <v>145</v>
      </c>
      <c r="E1024" s="23" t="s">
        <v>1241</v>
      </c>
      <c r="F1024" s="8">
        <v>2013</v>
      </c>
      <c r="G1024" s="8">
        <v>2014</v>
      </c>
      <c r="H1024" s="5">
        <v>6.921049E-2</v>
      </c>
      <c r="I1024" s="5">
        <v>0.01</v>
      </c>
      <c r="J1024" s="5">
        <f>R1024</f>
        <v>0.01</v>
      </c>
      <c r="K1024" s="23" t="s">
        <v>1241</v>
      </c>
      <c r="L1024" s="8"/>
      <c r="M1024" s="8"/>
      <c r="N1024" s="8"/>
      <c r="O1024" s="8"/>
      <c r="P1024" s="8"/>
      <c r="Q1024" s="23" t="s">
        <v>1241</v>
      </c>
      <c r="R1024" s="113">
        <v>0.01</v>
      </c>
      <c r="S1024" s="113"/>
      <c r="T1024" s="113"/>
      <c r="U1024" s="113"/>
      <c r="V1024" s="113"/>
      <c r="W1024" s="113"/>
      <c r="X1024" s="5">
        <f t="shared" si="182"/>
        <v>0.01</v>
      </c>
      <c r="Y1024" s="302">
        <f>H1024-H1025-H1026</f>
        <v>0</v>
      </c>
      <c r="Z1024" s="5">
        <f>I1024-I1025-I1026</f>
        <v>0</v>
      </c>
      <c r="AA1024" s="94">
        <f>J1024-J1025-J1026</f>
        <v>0</v>
      </c>
      <c r="AB1024" s="311">
        <f t="shared" si="180"/>
        <v>0</v>
      </c>
      <c r="AC1024" s="296"/>
      <c r="AD1024" s="113"/>
      <c r="AE1024" s="5"/>
      <c r="AF1024" s="5">
        <f>H1024</f>
        <v>6.921049E-2</v>
      </c>
      <c r="AG1024" s="5"/>
      <c r="AH1024" s="5"/>
      <c r="AI1024" s="5"/>
      <c r="AJ1024" s="5"/>
      <c r="AK1024" s="141"/>
      <c r="AL1024" s="94">
        <f>SUM(AF1024:AK1024)</f>
        <v>6.921049E-2</v>
      </c>
      <c r="AM1024" s="128">
        <v>0</v>
      </c>
      <c r="AN1024" s="180">
        <v>0</v>
      </c>
      <c r="AO1024" s="128"/>
      <c r="AP1024" s="184"/>
      <c r="AQ1024" s="128"/>
      <c r="AR1024" s="184"/>
      <c r="AS1024" s="128"/>
      <c r="AT1024" s="184"/>
      <c r="AU1024" s="128"/>
      <c r="AV1024" s="184"/>
      <c r="AW1024" s="128"/>
      <c r="AX1024" s="184"/>
      <c r="AY1024" s="111">
        <f>AM1024+AO1024+AQ1024+AS1024+AU1024+AW1024</f>
        <v>0</v>
      </c>
      <c r="AZ1024" s="178">
        <f>AN1024+AP1024+AR1024+AT1024+AV1024+AX1024</f>
        <v>0</v>
      </c>
      <c r="BC1024" s="47"/>
      <c r="BD1024" s="47"/>
      <c r="BF1024" s="113">
        <v>0.01</v>
      </c>
      <c r="BG1024" s="113"/>
      <c r="BH1024" s="113"/>
      <c r="BI1024" s="113"/>
      <c r="BJ1024" s="113"/>
      <c r="BK1024" s="113"/>
      <c r="BL1024" s="5">
        <f t="shared" si="181"/>
        <v>0.01</v>
      </c>
    </row>
    <row r="1025" spans="1:64" s="2" customFormat="1" ht="14.1" customHeight="1" outlineLevel="1" x14ac:dyDescent="0.2">
      <c r="A1025" s="594"/>
      <c r="B1025" s="601"/>
      <c r="C1025" s="7" t="s">
        <v>1553</v>
      </c>
      <c r="D1025" s="8"/>
      <c r="E1025" s="23"/>
      <c r="F1025" s="8"/>
      <c r="G1025" s="8"/>
      <c r="H1025" s="5">
        <f>H1024</f>
        <v>6.921049E-2</v>
      </c>
      <c r="I1025" s="5">
        <f>I1024</f>
        <v>0.01</v>
      </c>
      <c r="J1025" s="5">
        <f>J1024</f>
        <v>0.01</v>
      </c>
      <c r="K1025" s="8"/>
      <c r="L1025" s="23"/>
      <c r="M1025" s="8"/>
      <c r="N1025" s="8"/>
      <c r="O1025" s="8"/>
      <c r="P1025" s="8"/>
      <c r="Q1025" s="23"/>
      <c r="R1025" s="113"/>
      <c r="S1025" s="113"/>
      <c r="T1025" s="113"/>
      <c r="U1025" s="113"/>
      <c r="V1025" s="113"/>
      <c r="W1025" s="113"/>
      <c r="X1025" s="5">
        <f t="shared" si="182"/>
        <v>0</v>
      </c>
      <c r="Y1025" s="302"/>
      <c r="Z1025" s="5"/>
      <c r="AA1025" s="94"/>
      <c r="AB1025" s="311">
        <f t="shared" si="180"/>
        <v>0.01</v>
      </c>
      <c r="AC1025" s="296"/>
      <c r="AD1025" s="113"/>
      <c r="AE1025" s="5"/>
      <c r="AF1025" s="5"/>
      <c r="AG1025" s="5"/>
      <c r="AH1025" s="5"/>
      <c r="AI1025" s="5"/>
      <c r="AJ1025" s="5"/>
      <c r="AK1025" s="141"/>
      <c r="AL1025" s="94"/>
      <c r="AM1025" s="128"/>
      <c r="AN1025" s="180"/>
      <c r="AO1025" s="128"/>
      <c r="AP1025" s="184"/>
      <c r="AQ1025" s="128"/>
      <c r="AR1025" s="184"/>
      <c r="AS1025" s="128"/>
      <c r="AT1025" s="184"/>
      <c r="AU1025" s="128"/>
      <c r="AV1025" s="184"/>
      <c r="AW1025" s="128"/>
      <c r="AX1025" s="184"/>
      <c r="AY1025" s="111"/>
      <c r="AZ1025" s="178"/>
      <c r="BC1025" s="47"/>
      <c r="BD1025" s="47"/>
      <c r="BF1025" s="113"/>
      <c r="BG1025" s="113"/>
      <c r="BH1025" s="113"/>
      <c r="BI1025" s="113"/>
      <c r="BJ1025" s="113"/>
      <c r="BK1025" s="113"/>
      <c r="BL1025" s="5">
        <f t="shared" si="181"/>
        <v>0</v>
      </c>
    </row>
    <row r="1026" spans="1:64" s="2" customFormat="1" ht="14.1" customHeight="1" outlineLevel="1" x14ac:dyDescent="0.2">
      <c r="A1026" s="595"/>
      <c r="B1026" s="602"/>
      <c r="C1026" s="7" t="s">
        <v>1554</v>
      </c>
      <c r="D1026" s="8"/>
      <c r="E1026" s="23"/>
      <c r="F1026" s="8"/>
      <c r="G1026" s="8"/>
      <c r="H1026" s="5"/>
      <c r="I1026" s="5"/>
      <c r="J1026" s="5"/>
      <c r="K1026" s="23"/>
      <c r="L1026" s="8"/>
      <c r="M1026" s="8"/>
      <c r="N1026" s="8"/>
      <c r="O1026" s="8"/>
      <c r="P1026" s="8"/>
      <c r="Q1026" s="23"/>
      <c r="R1026" s="113"/>
      <c r="S1026" s="113"/>
      <c r="T1026" s="113"/>
      <c r="U1026" s="113"/>
      <c r="V1026" s="113"/>
      <c r="W1026" s="113"/>
      <c r="X1026" s="5">
        <f t="shared" si="182"/>
        <v>0</v>
      </c>
      <c r="Y1026" s="302"/>
      <c r="Z1026" s="5"/>
      <c r="AA1026" s="94"/>
      <c r="AB1026" s="311">
        <f t="shared" si="180"/>
        <v>0</v>
      </c>
      <c r="AC1026" s="296"/>
      <c r="AD1026" s="113"/>
      <c r="AE1026" s="5"/>
      <c r="AF1026" s="5"/>
      <c r="AG1026" s="5"/>
      <c r="AH1026" s="5"/>
      <c r="AI1026" s="5"/>
      <c r="AJ1026" s="5"/>
      <c r="AK1026" s="141"/>
      <c r="AL1026" s="94"/>
      <c r="AM1026" s="128"/>
      <c r="AN1026" s="180"/>
      <c r="AO1026" s="128"/>
      <c r="AP1026" s="184"/>
      <c r="AQ1026" s="128"/>
      <c r="AR1026" s="184"/>
      <c r="AS1026" s="128"/>
      <c r="AT1026" s="184"/>
      <c r="AU1026" s="128"/>
      <c r="AV1026" s="184"/>
      <c r="AW1026" s="128"/>
      <c r="AX1026" s="184"/>
      <c r="AY1026" s="111"/>
      <c r="AZ1026" s="178"/>
      <c r="BC1026" s="47"/>
      <c r="BD1026" s="47"/>
      <c r="BF1026" s="113"/>
      <c r="BG1026" s="113"/>
      <c r="BH1026" s="113"/>
      <c r="BI1026" s="113"/>
      <c r="BJ1026" s="113"/>
      <c r="BK1026" s="113"/>
      <c r="BL1026" s="5">
        <f t="shared" si="181"/>
        <v>0</v>
      </c>
    </row>
    <row r="1027" spans="1:64" s="2" customFormat="1" ht="25.5" customHeight="1" outlineLevel="1" x14ac:dyDescent="0.2">
      <c r="A1027" s="593" t="s">
        <v>1955</v>
      </c>
      <c r="B1027" s="600" t="s">
        <v>583</v>
      </c>
      <c r="C1027" s="7" t="s">
        <v>1957</v>
      </c>
      <c r="D1027" s="8" t="s">
        <v>145</v>
      </c>
      <c r="E1027" s="8" t="s">
        <v>1387</v>
      </c>
      <c r="F1027" s="8">
        <v>2013</v>
      </c>
      <c r="G1027" s="8">
        <v>2015</v>
      </c>
      <c r="H1027" s="5">
        <v>1.5254237288135595</v>
      </c>
      <c r="I1027" s="5">
        <v>1.5254237288135595</v>
      </c>
      <c r="J1027" s="5">
        <f>R1027</f>
        <v>0.01</v>
      </c>
      <c r="K1027" s="8"/>
      <c r="L1027" s="8" t="s">
        <v>1387</v>
      </c>
      <c r="M1027" s="8"/>
      <c r="N1027" s="8"/>
      <c r="O1027" s="8"/>
      <c r="P1027" s="8"/>
      <c r="Q1027" s="8" t="s">
        <v>1387</v>
      </c>
      <c r="R1027" s="113">
        <v>0.01</v>
      </c>
      <c r="S1027" s="113"/>
      <c r="T1027" s="113"/>
      <c r="U1027" s="113"/>
      <c r="V1027" s="113"/>
      <c r="W1027" s="113"/>
      <c r="X1027" s="5">
        <f t="shared" si="182"/>
        <v>0.01</v>
      </c>
      <c r="Y1027" s="302">
        <f>H1027-H1028-H1029</f>
        <v>0</v>
      </c>
      <c r="Z1027" s="5">
        <f>I1027-I1028-I1029</f>
        <v>0</v>
      </c>
      <c r="AA1027" s="94">
        <f>J1027-J1028-J1029</f>
        <v>0</v>
      </c>
      <c r="AB1027" s="311">
        <f t="shared" si="180"/>
        <v>1.5154237288135595</v>
      </c>
      <c r="AC1027" s="296"/>
      <c r="AD1027" s="113"/>
      <c r="AE1027" s="5"/>
      <c r="AF1027" s="5"/>
      <c r="AG1027" s="5">
        <f>H1027</f>
        <v>1.5254237288135595</v>
      </c>
      <c r="AH1027" s="5"/>
      <c r="AI1027" s="5"/>
      <c r="AJ1027" s="5"/>
      <c r="AK1027" s="141"/>
      <c r="AL1027" s="94">
        <f>SUM(AF1027:AK1027)</f>
        <v>1.5254237288135595</v>
      </c>
      <c r="AM1027" s="128"/>
      <c r="AN1027" s="180"/>
      <c r="AO1027" s="128">
        <v>0.5</v>
      </c>
      <c r="AP1027" s="184">
        <v>0</v>
      </c>
      <c r="AQ1027" s="128"/>
      <c r="AR1027" s="184"/>
      <c r="AS1027" s="128"/>
      <c r="AT1027" s="184"/>
      <c r="AU1027" s="128"/>
      <c r="AV1027" s="184"/>
      <c r="AW1027" s="128"/>
      <c r="AX1027" s="184"/>
      <c r="AY1027" s="111">
        <f>AM1027+AO1027+AQ1027+AS1027+AU1027+AW1027</f>
        <v>0.5</v>
      </c>
      <c r="AZ1027" s="178">
        <f>AN1027+AP1027+AR1027+AT1027+AV1027+AX1027</f>
        <v>0</v>
      </c>
      <c r="BC1027" s="47"/>
      <c r="BD1027" s="47"/>
      <c r="BF1027" s="113">
        <v>0.01</v>
      </c>
      <c r="BG1027" s="113"/>
      <c r="BH1027" s="113"/>
      <c r="BI1027" s="113"/>
      <c r="BJ1027" s="113"/>
      <c r="BK1027" s="113"/>
      <c r="BL1027" s="5">
        <f t="shared" si="181"/>
        <v>0.01</v>
      </c>
    </row>
    <row r="1028" spans="1:64" s="2" customFormat="1" ht="14.1" customHeight="1" outlineLevel="1" x14ac:dyDescent="0.2">
      <c r="A1028" s="594"/>
      <c r="B1028" s="601"/>
      <c r="C1028" s="7" t="s">
        <v>1553</v>
      </c>
      <c r="D1028" s="8"/>
      <c r="E1028" s="23"/>
      <c r="F1028" s="8"/>
      <c r="G1028" s="8"/>
      <c r="H1028" s="5"/>
      <c r="I1028" s="5"/>
      <c r="J1028" s="5"/>
      <c r="K1028" s="8"/>
      <c r="L1028" s="23"/>
      <c r="M1028" s="8"/>
      <c r="N1028" s="8"/>
      <c r="O1028" s="8"/>
      <c r="P1028" s="8"/>
      <c r="Q1028" s="23"/>
      <c r="R1028" s="113"/>
      <c r="S1028" s="113"/>
      <c r="T1028" s="113"/>
      <c r="U1028" s="113"/>
      <c r="V1028" s="113"/>
      <c r="W1028" s="113"/>
      <c r="X1028" s="5">
        <f>SUM(R1028:W1028)</f>
        <v>0</v>
      </c>
      <c r="Y1028" s="302"/>
      <c r="Z1028" s="5"/>
      <c r="AA1028" s="94"/>
      <c r="AB1028" s="311">
        <f t="shared" si="180"/>
        <v>0</v>
      </c>
      <c r="AC1028" s="296"/>
      <c r="AD1028" s="113"/>
      <c r="AE1028" s="5"/>
      <c r="AF1028" s="5"/>
      <c r="AG1028" s="5"/>
      <c r="AH1028" s="5"/>
      <c r="AI1028" s="5"/>
      <c r="AJ1028" s="5"/>
      <c r="AK1028" s="141"/>
      <c r="AL1028" s="94"/>
      <c r="AM1028" s="128"/>
      <c r="AN1028" s="180"/>
      <c r="AO1028" s="128"/>
      <c r="AP1028" s="184"/>
      <c r="AQ1028" s="128"/>
      <c r="AR1028" s="184"/>
      <c r="AS1028" s="128"/>
      <c r="AT1028" s="184"/>
      <c r="AU1028" s="128"/>
      <c r="AV1028" s="184"/>
      <c r="AW1028" s="128"/>
      <c r="AX1028" s="184"/>
      <c r="AY1028" s="111"/>
      <c r="AZ1028" s="178"/>
      <c r="BC1028" s="47"/>
      <c r="BD1028" s="47"/>
      <c r="BF1028" s="113"/>
      <c r="BG1028" s="113"/>
      <c r="BH1028" s="113"/>
      <c r="BI1028" s="113"/>
      <c r="BJ1028" s="113"/>
      <c r="BK1028" s="113"/>
      <c r="BL1028" s="5">
        <f t="shared" si="181"/>
        <v>0</v>
      </c>
    </row>
    <row r="1029" spans="1:64" s="2" customFormat="1" ht="14.1" customHeight="1" outlineLevel="1" x14ac:dyDescent="0.2">
      <c r="A1029" s="595"/>
      <c r="B1029" s="602"/>
      <c r="C1029" s="7" t="s">
        <v>1554</v>
      </c>
      <c r="D1029" s="8"/>
      <c r="E1029" s="23"/>
      <c r="F1029" s="8"/>
      <c r="G1029" s="8"/>
      <c r="H1029" s="5">
        <v>1.5254237288135595</v>
      </c>
      <c r="I1029" s="5">
        <v>1.5254237288135595</v>
      </c>
      <c r="J1029" s="5">
        <v>0.01</v>
      </c>
      <c r="K1029" s="23"/>
      <c r="L1029" s="8"/>
      <c r="M1029" s="8"/>
      <c r="N1029" s="8"/>
      <c r="O1029" s="8"/>
      <c r="P1029" s="8"/>
      <c r="Q1029" s="23"/>
      <c r="R1029" s="113"/>
      <c r="S1029" s="113"/>
      <c r="T1029" s="113"/>
      <c r="U1029" s="113"/>
      <c r="V1029" s="113"/>
      <c r="W1029" s="113"/>
      <c r="X1029" s="5">
        <f>SUM(R1029:W1029)</f>
        <v>0</v>
      </c>
      <c r="Y1029" s="302"/>
      <c r="Z1029" s="5"/>
      <c r="AA1029" s="94"/>
      <c r="AB1029" s="311">
        <f t="shared" si="180"/>
        <v>1.5254237288135595</v>
      </c>
      <c r="AC1029" s="296"/>
      <c r="AD1029" s="113"/>
      <c r="AE1029" s="5"/>
      <c r="AF1029" s="5"/>
      <c r="AG1029" s="5"/>
      <c r="AH1029" s="5"/>
      <c r="AI1029" s="5"/>
      <c r="AJ1029" s="5"/>
      <c r="AK1029" s="141"/>
      <c r="AL1029" s="94"/>
      <c r="AM1029" s="128"/>
      <c r="AN1029" s="180"/>
      <c r="AO1029" s="128"/>
      <c r="AP1029" s="184"/>
      <c r="AQ1029" s="128"/>
      <c r="AR1029" s="184"/>
      <c r="AS1029" s="128"/>
      <c r="AT1029" s="184"/>
      <c r="AU1029" s="128"/>
      <c r="AV1029" s="184"/>
      <c r="AW1029" s="128"/>
      <c r="AX1029" s="184"/>
      <c r="AY1029" s="111"/>
      <c r="AZ1029" s="178"/>
      <c r="BC1029" s="47"/>
      <c r="BD1029" s="47"/>
      <c r="BF1029" s="113"/>
      <c r="BG1029" s="113"/>
      <c r="BH1029" s="113"/>
      <c r="BI1029" s="113"/>
      <c r="BJ1029" s="113"/>
      <c r="BK1029" s="113"/>
      <c r="BL1029" s="5">
        <f t="shared" si="181"/>
        <v>0</v>
      </c>
    </row>
    <row r="1030" spans="1:64" s="2" customFormat="1" ht="38.25" outlineLevel="1" x14ac:dyDescent="0.2">
      <c r="A1030" s="593" t="s">
        <v>1958</v>
      </c>
      <c r="B1030" s="600" t="s">
        <v>586</v>
      </c>
      <c r="C1030" s="7" t="s">
        <v>1960</v>
      </c>
      <c r="D1030" s="8" t="s">
        <v>145</v>
      </c>
      <c r="E1030" s="23" t="s">
        <v>1241</v>
      </c>
      <c r="F1030" s="8">
        <v>2013</v>
      </c>
      <c r="G1030" s="8">
        <v>2014</v>
      </c>
      <c r="H1030" s="5">
        <v>0.55300000000000005</v>
      </c>
      <c r="I1030" s="5">
        <v>0.55300000000000005</v>
      </c>
      <c r="J1030" s="5">
        <f>R1030</f>
        <v>0.55300000000000005</v>
      </c>
      <c r="K1030" s="23" t="s">
        <v>1241</v>
      </c>
      <c r="L1030" s="8"/>
      <c r="M1030" s="8"/>
      <c r="N1030" s="8"/>
      <c r="O1030" s="8"/>
      <c r="P1030" s="8"/>
      <c r="Q1030" s="23" t="s">
        <v>1241</v>
      </c>
      <c r="R1030" s="286">
        <v>0.55300000000000005</v>
      </c>
      <c r="S1030" s="113"/>
      <c r="T1030" s="113"/>
      <c r="U1030" s="113"/>
      <c r="V1030" s="113"/>
      <c r="W1030" s="113"/>
      <c r="X1030" s="5">
        <f t="shared" si="182"/>
        <v>0.55300000000000005</v>
      </c>
      <c r="Y1030" s="302">
        <f>H1030-H1031-H1032</f>
        <v>0</v>
      </c>
      <c r="Z1030" s="5">
        <f>I1030-I1031-I1032</f>
        <v>0</v>
      </c>
      <c r="AA1030" s="94">
        <f>J1030-J1031-J1032</f>
        <v>0</v>
      </c>
      <c r="AB1030" s="311">
        <f t="shared" si="180"/>
        <v>0</v>
      </c>
      <c r="AC1030" s="296"/>
      <c r="AD1030" s="113"/>
      <c r="AE1030" s="5"/>
      <c r="AF1030" s="5">
        <f>H1030</f>
        <v>0.55300000000000005</v>
      </c>
      <c r="AG1030" s="5"/>
      <c r="AH1030" s="5"/>
      <c r="AI1030" s="5"/>
      <c r="AJ1030" s="5"/>
      <c r="AK1030" s="141"/>
      <c r="AL1030" s="94">
        <f>SUM(AF1030:AK1030)</f>
        <v>0.55300000000000005</v>
      </c>
      <c r="AM1030" s="128">
        <v>0</v>
      </c>
      <c r="AN1030" s="180">
        <v>0</v>
      </c>
      <c r="AO1030" s="128"/>
      <c r="AP1030" s="184"/>
      <c r="AQ1030" s="128"/>
      <c r="AR1030" s="184"/>
      <c r="AS1030" s="128"/>
      <c r="AT1030" s="184"/>
      <c r="AU1030" s="128"/>
      <c r="AV1030" s="184"/>
      <c r="AW1030" s="128"/>
      <c r="AX1030" s="184"/>
      <c r="AY1030" s="111">
        <f>AM1030+AO1030+AQ1030+AS1030+AU1030+AW1030</f>
        <v>0</v>
      </c>
      <c r="AZ1030" s="178">
        <f>AN1030+AP1030+AR1030+AT1030+AV1030+AX1030</f>
        <v>0</v>
      </c>
      <c r="BC1030" s="47"/>
      <c r="BD1030" s="47"/>
      <c r="BF1030" s="113">
        <v>0</v>
      </c>
      <c r="BG1030" s="113"/>
      <c r="BH1030" s="113"/>
      <c r="BI1030" s="113"/>
      <c r="BJ1030" s="113"/>
      <c r="BK1030" s="113"/>
      <c r="BL1030" s="5">
        <f t="shared" si="181"/>
        <v>0</v>
      </c>
    </row>
    <row r="1031" spans="1:64" s="2" customFormat="1" ht="15.75" customHeight="1" outlineLevel="1" x14ac:dyDescent="0.2">
      <c r="A1031" s="594"/>
      <c r="B1031" s="601"/>
      <c r="C1031" s="7" t="s">
        <v>1553</v>
      </c>
      <c r="D1031" s="8"/>
      <c r="E1031" s="23"/>
      <c r="F1031" s="8"/>
      <c r="G1031" s="8"/>
      <c r="H1031" s="5">
        <f>H1030</f>
        <v>0.55300000000000005</v>
      </c>
      <c r="I1031" s="5">
        <f>I1030</f>
        <v>0.55300000000000005</v>
      </c>
      <c r="J1031" s="5">
        <f>J1030</f>
        <v>0.55300000000000005</v>
      </c>
      <c r="K1031" s="8"/>
      <c r="L1031" s="23"/>
      <c r="M1031" s="8"/>
      <c r="N1031" s="8"/>
      <c r="O1031" s="8"/>
      <c r="P1031" s="8"/>
      <c r="Q1031" s="23"/>
      <c r="R1031" s="113"/>
      <c r="S1031" s="113"/>
      <c r="T1031" s="113"/>
      <c r="U1031" s="113"/>
      <c r="V1031" s="113"/>
      <c r="W1031" s="113"/>
      <c r="X1031" s="5">
        <f t="shared" si="182"/>
        <v>0</v>
      </c>
      <c r="Y1031" s="302"/>
      <c r="Z1031" s="5"/>
      <c r="AA1031" s="94"/>
      <c r="AB1031" s="311">
        <f t="shared" si="180"/>
        <v>0.55300000000000005</v>
      </c>
      <c r="AC1031" s="296"/>
      <c r="AD1031" s="113"/>
      <c r="AE1031" s="5"/>
      <c r="AF1031" s="5"/>
      <c r="AG1031" s="5"/>
      <c r="AH1031" s="5"/>
      <c r="AI1031" s="5"/>
      <c r="AJ1031" s="5"/>
      <c r="AK1031" s="141"/>
      <c r="AL1031" s="94"/>
      <c r="AM1031" s="128"/>
      <c r="AN1031" s="180"/>
      <c r="AO1031" s="128"/>
      <c r="AP1031" s="184"/>
      <c r="AQ1031" s="128"/>
      <c r="AR1031" s="184"/>
      <c r="AS1031" s="128"/>
      <c r="AT1031" s="184"/>
      <c r="AU1031" s="128"/>
      <c r="AV1031" s="184"/>
      <c r="AW1031" s="128"/>
      <c r="AX1031" s="184"/>
      <c r="AY1031" s="111"/>
      <c r="AZ1031" s="178"/>
      <c r="BC1031" s="47"/>
      <c r="BD1031" s="47"/>
      <c r="BF1031" s="113"/>
      <c r="BG1031" s="113"/>
      <c r="BH1031" s="113"/>
      <c r="BI1031" s="113"/>
      <c r="BJ1031" s="113"/>
      <c r="BK1031" s="113"/>
      <c r="BL1031" s="5">
        <f t="shared" si="181"/>
        <v>0</v>
      </c>
    </row>
    <row r="1032" spans="1:64" s="2" customFormat="1" ht="15.75" customHeight="1" outlineLevel="1" x14ac:dyDescent="0.2">
      <c r="A1032" s="595"/>
      <c r="B1032" s="602"/>
      <c r="C1032" s="7" t="s">
        <v>1554</v>
      </c>
      <c r="D1032" s="8"/>
      <c r="E1032" s="23"/>
      <c r="F1032" s="8"/>
      <c r="G1032" s="8"/>
      <c r="H1032" s="5"/>
      <c r="I1032" s="5"/>
      <c r="J1032" s="5"/>
      <c r="K1032" s="23"/>
      <c r="L1032" s="8"/>
      <c r="M1032" s="8"/>
      <c r="N1032" s="8"/>
      <c r="O1032" s="8"/>
      <c r="P1032" s="8"/>
      <c r="Q1032" s="23"/>
      <c r="R1032" s="113"/>
      <c r="S1032" s="113"/>
      <c r="T1032" s="113"/>
      <c r="U1032" s="113"/>
      <c r="V1032" s="113"/>
      <c r="W1032" s="113"/>
      <c r="X1032" s="5">
        <f t="shared" si="182"/>
        <v>0</v>
      </c>
      <c r="Y1032" s="302"/>
      <c r="Z1032" s="5"/>
      <c r="AA1032" s="94"/>
      <c r="AB1032" s="311">
        <f t="shared" si="180"/>
        <v>0</v>
      </c>
      <c r="AC1032" s="296"/>
      <c r="AD1032" s="113"/>
      <c r="AE1032" s="5"/>
      <c r="AF1032" s="5"/>
      <c r="AG1032" s="5"/>
      <c r="AH1032" s="5"/>
      <c r="AI1032" s="5"/>
      <c r="AJ1032" s="5"/>
      <c r="AK1032" s="141"/>
      <c r="AL1032" s="94"/>
      <c r="AM1032" s="128"/>
      <c r="AN1032" s="180"/>
      <c r="AO1032" s="128"/>
      <c r="AP1032" s="184"/>
      <c r="AQ1032" s="128"/>
      <c r="AR1032" s="184"/>
      <c r="AS1032" s="128"/>
      <c r="AT1032" s="184"/>
      <c r="AU1032" s="128"/>
      <c r="AV1032" s="184"/>
      <c r="AW1032" s="128"/>
      <c r="AX1032" s="184"/>
      <c r="AY1032" s="111"/>
      <c r="AZ1032" s="178"/>
      <c r="BC1032" s="47"/>
      <c r="BD1032" s="47"/>
      <c r="BF1032" s="113"/>
      <c r="BG1032" s="113"/>
      <c r="BH1032" s="113"/>
      <c r="BI1032" s="113"/>
      <c r="BJ1032" s="113"/>
      <c r="BK1032" s="113"/>
      <c r="BL1032" s="5">
        <f t="shared" si="181"/>
        <v>0</v>
      </c>
    </row>
    <row r="1033" spans="1:64" s="2" customFormat="1" ht="41.25" customHeight="1" outlineLevel="1" x14ac:dyDescent="0.2">
      <c r="A1033" s="593" t="s">
        <v>1961</v>
      </c>
      <c r="B1033" s="600" t="s">
        <v>589</v>
      </c>
      <c r="C1033" s="7" t="s">
        <v>1963</v>
      </c>
      <c r="D1033" s="8" t="s">
        <v>145</v>
      </c>
      <c r="E1033" s="23" t="s">
        <v>1387</v>
      </c>
      <c r="F1033" s="8">
        <v>2013</v>
      </c>
      <c r="G1033" s="8">
        <v>2014</v>
      </c>
      <c r="H1033" s="5">
        <v>1.1579999999999999</v>
      </c>
      <c r="I1033" s="5">
        <v>0.01</v>
      </c>
      <c r="J1033" s="5">
        <f>R1033</f>
        <v>0.01</v>
      </c>
      <c r="K1033" s="23" t="s">
        <v>1387</v>
      </c>
      <c r="L1033" s="8"/>
      <c r="M1033" s="8"/>
      <c r="N1033" s="8"/>
      <c r="O1033" s="8"/>
      <c r="P1033" s="8"/>
      <c r="Q1033" s="23" t="s">
        <v>1387</v>
      </c>
      <c r="R1033" s="113">
        <v>0.01</v>
      </c>
      <c r="S1033" s="113"/>
      <c r="T1033" s="113"/>
      <c r="U1033" s="113"/>
      <c r="V1033" s="113"/>
      <c r="W1033" s="113"/>
      <c r="X1033" s="5">
        <f t="shared" si="182"/>
        <v>0.01</v>
      </c>
      <c r="Y1033" s="302">
        <f>H1033-H1034-H1035</f>
        <v>0</v>
      </c>
      <c r="Z1033" s="5">
        <f>I1033-I1034-I1035</f>
        <v>0</v>
      </c>
      <c r="AA1033" s="94">
        <f>J1033-J1034-J1035</f>
        <v>0</v>
      </c>
      <c r="AB1033" s="311">
        <f t="shared" si="180"/>
        <v>0</v>
      </c>
      <c r="AC1033" s="296"/>
      <c r="AD1033" s="113"/>
      <c r="AE1033" s="5"/>
      <c r="AF1033" s="5">
        <f>H1033</f>
        <v>1.1579999999999999</v>
      </c>
      <c r="AG1033" s="5"/>
      <c r="AH1033" s="5"/>
      <c r="AI1033" s="5"/>
      <c r="AJ1033" s="5"/>
      <c r="AK1033" s="141"/>
      <c r="AL1033" s="94">
        <f>SUM(AF1033:AK1033)</f>
        <v>1.1579999999999999</v>
      </c>
      <c r="AM1033" s="128">
        <v>0.5</v>
      </c>
      <c r="AN1033" s="180">
        <v>0</v>
      </c>
      <c r="AO1033" s="128"/>
      <c r="AP1033" s="184"/>
      <c r="AQ1033" s="128"/>
      <c r="AR1033" s="184"/>
      <c r="AS1033" s="128"/>
      <c r="AT1033" s="184"/>
      <c r="AU1033" s="128"/>
      <c r="AV1033" s="184"/>
      <c r="AW1033" s="128"/>
      <c r="AX1033" s="184"/>
      <c r="AY1033" s="111">
        <f>AM1033+AO1033+AQ1033+AS1033+AU1033+AW1033</f>
        <v>0.5</v>
      </c>
      <c r="AZ1033" s="178">
        <f>AN1033+AP1033+AR1033+AT1033+AV1033+AX1033</f>
        <v>0</v>
      </c>
      <c r="BC1033" s="47"/>
      <c r="BD1033" s="47"/>
      <c r="BF1033" s="113">
        <v>0.01</v>
      </c>
      <c r="BG1033" s="113"/>
      <c r="BH1033" s="113"/>
      <c r="BI1033" s="113"/>
      <c r="BJ1033" s="113"/>
      <c r="BK1033" s="113"/>
      <c r="BL1033" s="5">
        <f t="shared" si="181"/>
        <v>0.01</v>
      </c>
    </row>
    <row r="1034" spans="1:64" s="2" customFormat="1" ht="14.1" customHeight="1" outlineLevel="1" x14ac:dyDescent="0.2">
      <c r="A1034" s="594"/>
      <c r="B1034" s="601"/>
      <c r="C1034" s="7" t="s">
        <v>1553</v>
      </c>
      <c r="D1034" s="8"/>
      <c r="E1034" s="23"/>
      <c r="F1034" s="8"/>
      <c r="G1034" s="8"/>
      <c r="H1034" s="5">
        <f>H1033</f>
        <v>1.1579999999999999</v>
      </c>
      <c r="I1034" s="5">
        <f>I1033</f>
        <v>0.01</v>
      </c>
      <c r="J1034" s="5">
        <f>J1033</f>
        <v>0.01</v>
      </c>
      <c r="K1034" s="8"/>
      <c r="L1034" s="23"/>
      <c r="M1034" s="8"/>
      <c r="N1034" s="8"/>
      <c r="O1034" s="8"/>
      <c r="P1034" s="8"/>
      <c r="Q1034" s="23"/>
      <c r="R1034" s="113"/>
      <c r="S1034" s="113"/>
      <c r="T1034" s="113"/>
      <c r="U1034" s="113"/>
      <c r="V1034" s="113"/>
      <c r="W1034" s="113"/>
      <c r="X1034" s="5">
        <f>SUM(R1034:W1034)</f>
        <v>0</v>
      </c>
      <c r="Y1034" s="302"/>
      <c r="Z1034" s="5"/>
      <c r="AA1034" s="94"/>
      <c r="AB1034" s="311">
        <f t="shared" si="180"/>
        <v>0.01</v>
      </c>
      <c r="AC1034" s="296"/>
      <c r="AD1034" s="113"/>
      <c r="AE1034" s="5"/>
      <c r="AF1034" s="5"/>
      <c r="AG1034" s="5"/>
      <c r="AH1034" s="5"/>
      <c r="AI1034" s="5"/>
      <c r="AJ1034" s="5"/>
      <c r="AK1034" s="141"/>
      <c r="AL1034" s="94"/>
      <c r="AM1034" s="128"/>
      <c r="AN1034" s="180"/>
      <c r="AO1034" s="128"/>
      <c r="AP1034" s="184"/>
      <c r="AQ1034" s="128"/>
      <c r="AR1034" s="184"/>
      <c r="AS1034" s="128"/>
      <c r="AT1034" s="184"/>
      <c r="AU1034" s="128"/>
      <c r="AV1034" s="184"/>
      <c r="AW1034" s="128"/>
      <c r="AX1034" s="184"/>
      <c r="AY1034" s="111"/>
      <c r="AZ1034" s="178"/>
      <c r="BC1034" s="47"/>
      <c r="BD1034" s="47"/>
      <c r="BF1034" s="113"/>
      <c r="BG1034" s="113"/>
      <c r="BH1034" s="113"/>
      <c r="BI1034" s="113"/>
      <c r="BJ1034" s="113"/>
      <c r="BK1034" s="113"/>
      <c r="BL1034" s="5">
        <f t="shared" si="181"/>
        <v>0</v>
      </c>
    </row>
    <row r="1035" spans="1:64" s="2" customFormat="1" ht="14.1" customHeight="1" outlineLevel="1" x14ac:dyDescent="0.2">
      <c r="A1035" s="595"/>
      <c r="B1035" s="602"/>
      <c r="C1035" s="7" t="s">
        <v>1554</v>
      </c>
      <c r="D1035" s="8"/>
      <c r="E1035" s="23"/>
      <c r="F1035" s="8"/>
      <c r="G1035" s="8"/>
      <c r="H1035" s="5"/>
      <c r="I1035" s="5"/>
      <c r="J1035" s="5"/>
      <c r="K1035" s="23"/>
      <c r="L1035" s="8"/>
      <c r="M1035" s="8"/>
      <c r="N1035" s="8"/>
      <c r="O1035" s="8"/>
      <c r="P1035" s="8"/>
      <c r="Q1035" s="23"/>
      <c r="R1035" s="113"/>
      <c r="S1035" s="113"/>
      <c r="T1035" s="113"/>
      <c r="U1035" s="113"/>
      <c r="V1035" s="113"/>
      <c r="W1035" s="113"/>
      <c r="X1035" s="5">
        <f>SUM(R1035:W1035)</f>
        <v>0</v>
      </c>
      <c r="Y1035" s="302"/>
      <c r="Z1035" s="5"/>
      <c r="AA1035" s="94"/>
      <c r="AB1035" s="311">
        <f t="shared" si="180"/>
        <v>0</v>
      </c>
      <c r="AC1035" s="296"/>
      <c r="AD1035" s="113"/>
      <c r="AE1035" s="5"/>
      <c r="AF1035" s="5"/>
      <c r="AG1035" s="5"/>
      <c r="AH1035" s="5"/>
      <c r="AI1035" s="5"/>
      <c r="AJ1035" s="5"/>
      <c r="AK1035" s="141"/>
      <c r="AL1035" s="94"/>
      <c r="AM1035" s="128"/>
      <c r="AN1035" s="180"/>
      <c r="AO1035" s="128"/>
      <c r="AP1035" s="184"/>
      <c r="AQ1035" s="128"/>
      <c r="AR1035" s="184"/>
      <c r="AS1035" s="128"/>
      <c r="AT1035" s="184"/>
      <c r="AU1035" s="128"/>
      <c r="AV1035" s="184"/>
      <c r="AW1035" s="128"/>
      <c r="AX1035" s="184"/>
      <c r="AY1035" s="111"/>
      <c r="AZ1035" s="178"/>
      <c r="BC1035" s="47"/>
      <c r="BD1035" s="47"/>
      <c r="BF1035" s="113"/>
      <c r="BG1035" s="113"/>
      <c r="BH1035" s="113"/>
      <c r="BI1035" s="113"/>
      <c r="BJ1035" s="113"/>
      <c r="BK1035" s="113"/>
      <c r="BL1035" s="5">
        <f t="shared" si="181"/>
        <v>0</v>
      </c>
    </row>
    <row r="1036" spans="1:64" s="2" customFormat="1" ht="27.75" customHeight="1" outlineLevel="1" x14ac:dyDescent="0.2">
      <c r="A1036" s="593" t="s">
        <v>1964</v>
      </c>
      <c r="B1036" s="600" t="s">
        <v>592</v>
      </c>
      <c r="C1036" s="7" t="s">
        <v>1966</v>
      </c>
      <c r="D1036" s="8" t="s">
        <v>145</v>
      </c>
      <c r="E1036" s="23" t="s">
        <v>1241</v>
      </c>
      <c r="F1036" s="8">
        <v>2013</v>
      </c>
      <c r="G1036" s="8">
        <v>2014</v>
      </c>
      <c r="H1036" s="5">
        <v>0.15548000000000001</v>
      </c>
      <c r="I1036" s="5">
        <v>0.15548000000000001</v>
      </c>
      <c r="J1036" s="5">
        <f>R1036</f>
        <v>0.15548000000000001</v>
      </c>
      <c r="K1036" s="23" t="s">
        <v>1241</v>
      </c>
      <c r="L1036" s="8"/>
      <c r="M1036" s="8"/>
      <c r="N1036" s="8"/>
      <c r="O1036" s="8"/>
      <c r="P1036" s="8"/>
      <c r="Q1036" s="23" t="s">
        <v>1241</v>
      </c>
      <c r="R1036" s="286">
        <v>0.15548000000000001</v>
      </c>
      <c r="S1036" s="113"/>
      <c r="T1036" s="113"/>
      <c r="U1036" s="113"/>
      <c r="V1036" s="113"/>
      <c r="W1036" s="113"/>
      <c r="X1036" s="5">
        <f t="shared" si="182"/>
        <v>0.15548000000000001</v>
      </c>
      <c r="Y1036" s="302">
        <f>H1036-H1037-H1038</f>
        <v>0</v>
      </c>
      <c r="Z1036" s="5">
        <f>I1036-I1037-I1038</f>
        <v>0</v>
      </c>
      <c r="AA1036" s="94">
        <f>J1036-J1037-J1038</f>
        <v>0</v>
      </c>
      <c r="AB1036" s="311">
        <f t="shared" si="180"/>
        <v>0</v>
      </c>
      <c r="AC1036" s="296"/>
      <c r="AD1036" s="113"/>
      <c r="AE1036" s="5"/>
      <c r="AF1036" s="5">
        <f>H1036</f>
        <v>0.15548000000000001</v>
      </c>
      <c r="AG1036" s="5"/>
      <c r="AH1036" s="5"/>
      <c r="AI1036" s="5"/>
      <c r="AJ1036" s="5"/>
      <c r="AK1036" s="141"/>
      <c r="AL1036" s="94">
        <f>SUM(AF1036:AK1036)</f>
        <v>0.15548000000000001</v>
      </c>
      <c r="AM1036" s="128">
        <v>0</v>
      </c>
      <c r="AN1036" s="180">
        <v>0</v>
      </c>
      <c r="AO1036" s="128"/>
      <c r="AP1036" s="184"/>
      <c r="AQ1036" s="128"/>
      <c r="AR1036" s="184"/>
      <c r="AS1036" s="128"/>
      <c r="AT1036" s="184"/>
      <c r="AU1036" s="128"/>
      <c r="AV1036" s="184"/>
      <c r="AW1036" s="128"/>
      <c r="AX1036" s="184"/>
      <c r="AY1036" s="111">
        <f>AM1036+AO1036+AQ1036+AS1036+AU1036+AW1036</f>
        <v>0</v>
      </c>
      <c r="AZ1036" s="178">
        <f>AN1036+AP1036+AR1036+AT1036+AV1036+AX1036</f>
        <v>0</v>
      </c>
      <c r="BC1036" s="47"/>
      <c r="BD1036" s="47"/>
      <c r="BF1036" s="113">
        <v>0</v>
      </c>
      <c r="BG1036" s="113"/>
      <c r="BH1036" s="113"/>
      <c r="BI1036" s="113"/>
      <c r="BJ1036" s="113"/>
      <c r="BK1036" s="113"/>
      <c r="BL1036" s="5">
        <f t="shared" si="181"/>
        <v>0</v>
      </c>
    </row>
    <row r="1037" spans="1:64" s="2" customFormat="1" ht="14.1" customHeight="1" outlineLevel="1" x14ac:dyDescent="0.2">
      <c r="A1037" s="594"/>
      <c r="B1037" s="601"/>
      <c r="C1037" s="7" t="s">
        <v>1553</v>
      </c>
      <c r="D1037" s="8"/>
      <c r="E1037" s="23"/>
      <c r="F1037" s="8"/>
      <c r="G1037" s="8"/>
      <c r="H1037" s="5">
        <f>H1036</f>
        <v>0.15548000000000001</v>
      </c>
      <c r="I1037" s="5">
        <f>I1036</f>
        <v>0.15548000000000001</v>
      </c>
      <c r="J1037" s="5">
        <f>J1036</f>
        <v>0.15548000000000001</v>
      </c>
      <c r="K1037" s="8"/>
      <c r="L1037" s="23"/>
      <c r="M1037" s="8"/>
      <c r="N1037" s="8"/>
      <c r="O1037" s="8"/>
      <c r="P1037" s="8"/>
      <c r="Q1037" s="23"/>
      <c r="R1037" s="113"/>
      <c r="S1037" s="113"/>
      <c r="T1037" s="113"/>
      <c r="U1037" s="113"/>
      <c r="V1037" s="113"/>
      <c r="W1037" s="113"/>
      <c r="X1037" s="5">
        <f t="shared" si="182"/>
        <v>0</v>
      </c>
      <c r="Y1037" s="302"/>
      <c r="Z1037" s="5"/>
      <c r="AA1037" s="94"/>
      <c r="AB1037" s="311">
        <f t="shared" si="180"/>
        <v>0.15548000000000001</v>
      </c>
      <c r="AC1037" s="296"/>
      <c r="AD1037" s="113"/>
      <c r="AE1037" s="5"/>
      <c r="AF1037" s="5"/>
      <c r="AG1037" s="5"/>
      <c r="AH1037" s="5"/>
      <c r="AI1037" s="5"/>
      <c r="AJ1037" s="5"/>
      <c r="AK1037" s="141"/>
      <c r="AL1037" s="94"/>
      <c r="AM1037" s="128"/>
      <c r="AN1037" s="180"/>
      <c r="AO1037" s="128"/>
      <c r="AP1037" s="184"/>
      <c r="AQ1037" s="128"/>
      <c r="AR1037" s="184"/>
      <c r="AS1037" s="128"/>
      <c r="AT1037" s="184"/>
      <c r="AU1037" s="128"/>
      <c r="AV1037" s="184"/>
      <c r="AW1037" s="128"/>
      <c r="AX1037" s="184"/>
      <c r="AY1037" s="111"/>
      <c r="AZ1037" s="178"/>
      <c r="BC1037" s="47"/>
      <c r="BD1037" s="47"/>
      <c r="BF1037" s="113"/>
      <c r="BG1037" s="113"/>
      <c r="BH1037" s="113"/>
      <c r="BI1037" s="113"/>
      <c r="BJ1037" s="113"/>
      <c r="BK1037" s="113"/>
      <c r="BL1037" s="5">
        <f t="shared" si="181"/>
        <v>0</v>
      </c>
    </row>
    <row r="1038" spans="1:64" s="2" customFormat="1" ht="14.1" customHeight="1" outlineLevel="1" x14ac:dyDescent="0.2">
      <c r="A1038" s="595"/>
      <c r="B1038" s="602"/>
      <c r="C1038" s="7" t="s">
        <v>1554</v>
      </c>
      <c r="D1038" s="8"/>
      <c r="E1038" s="23"/>
      <c r="F1038" s="8"/>
      <c r="G1038" s="8"/>
      <c r="H1038" s="5"/>
      <c r="I1038" s="5"/>
      <c r="J1038" s="5"/>
      <c r="K1038" s="23"/>
      <c r="L1038" s="8"/>
      <c r="M1038" s="8"/>
      <c r="N1038" s="8"/>
      <c r="O1038" s="8"/>
      <c r="P1038" s="8"/>
      <c r="Q1038" s="23"/>
      <c r="R1038" s="113"/>
      <c r="S1038" s="113"/>
      <c r="T1038" s="113"/>
      <c r="U1038" s="113"/>
      <c r="V1038" s="113"/>
      <c r="W1038" s="113"/>
      <c r="X1038" s="5">
        <f t="shared" si="182"/>
        <v>0</v>
      </c>
      <c r="Y1038" s="302"/>
      <c r="Z1038" s="5"/>
      <c r="AA1038" s="94"/>
      <c r="AB1038" s="311">
        <f t="shared" si="180"/>
        <v>0</v>
      </c>
      <c r="AC1038" s="296"/>
      <c r="AD1038" s="113"/>
      <c r="AE1038" s="5"/>
      <c r="AF1038" s="5"/>
      <c r="AG1038" s="5"/>
      <c r="AH1038" s="5"/>
      <c r="AI1038" s="5"/>
      <c r="AJ1038" s="5"/>
      <c r="AK1038" s="141"/>
      <c r="AL1038" s="94"/>
      <c r="AM1038" s="128"/>
      <c r="AN1038" s="180"/>
      <c r="AO1038" s="128"/>
      <c r="AP1038" s="184"/>
      <c r="AQ1038" s="128"/>
      <c r="AR1038" s="184"/>
      <c r="AS1038" s="128"/>
      <c r="AT1038" s="184"/>
      <c r="AU1038" s="128"/>
      <c r="AV1038" s="184"/>
      <c r="AW1038" s="128"/>
      <c r="AX1038" s="184"/>
      <c r="AY1038" s="111"/>
      <c r="AZ1038" s="178"/>
      <c r="BC1038" s="47"/>
      <c r="BD1038" s="47"/>
      <c r="BF1038" s="113"/>
      <c r="BG1038" s="113"/>
      <c r="BH1038" s="113"/>
      <c r="BI1038" s="113"/>
      <c r="BJ1038" s="113"/>
      <c r="BK1038" s="113"/>
      <c r="BL1038" s="5">
        <f t="shared" si="181"/>
        <v>0</v>
      </c>
    </row>
    <row r="1039" spans="1:64" s="2" customFormat="1" ht="38.25" outlineLevel="1" x14ac:dyDescent="0.2">
      <c r="A1039" s="593" t="s">
        <v>1967</v>
      </c>
      <c r="B1039" s="600" t="s">
        <v>1953</v>
      </c>
      <c r="C1039" s="7" t="s">
        <v>1969</v>
      </c>
      <c r="D1039" s="8" t="s">
        <v>145</v>
      </c>
      <c r="E1039" s="23" t="s">
        <v>1241</v>
      </c>
      <c r="F1039" s="8">
        <v>2013</v>
      </c>
      <c r="G1039" s="8">
        <v>2014</v>
      </c>
      <c r="H1039" s="5">
        <v>0.18257782</v>
      </c>
      <c r="I1039" s="5">
        <v>0.15548000000000001</v>
      </c>
      <c r="J1039" s="5">
        <f>R1039</f>
        <v>0.15548000000000001</v>
      </c>
      <c r="K1039" s="23" t="s">
        <v>1241</v>
      </c>
      <c r="L1039" s="8"/>
      <c r="M1039" s="8"/>
      <c r="N1039" s="8"/>
      <c r="O1039" s="8"/>
      <c r="P1039" s="8"/>
      <c r="Q1039" s="23" t="s">
        <v>1241</v>
      </c>
      <c r="R1039" s="286">
        <v>0.15548000000000001</v>
      </c>
      <c r="S1039" s="113"/>
      <c r="T1039" s="113"/>
      <c r="U1039" s="113"/>
      <c r="V1039" s="113"/>
      <c r="W1039" s="113"/>
      <c r="X1039" s="5">
        <f t="shared" si="182"/>
        <v>0.15548000000000001</v>
      </c>
      <c r="Y1039" s="302">
        <f>H1039-H1040-H1041</f>
        <v>0</v>
      </c>
      <c r="Z1039" s="5">
        <f>I1039-I1040-I1041</f>
        <v>0</v>
      </c>
      <c r="AA1039" s="94">
        <f>J1039-J1040-J1041</f>
        <v>0</v>
      </c>
      <c r="AB1039" s="311">
        <f t="shared" si="180"/>
        <v>0</v>
      </c>
      <c r="AC1039" s="296"/>
      <c r="AD1039" s="113"/>
      <c r="AE1039" s="5"/>
      <c r="AF1039" s="5">
        <f>H1039</f>
        <v>0.18257782</v>
      </c>
      <c r="AG1039" s="5"/>
      <c r="AH1039" s="5"/>
      <c r="AI1039" s="5"/>
      <c r="AJ1039" s="5"/>
      <c r="AK1039" s="141"/>
      <c r="AL1039" s="94">
        <f>SUM(AF1039:AK1039)</f>
        <v>0.18257782</v>
      </c>
      <c r="AM1039" s="128">
        <v>0</v>
      </c>
      <c r="AN1039" s="180">
        <v>0</v>
      </c>
      <c r="AO1039" s="128"/>
      <c r="AP1039" s="184"/>
      <c r="AQ1039" s="128"/>
      <c r="AR1039" s="184"/>
      <c r="AS1039" s="128"/>
      <c r="AT1039" s="184"/>
      <c r="AU1039" s="128"/>
      <c r="AV1039" s="184"/>
      <c r="AW1039" s="128"/>
      <c r="AX1039" s="184"/>
      <c r="AY1039" s="111">
        <f>AM1039+AO1039+AQ1039+AS1039+AU1039+AW1039</f>
        <v>0</v>
      </c>
      <c r="AZ1039" s="178">
        <f>AN1039+AP1039+AR1039+AT1039+AV1039+AX1039</f>
        <v>0</v>
      </c>
      <c r="BC1039" s="47"/>
      <c r="BD1039" s="47"/>
      <c r="BF1039" s="113">
        <v>0</v>
      </c>
      <c r="BG1039" s="113"/>
      <c r="BH1039" s="113"/>
      <c r="BI1039" s="113"/>
      <c r="BJ1039" s="113"/>
      <c r="BK1039" s="113"/>
      <c r="BL1039" s="5">
        <f t="shared" si="181"/>
        <v>0</v>
      </c>
    </row>
    <row r="1040" spans="1:64" s="2" customFormat="1" ht="14.1" customHeight="1" outlineLevel="1" x14ac:dyDescent="0.2">
      <c r="A1040" s="594"/>
      <c r="B1040" s="601"/>
      <c r="C1040" s="7" t="s">
        <v>1553</v>
      </c>
      <c r="D1040" s="8"/>
      <c r="E1040" s="23"/>
      <c r="F1040" s="8"/>
      <c r="G1040" s="8"/>
      <c r="H1040" s="5">
        <f>H1039</f>
        <v>0.18257782</v>
      </c>
      <c r="I1040" s="5">
        <f>I1039</f>
        <v>0.15548000000000001</v>
      </c>
      <c r="J1040" s="5">
        <f>J1039</f>
        <v>0.15548000000000001</v>
      </c>
      <c r="K1040" s="8"/>
      <c r="L1040" s="23"/>
      <c r="M1040" s="8"/>
      <c r="N1040" s="8"/>
      <c r="O1040" s="8"/>
      <c r="P1040" s="8"/>
      <c r="Q1040" s="23"/>
      <c r="R1040" s="113"/>
      <c r="S1040" s="113"/>
      <c r="T1040" s="113"/>
      <c r="U1040" s="113"/>
      <c r="V1040" s="113"/>
      <c r="W1040" s="113"/>
      <c r="X1040" s="5">
        <f>SUM(R1040:W1040)</f>
        <v>0</v>
      </c>
      <c r="Y1040" s="302"/>
      <c r="Z1040" s="5"/>
      <c r="AA1040" s="94"/>
      <c r="AB1040" s="311">
        <f t="shared" si="180"/>
        <v>0.15548000000000001</v>
      </c>
      <c r="AC1040" s="296"/>
      <c r="AD1040" s="113"/>
      <c r="AE1040" s="5"/>
      <c r="AF1040" s="5"/>
      <c r="AG1040" s="5"/>
      <c r="AH1040" s="5"/>
      <c r="AI1040" s="5"/>
      <c r="AJ1040" s="5"/>
      <c r="AK1040" s="141"/>
      <c r="AL1040" s="94"/>
      <c r="AM1040" s="128"/>
      <c r="AN1040" s="180"/>
      <c r="AO1040" s="128"/>
      <c r="AP1040" s="184"/>
      <c r="AQ1040" s="128"/>
      <c r="AR1040" s="184"/>
      <c r="AS1040" s="128"/>
      <c r="AT1040" s="184"/>
      <c r="AU1040" s="128"/>
      <c r="AV1040" s="184"/>
      <c r="AW1040" s="128"/>
      <c r="AX1040" s="184"/>
      <c r="AY1040" s="111"/>
      <c r="AZ1040" s="178"/>
      <c r="BC1040" s="47"/>
      <c r="BD1040" s="47"/>
      <c r="BF1040" s="113"/>
      <c r="BG1040" s="113"/>
      <c r="BH1040" s="113"/>
      <c r="BI1040" s="113"/>
      <c r="BJ1040" s="113"/>
      <c r="BK1040" s="113"/>
      <c r="BL1040" s="5">
        <f t="shared" si="181"/>
        <v>0</v>
      </c>
    </row>
    <row r="1041" spans="1:64" s="2" customFormat="1" ht="14.1" customHeight="1" outlineLevel="1" x14ac:dyDescent="0.2">
      <c r="A1041" s="595"/>
      <c r="B1041" s="602"/>
      <c r="C1041" s="7" t="s">
        <v>1554</v>
      </c>
      <c r="D1041" s="8"/>
      <c r="E1041" s="23"/>
      <c r="F1041" s="8"/>
      <c r="G1041" s="8"/>
      <c r="H1041" s="5"/>
      <c r="I1041" s="5"/>
      <c r="J1041" s="5"/>
      <c r="K1041" s="23"/>
      <c r="L1041" s="8"/>
      <c r="M1041" s="8"/>
      <c r="N1041" s="8"/>
      <c r="O1041" s="8"/>
      <c r="P1041" s="8"/>
      <c r="Q1041" s="23"/>
      <c r="R1041" s="113"/>
      <c r="S1041" s="113"/>
      <c r="T1041" s="113"/>
      <c r="U1041" s="113"/>
      <c r="V1041" s="113"/>
      <c r="W1041" s="113"/>
      <c r="X1041" s="5">
        <f>SUM(R1041:W1041)</f>
        <v>0</v>
      </c>
      <c r="Y1041" s="302"/>
      <c r="Z1041" s="5"/>
      <c r="AA1041" s="94"/>
      <c r="AB1041" s="311">
        <f t="shared" si="180"/>
        <v>0</v>
      </c>
      <c r="AC1041" s="296"/>
      <c r="AD1041" s="113"/>
      <c r="AE1041" s="5"/>
      <c r="AF1041" s="5"/>
      <c r="AG1041" s="5"/>
      <c r="AH1041" s="5"/>
      <c r="AI1041" s="5"/>
      <c r="AJ1041" s="5"/>
      <c r="AK1041" s="141"/>
      <c r="AL1041" s="94"/>
      <c r="AM1041" s="128"/>
      <c r="AN1041" s="180"/>
      <c r="AO1041" s="128"/>
      <c r="AP1041" s="184"/>
      <c r="AQ1041" s="128"/>
      <c r="AR1041" s="184"/>
      <c r="AS1041" s="128"/>
      <c r="AT1041" s="184"/>
      <c r="AU1041" s="128"/>
      <c r="AV1041" s="184"/>
      <c r="AW1041" s="128"/>
      <c r="AX1041" s="184"/>
      <c r="AY1041" s="111"/>
      <c r="AZ1041" s="178"/>
      <c r="BC1041" s="47"/>
      <c r="BD1041" s="47"/>
      <c r="BF1041" s="113"/>
      <c r="BG1041" s="113"/>
      <c r="BH1041" s="113"/>
      <c r="BI1041" s="113"/>
      <c r="BJ1041" s="113"/>
      <c r="BK1041" s="113"/>
      <c r="BL1041" s="5">
        <f t="shared" si="181"/>
        <v>0</v>
      </c>
    </row>
    <row r="1042" spans="1:64" s="2" customFormat="1" ht="38.25" customHeight="1" outlineLevel="1" x14ac:dyDescent="0.2">
      <c r="A1042" s="593" t="s">
        <v>1970</v>
      </c>
      <c r="B1042" s="600" t="s">
        <v>1956</v>
      </c>
      <c r="C1042" s="7" t="s">
        <v>1972</v>
      </c>
      <c r="D1042" s="8" t="s">
        <v>145</v>
      </c>
      <c r="E1042" s="23" t="s">
        <v>1241</v>
      </c>
      <c r="F1042" s="8">
        <v>2013</v>
      </c>
      <c r="G1042" s="8">
        <v>2015</v>
      </c>
      <c r="H1042" s="5">
        <v>0.21199999999999999</v>
      </c>
      <c r="I1042" s="5">
        <v>0.21184440677966104</v>
      </c>
      <c r="J1042" s="5">
        <f>R1042</f>
        <v>0</v>
      </c>
      <c r="K1042" s="8"/>
      <c r="L1042" s="23" t="s">
        <v>1241</v>
      </c>
      <c r="M1042" s="8"/>
      <c r="N1042" s="8"/>
      <c r="O1042" s="8"/>
      <c r="P1042" s="8"/>
      <c r="Q1042" s="23" t="s">
        <v>1241</v>
      </c>
      <c r="R1042" s="113">
        <v>0</v>
      </c>
      <c r="S1042" s="113"/>
      <c r="T1042" s="113"/>
      <c r="U1042" s="113"/>
      <c r="V1042" s="113"/>
      <c r="W1042" s="113"/>
      <c r="X1042" s="5">
        <f t="shared" si="182"/>
        <v>0</v>
      </c>
      <c r="Y1042" s="302">
        <f>H1042-H1043-H1044</f>
        <v>0</v>
      </c>
      <c r="Z1042" s="5">
        <f>I1042-I1043-I1044</f>
        <v>0</v>
      </c>
      <c r="AA1042" s="94">
        <f>J1042-J1043-J1044</f>
        <v>0</v>
      </c>
      <c r="AB1042" s="311">
        <f t="shared" si="180"/>
        <v>0.21184440677966104</v>
      </c>
      <c r="AC1042" s="296"/>
      <c r="AD1042" s="113"/>
      <c r="AE1042" s="5"/>
      <c r="AF1042" s="5"/>
      <c r="AG1042" s="5">
        <f>H1042</f>
        <v>0.21199999999999999</v>
      </c>
      <c r="AH1042" s="5"/>
      <c r="AI1042" s="5"/>
      <c r="AJ1042" s="5"/>
      <c r="AK1042" s="141"/>
      <c r="AL1042" s="94">
        <f>SUM(AF1042:AK1042)</f>
        <v>0.21199999999999999</v>
      </c>
      <c r="AM1042" s="128"/>
      <c r="AN1042" s="180"/>
      <c r="AO1042" s="128">
        <v>0</v>
      </c>
      <c r="AP1042" s="184">
        <v>0</v>
      </c>
      <c r="AQ1042" s="128"/>
      <c r="AR1042" s="184"/>
      <c r="AS1042" s="128"/>
      <c r="AT1042" s="184"/>
      <c r="AU1042" s="128"/>
      <c r="AV1042" s="184"/>
      <c r="AW1042" s="128"/>
      <c r="AX1042" s="184"/>
      <c r="AY1042" s="111">
        <f>AM1042+AO1042+AQ1042+AS1042+AU1042+AW1042</f>
        <v>0</v>
      </c>
      <c r="AZ1042" s="178">
        <f>AN1042+AP1042+AR1042+AT1042+AV1042+AX1042</f>
        <v>0</v>
      </c>
      <c r="BC1042" s="47"/>
      <c r="BD1042" s="47"/>
      <c r="BF1042" s="113">
        <v>0</v>
      </c>
      <c r="BG1042" s="113"/>
      <c r="BH1042" s="113"/>
      <c r="BI1042" s="113"/>
      <c r="BJ1042" s="113"/>
      <c r="BK1042" s="113"/>
      <c r="BL1042" s="5">
        <f t="shared" si="181"/>
        <v>0</v>
      </c>
    </row>
    <row r="1043" spans="1:64" s="2" customFormat="1" ht="15.75" customHeight="1" outlineLevel="1" x14ac:dyDescent="0.2">
      <c r="A1043" s="594"/>
      <c r="B1043" s="601"/>
      <c r="C1043" s="7" t="s">
        <v>1553</v>
      </c>
      <c r="D1043" s="8"/>
      <c r="E1043" s="23"/>
      <c r="F1043" s="8"/>
      <c r="G1043" s="8"/>
      <c r="H1043" s="5">
        <v>0.21199999999999999</v>
      </c>
      <c r="I1043" s="5">
        <v>0.21184440677966104</v>
      </c>
      <c r="J1043" s="5">
        <f>R1043</f>
        <v>0</v>
      </c>
      <c r="K1043" s="8"/>
      <c r="L1043" s="23"/>
      <c r="M1043" s="8"/>
      <c r="N1043" s="8"/>
      <c r="O1043" s="8"/>
      <c r="P1043" s="8"/>
      <c r="Q1043" s="23"/>
      <c r="R1043" s="113"/>
      <c r="S1043" s="113"/>
      <c r="T1043" s="113"/>
      <c r="U1043" s="113"/>
      <c r="V1043" s="113"/>
      <c r="W1043" s="113"/>
      <c r="X1043" s="5">
        <f t="shared" si="182"/>
        <v>0</v>
      </c>
      <c r="Y1043" s="302"/>
      <c r="Z1043" s="5"/>
      <c r="AA1043" s="94"/>
      <c r="AB1043" s="311">
        <f t="shared" si="180"/>
        <v>0.21184440677966104</v>
      </c>
      <c r="AC1043" s="296"/>
      <c r="AD1043" s="113"/>
      <c r="AE1043" s="5"/>
      <c r="AF1043" s="5"/>
      <c r="AG1043" s="5"/>
      <c r="AH1043" s="5"/>
      <c r="AI1043" s="5"/>
      <c r="AJ1043" s="5"/>
      <c r="AK1043" s="141"/>
      <c r="AL1043" s="94"/>
      <c r="AM1043" s="128"/>
      <c r="AN1043" s="180"/>
      <c r="AO1043" s="128"/>
      <c r="AP1043" s="184"/>
      <c r="AQ1043" s="128"/>
      <c r="AR1043" s="184"/>
      <c r="AS1043" s="128"/>
      <c r="AT1043" s="184"/>
      <c r="AU1043" s="128"/>
      <c r="AV1043" s="184"/>
      <c r="AW1043" s="128"/>
      <c r="AX1043" s="184"/>
      <c r="AY1043" s="111"/>
      <c r="AZ1043" s="178"/>
      <c r="BC1043" s="47"/>
      <c r="BD1043" s="47"/>
      <c r="BF1043" s="113"/>
      <c r="BG1043" s="113"/>
      <c r="BH1043" s="113"/>
      <c r="BI1043" s="113"/>
      <c r="BJ1043" s="113"/>
      <c r="BK1043" s="113"/>
      <c r="BL1043" s="5">
        <f t="shared" si="181"/>
        <v>0</v>
      </c>
    </row>
    <row r="1044" spans="1:64" s="2" customFormat="1" ht="15.75" customHeight="1" outlineLevel="1" x14ac:dyDescent="0.2">
      <c r="A1044" s="595"/>
      <c r="B1044" s="602"/>
      <c r="C1044" s="7" t="s">
        <v>1554</v>
      </c>
      <c r="D1044" s="8"/>
      <c r="E1044" s="23"/>
      <c r="F1044" s="8"/>
      <c r="G1044" s="8"/>
      <c r="H1044" s="5"/>
      <c r="I1044" s="5"/>
      <c r="J1044" s="5"/>
      <c r="K1044" s="23"/>
      <c r="L1044" s="8"/>
      <c r="M1044" s="8"/>
      <c r="N1044" s="8"/>
      <c r="O1044" s="8"/>
      <c r="P1044" s="8"/>
      <c r="Q1044" s="23"/>
      <c r="R1044" s="113"/>
      <c r="S1044" s="113"/>
      <c r="T1044" s="113"/>
      <c r="U1044" s="113"/>
      <c r="V1044" s="113"/>
      <c r="W1044" s="113"/>
      <c r="X1044" s="5">
        <f t="shared" si="182"/>
        <v>0</v>
      </c>
      <c r="Y1044" s="302"/>
      <c r="Z1044" s="5"/>
      <c r="AA1044" s="94"/>
      <c r="AB1044" s="311">
        <f t="shared" si="180"/>
        <v>0</v>
      </c>
      <c r="AC1044" s="296"/>
      <c r="AD1044" s="113"/>
      <c r="AE1044" s="5"/>
      <c r="AF1044" s="5"/>
      <c r="AG1044" s="5"/>
      <c r="AH1044" s="5"/>
      <c r="AI1044" s="5"/>
      <c r="AJ1044" s="5"/>
      <c r="AK1044" s="141"/>
      <c r="AL1044" s="94"/>
      <c r="AM1044" s="128"/>
      <c r="AN1044" s="180"/>
      <c r="AO1044" s="128"/>
      <c r="AP1044" s="184"/>
      <c r="AQ1044" s="128"/>
      <c r="AR1044" s="184"/>
      <c r="AS1044" s="128"/>
      <c r="AT1044" s="184"/>
      <c r="AU1044" s="128"/>
      <c r="AV1044" s="184"/>
      <c r="AW1044" s="128"/>
      <c r="AX1044" s="184"/>
      <c r="AY1044" s="111"/>
      <c r="AZ1044" s="178"/>
      <c r="BC1044" s="47"/>
      <c r="BD1044" s="47"/>
      <c r="BF1044" s="113"/>
      <c r="BG1044" s="113"/>
      <c r="BH1044" s="113"/>
      <c r="BI1044" s="113"/>
      <c r="BJ1044" s="113"/>
      <c r="BK1044" s="113"/>
      <c r="BL1044" s="5">
        <f t="shared" si="181"/>
        <v>0</v>
      </c>
    </row>
    <row r="1045" spans="1:64" s="2" customFormat="1" ht="39.75" customHeight="1" outlineLevel="1" x14ac:dyDescent="0.2">
      <c r="A1045" s="593" t="s">
        <v>1973</v>
      </c>
      <c r="B1045" s="600" t="s">
        <v>1959</v>
      </c>
      <c r="C1045" s="7" t="s">
        <v>2251</v>
      </c>
      <c r="D1045" s="8" t="s">
        <v>145</v>
      </c>
      <c r="E1045" s="23" t="s">
        <v>335</v>
      </c>
      <c r="F1045" s="8">
        <v>2013</v>
      </c>
      <c r="G1045" s="8">
        <v>2015</v>
      </c>
      <c r="H1045" s="5">
        <v>0.93097400000000008</v>
      </c>
      <c r="I1045" s="5">
        <v>0.93097400000000008</v>
      </c>
      <c r="J1045" s="5">
        <f>R1045</f>
        <v>0.93097400000000008</v>
      </c>
      <c r="K1045" s="8"/>
      <c r="L1045" s="23" t="s">
        <v>335</v>
      </c>
      <c r="M1045" s="8"/>
      <c r="N1045" s="8"/>
      <c r="O1045" s="8"/>
      <c r="P1045" s="8"/>
      <c r="Q1045" s="23" t="s">
        <v>335</v>
      </c>
      <c r="R1045" s="113">
        <v>0.93097400000000008</v>
      </c>
      <c r="S1045" s="113"/>
      <c r="T1045" s="113"/>
      <c r="U1045" s="113"/>
      <c r="V1045" s="113"/>
      <c r="W1045" s="113"/>
      <c r="X1045" s="5">
        <f t="shared" si="182"/>
        <v>0.93097400000000008</v>
      </c>
      <c r="Y1045" s="302">
        <f>H1045-H1046-H1047</f>
        <v>0</v>
      </c>
      <c r="Z1045" s="5">
        <f>I1045-I1046-I1047</f>
        <v>0</v>
      </c>
      <c r="AA1045" s="94">
        <f>J1045-J1046-J1047</f>
        <v>0</v>
      </c>
      <c r="AB1045" s="311">
        <f t="shared" ref="AB1045:AB1108" si="183">I1045-X1045</f>
        <v>0</v>
      </c>
      <c r="AC1045" s="296"/>
      <c r="AD1045" s="113"/>
      <c r="AE1045" s="5"/>
      <c r="AF1045" s="5"/>
      <c r="AG1045" s="5">
        <f>H1045</f>
        <v>0.93097400000000008</v>
      </c>
      <c r="AH1045" s="5"/>
      <c r="AI1045" s="5"/>
      <c r="AJ1045" s="5"/>
      <c r="AK1045" s="141"/>
      <c r="AL1045" s="94">
        <f>SUM(AF1045:AK1045)</f>
        <v>0.93097400000000008</v>
      </c>
      <c r="AM1045" s="128"/>
      <c r="AN1045" s="180"/>
      <c r="AO1045" s="128">
        <v>0.1</v>
      </c>
      <c r="AP1045" s="184">
        <v>0</v>
      </c>
      <c r="AQ1045" s="128"/>
      <c r="AR1045" s="184"/>
      <c r="AS1045" s="128"/>
      <c r="AT1045" s="184"/>
      <c r="AU1045" s="128"/>
      <c r="AV1045" s="184"/>
      <c r="AW1045" s="128"/>
      <c r="AX1045" s="184"/>
      <c r="AY1045" s="111">
        <f>AM1045+AO1045+AQ1045+AS1045+AU1045+AW1045</f>
        <v>0.1</v>
      </c>
      <c r="AZ1045" s="178">
        <f>AN1045+AP1045+AR1045+AT1045+AV1045+AX1045</f>
        <v>0</v>
      </c>
      <c r="BC1045" s="47"/>
      <c r="BD1045" s="47"/>
      <c r="BF1045" s="113">
        <v>0.93097400000000008</v>
      </c>
      <c r="BG1045" s="113"/>
      <c r="BH1045" s="113"/>
      <c r="BI1045" s="113"/>
      <c r="BJ1045" s="113"/>
      <c r="BK1045" s="113"/>
      <c r="BL1045" s="5">
        <f t="shared" si="181"/>
        <v>0.93097400000000008</v>
      </c>
    </row>
    <row r="1046" spans="1:64" s="2" customFormat="1" ht="15.75" customHeight="1" outlineLevel="1" x14ac:dyDescent="0.2">
      <c r="A1046" s="594"/>
      <c r="B1046" s="601"/>
      <c r="C1046" s="7" t="s">
        <v>1553</v>
      </c>
      <c r="D1046" s="8"/>
      <c r="E1046" s="23"/>
      <c r="F1046" s="8"/>
      <c r="G1046" s="8"/>
      <c r="H1046" s="5"/>
      <c r="I1046" s="5"/>
      <c r="J1046" s="5"/>
      <c r="K1046" s="8"/>
      <c r="L1046" s="23"/>
      <c r="M1046" s="8"/>
      <c r="N1046" s="8"/>
      <c r="O1046" s="8"/>
      <c r="P1046" s="8"/>
      <c r="Q1046" s="23"/>
      <c r="R1046" s="113"/>
      <c r="S1046" s="113"/>
      <c r="T1046" s="113"/>
      <c r="U1046" s="113"/>
      <c r="V1046" s="113"/>
      <c r="W1046" s="113"/>
      <c r="X1046" s="5">
        <f>SUM(R1046:W1046)</f>
        <v>0</v>
      </c>
      <c r="Y1046" s="302"/>
      <c r="Z1046" s="5"/>
      <c r="AA1046" s="94"/>
      <c r="AB1046" s="311">
        <f t="shared" si="183"/>
        <v>0</v>
      </c>
      <c r="AC1046" s="296"/>
      <c r="AD1046" s="113"/>
      <c r="AE1046" s="5"/>
      <c r="AF1046" s="5"/>
      <c r="AG1046" s="5"/>
      <c r="AH1046" s="5"/>
      <c r="AI1046" s="5"/>
      <c r="AJ1046" s="5"/>
      <c r="AK1046" s="141"/>
      <c r="AL1046" s="94"/>
      <c r="AM1046" s="128"/>
      <c r="AN1046" s="180"/>
      <c r="AO1046" s="128"/>
      <c r="AP1046" s="184"/>
      <c r="AQ1046" s="128"/>
      <c r="AR1046" s="184"/>
      <c r="AS1046" s="128"/>
      <c r="AT1046" s="184"/>
      <c r="AU1046" s="128"/>
      <c r="AV1046" s="184"/>
      <c r="AW1046" s="128"/>
      <c r="AX1046" s="184"/>
      <c r="AY1046" s="111"/>
      <c r="AZ1046" s="178"/>
      <c r="BC1046" s="47"/>
      <c r="BD1046" s="47"/>
      <c r="BF1046" s="113"/>
      <c r="BG1046" s="113"/>
      <c r="BH1046" s="113"/>
      <c r="BI1046" s="113"/>
      <c r="BJ1046" s="113"/>
      <c r="BK1046" s="113"/>
      <c r="BL1046" s="5">
        <f t="shared" si="181"/>
        <v>0</v>
      </c>
    </row>
    <row r="1047" spans="1:64" s="2" customFormat="1" ht="15.75" customHeight="1" outlineLevel="1" x14ac:dyDescent="0.2">
      <c r="A1047" s="595"/>
      <c r="B1047" s="602"/>
      <c r="C1047" s="7" t="s">
        <v>1554</v>
      </c>
      <c r="D1047" s="8"/>
      <c r="E1047" s="23"/>
      <c r="F1047" s="8"/>
      <c r="G1047" s="8"/>
      <c r="H1047" s="5">
        <f>H1045</f>
        <v>0.93097400000000008</v>
      </c>
      <c r="I1047" s="5">
        <f>I1045</f>
        <v>0.93097400000000008</v>
      </c>
      <c r="J1047" s="5">
        <f>J1045</f>
        <v>0.93097400000000008</v>
      </c>
      <c r="K1047" s="23"/>
      <c r="L1047" s="8"/>
      <c r="M1047" s="8"/>
      <c r="N1047" s="8"/>
      <c r="O1047" s="8"/>
      <c r="P1047" s="8"/>
      <c r="Q1047" s="23"/>
      <c r="R1047" s="113"/>
      <c r="S1047" s="113"/>
      <c r="T1047" s="113"/>
      <c r="U1047" s="113"/>
      <c r="V1047" s="113"/>
      <c r="W1047" s="113"/>
      <c r="X1047" s="5">
        <f>SUM(R1047:W1047)</f>
        <v>0</v>
      </c>
      <c r="Y1047" s="302"/>
      <c r="Z1047" s="5"/>
      <c r="AA1047" s="94"/>
      <c r="AB1047" s="311">
        <f t="shared" si="183"/>
        <v>0.93097400000000008</v>
      </c>
      <c r="AC1047" s="296"/>
      <c r="AD1047" s="113"/>
      <c r="AE1047" s="5"/>
      <c r="AF1047" s="5"/>
      <c r="AG1047" s="5"/>
      <c r="AH1047" s="5"/>
      <c r="AI1047" s="5"/>
      <c r="AJ1047" s="5"/>
      <c r="AK1047" s="141"/>
      <c r="AL1047" s="94"/>
      <c r="AM1047" s="128"/>
      <c r="AN1047" s="180"/>
      <c r="AO1047" s="128"/>
      <c r="AP1047" s="184"/>
      <c r="AQ1047" s="128"/>
      <c r="AR1047" s="184"/>
      <c r="AS1047" s="128"/>
      <c r="AT1047" s="184"/>
      <c r="AU1047" s="128"/>
      <c r="AV1047" s="184"/>
      <c r="AW1047" s="128"/>
      <c r="AX1047" s="184"/>
      <c r="AY1047" s="111"/>
      <c r="AZ1047" s="178"/>
      <c r="BC1047" s="47"/>
      <c r="BD1047" s="47"/>
      <c r="BF1047" s="113"/>
      <c r="BG1047" s="113"/>
      <c r="BH1047" s="113"/>
      <c r="BI1047" s="113"/>
      <c r="BJ1047" s="113"/>
      <c r="BK1047" s="113"/>
      <c r="BL1047" s="5">
        <f t="shared" si="181"/>
        <v>0</v>
      </c>
    </row>
    <row r="1048" spans="1:64" s="2" customFormat="1" ht="51" outlineLevel="1" x14ac:dyDescent="0.2">
      <c r="A1048" s="593" t="s">
        <v>1975</v>
      </c>
      <c r="B1048" s="600" t="s">
        <v>1962</v>
      </c>
      <c r="C1048" s="7" t="s">
        <v>1977</v>
      </c>
      <c r="D1048" s="8" t="s">
        <v>145</v>
      </c>
      <c r="E1048" s="23" t="s">
        <v>1387</v>
      </c>
      <c r="F1048" s="8">
        <v>2013</v>
      </c>
      <c r="G1048" s="8">
        <v>2014</v>
      </c>
      <c r="H1048" s="5">
        <v>0.15548000000000001</v>
      </c>
      <c r="I1048" s="5">
        <v>0.01</v>
      </c>
      <c r="J1048" s="5">
        <f>R1048</f>
        <v>0.01</v>
      </c>
      <c r="K1048" s="23" t="s">
        <v>1387</v>
      </c>
      <c r="L1048" s="8"/>
      <c r="M1048" s="8"/>
      <c r="N1048" s="8"/>
      <c r="O1048" s="8"/>
      <c r="P1048" s="8"/>
      <c r="Q1048" s="23" t="s">
        <v>1387</v>
      </c>
      <c r="R1048" s="113">
        <v>0.01</v>
      </c>
      <c r="S1048" s="113"/>
      <c r="T1048" s="113"/>
      <c r="U1048" s="113"/>
      <c r="V1048" s="113"/>
      <c r="W1048" s="113"/>
      <c r="X1048" s="5">
        <f t="shared" si="182"/>
        <v>0.01</v>
      </c>
      <c r="Y1048" s="302">
        <f>H1048-H1049-H1050</f>
        <v>0</v>
      </c>
      <c r="Z1048" s="5">
        <f>I1048-I1049-I1050</f>
        <v>0</v>
      </c>
      <c r="AA1048" s="94">
        <f>J1048-J1049-J1050</f>
        <v>0</v>
      </c>
      <c r="AB1048" s="311">
        <f t="shared" si="183"/>
        <v>0</v>
      </c>
      <c r="AC1048" s="296"/>
      <c r="AD1048" s="113"/>
      <c r="AE1048" s="5"/>
      <c r="AF1048" s="5">
        <f>H1048</f>
        <v>0.15548000000000001</v>
      </c>
      <c r="AG1048" s="5"/>
      <c r="AH1048" s="5"/>
      <c r="AI1048" s="5"/>
      <c r="AJ1048" s="5"/>
      <c r="AK1048" s="141"/>
      <c r="AL1048" s="94">
        <f>SUM(AF1048:AK1048)</f>
        <v>0.15548000000000001</v>
      </c>
      <c r="AM1048" s="128">
        <v>0.5</v>
      </c>
      <c r="AN1048" s="180">
        <v>0</v>
      </c>
      <c r="AO1048" s="128"/>
      <c r="AP1048" s="184"/>
      <c r="AQ1048" s="128"/>
      <c r="AR1048" s="184"/>
      <c r="AS1048" s="128"/>
      <c r="AT1048" s="184"/>
      <c r="AU1048" s="128"/>
      <c r="AV1048" s="184"/>
      <c r="AW1048" s="128"/>
      <c r="AX1048" s="184"/>
      <c r="AY1048" s="111">
        <f>AM1048+AO1048+AQ1048+AS1048+AU1048+AW1048</f>
        <v>0.5</v>
      </c>
      <c r="AZ1048" s="178">
        <f>AN1048+AP1048+AR1048+AT1048+AV1048+AX1048</f>
        <v>0</v>
      </c>
      <c r="BC1048" s="47"/>
      <c r="BD1048" s="47"/>
      <c r="BF1048" s="113">
        <v>0.01</v>
      </c>
      <c r="BG1048" s="113"/>
      <c r="BH1048" s="113"/>
      <c r="BI1048" s="113"/>
      <c r="BJ1048" s="113"/>
      <c r="BK1048" s="113"/>
      <c r="BL1048" s="5">
        <f t="shared" si="181"/>
        <v>0.01</v>
      </c>
    </row>
    <row r="1049" spans="1:64" s="2" customFormat="1" ht="15.75" customHeight="1" outlineLevel="1" x14ac:dyDescent="0.2">
      <c r="A1049" s="594"/>
      <c r="B1049" s="601"/>
      <c r="C1049" s="7" t="s">
        <v>1553</v>
      </c>
      <c r="D1049" s="8"/>
      <c r="E1049" s="23"/>
      <c r="F1049" s="8"/>
      <c r="G1049" s="8"/>
      <c r="H1049" s="5">
        <f>H1048</f>
        <v>0.15548000000000001</v>
      </c>
      <c r="I1049" s="5">
        <f>I1048</f>
        <v>0.01</v>
      </c>
      <c r="J1049" s="5">
        <f>J1048</f>
        <v>0.01</v>
      </c>
      <c r="K1049" s="8"/>
      <c r="L1049" s="23"/>
      <c r="M1049" s="8"/>
      <c r="N1049" s="8"/>
      <c r="O1049" s="8"/>
      <c r="P1049" s="8"/>
      <c r="Q1049" s="23"/>
      <c r="R1049" s="113"/>
      <c r="S1049" s="113"/>
      <c r="T1049" s="113"/>
      <c r="U1049" s="113"/>
      <c r="V1049" s="113"/>
      <c r="W1049" s="113"/>
      <c r="X1049" s="5">
        <f t="shared" si="182"/>
        <v>0</v>
      </c>
      <c r="Y1049" s="302"/>
      <c r="Z1049" s="5"/>
      <c r="AA1049" s="94"/>
      <c r="AB1049" s="311">
        <f t="shared" si="183"/>
        <v>0.01</v>
      </c>
      <c r="AC1049" s="296"/>
      <c r="AD1049" s="113"/>
      <c r="AE1049" s="5"/>
      <c r="AF1049" s="5"/>
      <c r="AG1049" s="5"/>
      <c r="AH1049" s="5"/>
      <c r="AI1049" s="5"/>
      <c r="AJ1049" s="5"/>
      <c r="AK1049" s="141"/>
      <c r="AL1049" s="94"/>
      <c r="AM1049" s="128"/>
      <c r="AN1049" s="180"/>
      <c r="AO1049" s="128"/>
      <c r="AP1049" s="184"/>
      <c r="AQ1049" s="128"/>
      <c r="AR1049" s="184"/>
      <c r="AS1049" s="128"/>
      <c r="AT1049" s="184"/>
      <c r="AU1049" s="128"/>
      <c r="AV1049" s="184"/>
      <c r="AW1049" s="128"/>
      <c r="AX1049" s="184"/>
      <c r="AY1049" s="111"/>
      <c r="AZ1049" s="178"/>
      <c r="BC1049" s="47"/>
      <c r="BD1049" s="47"/>
      <c r="BF1049" s="113"/>
      <c r="BG1049" s="113"/>
      <c r="BH1049" s="113"/>
      <c r="BI1049" s="113"/>
      <c r="BJ1049" s="113"/>
      <c r="BK1049" s="113"/>
      <c r="BL1049" s="5">
        <f t="shared" si="181"/>
        <v>0</v>
      </c>
    </row>
    <row r="1050" spans="1:64" s="2" customFormat="1" ht="15.75" customHeight="1" outlineLevel="1" x14ac:dyDescent="0.2">
      <c r="A1050" s="595"/>
      <c r="B1050" s="602"/>
      <c r="C1050" s="7" t="s">
        <v>1554</v>
      </c>
      <c r="D1050" s="8"/>
      <c r="E1050" s="23"/>
      <c r="F1050" s="8"/>
      <c r="G1050" s="8"/>
      <c r="H1050" s="5"/>
      <c r="I1050" s="5"/>
      <c r="J1050" s="5"/>
      <c r="K1050" s="23"/>
      <c r="L1050" s="8"/>
      <c r="M1050" s="8"/>
      <c r="N1050" s="8"/>
      <c r="O1050" s="8"/>
      <c r="P1050" s="8"/>
      <c r="Q1050" s="23"/>
      <c r="R1050" s="113"/>
      <c r="S1050" s="113"/>
      <c r="T1050" s="113"/>
      <c r="U1050" s="113"/>
      <c r="V1050" s="113"/>
      <c r="W1050" s="113"/>
      <c r="X1050" s="5">
        <f t="shared" si="182"/>
        <v>0</v>
      </c>
      <c r="Y1050" s="302"/>
      <c r="Z1050" s="5"/>
      <c r="AA1050" s="94"/>
      <c r="AB1050" s="311">
        <f t="shared" si="183"/>
        <v>0</v>
      </c>
      <c r="AC1050" s="296"/>
      <c r="AD1050" s="113"/>
      <c r="AE1050" s="5"/>
      <c r="AF1050" s="5"/>
      <c r="AG1050" s="5"/>
      <c r="AH1050" s="5"/>
      <c r="AI1050" s="5"/>
      <c r="AJ1050" s="5"/>
      <c r="AK1050" s="141"/>
      <c r="AL1050" s="94"/>
      <c r="AM1050" s="128"/>
      <c r="AN1050" s="180"/>
      <c r="AO1050" s="128"/>
      <c r="AP1050" s="184"/>
      <c r="AQ1050" s="128"/>
      <c r="AR1050" s="184"/>
      <c r="AS1050" s="128"/>
      <c r="AT1050" s="184"/>
      <c r="AU1050" s="128"/>
      <c r="AV1050" s="184"/>
      <c r="AW1050" s="128"/>
      <c r="AX1050" s="184"/>
      <c r="AY1050" s="111"/>
      <c r="AZ1050" s="178"/>
      <c r="BC1050" s="47"/>
      <c r="BD1050" s="47"/>
      <c r="BF1050" s="113"/>
      <c r="BG1050" s="113"/>
      <c r="BH1050" s="113"/>
      <c r="BI1050" s="113"/>
      <c r="BJ1050" s="113"/>
      <c r="BK1050" s="113"/>
      <c r="BL1050" s="5">
        <f t="shared" si="181"/>
        <v>0</v>
      </c>
    </row>
    <row r="1051" spans="1:64" s="2" customFormat="1" ht="38.25" outlineLevel="1" x14ac:dyDescent="0.2">
      <c r="A1051" s="593" t="s">
        <v>1978</v>
      </c>
      <c r="B1051" s="600" t="s">
        <v>1965</v>
      </c>
      <c r="C1051" s="7" t="s">
        <v>2635</v>
      </c>
      <c r="D1051" s="8" t="s">
        <v>145</v>
      </c>
      <c r="E1051" s="23" t="s">
        <v>1241</v>
      </c>
      <c r="F1051" s="8">
        <v>2013</v>
      </c>
      <c r="G1051" s="8">
        <v>2014</v>
      </c>
      <c r="H1051" s="5">
        <v>0.15548000000000001</v>
      </c>
      <c r="I1051" s="5">
        <v>0.01</v>
      </c>
      <c r="J1051" s="5">
        <f>R1051</f>
        <v>0.01</v>
      </c>
      <c r="K1051" s="23" t="s">
        <v>1241</v>
      </c>
      <c r="L1051" s="8"/>
      <c r="M1051" s="8"/>
      <c r="N1051" s="8"/>
      <c r="O1051" s="8"/>
      <c r="P1051" s="8"/>
      <c r="Q1051" s="23" t="s">
        <v>1241</v>
      </c>
      <c r="R1051" s="113">
        <v>0.01</v>
      </c>
      <c r="S1051" s="113"/>
      <c r="T1051" s="113"/>
      <c r="U1051" s="113"/>
      <c r="V1051" s="113"/>
      <c r="W1051" s="113"/>
      <c r="X1051" s="5">
        <f t="shared" si="182"/>
        <v>0.01</v>
      </c>
      <c r="Y1051" s="302">
        <f>H1051-H1052-H1053</f>
        <v>0</v>
      </c>
      <c r="Z1051" s="5">
        <f>I1051-I1052-I1053</f>
        <v>0</v>
      </c>
      <c r="AA1051" s="94">
        <f>J1051-J1052-J1053</f>
        <v>0</v>
      </c>
      <c r="AB1051" s="311">
        <f t="shared" si="183"/>
        <v>0</v>
      </c>
      <c r="AC1051" s="296"/>
      <c r="AD1051" s="113"/>
      <c r="AE1051" s="5"/>
      <c r="AF1051" s="5">
        <f>H1051</f>
        <v>0.15548000000000001</v>
      </c>
      <c r="AG1051" s="5"/>
      <c r="AH1051" s="5"/>
      <c r="AI1051" s="5"/>
      <c r="AJ1051" s="5"/>
      <c r="AK1051" s="141"/>
      <c r="AL1051" s="94">
        <f>SUM(AF1051:AK1051)</f>
        <v>0.15548000000000001</v>
      </c>
      <c r="AM1051" s="128">
        <v>0</v>
      </c>
      <c r="AN1051" s="180">
        <v>0</v>
      </c>
      <c r="AO1051" s="128"/>
      <c r="AP1051" s="184"/>
      <c r="AQ1051" s="128"/>
      <c r="AR1051" s="184"/>
      <c r="AS1051" s="128"/>
      <c r="AT1051" s="184"/>
      <c r="AU1051" s="128"/>
      <c r="AV1051" s="184"/>
      <c r="AW1051" s="128"/>
      <c r="AX1051" s="184"/>
      <c r="AY1051" s="111">
        <f>AM1051+AO1051+AQ1051+AS1051+AU1051+AW1051</f>
        <v>0</v>
      </c>
      <c r="AZ1051" s="178">
        <f>AN1051+AP1051+AR1051+AT1051+AV1051+AX1051</f>
        <v>0</v>
      </c>
      <c r="BC1051" s="47"/>
      <c r="BD1051" s="47"/>
      <c r="BF1051" s="113">
        <v>0.01</v>
      </c>
      <c r="BG1051" s="113"/>
      <c r="BH1051" s="113"/>
      <c r="BI1051" s="113"/>
      <c r="BJ1051" s="113"/>
      <c r="BK1051" s="113"/>
      <c r="BL1051" s="5">
        <f t="shared" si="181"/>
        <v>0.01</v>
      </c>
    </row>
    <row r="1052" spans="1:64" s="2" customFormat="1" ht="15.75" customHeight="1" outlineLevel="1" x14ac:dyDescent="0.2">
      <c r="A1052" s="594"/>
      <c r="B1052" s="601"/>
      <c r="C1052" s="7" t="s">
        <v>1553</v>
      </c>
      <c r="D1052" s="8"/>
      <c r="E1052" s="23"/>
      <c r="F1052" s="8"/>
      <c r="G1052" s="8"/>
      <c r="H1052" s="5"/>
      <c r="I1052" s="5"/>
      <c r="J1052" s="5"/>
      <c r="K1052" s="8"/>
      <c r="L1052" s="23"/>
      <c r="M1052" s="8"/>
      <c r="N1052" s="8"/>
      <c r="O1052" s="8"/>
      <c r="P1052" s="8"/>
      <c r="Q1052" s="23"/>
      <c r="R1052" s="113"/>
      <c r="S1052" s="113"/>
      <c r="T1052" s="113"/>
      <c r="U1052" s="113"/>
      <c r="V1052" s="113"/>
      <c r="W1052" s="113"/>
      <c r="X1052" s="5">
        <f>SUM(R1052:W1052)</f>
        <v>0</v>
      </c>
      <c r="Y1052" s="302"/>
      <c r="Z1052" s="5"/>
      <c r="AA1052" s="94"/>
      <c r="AB1052" s="311">
        <f t="shared" si="183"/>
        <v>0</v>
      </c>
      <c r="AC1052" s="296"/>
      <c r="AD1052" s="113"/>
      <c r="AE1052" s="5"/>
      <c r="AF1052" s="5"/>
      <c r="AG1052" s="5"/>
      <c r="AH1052" s="5"/>
      <c r="AI1052" s="5"/>
      <c r="AJ1052" s="5"/>
      <c r="AK1052" s="141"/>
      <c r="AL1052" s="94"/>
      <c r="AM1052" s="128"/>
      <c r="AN1052" s="180"/>
      <c r="AO1052" s="128"/>
      <c r="AP1052" s="184"/>
      <c r="AQ1052" s="128"/>
      <c r="AR1052" s="184"/>
      <c r="AS1052" s="128"/>
      <c r="AT1052" s="184"/>
      <c r="AU1052" s="128"/>
      <c r="AV1052" s="184"/>
      <c r="AW1052" s="128"/>
      <c r="AX1052" s="184"/>
      <c r="AY1052" s="111"/>
      <c r="AZ1052" s="178"/>
      <c r="BC1052" s="47"/>
      <c r="BD1052" s="47"/>
      <c r="BF1052" s="113"/>
      <c r="BG1052" s="113"/>
      <c r="BH1052" s="113"/>
      <c r="BI1052" s="113"/>
      <c r="BJ1052" s="113"/>
      <c r="BK1052" s="113"/>
      <c r="BL1052" s="5">
        <f t="shared" si="181"/>
        <v>0</v>
      </c>
    </row>
    <row r="1053" spans="1:64" s="2" customFormat="1" ht="15.75" customHeight="1" outlineLevel="1" x14ac:dyDescent="0.2">
      <c r="A1053" s="595"/>
      <c r="B1053" s="602"/>
      <c r="C1053" s="7" t="s">
        <v>1554</v>
      </c>
      <c r="D1053" s="8"/>
      <c r="E1053" s="23"/>
      <c r="F1053" s="8"/>
      <c r="G1053" s="8"/>
      <c r="H1053" s="5">
        <v>0.15548000000000001</v>
      </c>
      <c r="I1053" s="5">
        <f>I1051</f>
        <v>0.01</v>
      </c>
      <c r="J1053" s="5">
        <v>0.01</v>
      </c>
      <c r="K1053" s="23"/>
      <c r="L1053" s="8"/>
      <c r="M1053" s="8"/>
      <c r="N1053" s="8"/>
      <c r="O1053" s="8"/>
      <c r="P1053" s="8"/>
      <c r="Q1053" s="23"/>
      <c r="R1053" s="113"/>
      <c r="S1053" s="113"/>
      <c r="T1053" s="113"/>
      <c r="U1053" s="113"/>
      <c r="V1053" s="113"/>
      <c r="W1053" s="113"/>
      <c r="X1053" s="5">
        <f>SUM(R1053:W1053)</f>
        <v>0</v>
      </c>
      <c r="Y1053" s="302"/>
      <c r="Z1053" s="5"/>
      <c r="AA1053" s="94"/>
      <c r="AB1053" s="311">
        <f t="shared" si="183"/>
        <v>0.01</v>
      </c>
      <c r="AC1053" s="296"/>
      <c r="AD1053" s="113"/>
      <c r="AE1053" s="5"/>
      <c r="AF1053" s="5"/>
      <c r="AG1053" s="5"/>
      <c r="AH1053" s="5"/>
      <c r="AI1053" s="5"/>
      <c r="AJ1053" s="5"/>
      <c r="AK1053" s="141"/>
      <c r="AL1053" s="94"/>
      <c r="AM1053" s="128"/>
      <c r="AN1053" s="180"/>
      <c r="AO1053" s="128"/>
      <c r="AP1053" s="184"/>
      <c r="AQ1053" s="128"/>
      <c r="AR1053" s="184"/>
      <c r="AS1053" s="128"/>
      <c r="AT1053" s="184"/>
      <c r="AU1053" s="128"/>
      <c r="AV1053" s="184"/>
      <c r="AW1053" s="128"/>
      <c r="AX1053" s="184"/>
      <c r="AY1053" s="111"/>
      <c r="AZ1053" s="178"/>
      <c r="BC1053" s="47"/>
      <c r="BD1053" s="47"/>
      <c r="BF1053" s="113"/>
      <c r="BG1053" s="113"/>
      <c r="BH1053" s="113"/>
      <c r="BI1053" s="113"/>
      <c r="BJ1053" s="113"/>
      <c r="BK1053" s="113"/>
      <c r="BL1053" s="5">
        <f t="shared" si="181"/>
        <v>0</v>
      </c>
    </row>
    <row r="1054" spans="1:64" s="2" customFormat="1" ht="38.25" customHeight="1" outlineLevel="1" x14ac:dyDescent="0.2">
      <c r="A1054" s="593" t="s">
        <v>1980</v>
      </c>
      <c r="B1054" s="600" t="s">
        <v>1968</v>
      </c>
      <c r="C1054" s="7" t="s">
        <v>1982</v>
      </c>
      <c r="D1054" s="8" t="s">
        <v>145</v>
      </c>
      <c r="E1054" s="23" t="s">
        <v>340</v>
      </c>
      <c r="F1054" s="8">
        <v>2013</v>
      </c>
      <c r="G1054" s="8">
        <v>2015</v>
      </c>
      <c r="H1054" s="5">
        <v>0.64398299999999997</v>
      </c>
      <c r="I1054" s="5">
        <v>0.64398299999999997</v>
      </c>
      <c r="J1054" s="5">
        <f>R1054</f>
        <v>0.64398299999999997</v>
      </c>
      <c r="K1054" s="8"/>
      <c r="L1054" s="23" t="s">
        <v>340</v>
      </c>
      <c r="M1054" s="8"/>
      <c r="N1054" s="8"/>
      <c r="O1054" s="8"/>
      <c r="P1054" s="8"/>
      <c r="Q1054" s="23" t="s">
        <v>340</v>
      </c>
      <c r="R1054" s="113">
        <v>0.64398299999999997</v>
      </c>
      <c r="S1054" s="113"/>
      <c r="T1054" s="113"/>
      <c r="U1054" s="113"/>
      <c r="V1054" s="113"/>
      <c r="W1054" s="113"/>
      <c r="X1054" s="5">
        <f t="shared" si="182"/>
        <v>0.64398299999999997</v>
      </c>
      <c r="Y1054" s="302">
        <f>H1054-H1055-H1056</f>
        <v>0</v>
      </c>
      <c r="Z1054" s="5">
        <f>I1054-I1055-I1056</f>
        <v>0</v>
      </c>
      <c r="AA1054" s="94">
        <f>J1054-J1055-J1056</f>
        <v>0</v>
      </c>
      <c r="AB1054" s="311">
        <f t="shared" si="183"/>
        <v>0</v>
      </c>
      <c r="AC1054" s="296"/>
      <c r="AD1054" s="113"/>
      <c r="AE1054" s="5"/>
      <c r="AF1054" s="5"/>
      <c r="AG1054" s="5">
        <f>H1054</f>
        <v>0.64398299999999997</v>
      </c>
      <c r="AH1054" s="5"/>
      <c r="AI1054" s="5"/>
      <c r="AJ1054" s="5"/>
      <c r="AK1054" s="141"/>
      <c r="AL1054" s="94">
        <f>SUM(AF1054:AK1054)</f>
        <v>0.64398299999999997</v>
      </c>
      <c r="AM1054" s="128"/>
      <c r="AN1054" s="180"/>
      <c r="AO1054" s="128">
        <v>0.2</v>
      </c>
      <c r="AP1054" s="184">
        <v>0</v>
      </c>
      <c r="AQ1054" s="128"/>
      <c r="AR1054" s="184"/>
      <c r="AS1054" s="128"/>
      <c r="AT1054" s="184"/>
      <c r="AU1054" s="128"/>
      <c r="AV1054" s="184"/>
      <c r="AW1054" s="128"/>
      <c r="AX1054" s="184"/>
      <c r="AY1054" s="111">
        <f>AM1054+AO1054+AQ1054+AS1054+AU1054+AW1054</f>
        <v>0.2</v>
      </c>
      <c r="AZ1054" s="178">
        <f>AN1054+AP1054+AR1054+AT1054+AV1054+AX1054</f>
        <v>0</v>
      </c>
      <c r="BC1054" s="47"/>
      <c r="BD1054" s="47"/>
      <c r="BF1054" s="113">
        <v>0.64398299999999997</v>
      </c>
      <c r="BG1054" s="113"/>
      <c r="BH1054" s="113"/>
      <c r="BI1054" s="113"/>
      <c r="BJ1054" s="113"/>
      <c r="BK1054" s="113"/>
      <c r="BL1054" s="5">
        <f t="shared" si="181"/>
        <v>0.64398299999999997</v>
      </c>
    </row>
    <row r="1055" spans="1:64" s="2" customFormat="1" ht="15.75" customHeight="1" outlineLevel="1" x14ac:dyDescent="0.2">
      <c r="A1055" s="594"/>
      <c r="B1055" s="601"/>
      <c r="C1055" s="7" t="s">
        <v>1553</v>
      </c>
      <c r="D1055" s="8"/>
      <c r="E1055" s="23"/>
      <c r="F1055" s="8"/>
      <c r="G1055" s="8"/>
      <c r="H1055" s="5"/>
      <c r="I1055" s="5"/>
      <c r="J1055" s="5"/>
      <c r="K1055" s="8"/>
      <c r="L1055" s="23"/>
      <c r="M1055" s="8"/>
      <c r="N1055" s="8"/>
      <c r="O1055" s="8"/>
      <c r="P1055" s="8"/>
      <c r="Q1055" s="23"/>
      <c r="R1055" s="113"/>
      <c r="S1055" s="113"/>
      <c r="T1055" s="113"/>
      <c r="U1055" s="113"/>
      <c r="V1055" s="113"/>
      <c r="W1055" s="113"/>
      <c r="X1055" s="5">
        <f t="shared" si="182"/>
        <v>0</v>
      </c>
      <c r="Y1055" s="302"/>
      <c r="Z1055" s="5"/>
      <c r="AA1055" s="94"/>
      <c r="AB1055" s="311">
        <f t="shared" si="183"/>
        <v>0</v>
      </c>
      <c r="AC1055" s="296"/>
      <c r="AD1055" s="113"/>
      <c r="AE1055" s="5"/>
      <c r="AF1055" s="5"/>
      <c r="AG1055" s="5"/>
      <c r="AH1055" s="5"/>
      <c r="AI1055" s="5"/>
      <c r="AJ1055" s="5"/>
      <c r="AK1055" s="141"/>
      <c r="AL1055" s="94"/>
      <c r="AM1055" s="128"/>
      <c r="AN1055" s="180"/>
      <c r="AO1055" s="128"/>
      <c r="AP1055" s="184"/>
      <c r="AQ1055" s="128"/>
      <c r="AR1055" s="184"/>
      <c r="AS1055" s="128"/>
      <c r="AT1055" s="184"/>
      <c r="AU1055" s="128"/>
      <c r="AV1055" s="184"/>
      <c r="AW1055" s="128"/>
      <c r="AX1055" s="184"/>
      <c r="AY1055" s="111"/>
      <c r="AZ1055" s="178"/>
      <c r="BC1055" s="47"/>
      <c r="BD1055" s="47"/>
      <c r="BF1055" s="113"/>
      <c r="BG1055" s="113"/>
      <c r="BH1055" s="113"/>
      <c r="BI1055" s="113"/>
      <c r="BJ1055" s="113"/>
      <c r="BK1055" s="113"/>
      <c r="BL1055" s="5">
        <f t="shared" ref="BL1055:BL1118" si="184">SUM(BF1055:BK1055)</f>
        <v>0</v>
      </c>
    </row>
    <row r="1056" spans="1:64" s="2" customFormat="1" ht="15.75" customHeight="1" outlineLevel="1" x14ac:dyDescent="0.2">
      <c r="A1056" s="595"/>
      <c r="B1056" s="602"/>
      <c r="C1056" s="7" t="s">
        <v>1554</v>
      </c>
      <c r="D1056" s="8"/>
      <c r="E1056" s="23"/>
      <c r="F1056" s="8"/>
      <c r="G1056" s="8"/>
      <c r="H1056" s="5">
        <f>H1054</f>
        <v>0.64398299999999997</v>
      </c>
      <c r="I1056" s="5">
        <f>I1054</f>
        <v>0.64398299999999997</v>
      </c>
      <c r="J1056" s="5">
        <f>J1054</f>
        <v>0.64398299999999997</v>
      </c>
      <c r="K1056" s="23"/>
      <c r="L1056" s="8"/>
      <c r="M1056" s="8"/>
      <c r="N1056" s="8"/>
      <c r="O1056" s="8"/>
      <c r="P1056" s="8"/>
      <c r="Q1056" s="23"/>
      <c r="R1056" s="113"/>
      <c r="S1056" s="113"/>
      <c r="T1056" s="113"/>
      <c r="U1056" s="113"/>
      <c r="V1056" s="113"/>
      <c r="W1056" s="113"/>
      <c r="X1056" s="5">
        <f t="shared" si="182"/>
        <v>0</v>
      </c>
      <c r="Y1056" s="302"/>
      <c r="Z1056" s="5"/>
      <c r="AA1056" s="94"/>
      <c r="AB1056" s="311">
        <f t="shared" si="183"/>
        <v>0.64398299999999997</v>
      </c>
      <c r="AC1056" s="296"/>
      <c r="AD1056" s="113"/>
      <c r="AE1056" s="5"/>
      <c r="AF1056" s="5"/>
      <c r="AG1056" s="5"/>
      <c r="AH1056" s="5"/>
      <c r="AI1056" s="5"/>
      <c r="AJ1056" s="5"/>
      <c r="AK1056" s="141"/>
      <c r="AL1056" s="94"/>
      <c r="AM1056" s="128"/>
      <c r="AN1056" s="180"/>
      <c r="AO1056" s="128"/>
      <c r="AP1056" s="184"/>
      <c r="AQ1056" s="128"/>
      <c r="AR1056" s="184"/>
      <c r="AS1056" s="128"/>
      <c r="AT1056" s="184"/>
      <c r="AU1056" s="128"/>
      <c r="AV1056" s="184"/>
      <c r="AW1056" s="128"/>
      <c r="AX1056" s="184"/>
      <c r="AY1056" s="111"/>
      <c r="AZ1056" s="178"/>
      <c r="BC1056" s="47"/>
      <c r="BD1056" s="47"/>
      <c r="BF1056" s="113"/>
      <c r="BG1056" s="113"/>
      <c r="BH1056" s="113"/>
      <c r="BI1056" s="113"/>
      <c r="BJ1056" s="113"/>
      <c r="BK1056" s="113"/>
      <c r="BL1056" s="5">
        <f t="shared" si="184"/>
        <v>0</v>
      </c>
    </row>
    <row r="1057" spans="1:64" s="2" customFormat="1" ht="38.25" customHeight="1" outlineLevel="1" x14ac:dyDescent="0.2">
      <c r="A1057" s="593" t="s">
        <v>1983</v>
      </c>
      <c r="B1057" s="600" t="s">
        <v>1971</v>
      </c>
      <c r="C1057" s="7" t="s">
        <v>1985</v>
      </c>
      <c r="D1057" s="8" t="s">
        <v>145</v>
      </c>
      <c r="E1057" s="23" t="s">
        <v>333</v>
      </c>
      <c r="F1057" s="8">
        <v>2013</v>
      </c>
      <c r="G1057" s="8">
        <v>2015</v>
      </c>
      <c r="H1057" s="5">
        <v>0.56399999999999995</v>
      </c>
      <c r="I1057" s="5">
        <v>0.56353932203389845</v>
      </c>
      <c r="J1057" s="5">
        <f>R1057</f>
        <v>0</v>
      </c>
      <c r="K1057" s="8"/>
      <c r="L1057" s="23" t="s">
        <v>333</v>
      </c>
      <c r="M1057" s="8"/>
      <c r="N1057" s="8"/>
      <c r="O1057" s="8"/>
      <c r="P1057" s="8"/>
      <c r="Q1057" s="23" t="s">
        <v>333</v>
      </c>
      <c r="R1057" s="113">
        <v>0</v>
      </c>
      <c r="S1057" s="113"/>
      <c r="T1057" s="113"/>
      <c r="U1057" s="113"/>
      <c r="V1057" s="113"/>
      <c r="W1057" s="113"/>
      <c r="X1057" s="5">
        <f t="shared" si="182"/>
        <v>0</v>
      </c>
      <c r="Y1057" s="302">
        <f>H1057-H1058-H1059</f>
        <v>0</v>
      </c>
      <c r="Z1057" s="5">
        <f>I1057-I1058-I1059</f>
        <v>0</v>
      </c>
      <c r="AA1057" s="94">
        <f>J1057-J1058-J1059</f>
        <v>0</v>
      </c>
      <c r="AB1057" s="311">
        <f t="shared" si="183"/>
        <v>0.56353932203389845</v>
      </c>
      <c r="AC1057" s="296"/>
      <c r="AD1057" s="113"/>
      <c r="AE1057" s="5"/>
      <c r="AF1057" s="5"/>
      <c r="AG1057" s="5">
        <f>H1057</f>
        <v>0.56399999999999995</v>
      </c>
      <c r="AH1057" s="5"/>
      <c r="AI1057" s="5"/>
      <c r="AJ1057" s="5"/>
      <c r="AK1057" s="141"/>
      <c r="AL1057" s="94">
        <f>SUM(AF1057:AK1057)</f>
        <v>0.56399999999999995</v>
      </c>
      <c r="AM1057" s="128"/>
      <c r="AN1057" s="180"/>
      <c r="AO1057" s="128">
        <v>0.3</v>
      </c>
      <c r="AP1057" s="184">
        <v>0</v>
      </c>
      <c r="AQ1057" s="128"/>
      <c r="AR1057" s="184"/>
      <c r="AS1057" s="128"/>
      <c r="AT1057" s="184"/>
      <c r="AU1057" s="128"/>
      <c r="AV1057" s="184"/>
      <c r="AW1057" s="128"/>
      <c r="AX1057" s="184"/>
      <c r="AY1057" s="111">
        <f>AM1057+AO1057+AQ1057+AS1057+AU1057+AW1057</f>
        <v>0.3</v>
      </c>
      <c r="AZ1057" s="178">
        <f>AN1057+AP1057+AR1057+AT1057+AV1057+AX1057</f>
        <v>0</v>
      </c>
      <c r="BC1057" s="47"/>
      <c r="BD1057" s="47"/>
      <c r="BF1057" s="113">
        <v>0</v>
      </c>
      <c r="BG1057" s="113"/>
      <c r="BH1057" s="113"/>
      <c r="BI1057" s="113"/>
      <c r="BJ1057" s="113"/>
      <c r="BK1057" s="113"/>
      <c r="BL1057" s="5">
        <f t="shared" si="184"/>
        <v>0</v>
      </c>
    </row>
    <row r="1058" spans="1:64" s="2" customFormat="1" ht="15.75" customHeight="1" outlineLevel="1" x14ac:dyDescent="0.2">
      <c r="A1058" s="594"/>
      <c r="B1058" s="601"/>
      <c r="C1058" s="7" t="s">
        <v>1553</v>
      </c>
      <c r="D1058" s="8"/>
      <c r="E1058" s="23"/>
      <c r="F1058" s="8"/>
      <c r="G1058" s="8"/>
      <c r="H1058" s="5"/>
      <c r="I1058" s="5"/>
      <c r="J1058" s="5"/>
      <c r="K1058" s="8"/>
      <c r="L1058" s="23"/>
      <c r="M1058" s="8"/>
      <c r="N1058" s="8"/>
      <c r="O1058" s="8"/>
      <c r="P1058" s="8"/>
      <c r="Q1058" s="23"/>
      <c r="R1058" s="113"/>
      <c r="S1058" s="113"/>
      <c r="T1058" s="113"/>
      <c r="U1058" s="113"/>
      <c r="V1058" s="113"/>
      <c r="W1058" s="113"/>
      <c r="X1058" s="5">
        <f>SUM(R1058:W1058)</f>
        <v>0</v>
      </c>
      <c r="Y1058" s="302"/>
      <c r="Z1058" s="5"/>
      <c r="AA1058" s="94"/>
      <c r="AB1058" s="311">
        <f t="shared" si="183"/>
        <v>0</v>
      </c>
      <c r="AC1058" s="296"/>
      <c r="AD1058" s="113"/>
      <c r="AE1058" s="5"/>
      <c r="AF1058" s="5"/>
      <c r="AG1058" s="5"/>
      <c r="AH1058" s="5"/>
      <c r="AI1058" s="5"/>
      <c r="AJ1058" s="5"/>
      <c r="AK1058" s="141"/>
      <c r="AL1058" s="94"/>
      <c r="AM1058" s="128"/>
      <c r="AN1058" s="180"/>
      <c r="AO1058" s="128"/>
      <c r="AP1058" s="184"/>
      <c r="AQ1058" s="128"/>
      <c r="AR1058" s="184"/>
      <c r="AS1058" s="128"/>
      <c r="AT1058" s="184"/>
      <c r="AU1058" s="128"/>
      <c r="AV1058" s="184"/>
      <c r="AW1058" s="128"/>
      <c r="AX1058" s="184"/>
      <c r="AY1058" s="111"/>
      <c r="AZ1058" s="178"/>
      <c r="BC1058" s="47"/>
      <c r="BD1058" s="47"/>
      <c r="BF1058" s="113"/>
      <c r="BG1058" s="113"/>
      <c r="BH1058" s="113"/>
      <c r="BI1058" s="113"/>
      <c r="BJ1058" s="113"/>
      <c r="BK1058" s="113"/>
      <c r="BL1058" s="5">
        <f t="shared" si="184"/>
        <v>0</v>
      </c>
    </row>
    <row r="1059" spans="1:64" s="2" customFormat="1" ht="15.75" customHeight="1" outlineLevel="1" x14ac:dyDescent="0.2">
      <c r="A1059" s="595"/>
      <c r="B1059" s="602"/>
      <c r="C1059" s="7" t="s">
        <v>1554</v>
      </c>
      <c r="D1059" s="8"/>
      <c r="E1059" s="23"/>
      <c r="F1059" s="8"/>
      <c r="G1059" s="8"/>
      <c r="H1059" s="5">
        <v>0.56399999999999995</v>
      </c>
      <c r="I1059" s="5">
        <v>0.56353932203389845</v>
      </c>
      <c r="J1059" s="5">
        <f>R1059</f>
        <v>0</v>
      </c>
      <c r="K1059" s="23"/>
      <c r="L1059" s="8"/>
      <c r="M1059" s="8"/>
      <c r="N1059" s="8"/>
      <c r="O1059" s="8"/>
      <c r="P1059" s="8"/>
      <c r="Q1059" s="23"/>
      <c r="R1059" s="113"/>
      <c r="S1059" s="113"/>
      <c r="T1059" s="113"/>
      <c r="U1059" s="113"/>
      <c r="V1059" s="113"/>
      <c r="W1059" s="113"/>
      <c r="X1059" s="5">
        <f>SUM(R1059:W1059)</f>
        <v>0</v>
      </c>
      <c r="Y1059" s="302"/>
      <c r="Z1059" s="5"/>
      <c r="AA1059" s="94"/>
      <c r="AB1059" s="311">
        <f t="shared" si="183"/>
        <v>0.56353932203389845</v>
      </c>
      <c r="AC1059" s="296"/>
      <c r="AD1059" s="113"/>
      <c r="AE1059" s="5"/>
      <c r="AF1059" s="5"/>
      <c r="AG1059" s="5"/>
      <c r="AH1059" s="5"/>
      <c r="AI1059" s="5"/>
      <c r="AJ1059" s="5"/>
      <c r="AK1059" s="141"/>
      <c r="AL1059" s="94"/>
      <c r="AM1059" s="128"/>
      <c r="AN1059" s="180"/>
      <c r="AO1059" s="128"/>
      <c r="AP1059" s="184"/>
      <c r="AQ1059" s="128"/>
      <c r="AR1059" s="184"/>
      <c r="AS1059" s="128"/>
      <c r="AT1059" s="184"/>
      <c r="AU1059" s="128"/>
      <c r="AV1059" s="184"/>
      <c r="AW1059" s="128"/>
      <c r="AX1059" s="184"/>
      <c r="AY1059" s="111"/>
      <c r="AZ1059" s="178"/>
      <c r="BC1059" s="47"/>
      <c r="BD1059" s="47"/>
      <c r="BF1059" s="113"/>
      <c r="BG1059" s="113"/>
      <c r="BH1059" s="113"/>
      <c r="BI1059" s="113"/>
      <c r="BJ1059" s="113"/>
      <c r="BK1059" s="113"/>
      <c r="BL1059" s="5">
        <f t="shared" si="184"/>
        <v>0</v>
      </c>
    </row>
    <row r="1060" spans="1:64" s="2" customFormat="1" ht="25.5" customHeight="1" outlineLevel="1" x14ac:dyDescent="0.2">
      <c r="A1060" s="593" t="s">
        <v>1986</v>
      </c>
      <c r="B1060" s="600" t="s">
        <v>1974</v>
      </c>
      <c r="C1060" s="7" t="s">
        <v>1988</v>
      </c>
      <c r="D1060" s="8" t="s">
        <v>145</v>
      </c>
      <c r="E1060" s="23" t="s">
        <v>1387</v>
      </c>
      <c r="F1060" s="8">
        <v>2013</v>
      </c>
      <c r="G1060" s="8">
        <v>2015</v>
      </c>
      <c r="H1060" s="5">
        <v>0.67400000000000004</v>
      </c>
      <c r="I1060" s="5">
        <v>0.67370881355932211</v>
      </c>
      <c r="J1060" s="5">
        <f>R1060</f>
        <v>0.46662700000000001</v>
      </c>
      <c r="K1060" s="8"/>
      <c r="L1060" s="23" t="s">
        <v>1387</v>
      </c>
      <c r="M1060" s="8"/>
      <c r="N1060" s="8"/>
      <c r="O1060" s="8"/>
      <c r="P1060" s="8"/>
      <c r="Q1060" s="23" t="s">
        <v>1387</v>
      </c>
      <c r="R1060" s="113">
        <v>0.46662700000000001</v>
      </c>
      <c r="S1060" s="113"/>
      <c r="T1060" s="113"/>
      <c r="U1060" s="113"/>
      <c r="V1060" s="113"/>
      <c r="W1060" s="113"/>
      <c r="X1060" s="5">
        <f t="shared" si="182"/>
        <v>0.46662700000000001</v>
      </c>
      <c r="Y1060" s="302">
        <f>H1060-H1061-H1062</f>
        <v>0</v>
      </c>
      <c r="Z1060" s="5">
        <f>I1060-I1061-I1062</f>
        <v>0</v>
      </c>
      <c r="AA1060" s="94">
        <f>J1060-J1061-J1062</f>
        <v>0</v>
      </c>
      <c r="AB1060" s="311">
        <f t="shared" si="183"/>
        <v>0.20708181355932209</v>
      </c>
      <c r="AC1060" s="296"/>
      <c r="AD1060" s="113"/>
      <c r="AE1060" s="5"/>
      <c r="AF1060" s="5"/>
      <c r="AG1060" s="5">
        <f>H1060</f>
        <v>0.67400000000000004</v>
      </c>
      <c r="AH1060" s="5"/>
      <c r="AI1060" s="5"/>
      <c r="AJ1060" s="5"/>
      <c r="AK1060" s="141"/>
      <c r="AL1060" s="94">
        <f>SUM(AF1060:AK1060)</f>
        <v>0.67400000000000004</v>
      </c>
      <c r="AM1060" s="128"/>
      <c r="AN1060" s="180"/>
      <c r="AO1060" s="128">
        <v>0.5</v>
      </c>
      <c r="AP1060" s="184">
        <v>0</v>
      </c>
      <c r="AQ1060" s="128"/>
      <c r="AR1060" s="184"/>
      <c r="AS1060" s="128"/>
      <c r="AT1060" s="184"/>
      <c r="AU1060" s="128"/>
      <c r="AV1060" s="184"/>
      <c r="AW1060" s="128"/>
      <c r="AX1060" s="184"/>
      <c r="AY1060" s="111">
        <f>AM1060+AO1060+AQ1060+AS1060+AU1060+AW1060</f>
        <v>0.5</v>
      </c>
      <c r="AZ1060" s="178">
        <f>AN1060+AP1060+AR1060+AT1060+AV1060+AX1060</f>
        <v>0</v>
      </c>
      <c r="BC1060" s="47"/>
      <c r="BD1060" s="47"/>
      <c r="BF1060" s="113">
        <v>0.46662700000000001</v>
      </c>
      <c r="BG1060" s="113"/>
      <c r="BH1060" s="113"/>
      <c r="BI1060" s="113"/>
      <c r="BJ1060" s="113"/>
      <c r="BK1060" s="113"/>
      <c r="BL1060" s="5">
        <f t="shared" si="184"/>
        <v>0.46662700000000001</v>
      </c>
    </row>
    <row r="1061" spans="1:64" s="2" customFormat="1" ht="15.75" customHeight="1" outlineLevel="1" x14ac:dyDescent="0.2">
      <c r="A1061" s="594"/>
      <c r="B1061" s="601"/>
      <c r="C1061" s="7" t="s">
        <v>1553</v>
      </c>
      <c r="D1061" s="8"/>
      <c r="E1061" s="23"/>
      <c r="F1061" s="8"/>
      <c r="G1061" s="8"/>
      <c r="H1061" s="5"/>
      <c r="I1061" s="5"/>
      <c r="J1061" s="5"/>
      <c r="K1061" s="8"/>
      <c r="L1061" s="23"/>
      <c r="M1061" s="8"/>
      <c r="N1061" s="8"/>
      <c r="O1061" s="8"/>
      <c r="P1061" s="8"/>
      <c r="Q1061" s="23"/>
      <c r="R1061" s="113"/>
      <c r="S1061" s="113"/>
      <c r="T1061" s="113"/>
      <c r="U1061" s="113"/>
      <c r="V1061" s="113"/>
      <c r="W1061" s="113"/>
      <c r="X1061" s="5">
        <f t="shared" si="182"/>
        <v>0</v>
      </c>
      <c r="Y1061" s="302"/>
      <c r="Z1061" s="5"/>
      <c r="AA1061" s="94"/>
      <c r="AB1061" s="311">
        <f t="shared" si="183"/>
        <v>0</v>
      </c>
      <c r="AC1061" s="296"/>
      <c r="AD1061" s="113"/>
      <c r="AE1061" s="5"/>
      <c r="AF1061" s="5"/>
      <c r="AG1061" s="5"/>
      <c r="AH1061" s="5"/>
      <c r="AI1061" s="5"/>
      <c r="AJ1061" s="5"/>
      <c r="AK1061" s="141"/>
      <c r="AL1061" s="94"/>
      <c r="AM1061" s="128"/>
      <c r="AN1061" s="180"/>
      <c r="AO1061" s="128"/>
      <c r="AP1061" s="184"/>
      <c r="AQ1061" s="128"/>
      <c r="AR1061" s="184"/>
      <c r="AS1061" s="128"/>
      <c r="AT1061" s="184"/>
      <c r="AU1061" s="128"/>
      <c r="AV1061" s="184"/>
      <c r="AW1061" s="128"/>
      <c r="AX1061" s="184"/>
      <c r="AY1061" s="111"/>
      <c r="AZ1061" s="178"/>
      <c r="BC1061" s="47"/>
      <c r="BD1061" s="47"/>
      <c r="BF1061" s="113"/>
      <c r="BG1061" s="113"/>
      <c r="BH1061" s="113"/>
      <c r="BI1061" s="113"/>
      <c r="BJ1061" s="113"/>
      <c r="BK1061" s="113"/>
      <c r="BL1061" s="5">
        <f t="shared" si="184"/>
        <v>0</v>
      </c>
    </row>
    <row r="1062" spans="1:64" s="2" customFormat="1" ht="15.75" customHeight="1" outlineLevel="1" x14ac:dyDescent="0.2">
      <c r="A1062" s="595"/>
      <c r="B1062" s="602"/>
      <c r="C1062" s="7" t="s">
        <v>1554</v>
      </c>
      <c r="D1062" s="8"/>
      <c r="E1062" s="23"/>
      <c r="F1062" s="8"/>
      <c r="G1062" s="8"/>
      <c r="H1062" s="5">
        <v>0.67400000000000004</v>
      </c>
      <c r="I1062" s="5">
        <v>0.67370881355932211</v>
      </c>
      <c r="J1062" s="5">
        <v>0.46662700000000001</v>
      </c>
      <c r="K1062" s="23"/>
      <c r="L1062" s="8"/>
      <c r="M1062" s="8"/>
      <c r="N1062" s="8"/>
      <c r="O1062" s="8"/>
      <c r="P1062" s="8"/>
      <c r="Q1062" s="23"/>
      <c r="R1062" s="113"/>
      <c r="S1062" s="113"/>
      <c r="T1062" s="113"/>
      <c r="U1062" s="113"/>
      <c r="V1062" s="113"/>
      <c r="W1062" s="113"/>
      <c r="X1062" s="5">
        <f t="shared" si="182"/>
        <v>0</v>
      </c>
      <c r="Y1062" s="302"/>
      <c r="Z1062" s="5"/>
      <c r="AA1062" s="94"/>
      <c r="AB1062" s="311">
        <f t="shared" si="183"/>
        <v>0.67370881355932211</v>
      </c>
      <c r="AC1062" s="296"/>
      <c r="AD1062" s="113"/>
      <c r="AE1062" s="5"/>
      <c r="AF1062" s="5"/>
      <c r="AG1062" s="5"/>
      <c r="AH1062" s="5"/>
      <c r="AI1062" s="5"/>
      <c r="AJ1062" s="5"/>
      <c r="AK1062" s="141"/>
      <c r="AL1062" s="94"/>
      <c r="AM1062" s="128"/>
      <c r="AN1062" s="180"/>
      <c r="AO1062" s="128"/>
      <c r="AP1062" s="184"/>
      <c r="AQ1062" s="128"/>
      <c r="AR1062" s="184"/>
      <c r="AS1062" s="128"/>
      <c r="AT1062" s="184"/>
      <c r="AU1062" s="128"/>
      <c r="AV1062" s="184"/>
      <c r="AW1062" s="128"/>
      <c r="AX1062" s="184"/>
      <c r="AY1062" s="111"/>
      <c r="AZ1062" s="178"/>
      <c r="BC1062" s="47"/>
      <c r="BD1062" s="47"/>
      <c r="BF1062" s="113"/>
      <c r="BG1062" s="113"/>
      <c r="BH1062" s="113"/>
      <c r="BI1062" s="113"/>
      <c r="BJ1062" s="113"/>
      <c r="BK1062" s="113"/>
      <c r="BL1062" s="5">
        <f t="shared" si="184"/>
        <v>0</v>
      </c>
    </row>
    <row r="1063" spans="1:64" s="2" customFormat="1" ht="25.5" customHeight="1" outlineLevel="1" x14ac:dyDescent="0.2">
      <c r="A1063" s="593" t="s">
        <v>1989</v>
      </c>
      <c r="B1063" s="600" t="s">
        <v>1976</v>
      </c>
      <c r="C1063" s="7" t="s">
        <v>489</v>
      </c>
      <c r="D1063" s="8" t="s">
        <v>145</v>
      </c>
      <c r="E1063" s="23" t="s">
        <v>335</v>
      </c>
      <c r="F1063" s="8">
        <v>2013</v>
      </c>
      <c r="G1063" s="8">
        <v>2015</v>
      </c>
      <c r="H1063" s="5">
        <v>0.61398199999999992</v>
      </c>
      <c r="I1063" s="5">
        <v>0.61398199999999992</v>
      </c>
      <c r="J1063" s="5">
        <f>R1063</f>
        <v>0.61398199999999992</v>
      </c>
      <c r="K1063" s="8"/>
      <c r="L1063" s="23" t="s">
        <v>335</v>
      </c>
      <c r="M1063" s="8"/>
      <c r="N1063" s="8"/>
      <c r="O1063" s="8"/>
      <c r="P1063" s="8"/>
      <c r="Q1063" s="23" t="s">
        <v>335</v>
      </c>
      <c r="R1063" s="113">
        <v>0.61398199999999992</v>
      </c>
      <c r="S1063" s="113"/>
      <c r="T1063" s="113"/>
      <c r="U1063" s="113"/>
      <c r="V1063" s="113"/>
      <c r="W1063" s="113"/>
      <c r="X1063" s="5">
        <f t="shared" si="182"/>
        <v>0.61398199999999992</v>
      </c>
      <c r="Y1063" s="302">
        <f>H1063-H1064-H1065</f>
        <v>0</v>
      </c>
      <c r="Z1063" s="5">
        <f>I1063-I1064-I1065</f>
        <v>0</v>
      </c>
      <c r="AA1063" s="94">
        <f>J1063-J1064-J1065</f>
        <v>0</v>
      </c>
      <c r="AB1063" s="311">
        <f t="shared" si="183"/>
        <v>0</v>
      </c>
      <c r="AC1063" s="296"/>
      <c r="AD1063" s="113"/>
      <c r="AE1063" s="5"/>
      <c r="AF1063" s="5"/>
      <c r="AG1063" s="5">
        <f>H1063</f>
        <v>0.61398199999999992</v>
      </c>
      <c r="AH1063" s="5"/>
      <c r="AI1063" s="5"/>
      <c r="AJ1063" s="5"/>
      <c r="AK1063" s="141"/>
      <c r="AL1063" s="94">
        <f>SUM(AF1063:AK1063)</f>
        <v>0.61398199999999992</v>
      </c>
      <c r="AM1063" s="128"/>
      <c r="AN1063" s="180"/>
      <c r="AO1063" s="128">
        <v>0.1</v>
      </c>
      <c r="AP1063" s="184">
        <v>0</v>
      </c>
      <c r="AQ1063" s="128"/>
      <c r="AR1063" s="184"/>
      <c r="AS1063" s="128"/>
      <c r="AT1063" s="184"/>
      <c r="AU1063" s="128"/>
      <c r="AV1063" s="184"/>
      <c r="AW1063" s="128"/>
      <c r="AX1063" s="184"/>
      <c r="AY1063" s="111">
        <f>AM1063+AO1063+AQ1063+AS1063+AU1063+AW1063</f>
        <v>0.1</v>
      </c>
      <c r="AZ1063" s="178">
        <f>AN1063+AP1063+AR1063+AT1063+AV1063+AX1063</f>
        <v>0</v>
      </c>
      <c r="BC1063" s="47"/>
      <c r="BD1063" s="47"/>
      <c r="BF1063" s="113">
        <v>0.61398199999999992</v>
      </c>
      <c r="BG1063" s="113"/>
      <c r="BH1063" s="113"/>
      <c r="BI1063" s="113"/>
      <c r="BJ1063" s="113"/>
      <c r="BK1063" s="113"/>
      <c r="BL1063" s="5">
        <f t="shared" si="184"/>
        <v>0.61398199999999992</v>
      </c>
    </row>
    <row r="1064" spans="1:64" s="2" customFormat="1" ht="15.75" customHeight="1" outlineLevel="1" x14ac:dyDescent="0.2">
      <c r="A1064" s="594"/>
      <c r="B1064" s="601"/>
      <c r="C1064" s="7" t="s">
        <v>1553</v>
      </c>
      <c r="D1064" s="8"/>
      <c r="E1064" s="23"/>
      <c r="F1064" s="8"/>
      <c r="G1064" s="8"/>
      <c r="H1064" s="5"/>
      <c r="I1064" s="5"/>
      <c r="J1064" s="5"/>
      <c r="K1064" s="8"/>
      <c r="L1064" s="23"/>
      <c r="M1064" s="8"/>
      <c r="N1064" s="8"/>
      <c r="O1064" s="8"/>
      <c r="P1064" s="8"/>
      <c r="Q1064" s="23"/>
      <c r="R1064" s="113"/>
      <c r="S1064" s="113"/>
      <c r="T1064" s="113"/>
      <c r="U1064" s="113"/>
      <c r="V1064" s="113"/>
      <c r="W1064" s="113"/>
      <c r="X1064" s="5">
        <f>SUM(R1064:W1064)</f>
        <v>0</v>
      </c>
      <c r="Y1064" s="302"/>
      <c r="Z1064" s="5"/>
      <c r="AA1064" s="94"/>
      <c r="AB1064" s="311">
        <f t="shared" si="183"/>
        <v>0</v>
      </c>
      <c r="AC1064" s="296"/>
      <c r="AD1064" s="113"/>
      <c r="AE1064" s="5"/>
      <c r="AF1064" s="5"/>
      <c r="AG1064" s="5"/>
      <c r="AH1064" s="5"/>
      <c r="AI1064" s="5"/>
      <c r="AJ1064" s="5"/>
      <c r="AK1064" s="141"/>
      <c r="AL1064" s="94"/>
      <c r="AM1064" s="128"/>
      <c r="AN1064" s="180"/>
      <c r="AO1064" s="128"/>
      <c r="AP1064" s="184"/>
      <c r="AQ1064" s="128"/>
      <c r="AR1064" s="184"/>
      <c r="AS1064" s="128"/>
      <c r="AT1064" s="184"/>
      <c r="AU1064" s="128"/>
      <c r="AV1064" s="184"/>
      <c r="AW1064" s="128"/>
      <c r="AX1064" s="184"/>
      <c r="AY1064" s="111"/>
      <c r="AZ1064" s="178"/>
      <c r="BC1064" s="47"/>
      <c r="BD1064" s="47"/>
      <c r="BF1064" s="113"/>
      <c r="BG1064" s="113"/>
      <c r="BH1064" s="113"/>
      <c r="BI1064" s="113"/>
      <c r="BJ1064" s="113"/>
      <c r="BK1064" s="113"/>
      <c r="BL1064" s="5">
        <f t="shared" si="184"/>
        <v>0</v>
      </c>
    </row>
    <row r="1065" spans="1:64" s="2" customFormat="1" ht="15.75" customHeight="1" outlineLevel="1" x14ac:dyDescent="0.2">
      <c r="A1065" s="595"/>
      <c r="B1065" s="602"/>
      <c r="C1065" s="7" t="s">
        <v>1554</v>
      </c>
      <c r="D1065" s="8"/>
      <c r="E1065" s="23"/>
      <c r="F1065" s="8"/>
      <c r="G1065" s="8"/>
      <c r="H1065" s="5">
        <f>H1063</f>
        <v>0.61398199999999992</v>
      </c>
      <c r="I1065" s="5">
        <f>I1063</f>
        <v>0.61398199999999992</v>
      </c>
      <c r="J1065" s="5">
        <f>J1063</f>
        <v>0.61398199999999992</v>
      </c>
      <c r="K1065" s="23"/>
      <c r="L1065" s="8"/>
      <c r="M1065" s="8"/>
      <c r="N1065" s="8"/>
      <c r="O1065" s="8"/>
      <c r="P1065" s="8"/>
      <c r="Q1065" s="23"/>
      <c r="R1065" s="113"/>
      <c r="S1065" s="113"/>
      <c r="T1065" s="113"/>
      <c r="U1065" s="113"/>
      <c r="V1065" s="113"/>
      <c r="W1065" s="113"/>
      <c r="X1065" s="5">
        <f>SUM(R1065:W1065)</f>
        <v>0</v>
      </c>
      <c r="Y1065" s="302"/>
      <c r="Z1065" s="5"/>
      <c r="AA1065" s="94"/>
      <c r="AB1065" s="311">
        <f t="shared" si="183"/>
        <v>0.61398199999999992</v>
      </c>
      <c r="AC1065" s="296"/>
      <c r="AD1065" s="113"/>
      <c r="AE1065" s="5"/>
      <c r="AF1065" s="5"/>
      <c r="AG1065" s="5"/>
      <c r="AH1065" s="5"/>
      <c r="AI1065" s="5"/>
      <c r="AJ1065" s="5"/>
      <c r="AK1065" s="141"/>
      <c r="AL1065" s="94"/>
      <c r="AM1065" s="128"/>
      <c r="AN1065" s="180"/>
      <c r="AO1065" s="128"/>
      <c r="AP1065" s="184"/>
      <c r="AQ1065" s="128"/>
      <c r="AR1065" s="184"/>
      <c r="AS1065" s="128"/>
      <c r="AT1065" s="184"/>
      <c r="AU1065" s="128"/>
      <c r="AV1065" s="184"/>
      <c r="AW1065" s="128"/>
      <c r="AX1065" s="184"/>
      <c r="AY1065" s="111"/>
      <c r="AZ1065" s="178"/>
      <c r="BC1065" s="47"/>
      <c r="BD1065" s="47"/>
      <c r="BF1065" s="113"/>
      <c r="BG1065" s="113"/>
      <c r="BH1065" s="113"/>
      <c r="BI1065" s="113"/>
      <c r="BJ1065" s="113"/>
      <c r="BK1065" s="113"/>
      <c r="BL1065" s="5">
        <f t="shared" si="184"/>
        <v>0</v>
      </c>
    </row>
    <row r="1066" spans="1:64" s="2" customFormat="1" ht="51" customHeight="1" outlineLevel="1" x14ac:dyDescent="0.2">
      <c r="A1066" s="593" t="s">
        <v>1991</v>
      </c>
      <c r="B1066" s="600" t="s">
        <v>1979</v>
      </c>
      <c r="C1066" s="7" t="s">
        <v>2252</v>
      </c>
      <c r="D1066" s="8" t="s">
        <v>145</v>
      </c>
      <c r="E1066" s="23" t="s">
        <v>1241</v>
      </c>
      <c r="F1066" s="8">
        <v>2013</v>
      </c>
      <c r="G1066" s="8">
        <v>2015</v>
      </c>
      <c r="H1066" s="5">
        <v>0.29699999999999999</v>
      </c>
      <c r="I1066" s="5">
        <v>0.29659016949152539</v>
      </c>
      <c r="J1066" s="5">
        <f>R1066</f>
        <v>0.17239399999999999</v>
      </c>
      <c r="K1066" s="8"/>
      <c r="L1066" s="23" t="s">
        <v>1241</v>
      </c>
      <c r="M1066" s="8"/>
      <c r="N1066" s="8"/>
      <c r="O1066" s="8"/>
      <c r="P1066" s="8"/>
      <c r="Q1066" s="23" t="s">
        <v>1241</v>
      </c>
      <c r="R1066" s="113">
        <v>0.17239399999999999</v>
      </c>
      <c r="S1066" s="113"/>
      <c r="T1066" s="113"/>
      <c r="U1066" s="113"/>
      <c r="V1066" s="113"/>
      <c r="W1066" s="113"/>
      <c r="X1066" s="5">
        <f t="shared" si="182"/>
        <v>0.17239399999999999</v>
      </c>
      <c r="Y1066" s="302">
        <f>H1066-H1067-H1068</f>
        <v>0</v>
      </c>
      <c r="Z1066" s="5">
        <f>I1066-I1067-I1068</f>
        <v>0</v>
      </c>
      <c r="AA1066" s="94">
        <f>J1066-J1067-J1068</f>
        <v>0</v>
      </c>
      <c r="AB1066" s="311">
        <f t="shared" si="183"/>
        <v>0.1241961694915254</v>
      </c>
      <c r="AC1066" s="296"/>
      <c r="AD1066" s="113"/>
      <c r="AE1066" s="5"/>
      <c r="AF1066" s="5"/>
      <c r="AG1066" s="5">
        <f>H1066</f>
        <v>0.29699999999999999</v>
      </c>
      <c r="AH1066" s="5"/>
      <c r="AI1066" s="5"/>
      <c r="AJ1066" s="5"/>
      <c r="AK1066" s="141"/>
      <c r="AL1066" s="94">
        <f>SUM(AF1066:AK1066)</f>
        <v>0.29699999999999999</v>
      </c>
      <c r="AM1066" s="128"/>
      <c r="AN1066" s="180"/>
      <c r="AO1066" s="128">
        <v>0</v>
      </c>
      <c r="AP1066" s="184">
        <v>0</v>
      </c>
      <c r="AQ1066" s="128"/>
      <c r="AR1066" s="184"/>
      <c r="AS1066" s="128"/>
      <c r="AT1066" s="184"/>
      <c r="AU1066" s="128"/>
      <c r="AV1066" s="184"/>
      <c r="AW1066" s="128"/>
      <c r="AX1066" s="184"/>
      <c r="AY1066" s="111">
        <f>AM1066+AO1066+AQ1066+AS1066+AU1066+AW1066</f>
        <v>0</v>
      </c>
      <c r="AZ1066" s="178">
        <f>AN1066+AP1066+AR1066+AT1066+AV1066+AX1066</f>
        <v>0</v>
      </c>
      <c r="BC1066" s="47"/>
      <c r="BD1066" s="47"/>
      <c r="BF1066" s="113">
        <v>0.17239399999999999</v>
      </c>
      <c r="BG1066" s="113"/>
      <c r="BH1066" s="113"/>
      <c r="BI1066" s="113"/>
      <c r="BJ1066" s="113"/>
      <c r="BK1066" s="113"/>
      <c r="BL1066" s="5">
        <f t="shared" si="184"/>
        <v>0.17239399999999999</v>
      </c>
    </row>
    <row r="1067" spans="1:64" s="2" customFormat="1" ht="15.75" customHeight="1" outlineLevel="1" x14ac:dyDescent="0.2">
      <c r="A1067" s="594"/>
      <c r="B1067" s="601"/>
      <c r="C1067" s="7" t="s">
        <v>1553</v>
      </c>
      <c r="D1067" s="8"/>
      <c r="E1067" s="23"/>
      <c r="F1067" s="8"/>
      <c r="G1067" s="8"/>
      <c r="H1067" s="5">
        <f>H1066</f>
        <v>0.29699999999999999</v>
      </c>
      <c r="I1067" s="5">
        <f>I1066</f>
        <v>0.29659016949152539</v>
      </c>
      <c r="J1067" s="5">
        <f>J1066</f>
        <v>0.17239399999999999</v>
      </c>
      <c r="K1067" s="8"/>
      <c r="L1067" s="23"/>
      <c r="M1067" s="8"/>
      <c r="N1067" s="8"/>
      <c r="O1067" s="8"/>
      <c r="P1067" s="8"/>
      <c r="Q1067" s="23"/>
      <c r="R1067" s="113"/>
      <c r="S1067" s="113"/>
      <c r="T1067" s="113"/>
      <c r="U1067" s="113"/>
      <c r="V1067" s="113"/>
      <c r="W1067" s="113"/>
      <c r="X1067" s="5">
        <f t="shared" si="182"/>
        <v>0</v>
      </c>
      <c r="Y1067" s="302"/>
      <c r="Z1067" s="5"/>
      <c r="AA1067" s="94"/>
      <c r="AB1067" s="311">
        <f t="shared" si="183"/>
        <v>0.29659016949152539</v>
      </c>
      <c r="AC1067" s="296"/>
      <c r="AD1067" s="113"/>
      <c r="AE1067" s="5"/>
      <c r="AF1067" s="5"/>
      <c r="AG1067" s="5"/>
      <c r="AH1067" s="5"/>
      <c r="AI1067" s="5"/>
      <c r="AJ1067" s="5"/>
      <c r="AK1067" s="141"/>
      <c r="AL1067" s="94"/>
      <c r="AM1067" s="128"/>
      <c r="AN1067" s="180"/>
      <c r="AO1067" s="128"/>
      <c r="AP1067" s="184"/>
      <c r="AQ1067" s="128"/>
      <c r="AR1067" s="184"/>
      <c r="AS1067" s="128"/>
      <c r="AT1067" s="184"/>
      <c r="AU1067" s="128"/>
      <c r="AV1067" s="184"/>
      <c r="AW1067" s="128"/>
      <c r="AX1067" s="184"/>
      <c r="AY1067" s="111"/>
      <c r="AZ1067" s="178"/>
      <c r="BC1067" s="47"/>
      <c r="BD1067" s="47"/>
      <c r="BF1067" s="113"/>
      <c r="BG1067" s="113"/>
      <c r="BH1067" s="113"/>
      <c r="BI1067" s="113"/>
      <c r="BJ1067" s="113"/>
      <c r="BK1067" s="113"/>
      <c r="BL1067" s="5">
        <f t="shared" si="184"/>
        <v>0</v>
      </c>
    </row>
    <row r="1068" spans="1:64" s="2" customFormat="1" ht="15.75" customHeight="1" outlineLevel="1" x14ac:dyDescent="0.2">
      <c r="A1068" s="595"/>
      <c r="B1068" s="602"/>
      <c r="C1068" s="7" t="s">
        <v>1554</v>
      </c>
      <c r="D1068" s="8"/>
      <c r="E1068" s="23"/>
      <c r="F1068" s="8"/>
      <c r="G1068" s="8"/>
      <c r="H1068" s="5"/>
      <c r="I1068" s="5"/>
      <c r="J1068" s="5"/>
      <c r="K1068" s="23"/>
      <c r="L1068" s="8"/>
      <c r="M1068" s="8"/>
      <c r="N1068" s="8"/>
      <c r="O1068" s="8"/>
      <c r="P1068" s="8"/>
      <c r="Q1068" s="23"/>
      <c r="R1068" s="113"/>
      <c r="S1068" s="113"/>
      <c r="T1068" s="113"/>
      <c r="U1068" s="113"/>
      <c r="V1068" s="113"/>
      <c r="W1068" s="113"/>
      <c r="X1068" s="5">
        <f t="shared" si="182"/>
        <v>0</v>
      </c>
      <c r="Y1068" s="302"/>
      <c r="Z1068" s="5"/>
      <c r="AA1068" s="94"/>
      <c r="AB1068" s="311">
        <f t="shared" si="183"/>
        <v>0</v>
      </c>
      <c r="AC1068" s="296"/>
      <c r="AD1068" s="113"/>
      <c r="AE1068" s="5"/>
      <c r="AF1068" s="5"/>
      <c r="AG1068" s="5"/>
      <c r="AH1068" s="5"/>
      <c r="AI1068" s="5"/>
      <c r="AJ1068" s="5"/>
      <c r="AK1068" s="141"/>
      <c r="AL1068" s="94"/>
      <c r="AM1068" s="128"/>
      <c r="AN1068" s="180"/>
      <c r="AO1068" s="128"/>
      <c r="AP1068" s="184"/>
      <c r="AQ1068" s="128"/>
      <c r="AR1068" s="184"/>
      <c r="AS1068" s="128"/>
      <c r="AT1068" s="184"/>
      <c r="AU1068" s="128"/>
      <c r="AV1068" s="184"/>
      <c r="AW1068" s="128"/>
      <c r="AX1068" s="184"/>
      <c r="AY1068" s="111"/>
      <c r="AZ1068" s="178"/>
      <c r="BC1068" s="47"/>
      <c r="BD1068" s="47"/>
      <c r="BF1068" s="113"/>
      <c r="BG1068" s="113"/>
      <c r="BH1068" s="113"/>
      <c r="BI1068" s="113"/>
      <c r="BJ1068" s="113"/>
      <c r="BK1068" s="113"/>
      <c r="BL1068" s="5">
        <f t="shared" si="184"/>
        <v>0</v>
      </c>
    </row>
    <row r="1069" spans="1:64" s="2" customFormat="1" ht="25.5" customHeight="1" outlineLevel="1" x14ac:dyDescent="0.2">
      <c r="A1069" s="593" t="s">
        <v>1993</v>
      </c>
      <c r="B1069" s="600" t="s">
        <v>1981</v>
      </c>
      <c r="C1069" s="7" t="s">
        <v>1995</v>
      </c>
      <c r="D1069" s="8" t="s">
        <v>145</v>
      </c>
      <c r="E1069" s="23" t="s">
        <v>1241</v>
      </c>
      <c r="F1069" s="8">
        <v>2013</v>
      </c>
      <c r="G1069" s="8">
        <v>2015</v>
      </c>
      <c r="H1069" s="5">
        <v>0.25421728813559319</v>
      </c>
      <c r="I1069" s="5">
        <v>0.25421728813559319</v>
      </c>
      <c r="J1069" s="5">
        <f>R1069</f>
        <v>0.24559299999999998</v>
      </c>
      <c r="K1069" s="8"/>
      <c r="L1069" s="23" t="s">
        <v>1241</v>
      </c>
      <c r="M1069" s="8"/>
      <c r="N1069" s="8"/>
      <c r="O1069" s="8"/>
      <c r="P1069" s="8"/>
      <c r="Q1069" s="23" t="s">
        <v>1241</v>
      </c>
      <c r="R1069" s="113">
        <v>0.24559299999999998</v>
      </c>
      <c r="S1069" s="113"/>
      <c r="T1069" s="113"/>
      <c r="U1069" s="113"/>
      <c r="V1069" s="113"/>
      <c r="W1069" s="113"/>
      <c r="X1069" s="5">
        <f t="shared" si="182"/>
        <v>0.24559299999999998</v>
      </c>
      <c r="Y1069" s="302">
        <f>H1069-H1070-H1071</f>
        <v>0</v>
      </c>
      <c r="Z1069" s="5">
        <f>I1069-I1070-I1071</f>
        <v>0</v>
      </c>
      <c r="AA1069" s="94">
        <f>J1069-J1070-J1071</f>
        <v>0</v>
      </c>
      <c r="AB1069" s="311">
        <f t="shared" si="183"/>
        <v>8.6242881355932111E-3</v>
      </c>
      <c r="AC1069" s="296"/>
      <c r="AD1069" s="113"/>
      <c r="AE1069" s="5"/>
      <c r="AF1069" s="5"/>
      <c r="AG1069" s="5">
        <f>H1069</f>
        <v>0.25421728813559319</v>
      </c>
      <c r="AH1069" s="5"/>
      <c r="AI1069" s="5"/>
      <c r="AJ1069" s="5"/>
      <c r="AK1069" s="141"/>
      <c r="AL1069" s="94">
        <f>SUM(AF1069:AK1069)</f>
        <v>0.25421728813559319</v>
      </c>
      <c r="AM1069" s="128"/>
      <c r="AN1069" s="180"/>
      <c r="AO1069" s="128">
        <v>0</v>
      </c>
      <c r="AP1069" s="184">
        <v>0</v>
      </c>
      <c r="AQ1069" s="128"/>
      <c r="AR1069" s="184"/>
      <c r="AS1069" s="128"/>
      <c r="AT1069" s="184"/>
      <c r="AU1069" s="128"/>
      <c r="AV1069" s="184"/>
      <c r="AW1069" s="128"/>
      <c r="AX1069" s="184"/>
      <c r="AY1069" s="111">
        <f>AM1069+AO1069+AQ1069+AS1069+AU1069+AW1069</f>
        <v>0</v>
      </c>
      <c r="AZ1069" s="178">
        <f>AN1069+AP1069+AR1069+AT1069+AV1069+AX1069</f>
        <v>0</v>
      </c>
      <c r="BC1069" s="47"/>
      <c r="BD1069" s="47"/>
      <c r="BF1069" s="113">
        <v>0.24559299999999998</v>
      </c>
      <c r="BG1069" s="113"/>
      <c r="BH1069" s="113"/>
      <c r="BI1069" s="113"/>
      <c r="BJ1069" s="113"/>
      <c r="BK1069" s="113"/>
      <c r="BL1069" s="5">
        <f t="shared" si="184"/>
        <v>0.24559299999999998</v>
      </c>
    </row>
    <row r="1070" spans="1:64" s="2" customFormat="1" ht="15.75" customHeight="1" outlineLevel="1" x14ac:dyDescent="0.2">
      <c r="A1070" s="594"/>
      <c r="B1070" s="601"/>
      <c r="C1070" s="7" t="s">
        <v>1553</v>
      </c>
      <c r="D1070" s="8"/>
      <c r="E1070" s="23"/>
      <c r="F1070" s="8"/>
      <c r="G1070" s="8"/>
      <c r="H1070" s="5"/>
      <c r="I1070" s="5"/>
      <c r="J1070" s="5"/>
      <c r="K1070" s="8"/>
      <c r="L1070" s="23"/>
      <c r="M1070" s="8"/>
      <c r="N1070" s="8"/>
      <c r="O1070" s="8"/>
      <c r="P1070" s="8"/>
      <c r="Q1070" s="23"/>
      <c r="R1070" s="113"/>
      <c r="S1070" s="113"/>
      <c r="T1070" s="113"/>
      <c r="U1070" s="113"/>
      <c r="V1070" s="113"/>
      <c r="W1070" s="113"/>
      <c r="X1070" s="5">
        <f>SUM(R1070:W1070)</f>
        <v>0</v>
      </c>
      <c r="Y1070" s="302"/>
      <c r="Z1070" s="5"/>
      <c r="AA1070" s="94"/>
      <c r="AB1070" s="311">
        <f t="shared" si="183"/>
        <v>0</v>
      </c>
      <c r="AC1070" s="296"/>
      <c r="AD1070" s="113"/>
      <c r="AE1070" s="5"/>
      <c r="AF1070" s="5"/>
      <c r="AG1070" s="5"/>
      <c r="AH1070" s="5"/>
      <c r="AI1070" s="5"/>
      <c r="AJ1070" s="5"/>
      <c r="AK1070" s="141"/>
      <c r="AL1070" s="94"/>
      <c r="AM1070" s="128"/>
      <c r="AN1070" s="180"/>
      <c r="AO1070" s="128"/>
      <c r="AP1070" s="184"/>
      <c r="AQ1070" s="128"/>
      <c r="AR1070" s="184"/>
      <c r="AS1070" s="128"/>
      <c r="AT1070" s="184"/>
      <c r="AU1070" s="128"/>
      <c r="AV1070" s="184"/>
      <c r="AW1070" s="128"/>
      <c r="AX1070" s="184"/>
      <c r="AY1070" s="111"/>
      <c r="AZ1070" s="178"/>
      <c r="BC1070" s="47"/>
      <c r="BD1070" s="47"/>
      <c r="BF1070" s="113"/>
      <c r="BG1070" s="113"/>
      <c r="BH1070" s="113"/>
      <c r="BI1070" s="113"/>
      <c r="BJ1070" s="113"/>
      <c r="BK1070" s="113"/>
      <c r="BL1070" s="5">
        <f t="shared" si="184"/>
        <v>0</v>
      </c>
    </row>
    <row r="1071" spans="1:64" s="2" customFormat="1" ht="15.75" customHeight="1" outlineLevel="1" x14ac:dyDescent="0.2">
      <c r="A1071" s="595"/>
      <c r="B1071" s="602"/>
      <c r="C1071" s="7" t="s">
        <v>1554</v>
      </c>
      <c r="D1071" s="8"/>
      <c r="E1071" s="23"/>
      <c r="F1071" s="8"/>
      <c r="G1071" s="8"/>
      <c r="H1071" s="5">
        <v>0.25421728813559319</v>
      </c>
      <c r="I1071" s="5">
        <v>0.25421728813559319</v>
      </c>
      <c r="J1071" s="5">
        <v>0.24559299999999998</v>
      </c>
      <c r="K1071" s="23"/>
      <c r="L1071" s="8"/>
      <c r="M1071" s="8"/>
      <c r="N1071" s="8"/>
      <c r="O1071" s="8"/>
      <c r="P1071" s="8"/>
      <c r="Q1071" s="23"/>
      <c r="R1071" s="113"/>
      <c r="S1071" s="113"/>
      <c r="T1071" s="113"/>
      <c r="U1071" s="113"/>
      <c r="V1071" s="113"/>
      <c r="W1071" s="113"/>
      <c r="X1071" s="5">
        <f>SUM(R1071:W1071)</f>
        <v>0</v>
      </c>
      <c r="Y1071" s="302"/>
      <c r="Z1071" s="5"/>
      <c r="AA1071" s="94"/>
      <c r="AB1071" s="311">
        <f t="shared" si="183"/>
        <v>0.25421728813559319</v>
      </c>
      <c r="AC1071" s="296"/>
      <c r="AD1071" s="113"/>
      <c r="AE1071" s="5"/>
      <c r="AF1071" s="5"/>
      <c r="AG1071" s="5"/>
      <c r="AH1071" s="5"/>
      <c r="AI1071" s="5"/>
      <c r="AJ1071" s="5"/>
      <c r="AK1071" s="141"/>
      <c r="AL1071" s="94"/>
      <c r="AM1071" s="128"/>
      <c r="AN1071" s="180"/>
      <c r="AO1071" s="128"/>
      <c r="AP1071" s="184"/>
      <c r="AQ1071" s="128"/>
      <c r="AR1071" s="184"/>
      <c r="AS1071" s="128"/>
      <c r="AT1071" s="184"/>
      <c r="AU1071" s="128"/>
      <c r="AV1071" s="184"/>
      <c r="AW1071" s="128"/>
      <c r="AX1071" s="184"/>
      <c r="AY1071" s="111"/>
      <c r="AZ1071" s="178"/>
      <c r="BC1071" s="47"/>
      <c r="BD1071" s="47"/>
      <c r="BF1071" s="113"/>
      <c r="BG1071" s="113"/>
      <c r="BH1071" s="113"/>
      <c r="BI1071" s="113"/>
      <c r="BJ1071" s="113"/>
      <c r="BK1071" s="113"/>
      <c r="BL1071" s="5">
        <f t="shared" si="184"/>
        <v>0</v>
      </c>
    </row>
    <row r="1072" spans="1:64" s="2" customFormat="1" ht="38.25" customHeight="1" outlineLevel="1" x14ac:dyDescent="0.2">
      <c r="A1072" s="593" t="s">
        <v>1996</v>
      </c>
      <c r="B1072" s="600" t="s">
        <v>1984</v>
      </c>
      <c r="C1072" s="7" t="s">
        <v>1998</v>
      </c>
      <c r="D1072" s="8" t="s">
        <v>145</v>
      </c>
      <c r="E1072" s="23" t="s">
        <v>335</v>
      </c>
      <c r="F1072" s="8">
        <v>2013</v>
      </c>
      <c r="G1072" s="8">
        <v>2015</v>
      </c>
      <c r="H1072" s="5">
        <v>1.2482850847457629</v>
      </c>
      <c r="I1072" s="5">
        <v>1.2482850847457629</v>
      </c>
      <c r="J1072" s="5">
        <f>R1072</f>
        <v>0.15279699999999999</v>
      </c>
      <c r="K1072" s="8"/>
      <c r="L1072" s="23" t="s">
        <v>335</v>
      </c>
      <c r="M1072" s="8"/>
      <c r="N1072" s="8"/>
      <c r="O1072" s="8"/>
      <c r="P1072" s="8"/>
      <c r="Q1072" s="23" t="s">
        <v>335</v>
      </c>
      <c r="R1072" s="113">
        <v>0.15279699999999999</v>
      </c>
      <c r="S1072" s="113"/>
      <c r="T1072" s="113"/>
      <c r="U1072" s="113"/>
      <c r="V1072" s="113"/>
      <c r="W1072" s="113"/>
      <c r="X1072" s="5">
        <f t="shared" si="182"/>
        <v>0.15279699999999999</v>
      </c>
      <c r="Y1072" s="302">
        <f>H1072-H1073-H1074</f>
        <v>0</v>
      </c>
      <c r="Z1072" s="5">
        <f>I1072-I1073-I1074</f>
        <v>0</v>
      </c>
      <c r="AA1072" s="94">
        <f>J1072-J1073-J1074</f>
        <v>0</v>
      </c>
      <c r="AB1072" s="311">
        <f t="shared" si="183"/>
        <v>1.0954880847457629</v>
      </c>
      <c r="AC1072" s="296"/>
      <c r="AD1072" s="113"/>
      <c r="AE1072" s="5"/>
      <c r="AF1072" s="5"/>
      <c r="AG1072" s="5">
        <f>H1072</f>
        <v>1.2482850847457629</v>
      </c>
      <c r="AH1072" s="5"/>
      <c r="AI1072" s="5"/>
      <c r="AJ1072" s="5"/>
      <c r="AK1072" s="141"/>
      <c r="AL1072" s="94">
        <f>SUM(AF1072:AK1072)</f>
        <v>1.2482850847457629</v>
      </c>
      <c r="AM1072" s="128"/>
      <c r="AN1072" s="180"/>
      <c r="AO1072" s="128">
        <v>0.1</v>
      </c>
      <c r="AP1072" s="184">
        <v>0</v>
      </c>
      <c r="AQ1072" s="128"/>
      <c r="AR1072" s="184"/>
      <c r="AS1072" s="128"/>
      <c r="AT1072" s="184"/>
      <c r="AU1072" s="128"/>
      <c r="AV1072" s="184"/>
      <c r="AW1072" s="128"/>
      <c r="AX1072" s="184"/>
      <c r="AY1072" s="111">
        <f>AM1072+AO1072+AQ1072+AS1072+AU1072+AW1072</f>
        <v>0.1</v>
      </c>
      <c r="AZ1072" s="178">
        <f>AN1072+AP1072+AR1072+AT1072+AV1072+AX1072</f>
        <v>0</v>
      </c>
      <c r="BC1072" s="47"/>
      <c r="BD1072" s="47"/>
      <c r="BF1072" s="113">
        <v>0.15279699999999999</v>
      </c>
      <c r="BG1072" s="113"/>
      <c r="BH1072" s="113"/>
      <c r="BI1072" s="113"/>
      <c r="BJ1072" s="113"/>
      <c r="BK1072" s="113"/>
      <c r="BL1072" s="5">
        <f t="shared" si="184"/>
        <v>0.15279699999999999</v>
      </c>
    </row>
    <row r="1073" spans="1:64" s="2" customFormat="1" ht="15.75" customHeight="1" outlineLevel="1" x14ac:dyDescent="0.2">
      <c r="A1073" s="594"/>
      <c r="B1073" s="601"/>
      <c r="C1073" s="7" t="s">
        <v>1553</v>
      </c>
      <c r="D1073" s="8"/>
      <c r="E1073" s="23"/>
      <c r="F1073" s="8"/>
      <c r="G1073" s="8"/>
      <c r="H1073" s="5">
        <v>1.2482850847457629</v>
      </c>
      <c r="I1073" s="5">
        <v>1.2482850847457629</v>
      </c>
      <c r="J1073" s="5">
        <f>R1072</f>
        <v>0.15279699999999999</v>
      </c>
      <c r="K1073" s="8"/>
      <c r="L1073" s="23"/>
      <c r="M1073" s="8"/>
      <c r="N1073" s="8"/>
      <c r="O1073" s="8"/>
      <c r="P1073" s="8"/>
      <c r="Q1073" s="23"/>
      <c r="R1073" s="113"/>
      <c r="S1073" s="113"/>
      <c r="T1073" s="113"/>
      <c r="U1073" s="113"/>
      <c r="V1073" s="113"/>
      <c r="W1073" s="113"/>
      <c r="X1073" s="5">
        <f t="shared" si="182"/>
        <v>0</v>
      </c>
      <c r="Y1073" s="302"/>
      <c r="Z1073" s="5"/>
      <c r="AA1073" s="94"/>
      <c r="AB1073" s="311">
        <f t="shared" si="183"/>
        <v>1.2482850847457629</v>
      </c>
      <c r="AC1073" s="296"/>
      <c r="AD1073" s="113"/>
      <c r="AE1073" s="5"/>
      <c r="AF1073" s="5"/>
      <c r="AG1073" s="5"/>
      <c r="AH1073" s="5"/>
      <c r="AI1073" s="5"/>
      <c r="AJ1073" s="5"/>
      <c r="AK1073" s="141"/>
      <c r="AL1073" s="94"/>
      <c r="AM1073" s="128"/>
      <c r="AN1073" s="180"/>
      <c r="AO1073" s="128"/>
      <c r="AP1073" s="184"/>
      <c r="AQ1073" s="128"/>
      <c r="AR1073" s="184"/>
      <c r="AS1073" s="128"/>
      <c r="AT1073" s="184"/>
      <c r="AU1073" s="128"/>
      <c r="AV1073" s="184"/>
      <c r="AW1073" s="128"/>
      <c r="AX1073" s="184"/>
      <c r="AY1073" s="111"/>
      <c r="AZ1073" s="178"/>
      <c r="BC1073" s="47"/>
      <c r="BD1073" s="47"/>
      <c r="BF1073" s="113"/>
      <c r="BG1073" s="113"/>
      <c r="BH1073" s="113"/>
      <c r="BI1073" s="113"/>
      <c r="BJ1073" s="113"/>
      <c r="BK1073" s="113"/>
      <c r="BL1073" s="5">
        <f t="shared" si="184"/>
        <v>0</v>
      </c>
    </row>
    <row r="1074" spans="1:64" s="2" customFormat="1" ht="15.75" customHeight="1" outlineLevel="1" x14ac:dyDescent="0.2">
      <c r="A1074" s="595"/>
      <c r="B1074" s="602"/>
      <c r="C1074" s="7" t="s">
        <v>1554</v>
      </c>
      <c r="D1074" s="8"/>
      <c r="E1074" s="23"/>
      <c r="F1074" s="8"/>
      <c r="G1074" s="8"/>
      <c r="H1074" s="5"/>
      <c r="I1074" s="5"/>
      <c r="J1074" s="5"/>
      <c r="K1074" s="23"/>
      <c r="L1074" s="8"/>
      <c r="M1074" s="8"/>
      <c r="N1074" s="8"/>
      <c r="O1074" s="8"/>
      <c r="P1074" s="8"/>
      <c r="Q1074" s="23"/>
      <c r="R1074" s="113"/>
      <c r="S1074" s="113"/>
      <c r="T1074" s="113"/>
      <c r="U1074" s="113"/>
      <c r="V1074" s="113"/>
      <c r="W1074" s="113"/>
      <c r="X1074" s="5">
        <f t="shared" si="182"/>
        <v>0</v>
      </c>
      <c r="Y1074" s="302"/>
      <c r="Z1074" s="5"/>
      <c r="AA1074" s="94"/>
      <c r="AB1074" s="311">
        <f t="shared" si="183"/>
        <v>0</v>
      </c>
      <c r="AC1074" s="296"/>
      <c r="AD1074" s="113"/>
      <c r="AE1074" s="5"/>
      <c r="AF1074" s="5"/>
      <c r="AG1074" s="5"/>
      <c r="AH1074" s="5"/>
      <c r="AI1074" s="5"/>
      <c r="AJ1074" s="5"/>
      <c r="AK1074" s="141"/>
      <c r="AL1074" s="94"/>
      <c r="AM1074" s="128"/>
      <c r="AN1074" s="180"/>
      <c r="AO1074" s="128"/>
      <c r="AP1074" s="184"/>
      <c r="AQ1074" s="128"/>
      <c r="AR1074" s="184"/>
      <c r="AS1074" s="128"/>
      <c r="AT1074" s="184"/>
      <c r="AU1074" s="128"/>
      <c r="AV1074" s="184"/>
      <c r="AW1074" s="128"/>
      <c r="AX1074" s="184"/>
      <c r="AY1074" s="111"/>
      <c r="AZ1074" s="178"/>
      <c r="BC1074" s="47"/>
      <c r="BD1074" s="47"/>
      <c r="BF1074" s="113"/>
      <c r="BG1074" s="113"/>
      <c r="BH1074" s="113"/>
      <c r="BI1074" s="113"/>
      <c r="BJ1074" s="113"/>
      <c r="BK1074" s="113"/>
      <c r="BL1074" s="5">
        <f t="shared" si="184"/>
        <v>0</v>
      </c>
    </row>
    <row r="1075" spans="1:64" s="2" customFormat="1" ht="51" customHeight="1" outlineLevel="1" x14ac:dyDescent="0.2">
      <c r="A1075" s="593" t="s">
        <v>1999</v>
      </c>
      <c r="B1075" s="600" t="s">
        <v>1987</v>
      </c>
      <c r="C1075" s="7" t="s">
        <v>2001</v>
      </c>
      <c r="D1075" s="8" t="s">
        <v>145</v>
      </c>
      <c r="E1075" s="23" t="s">
        <v>1241</v>
      </c>
      <c r="F1075" s="8">
        <v>2013</v>
      </c>
      <c r="G1075" s="8">
        <v>2015</v>
      </c>
      <c r="H1075" s="5">
        <v>0.33900000000000002</v>
      </c>
      <c r="I1075" s="5">
        <v>0.3389630508474577</v>
      </c>
      <c r="J1075" s="5">
        <f>R1075</f>
        <v>0.30699099999999996</v>
      </c>
      <c r="K1075" s="8"/>
      <c r="L1075" s="23" t="s">
        <v>1241</v>
      </c>
      <c r="M1075" s="8"/>
      <c r="N1075" s="8"/>
      <c r="O1075" s="8"/>
      <c r="P1075" s="8"/>
      <c r="Q1075" s="23" t="s">
        <v>1241</v>
      </c>
      <c r="R1075" s="113">
        <v>0.30699099999999996</v>
      </c>
      <c r="S1075" s="113"/>
      <c r="T1075" s="113"/>
      <c r="U1075" s="113"/>
      <c r="V1075" s="113"/>
      <c r="W1075" s="113"/>
      <c r="X1075" s="5">
        <f t="shared" si="182"/>
        <v>0.30699099999999996</v>
      </c>
      <c r="Y1075" s="302">
        <f>H1075-H1076-H1077</f>
        <v>0</v>
      </c>
      <c r="Z1075" s="5">
        <f>I1075-I1076-I1077</f>
        <v>0</v>
      </c>
      <c r="AA1075" s="94">
        <f>J1075-J1076-J1077</f>
        <v>0</v>
      </c>
      <c r="AB1075" s="311">
        <f t="shared" si="183"/>
        <v>3.1972050847457745E-2</v>
      </c>
      <c r="AC1075" s="296"/>
      <c r="AD1075" s="113"/>
      <c r="AE1075" s="5"/>
      <c r="AF1075" s="5"/>
      <c r="AG1075" s="5">
        <f>H1075</f>
        <v>0.33900000000000002</v>
      </c>
      <c r="AH1075" s="5"/>
      <c r="AI1075" s="5"/>
      <c r="AJ1075" s="5"/>
      <c r="AK1075" s="141"/>
      <c r="AL1075" s="94">
        <f>SUM(AF1075:AK1075)</f>
        <v>0.33900000000000002</v>
      </c>
      <c r="AM1075" s="128"/>
      <c r="AN1075" s="180"/>
      <c r="AO1075" s="128">
        <v>0</v>
      </c>
      <c r="AP1075" s="184">
        <v>0</v>
      </c>
      <c r="AQ1075" s="128"/>
      <c r="AR1075" s="184"/>
      <c r="AS1075" s="128"/>
      <c r="AT1075" s="184"/>
      <c r="AU1075" s="128"/>
      <c r="AV1075" s="184"/>
      <c r="AW1075" s="128"/>
      <c r="AX1075" s="184"/>
      <c r="AY1075" s="111">
        <f>AM1075+AO1075+AQ1075+AS1075+AU1075+AW1075</f>
        <v>0</v>
      </c>
      <c r="AZ1075" s="178">
        <f>AN1075+AP1075+AR1075+AT1075+AV1075+AX1075</f>
        <v>0</v>
      </c>
      <c r="BC1075" s="47"/>
      <c r="BD1075" s="47"/>
      <c r="BF1075" s="113">
        <v>0.30699099999999996</v>
      </c>
      <c r="BG1075" s="113"/>
      <c r="BH1075" s="113"/>
      <c r="BI1075" s="113"/>
      <c r="BJ1075" s="113"/>
      <c r="BK1075" s="113"/>
      <c r="BL1075" s="5">
        <f t="shared" si="184"/>
        <v>0.30699099999999996</v>
      </c>
    </row>
    <row r="1076" spans="1:64" s="2" customFormat="1" ht="15.75" customHeight="1" outlineLevel="1" x14ac:dyDescent="0.2">
      <c r="A1076" s="594"/>
      <c r="B1076" s="601"/>
      <c r="C1076" s="7" t="s">
        <v>1553</v>
      </c>
      <c r="D1076" s="8"/>
      <c r="E1076" s="23"/>
      <c r="F1076" s="8"/>
      <c r="G1076" s="8"/>
      <c r="H1076" s="5"/>
      <c r="I1076" s="5"/>
      <c r="J1076" s="5"/>
      <c r="K1076" s="8"/>
      <c r="L1076" s="23"/>
      <c r="M1076" s="8"/>
      <c r="N1076" s="8"/>
      <c r="O1076" s="8"/>
      <c r="P1076" s="8"/>
      <c r="Q1076" s="23"/>
      <c r="R1076" s="113"/>
      <c r="S1076" s="113"/>
      <c r="T1076" s="113"/>
      <c r="U1076" s="113"/>
      <c r="V1076" s="113"/>
      <c r="W1076" s="113"/>
      <c r="X1076" s="5">
        <f>SUM(R1076:W1076)</f>
        <v>0</v>
      </c>
      <c r="Y1076" s="302"/>
      <c r="Z1076" s="5"/>
      <c r="AA1076" s="94"/>
      <c r="AB1076" s="311">
        <f t="shared" si="183"/>
        <v>0</v>
      </c>
      <c r="AC1076" s="296"/>
      <c r="AD1076" s="113"/>
      <c r="AE1076" s="5"/>
      <c r="AF1076" s="5"/>
      <c r="AG1076" s="5"/>
      <c r="AH1076" s="5"/>
      <c r="AI1076" s="5"/>
      <c r="AJ1076" s="5"/>
      <c r="AK1076" s="141"/>
      <c r="AL1076" s="94"/>
      <c r="AM1076" s="128"/>
      <c r="AN1076" s="180"/>
      <c r="AO1076" s="128"/>
      <c r="AP1076" s="184"/>
      <c r="AQ1076" s="128"/>
      <c r="AR1076" s="184"/>
      <c r="AS1076" s="128"/>
      <c r="AT1076" s="184"/>
      <c r="AU1076" s="128"/>
      <c r="AV1076" s="184"/>
      <c r="AW1076" s="128"/>
      <c r="AX1076" s="184"/>
      <c r="AY1076" s="111"/>
      <c r="AZ1076" s="178"/>
      <c r="BC1076" s="47"/>
      <c r="BD1076" s="47"/>
      <c r="BF1076" s="113"/>
      <c r="BG1076" s="113"/>
      <c r="BH1076" s="113"/>
      <c r="BI1076" s="113"/>
      <c r="BJ1076" s="113"/>
      <c r="BK1076" s="113"/>
      <c r="BL1076" s="5">
        <f t="shared" si="184"/>
        <v>0</v>
      </c>
    </row>
    <row r="1077" spans="1:64" s="2" customFormat="1" ht="15.75" customHeight="1" outlineLevel="1" x14ac:dyDescent="0.2">
      <c r="A1077" s="595"/>
      <c r="B1077" s="602"/>
      <c r="C1077" s="7" t="s">
        <v>1554</v>
      </c>
      <c r="D1077" s="8"/>
      <c r="E1077" s="23"/>
      <c r="F1077" s="8"/>
      <c r="G1077" s="8"/>
      <c r="H1077" s="5">
        <v>0.33900000000000002</v>
      </c>
      <c r="I1077" s="5">
        <v>0.3389630508474577</v>
      </c>
      <c r="J1077" s="5">
        <v>0.30699099999999996</v>
      </c>
      <c r="K1077" s="23"/>
      <c r="L1077" s="8"/>
      <c r="M1077" s="8"/>
      <c r="N1077" s="8"/>
      <c r="O1077" s="8"/>
      <c r="P1077" s="8"/>
      <c r="Q1077" s="23"/>
      <c r="R1077" s="113"/>
      <c r="S1077" s="113"/>
      <c r="T1077" s="113"/>
      <c r="U1077" s="113"/>
      <c r="V1077" s="113"/>
      <c r="W1077" s="113"/>
      <c r="X1077" s="5">
        <f>SUM(R1077:W1077)</f>
        <v>0</v>
      </c>
      <c r="Y1077" s="302"/>
      <c r="Z1077" s="5"/>
      <c r="AA1077" s="94"/>
      <c r="AB1077" s="311">
        <f t="shared" si="183"/>
        <v>0.3389630508474577</v>
      </c>
      <c r="AC1077" s="296"/>
      <c r="AD1077" s="113"/>
      <c r="AE1077" s="5"/>
      <c r="AF1077" s="5"/>
      <c r="AG1077" s="5"/>
      <c r="AH1077" s="5"/>
      <c r="AI1077" s="5"/>
      <c r="AJ1077" s="5"/>
      <c r="AK1077" s="141"/>
      <c r="AL1077" s="94"/>
      <c r="AM1077" s="128"/>
      <c r="AN1077" s="180"/>
      <c r="AO1077" s="128"/>
      <c r="AP1077" s="184"/>
      <c r="AQ1077" s="128"/>
      <c r="AR1077" s="184"/>
      <c r="AS1077" s="128"/>
      <c r="AT1077" s="184"/>
      <c r="AU1077" s="128"/>
      <c r="AV1077" s="184"/>
      <c r="AW1077" s="128"/>
      <c r="AX1077" s="184"/>
      <c r="AY1077" s="111"/>
      <c r="AZ1077" s="178"/>
      <c r="BC1077" s="47"/>
      <c r="BD1077" s="47"/>
      <c r="BF1077" s="113"/>
      <c r="BG1077" s="113"/>
      <c r="BH1077" s="113"/>
      <c r="BI1077" s="113"/>
      <c r="BJ1077" s="113"/>
      <c r="BK1077" s="113"/>
      <c r="BL1077" s="5">
        <f t="shared" si="184"/>
        <v>0</v>
      </c>
    </row>
    <row r="1078" spans="1:64" s="2" customFormat="1" ht="38.25" outlineLevel="1" x14ac:dyDescent="0.2">
      <c r="A1078" s="593" t="s">
        <v>2002</v>
      </c>
      <c r="B1078" s="600" t="s">
        <v>1990</v>
      </c>
      <c r="C1078" s="7" t="s">
        <v>2004</v>
      </c>
      <c r="D1078" s="8" t="s">
        <v>145</v>
      </c>
      <c r="E1078" s="23" t="s">
        <v>1387</v>
      </c>
      <c r="F1078" s="8">
        <v>2013</v>
      </c>
      <c r="G1078" s="8">
        <v>2014</v>
      </c>
      <c r="H1078" s="5">
        <v>0.15548000000000001</v>
      </c>
      <c r="I1078" s="5">
        <v>6.1398000000000001E-2</v>
      </c>
      <c r="J1078" s="5">
        <f>R1078</f>
        <v>6.1398000000000001E-2</v>
      </c>
      <c r="K1078" s="23" t="s">
        <v>1387</v>
      </c>
      <c r="L1078" s="8"/>
      <c r="M1078" s="8"/>
      <c r="N1078" s="8"/>
      <c r="O1078" s="8"/>
      <c r="P1078" s="8"/>
      <c r="Q1078" s="23" t="s">
        <v>1387</v>
      </c>
      <c r="R1078" s="113">
        <v>6.1398000000000001E-2</v>
      </c>
      <c r="S1078" s="113"/>
      <c r="T1078" s="113"/>
      <c r="U1078" s="113"/>
      <c r="V1078" s="113"/>
      <c r="W1078" s="113"/>
      <c r="X1078" s="5">
        <f t="shared" si="182"/>
        <v>6.1398000000000001E-2</v>
      </c>
      <c r="Y1078" s="302">
        <f>H1078-H1079-H1080</f>
        <v>0</v>
      </c>
      <c r="Z1078" s="5">
        <f>I1078-I1079-I1080</f>
        <v>0</v>
      </c>
      <c r="AA1078" s="94">
        <f>J1078-J1079-J1080</f>
        <v>0</v>
      </c>
      <c r="AB1078" s="311">
        <f t="shared" si="183"/>
        <v>0</v>
      </c>
      <c r="AC1078" s="296"/>
      <c r="AD1078" s="113"/>
      <c r="AE1078" s="5"/>
      <c r="AF1078" s="5">
        <f>H1078</f>
        <v>0.15548000000000001</v>
      </c>
      <c r="AG1078" s="5"/>
      <c r="AH1078" s="5"/>
      <c r="AI1078" s="5"/>
      <c r="AJ1078" s="5"/>
      <c r="AK1078" s="141"/>
      <c r="AL1078" s="94">
        <f>SUM(AF1078:AK1078)</f>
        <v>0.15548000000000001</v>
      </c>
      <c r="AM1078" s="128">
        <v>0.5</v>
      </c>
      <c r="AN1078" s="180">
        <v>0</v>
      </c>
      <c r="AO1078" s="128"/>
      <c r="AP1078" s="184"/>
      <c r="AQ1078" s="128"/>
      <c r="AR1078" s="184"/>
      <c r="AS1078" s="128"/>
      <c r="AT1078" s="184"/>
      <c r="AU1078" s="128"/>
      <c r="AV1078" s="184"/>
      <c r="AW1078" s="128"/>
      <c r="AX1078" s="184"/>
      <c r="AY1078" s="111">
        <f>AM1078+AO1078+AQ1078+AS1078+AU1078+AW1078</f>
        <v>0.5</v>
      </c>
      <c r="AZ1078" s="178">
        <f>AN1078+AP1078+AR1078+AT1078+AV1078+AX1078</f>
        <v>0</v>
      </c>
      <c r="BC1078" s="47"/>
      <c r="BD1078" s="47"/>
      <c r="BF1078" s="113">
        <v>6.1398000000000001E-2</v>
      </c>
      <c r="BG1078" s="113"/>
      <c r="BH1078" s="113"/>
      <c r="BI1078" s="113"/>
      <c r="BJ1078" s="113"/>
      <c r="BK1078" s="113"/>
      <c r="BL1078" s="5">
        <f t="shared" si="184"/>
        <v>6.1398000000000001E-2</v>
      </c>
    </row>
    <row r="1079" spans="1:64" s="2" customFormat="1" ht="15.75" customHeight="1" outlineLevel="1" x14ac:dyDescent="0.2">
      <c r="A1079" s="594"/>
      <c r="B1079" s="601"/>
      <c r="C1079" s="7" t="s">
        <v>1553</v>
      </c>
      <c r="D1079" s="8"/>
      <c r="E1079" s="23"/>
      <c r="F1079" s="8"/>
      <c r="G1079" s="8"/>
      <c r="H1079" s="5"/>
      <c r="I1079" s="5"/>
      <c r="J1079" s="5"/>
      <c r="K1079" s="8"/>
      <c r="L1079" s="23"/>
      <c r="M1079" s="8"/>
      <c r="N1079" s="8"/>
      <c r="O1079" s="8"/>
      <c r="P1079" s="8"/>
      <c r="Q1079" s="23"/>
      <c r="R1079" s="113"/>
      <c r="S1079" s="113"/>
      <c r="T1079" s="113"/>
      <c r="U1079" s="113"/>
      <c r="V1079" s="113"/>
      <c r="W1079" s="113"/>
      <c r="X1079" s="5">
        <f t="shared" si="182"/>
        <v>0</v>
      </c>
      <c r="Y1079" s="302"/>
      <c r="Z1079" s="5"/>
      <c r="AA1079" s="94"/>
      <c r="AB1079" s="311">
        <f t="shared" si="183"/>
        <v>0</v>
      </c>
      <c r="AC1079" s="296"/>
      <c r="AD1079" s="113"/>
      <c r="AE1079" s="5"/>
      <c r="AF1079" s="5"/>
      <c r="AG1079" s="5"/>
      <c r="AH1079" s="5"/>
      <c r="AI1079" s="5"/>
      <c r="AJ1079" s="5"/>
      <c r="AK1079" s="141"/>
      <c r="AL1079" s="94"/>
      <c r="AM1079" s="128"/>
      <c r="AN1079" s="180"/>
      <c r="AO1079" s="128"/>
      <c r="AP1079" s="184"/>
      <c r="AQ1079" s="128"/>
      <c r="AR1079" s="184"/>
      <c r="AS1079" s="128"/>
      <c r="AT1079" s="184"/>
      <c r="AU1079" s="128"/>
      <c r="AV1079" s="184"/>
      <c r="AW1079" s="128"/>
      <c r="AX1079" s="184"/>
      <c r="AY1079" s="111"/>
      <c r="AZ1079" s="178"/>
      <c r="BC1079" s="47"/>
      <c r="BD1079" s="47"/>
      <c r="BF1079" s="113"/>
      <c r="BG1079" s="113"/>
      <c r="BH1079" s="113"/>
      <c r="BI1079" s="113"/>
      <c r="BJ1079" s="113"/>
      <c r="BK1079" s="113"/>
      <c r="BL1079" s="5">
        <f t="shared" si="184"/>
        <v>0</v>
      </c>
    </row>
    <row r="1080" spans="1:64" s="2" customFormat="1" ht="15.75" customHeight="1" outlineLevel="1" x14ac:dyDescent="0.2">
      <c r="A1080" s="595"/>
      <c r="B1080" s="602"/>
      <c r="C1080" s="7" t="s">
        <v>1554</v>
      </c>
      <c r="D1080" s="8"/>
      <c r="E1080" s="23"/>
      <c r="F1080" s="8"/>
      <c r="G1080" s="8"/>
      <c r="H1080" s="5">
        <v>0.15548000000000001</v>
      </c>
      <c r="I1080" s="5">
        <f>I1078</f>
        <v>6.1398000000000001E-2</v>
      </c>
      <c r="J1080" s="5">
        <v>6.1398000000000001E-2</v>
      </c>
      <c r="K1080" s="23"/>
      <c r="L1080" s="8"/>
      <c r="M1080" s="8"/>
      <c r="N1080" s="8"/>
      <c r="O1080" s="8"/>
      <c r="P1080" s="8"/>
      <c r="Q1080" s="23"/>
      <c r="R1080" s="113"/>
      <c r="S1080" s="113"/>
      <c r="T1080" s="113"/>
      <c r="U1080" s="113"/>
      <c r="V1080" s="113"/>
      <c r="W1080" s="113"/>
      <c r="X1080" s="5">
        <f t="shared" si="182"/>
        <v>0</v>
      </c>
      <c r="Y1080" s="302"/>
      <c r="Z1080" s="5"/>
      <c r="AA1080" s="94"/>
      <c r="AB1080" s="311">
        <f t="shared" si="183"/>
        <v>6.1398000000000001E-2</v>
      </c>
      <c r="AC1080" s="296"/>
      <c r="AD1080" s="113"/>
      <c r="AE1080" s="5"/>
      <c r="AF1080" s="5"/>
      <c r="AG1080" s="5"/>
      <c r="AH1080" s="5"/>
      <c r="AI1080" s="5"/>
      <c r="AJ1080" s="5"/>
      <c r="AK1080" s="141"/>
      <c r="AL1080" s="94"/>
      <c r="AM1080" s="128"/>
      <c r="AN1080" s="180"/>
      <c r="AO1080" s="128"/>
      <c r="AP1080" s="184"/>
      <c r="AQ1080" s="128"/>
      <c r="AR1080" s="184"/>
      <c r="AS1080" s="128"/>
      <c r="AT1080" s="184"/>
      <c r="AU1080" s="128"/>
      <c r="AV1080" s="184"/>
      <c r="AW1080" s="128"/>
      <c r="AX1080" s="184"/>
      <c r="AY1080" s="111"/>
      <c r="AZ1080" s="178"/>
      <c r="BC1080" s="47"/>
      <c r="BD1080" s="47"/>
      <c r="BF1080" s="113"/>
      <c r="BG1080" s="113"/>
      <c r="BH1080" s="113"/>
      <c r="BI1080" s="113"/>
      <c r="BJ1080" s="113"/>
      <c r="BK1080" s="113"/>
      <c r="BL1080" s="5">
        <f t="shared" si="184"/>
        <v>0</v>
      </c>
    </row>
    <row r="1081" spans="1:64" s="2" customFormat="1" ht="51" outlineLevel="1" x14ac:dyDescent="0.2">
      <c r="A1081" s="593" t="s">
        <v>2005</v>
      </c>
      <c r="B1081" s="600" t="s">
        <v>1992</v>
      </c>
      <c r="C1081" s="7" t="s">
        <v>2007</v>
      </c>
      <c r="D1081" s="8" t="s">
        <v>145</v>
      </c>
      <c r="E1081" s="23" t="s">
        <v>1241</v>
      </c>
      <c r="F1081" s="8">
        <v>2013</v>
      </c>
      <c r="G1081" s="8">
        <v>2014</v>
      </c>
      <c r="H1081" s="5">
        <v>0.15548000000000001</v>
      </c>
      <c r="I1081" s="5">
        <v>0.03</v>
      </c>
      <c r="J1081" s="5">
        <f>R1081</f>
        <v>0.03</v>
      </c>
      <c r="K1081" s="23" t="s">
        <v>1241</v>
      </c>
      <c r="L1081" s="8"/>
      <c r="M1081" s="8"/>
      <c r="N1081" s="8"/>
      <c r="O1081" s="8"/>
      <c r="P1081" s="8"/>
      <c r="Q1081" s="23" t="s">
        <v>1241</v>
      </c>
      <c r="R1081" s="113">
        <v>0.03</v>
      </c>
      <c r="S1081" s="113"/>
      <c r="T1081" s="113"/>
      <c r="U1081" s="113"/>
      <c r="V1081" s="113"/>
      <c r="W1081" s="113"/>
      <c r="X1081" s="5">
        <f t="shared" si="182"/>
        <v>0.03</v>
      </c>
      <c r="Y1081" s="302">
        <f>H1081-H1082-H1083</f>
        <v>0</v>
      </c>
      <c r="Z1081" s="5">
        <f>I1081-I1082-I1083</f>
        <v>0</v>
      </c>
      <c r="AA1081" s="94">
        <f>J1081-J1082-J1083</f>
        <v>0</v>
      </c>
      <c r="AB1081" s="311">
        <f t="shared" si="183"/>
        <v>0</v>
      </c>
      <c r="AC1081" s="296"/>
      <c r="AD1081" s="113"/>
      <c r="AE1081" s="5"/>
      <c r="AF1081" s="5">
        <f>H1081</f>
        <v>0.15548000000000001</v>
      </c>
      <c r="AG1081" s="5"/>
      <c r="AH1081" s="5"/>
      <c r="AI1081" s="5"/>
      <c r="AJ1081" s="5"/>
      <c r="AK1081" s="141"/>
      <c r="AL1081" s="94">
        <f>SUM(AF1081:AK1081)</f>
        <v>0.15548000000000001</v>
      </c>
      <c r="AM1081" s="128">
        <v>0</v>
      </c>
      <c r="AN1081" s="180">
        <v>0</v>
      </c>
      <c r="AO1081" s="128"/>
      <c r="AP1081" s="184"/>
      <c r="AQ1081" s="128"/>
      <c r="AR1081" s="184"/>
      <c r="AS1081" s="128"/>
      <c r="AT1081" s="184"/>
      <c r="AU1081" s="128"/>
      <c r="AV1081" s="184"/>
      <c r="AW1081" s="128"/>
      <c r="AX1081" s="184"/>
      <c r="AY1081" s="111">
        <f>AM1081+AO1081+AQ1081+AS1081+AU1081+AW1081</f>
        <v>0</v>
      </c>
      <c r="AZ1081" s="178">
        <f>AN1081+AP1081+AR1081+AT1081+AV1081+AX1081</f>
        <v>0</v>
      </c>
      <c r="BC1081" s="47"/>
      <c r="BD1081" s="47"/>
      <c r="BF1081" s="113">
        <v>0.03</v>
      </c>
      <c r="BG1081" s="113"/>
      <c r="BH1081" s="113"/>
      <c r="BI1081" s="113"/>
      <c r="BJ1081" s="113"/>
      <c r="BK1081" s="113"/>
      <c r="BL1081" s="5">
        <f t="shared" si="184"/>
        <v>0.03</v>
      </c>
    </row>
    <row r="1082" spans="1:64" s="2" customFormat="1" ht="15.75" customHeight="1" outlineLevel="1" x14ac:dyDescent="0.2">
      <c r="A1082" s="594"/>
      <c r="B1082" s="601"/>
      <c r="C1082" s="7" t="s">
        <v>1553</v>
      </c>
      <c r="D1082" s="8"/>
      <c r="E1082" s="23"/>
      <c r="F1082" s="8"/>
      <c r="G1082" s="8"/>
      <c r="H1082" s="5"/>
      <c r="I1082" s="5"/>
      <c r="J1082" s="5"/>
      <c r="K1082" s="8"/>
      <c r="L1082" s="23"/>
      <c r="M1082" s="8"/>
      <c r="N1082" s="8"/>
      <c r="O1082" s="8"/>
      <c r="P1082" s="8"/>
      <c r="Q1082" s="23"/>
      <c r="R1082" s="113"/>
      <c r="S1082" s="113"/>
      <c r="T1082" s="113"/>
      <c r="U1082" s="113"/>
      <c r="V1082" s="113"/>
      <c r="W1082" s="113"/>
      <c r="X1082" s="5">
        <f>SUM(R1082:W1082)</f>
        <v>0</v>
      </c>
      <c r="Y1082" s="302"/>
      <c r="Z1082" s="5"/>
      <c r="AA1082" s="94"/>
      <c r="AB1082" s="311">
        <f t="shared" si="183"/>
        <v>0</v>
      </c>
      <c r="AC1082" s="296"/>
      <c r="AD1082" s="113"/>
      <c r="AE1082" s="5"/>
      <c r="AF1082" s="5"/>
      <c r="AG1082" s="5"/>
      <c r="AH1082" s="5"/>
      <c r="AI1082" s="5"/>
      <c r="AJ1082" s="5"/>
      <c r="AK1082" s="141"/>
      <c r="AL1082" s="94"/>
      <c r="AM1082" s="128"/>
      <c r="AN1082" s="180"/>
      <c r="AO1082" s="128"/>
      <c r="AP1082" s="184"/>
      <c r="AQ1082" s="128"/>
      <c r="AR1082" s="184"/>
      <c r="AS1082" s="128"/>
      <c r="AT1082" s="184"/>
      <c r="AU1082" s="128"/>
      <c r="AV1082" s="184"/>
      <c r="AW1082" s="128"/>
      <c r="AX1082" s="184"/>
      <c r="AY1082" s="111"/>
      <c r="AZ1082" s="178"/>
      <c r="BC1082" s="47"/>
      <c r="BD1082" s="47"/>
      <c r="BF1082" s="113"/>
      <c r="BG1082" s="113"/>
      <c r="BH1082" s="113"/>
      <c r="BI1082" s="113"/>
      <c r="BJ1082" s="113"/>
      <c r="BK1082" s="113"/>
      <c r="BL1082" s="5">
        <f t="shared" si="184"/>
        <v>0</v>
      </c>
    </row>
    <row r="1083" spans="1:64" s="2" customFormat="1" ht="15.75" customHeight="1" outlineLevel="1" x14ac:dyDescent="0.2">
      <c r="A1083" s="595"/>
      <c r="B1083" s="602"/>
      <c r="C1083" s="7" t="s">
        <v>1554</v>
      </c>
      <c r="D1083" s="8"/>
      <c r="E1083" s="23"/>
      <c r="F1083" s="8"/>
      <c r="G1083" s="8"/>
      <c r="H1083" s="5">
        <v>0.15548000000000001</v>
      </c>
      <c r="I1083" s="5">
        <f>I1081</f>
        <v>0.03</v>
      </c>
      <c r="J1083" s="5">
        <v>0.03</v>
      </c>
      <c r="K1083" s="23"/>
      <c r="L1083" s="8"/>
      <c r="M1083" s="8"/>
      <c r="N1083" s="8"/>
      <c r="O1083" s="8"/>
      <c r="P1083" s="8"/>
      <c r="Q1083" s="23"/>
      <c r="R1083" s="113"/>
      <c r="S1083" s="113"/>
      <c r="T1083" s="113"/>
      <c r="U1083" s="113"/>
      <c r="V1083" s="113"/>
      <c r="W1083" s="113"/>
      <c r="X1083" s="5">
        <f>SUM(R1083:W1083)</f>
        <v>0</v>
      </c>
      <c r="Y1083" s="302"/>
      <c r="Z1083" s="5"/>
      <c r="AA1083" s="94"/>
      <c r="AB1083" s="311">
        <f t="shared" si="183"/>
        <v>0.03</v>
      </c>
      <c r="AC1083" s="296"/>
      <c r="AD1083" s="113"/>
      <c r="AE1083" s="5"/>
      <c r="AF1083" s="5"/>
      <c r="AG1083" s="5"/>
      <c r="AH1083" s="5"/>
      <c r="AI1083" s="5"/>
      <c r="AJ1083" s="5"/>
      <c r="AK1083" s="141"/>
      <c r="AL1083" s="94"/>
      <c r="AM1083" s="128"/>
      <c r="AN1083" s="180"/>
      <c r="AO1083" s="128"/>
      <c r="AP1083" s="184"/>
      <c r="AQ1083" s="128"/>
      <c r="AR1083" s="184"/>
      <c r="AS1083" s="128"/>
      <c r="AT1083" s="184"/>
      <c r="AU1083" s="128"/>
      <c r="AV1083" s="184"/>
      <c r="AW1083" s="128"/>
      <c r="AX1083" s="184"/>
      <c r="AY1083" s="111"/>
      <c r="AZ1083" s="178"/>
      <c r="BC1083" s="47"/>
      <c r="BD1083" s="47"/>
      <c r="BF1083" s="113"/>
      <c r="BG1083" s="113"/>
      <c r="BH1083" s="113"/>
      <c r="BI1083" s="113"/>
      <c r="BJ1083" s="113"/>
      <c r="BK1083" s="113"/>
      <c r="BL1083" s="5">
        <f t="shared" si="184"/>
        <v>0</v>
      </c>
    </row>
    <row r="1084" spans="1:64" s="2" customFormat="1" ht="38.25" customHeight="1" outlineLevel="1" x14ac:dyDescent="0.2">
      <c r="A1084" s="593" t="s">
        <v>2008</v>
      </c>
      <c r="B1084" s="600" t="s">
        <v>1994</v>
      </c>
      <c r="C1084" s="7" t="s">
        <v>2253</v>
      </c>
      <c r="D1084" s="8" t="s">
        <v>145</v>
      </c>
      <c r="E1084" s="23" t="s">
        <v>1241</v>
      </c>
      <c r="F1084" s="8">
        <v>2013</v>
      </c>
      <c r="G1084" s="8">
        <v>2015</v>
      </c>
      <c r="H1084" s="5">
        <v>0.61398299999999995</v>
      </c>
      <c r="I1084" s="5">
        <v>0.61398299999999995</v>
      </c>
      <c r="J1084" s="5">
        <f>R1084</f>
        <v>0.61398299999999995</v>
      </c>
      <c r="K1084" s="8"/>
      <c r="L1084" s="23" t="s">
        <v>1241</v>
      </c>
      <c r="M1084" s="8"/>
      <c r="N1084" s="8"/>
      <c r="O1084" s="8"/>
      <c r="P1084" s="8"/>
      <c r="Q1084" s="23" t="s">
        <v>1241</v>
      </c>
      <c r="R1084" s="113">
        <v>0.61398299999999995</v>
      </c>
      <c r="S1084" s="113"/>
      <c r="T1084" s="113"/>
      <c r="U1084" s="113"/>
      <c r="V1084" s="113"/>
      <c r="W1084" s="113"/>
      <c r="X1084" s="5">
        <f t="shared" si="182"/>
        <v>0.61398299999999995</v>
      </c>
      <c r="Y1084" s="302">
        <f>H1084-H1085-H1086</f>
        <v>0</v>
      </c>
      <c r="Z1084" s="5">
        <f>I1084-I1085-I1086</f>
        <v>0</v>
      </c>
      <c r="AA1084" s="94">
        <f>J1084-J1085-J1086</f>
        <v>0</v>
      </c>
      <c r="AB1084" s="311">
        <f t="shared" si="183"/>
        <v>0</v>
      </c>
      <c r="AC1084" s="296"/>
      <c r="AD1084" s="113"/>
      <c r="AE1084" s="5"/>
      <c r="AF1084" s="5"/>
      <c r="AG1084" s="5">
        <f>H1084</f>
        <v>0.61398299999999995</v>
      </c>
      <c r="AH1084" s="5"/>
      <c r="AI1084" s="5"/>
      <c r="AJ1084" s="5"/>
      <c r="AK1084" s="141"/>
      <c r="AL1084" s="94">
        <f>SUM(AF1084:AK1084)</f>
        <v>0.61398299999999995</v>
      </c>
      <c r="AM1084" s="128"/>
      <c r="AN1084" s="180"/>
      <c r="AO1084" s="128">
        <v>0</v>
      </c>
      <c r="AP1084" s="184">
        <v>0</v>
      </c>
      <c r="AQ1084" s="128"/>
      <c r="AR1084" s="184"/>
      <c r="AS1084" s="128"/>
      <c r="AT1084" s="184"/>
      <c r="AU1084" s="128"/>
      <c r="AV1084" s="184"/>
      <c r="AW1084" s="128"/>
      <c r="AX1084" s="184"/>
      <c r="AY1084" s="111">
        <f>AM1084+AO1084+AQ1084+AS1084+AU1084+AW1084</f>
        <v>0</v>
      </c>
      <c r="AZ1084" s="178">
        <f>AN1084+AP1084+AR1084+AT1084+AV1084+AX1084</f>
        <v>0</v>
      </c>
      <c r="BC1084" s="47"/>
      <c r="BD1084" s="47"/>
      <c r="BF1084" s="113">
        <v>0.61398299999999995</v>
      </c>
      <c r="BG1084" s="113"/>
      <c r="BH1084" s="113"/>
      <c r="BI1084" s="113"/>
      <c r="BJ1084" s="113"/>
      <c r="BK1084" s="113"/>
      <c r="BL1084" s="5">
        <f t="shared" si="184"/>
        <v>0.61398299999999995</v>
      </c>
    </row>
    <row r="1085" spans="1:64" s="2" customFormat="1" ht="15.75" customHeight="1" outlineLevel="1" x14ac:dyDescent="0.2">
      <c r="A1085" s="594"/>
      <c r="B1085" s="601"/>
      <c r="C1085" s="7" t="s">
        <v>1553</v>
      </c>
      <c r="D1085" s="8"/>
      <c r="E1085" s="23"/>
      <c r="F1085" s="8"/>
      <c r="G1085" s="8"/>
      <c r="H1085" s="5"/>
      <c r="I1085" s="5"/>
      <c r="J1085" s="5"/>
      <c r="K1085" s="8"/>
      <c r="L1085" s="23"/>
      <c r="M1085" s="8"/>
      <c r="N1085" s="8"/>
      <c r="O1085" s="8"/>
      <c r="P1085" s="8"/>
      <c r="Q1085" s="23"/>
      <c r="R1085" s="113"/>
      <c r="S1085" s="113"/>
      <c r="T1085" s="113"/>
      <c r="U1085" s="113"/>
      <c r="V1085" s="113"/>
      <c r="W1085" s="113"/>
      <c r="X1085" s="5">
        <f t="shared" si="182"/>
        <v>0</v>
      </c>
      <c r="Y1085" s="302"/>
      <c r="Z1085" s="5"/>
      <c r="AA1085" s="94"/>
      <c r="AB1085" s="311">
        <f t="shared" si="183"/>
        <v>0</v>
      </c>
      <c r="AC1085" s="296"/>
      <c r="AD1085" s="113"/>
      <c r="AE1085" s="5"/>
      <c r="AF1085" s="5"/>
      <c r="AG1085" s="5"/>
      <c r="AH1085" s="5"/>
      <c r="AI1085" s="5"/>
      <c r="AJ1085" s="5"/>
      <c r="AK1085" s="141"/>
      <c r="AL1085" s="94"/>
      <c r="AM1085" s="128"/>
      <c r="AN1085" s="180"/>
      <c r="AO1085" s="128"/>
      <c r="AP1085" s="184"/>
      <c r="AQ1085" s="128"/>
      <c r="AR1085" s="184"/>
      <c r="AS1085" s="128"/>
      <c r="AT1085" s="184"/>
      <c r="AU1085" s="128"/>
      <c r="AV1085" s="184"/>
      <c r="AW1085" s="128"/>
      <c r="AX1085" s="184"/>
      <c r="AY1085" s="111"/>
      <c r="AZ1085" s="178"/>
      <c r="BC1085" s="47"/>
      <c r="BD1085" s="47"/>
      <c r="BF1085" s="113"/>
      <c r="BG1085" s="113"/>
      <c r="BH1085" s="113"/>
      <c r="BI1085" s="113"/>
      <c r="BJ1085" s="113"/>
      <c r="BK1085" s="113"/>
      <c r="BL1085" s="5">
        <f t="shared" si="184"/>
        <v>0</v>
      </c>
    </row>
    <row r="1086" spans="1:64" s="2" customFormat="1" ht="15.75" customHeight="1" outlineLevel="1" x14ac:dyDescent="0.2">
      <c r="A1086" s="595"/>
      <c r="B1086" s="602"/>
      <c r="C1086" s="7" t="s">
        <v>1554</v>
      </c>
      <c r="D1086" s="8"/>
      <c r="E1086" s="23"/>
      <c r="F1086" s="8"/>
      <c r="G1086" s="8"/>
      <c r="H1086" s="5">
        <f>H1084</f>
        <v>0.61398299999999995</v>
      </c>
      <c r="I1086" s="5">
        <f>I1084</f>
        <v>0.61398299999999995</v>
      </c>
      <c r="J1086" s="5">
        <f>J1084</f>
        <v>0.61398299999999995</v>
      </c>
      <c r="K1086" s="23"/>
      <c r="L1086" s="8"/>
      <c r="M1086" s="8"/>
      <c r="N1086" s="8"/>
      <c r="O1086" s="8"/>
      <c r="P1086" s="8"/>
      <c r="Q1086" s="23"/>
      <c r="R1086" s="113"/>
      <c r="S1086" s="113"/>
      <c r="T1086" s="113"/>
      <c r="U1086" s="113"/>
      <c r="V1086" s="113"/>
      <c r="W1086" s="113"/>
      <c r="X1086" s="5">
        <f t="shared" si="182"/>
        <v>0</v>
      </c>
      <c r="Y1086" s="302"/>
      <c r="Z1086" s="5"/>
      <c r="AA1086" s="94"/>
      <c r="AB1086" s="311">
        <f t="shared" si="183"/>
        <v>0.61398299999999995</v>
      </c>
      <c r="AC1086" s="296"/>
      <c r="AD1086" s="113"/>
      <c r="AE1086" s="5"/>
      <c r="AF1086" s="5"/>
      <c r="AG1086" s="5"/>
      <c r="AH1086" s="5"/>
      <c r="AI1086" s="5"/>
      <c r="AJ1086" s="5"/>
      <c r="AK1086" s="141"/>
      <c r="AL1086" s="94"/>
      <c r="AM1086" s="128"/>
      <c r="AN1086" s="180"/>
      <c r="AO1086" s="128"/>
      <c r="AP1086" s="184"/>
      <c r="AQ1086" s="128"/>
      <c r="AR1086" s="184"/>
      <c r="AS1086" s="128"/>
      <c r="AT1086" s="184"/>
      <c r="AU1086" s="128"/>
      <c r="AV1086" s="184"/>
      <c r="AW1086" s="128"/>
      <c r="AX1086" s="184"/>
      <c r="AY1086" s="111"/>
      <c r="AZ1086" s="178"/>
      <c r="BC1086" s="47"/>
      <c r="BD1086" s="47"/>
      <c r="BF1086" s="113"/>
      <c r="BG1086" s="113"/>
      <c r="BH1086" s="113"/>
      <c r="BI1086" s="113"/>
      <c r="BJ1086" s="113"/>
      <c r="BK1086" s="113"/>
      <c r="BL1086" s="5">
        <f t="shared" si="184"/>
        <v>0</v>
      </c>
    </row>
    <row r="1087" spans="1:64" s="2" customFormat="1" ht="51" outlineLevel="1" x14ac:dyDescent="0.2">
      <c r="A1087" s="593" t="s">
        <v>2010</v>
      </c>
      <c r="B1087" s="600" t="s">
        <v>1997</v>
      </c>
      <c r="C1087" s="7" t="s">
        <v>2254</v>
      </c>
      <c r="D1087" s="8" t="s">
        <v>145</v>
      </c>
      <c r="E1087" s="23" t="s">
        <v>340</v>
      </c>
      <c r="F1087" s="8">
        <v>2013</v>
      </c>
      <c r="G1087" s="8">
        <v>2014</v>
      </c>
      <c r="H1087" s="5">
        <v>0.15548000000000001</v>
      </c>
      <c r="I1087" s="5">
        <v>6.8712000000000009E-2</v>
      </c>
      <c r="J1087" s="5">
        <f>R1087</f>
        <v>6.8712000000000009E-2</v>
      </c>
      <c r="K1087" s="23" t="s">
        <v>340</v>
      </c>
      <c r="L1087" s="8"/>
      <c r="M1087" s="8"/>
      <c r="N1087" s="8"/>
      <c r="O1087" s="8"/>
      <c r="P1087" s="8"/>
      <c r="Q1087" s="23" t="s">
        <v>340</v>
      </c>
      <c r="R1087" s="113">
        <v>6.8712000000000009E-2</v>
      </c>
      <c r="S1087" s="113"/>
      <c r="T1087" s="113"/>
      <c r="U1087" s="113"/>
      <c r="V1087" s="113"/>
      <c r="W1087" s="113"/>
      <c r="X1087" s="5">
        <f t="shared" si="182"/>
        <v>6.8712000000000009E-2</v>
      </c>
      <c r="Y1087" s="302">
        <f>H1087-H1088-H1089</f>
        <v>0</v>
      </c>
      <c r="Z1087" s="5">
        <f>I1087-I1088-I1089</f>
        <v>0</v>
      </c>
      <c r="AA1087" s="94">
        <f>J1087-J1088-J1089</f>
        <v>0</v>
      </c>
      <c r="AB1087" s="311">
        <f t="shared" si="183"/>
        <v>0</v>
      </c>
      <c r="AC1087" s="296"/>
      <c r="AD1087" s="113"/>
      <c r="AE1087" s="5"/>
      <c r="AF1087" s="5">
        <f>H1087</f>
        <v>0.15548000000000001</v>
      </c>
      <c r="AG1087" s="5"/>
      <c r="AH1087" s="5"/>
      <c r="AI1087" s="5"/>
      <c r="AJ1087" s="5"/>
      <c r="AK1087" s="141"/>
      <c r="AL1087" s="94">
        <f>SUM(AF1087:AK1087)</f>
        <v>0.15548000000000001</v>
      </c>
      <c r="AM1087" s="128">
        <v>0.2</v>
      </c>
      <c r="AN1087" s="180">
        <v>0</v>
      </c>
      <c r="AO1087" s="128"/>
      <c r="AP1087" s="184"/>
      <c r="AQ1087" s="128"/>
      <c r="AR1087" s="184"/>
      <c r="AS1087" s="128"/>
      <c r="AT1087" s="184"/>
      <c r="AU1087" s="128"/>
      <c r="AV1087" s="184"/>
      <c r="AW1087" s="128"/>
      <c r="AX1087" s="184"/>
      <c r="AY1087" s="111">
        <f>AM1087+AO1087+AQ1087+AS1087+AU1087+AW1087</f>
        <v>0.2</v>
      </c>
      <c r="AZ1087" s="178">
        <f>AN1087+AP1087+AR1087+AT1087+AV1087+AX1087</f>
        <v>0</v>
      </c>
      <c r="BC1087" s="47"/>
      <c r="BD1087" s="47"/>
      <c r="BF1087" s="113">
        <v>6.8712000000000009E-2</v>
      </c>
      <c r="BG1087" s="113"/>
      <c r="BH1087" s="113"/>
      <c r="BI1087" s="113"/>
      <c r="BJ1087" s="113"/>
      <c r="BK1087" s="113"/>
      <c r="BL1087" s="5">
        <f t="shared" si="184"/>
        <v>6.8712000000000009E-2</v>
      </c>
    </row>
    <row r="1088" spans="1:64" s="2" customFormat="1" ht="15.75" customHeight="1" outlineLevel="1" x14ac:dyDescent="0.2">
      <c r="A1088" s="594"/>
      <c r="B1088" s="601"/>
      <c r="C1088" s="7" t="s">
        <v>1553</v>
      </c>
      <c r="D1088" s="8"/>
      <c r="E1088" s="23"/>
      <c r="F1088" s="8"/>
      <c r="G1088" s="8"/>
      <c r="H1088" s="5"/>
      <c r="I1088" s="5"/>
      <c r="J1088" s="5"/>
      <c r="K1088" s="8"/>
      <c r="L1088" s="23"/>
      <c r="M1088" s="8"/>
      <c r="N1088" s="8"/>
      <c r="O1088" s="8"/>
      <c r="P1088" s="8"/>
      <c r="Q1088" s="23"/>
      <c r="R1088" s="113"/>
      <c r="S1088" s="113"/>
      <c r="T1088" s="113"/>
      <c r="U1088" s="113"/>
      <c r="V1088" s="113"/>
      <c r="W1088" s="113"/>
      <c r="X1088" s="5">
        <f>SUM(R1088:W1088)</f>
        <v>0</v>
      </c>
      <c r="Y1088" s="302"/>
      <c r="Z1088" s="5"/>
      <c r="AA1088" s="94"/>
      <c r="AB1088" s="311">
        <f t="shared" si="183"/>
        <v>0</v>
      </c>
      <c r="AC1088" s="296"/>
      <c r="AD1088" s="113"/>
      <c r="AE1088" s="5"/>
      <c r="AF1088" s="5"/>
      <c r="AG1088" s="5"/>
      <c r="AH1088" s="5"/>
      <c r="AI1088" s="5"/>
      <c r="AJ1088" s="5"/>
      <c r="AK1088" s="141"/>
      <c r="AL1088" s="94"/>
      <c r="AM1088" s="128"/>
      <c r="AN1088" s="180"/>
      <c r="AO1088" s="128"/>
      <c r="AP1088" s="184"/>
      <c r="AQ1088" s="128"/>
      <c r="AR1088" s="184"/>
      <c r="AS1088" s="128"/>
      <c r="AT1088" s="184"/>
      <c r="AU1088" s="128"/>
      <c r="AV1088" s="184"/>
      <c r="AW1088" s="128"/>
      <c r="AX1088" s="184"/>
      <c r="AY1088" s="111"/>
      <c r="AZ1088" s="178"/>
      <c r="BC1088" s="47"/>
      <c r="BD1088" s="47"/>
      <c r="BF1088" s="113"/>
      <c r="BG1088" s="113"/>
      <c r="BH1088" s="113"/>
      <c r="BI1088" s="113"/>
      <c r="BJ1088" s="113"/>
      <c r="BK1088" s="113"/>
      <c r="BL1088" s="5">
        <f t="shared" si="184"/>
        <v>0</v>
      </c>
    </row>
    <row r="1089" spans="1:64" s="2" customFormat="1" ht="15.75" customHeight="1" outlineLevel="1" x14ac:dyDescent="0.2">
      <c r="A1089" s="595"/>
      <c r="B1089" s="602"/>
      <c r="C1089" s="7" t="s">
        <v>1554</v>
      </c>
      <c r="D1089" s="8"/>
      <c r="E1089" s="23"/>
      <c r="F1089" s="8"/>
      <c r="G1089" s="8"/>
      <c r="H1089" s="5">
        <v>0.15548000000000001</v>
      </c>
      <c r="I1089" s="5">
        <f>I1087</f>
        <v>6.8712000000000009E-2</v>
      </c>
      <c r="J1089" s="5">
        <v>6.8712000000000009E-2</v>
      </c>
      <c r="K1089" s="23"/>
      <c r="L1089" s="8"/>
      <c r="M1089" s="8"/>
      <c r="N1089" s="8"/>
      <c r="O1089" s="8"/>
      <c r="P1089" s="8"/>
      <c r="Q1089" s="23"/>
      <c r="R1089" s="113"/>
      <c r="S1089" s="113"/>
      <c r="T1089" s="113"/>
      <c r="U1089" s="113"/>
      <c r="V1089" s="113"/>
      <c r="W1089" s="113"/>
      <c r="X1089" s="5">
        <f>SUM(R1089:W1089)</f>
        <v>0</v>
      </c>
      <c r="Y1089" s="302"/>
      <c r="Z1089" s="5"/>
      <c r="AA1089" s="94"/>
      <c r="AB1089" s="311">
        <f t="shared" si="183"/>
        <v>6.8712000000000009E-2</v>
      </c>
      <c r="AC1089" s="296"/>
      <c r="AD1089" s="113"/>
      <c r="AE1089" s="5"/>
      <c r="AF1089" s="5"/>
      <c r="AG1089" s="5"/>
      <c r="AH1089" s="5"/>
      <c r="AI1089" s="5"/>
      <c r="AJ1089" s="5"/>
      <c r="AK1089" s="141"/>
      <c r="AL1089" s="94"/>
      <c r="AM1089" s="128"/>
      <c r="AN1089" s="180"/>
      <c r="AO1089" s="128"/>
      <c r="AP1089" s="184"/>
      <c r="AQ1089" s="128"/>
      <c r="AR1089" s="184"/>
      <c r="AS1089" s="128"/>
      <c r="AT1089" s="184"/>
      <c r="AU1089" s="128"/>
      <c r="AV1089" s="184"/>
      <c r="AW1089" s="128"/>
      <c r="AX1089" s="184"/>
      <c r="AY1089" s="111"/>
      <c r="AZ1089" s="178"/>
      <c r="BC1089" s="47"/>
      <c r="BD1089" s="47"/>
      <c r="BF1089" s="113"/>
      <c r="BG1089" s="113"/>
      <c r="BH1089" s="113"/>
      <c r="BI1089" s="113"/>
      <c r="BJ1089" s="113"/>
      <c r="BK1089" s="113"/>
      <c r="BL1089" s="5">
        <f t="shared" si="184"/>
        <v>0</v>
      </c>
    </row>
    <row r="1090" spans="1:64" s="2" customFormat="1" ht="27" customHeight="1" outlineLevel="1" x14ac:dyDescent="0.2">
      <c r="A1090" s="593" t="s">
        <v>2012</v>
      </c>
      <c r="B1090" s="600" t="s">
        <v>2000</v>
      </c>
      <c r="C1090" s="7" t="s">
        <v>2255</v>
      </c>
      <c r="D1090" s="8" t="s">
        <v>145</v>
      </c>
      <c r="E1090" s="23" t="s">
        <v>333</v>
      </c>
      <c r="F1090" s="8">
        <v>2013</v>
      </c>
      <c r="G1090" s="8">
        <v>2015</v>
      </c>
      <c r="H1090" s="5">
        <v>2.288115593220339</v>
      </c>
      <c r="I1090" s="5">
        <v>0.01</v>
      </c>
      <c r="J1090" s="5">
        <f>R1090</f>
        <v>0.01</v>
      </c>
      <c r="K1090" s="8"/>
      <c r="L1090" s="23" t="s">
        <v>333</v>
      </c>
      <c r="M1090" s="8"/>
      <c r="N1090" s="8"/>
      <c r="O1090" s="8"/>
      <c r="P1090" s="8"/>
      <c r="Q1090" s="23" t="s">
        <v>333</v>
      </c>
      <c r="R1090" s="113">
        <v>0.01</v>
      </c>
      <c r="S1090" s="113"/>
      <c r="T1090" s="113"/>
      <c r="U1090" s="113"/>
      <c r="V1090" s="113"/>
      <c r="W1090" s="113"/>
      <c r="X1090" s="5">
        <f t="shared" si="182"/>
        <v>0.01</v>
      </c>
      <c r="Y1090" s="302">
        <f>H1090-H1091-H1092</f>
        <v>0</v>
      </c>
      <c r="Z1090" s="5">
        <f>I1090-I1091-I1092</f>
        <v>0</v>
      </c>
      <c r="AA1090" s="94">
        <f>J1090-J1091-J1092</f>
        <v>0</v>
      </c>
      <c r="AB1090" s="311">
        <f t="shared" si="183"/>
        <v>0</v>
      </c>
      <c r="AC1090" s="296"/>
      <c r="AD1090" s="113"/>
      <c r="AE1090" s="5"/>
      <c r="AF1090" s="5"/>
      <c r="AG1090" s="5">
        <f>H1090</f>
        <v>2.288115593220339</v>
      </c>
      <c r="AH1090" s="5"/>
      <c r="AI1090" s="5"/>
      <c r="AJ1090" s="5"/>
      <c r="AK1090" s="141"/>
      <c r="AL1090" s="94">
        <f>SUM(AF1090:AK1090)</f>
        <v>2.288115593220339</v>
      </c>
      <c r="AM1090" s="128"/>
      <c r="AN1090" s="180"/>
      <c r="AO1090" s="128">
        <v>0.3</v>
      </c>
      <c r="AP1090" s="184">
        <v>0</v>
      </c>
      <c r="AQ1090" s="128"/>
      <c r="AR1090" s="184"/>
      <c r="AS1090" s="128"/>
      <c r="AT1090" s="184"/>
      <c r="AU1090" s="128"/>
      <c r="AV1090" s="184"/>
      <c r="AW1090" s="128"/>
      <c r="AX1090" s="184"/>
      <c r="AY1090" s="111">
        <f>AM1090+AO1090+AQ1090+AS1090+AU1090+AW1090</f>
        <v>0.3</v>
      </c>
      <c r="AZ1090" s="178">
        <f>AN1090+AP1090+AR1090+AT1090+AV1090+AX1090</f>
        <v>0</v>
      </c>
      <c r="BC1090" s="47"/>
      <c r="BD1090" s="47"/>
      <c r="BF1090" s="113">
        <v>0.01</v>
      </c>
      <c r="BG1090" s="113"/>
      <c r="BH1090" s="113"/>
      <c r="BI1090" s="113"/>
      <c r="BJ1090" s="113"/>
      <c r="BK1090" s="113"/>
      <c r="BL1090" s="5">
        <f t="shared" si="184"/>
        <v>0.01</v>
      </c>
    </row>
    <row r="1091" spans="1:64" s="2" customFormat="1" ht="15.75" customHeight="1" outlineLevel="1" x14ac:dyDescent="0.2">
      <c r="A1091" s="594"/>
      <c r="B1091" s="601"/>
      <c r="C1091" s="7" t="s">
        <v>1553</v>
      </c>
      <c r="D1091" s="8"/>
      <c r="E1091" s="23"/>
      <c r="F1091" s="8"/>
      <c r="G1091" s="8"/>
      <c r="H1091" s="5"/>
      <c r="I1091" s="5"/>
      <c r="J1091" s="5"/>
      <c r="K1091" s="8"/>
      <c r="L1091" s="23"/>
      <c r="M1091" s="8"/>
      <c r="N1091" s="8"/>
      <c r="O1091" s="8"/>
      <c r="P1091" s="8"/>
      <c r="Q1091" s="23"/>
      <c r="R1091" s="113"/>
      <c r="S1091" s="113"/>
      <c r="T1091" s="113"/>
      <c r="U1091" s="113"/>
      <c r="V1091" s="113"/>
      <c r="W1091" s="113"/>
      <c r="X1091" s="5">
        <f t="shared" si="182"/>
        <v>0</v>
      </c>
      <c r="Y1091" s="302"/>
      <c r="Z1091" s="5"/>
      <c r="AA1091" s="94"/>
      <c r="AB1091" s="311">
        <f t="shared" si="183"/>
        <v>0</v>
      </c>
      <c r="AC1091" s="296"/>
      <c r="AD1091" s="113"/>
      <c r="AE1091" s="5"/>
      <c r="AF1091" s="5"/>
      <c r="AG1091" s="5"/>
      <c r="AH1091" s="5"/>
      <c r="AI1091" s="5"/>
      <c r="AJ1091" s="5"/>
      <c r="AK1091" s="141"/>
      <c r="AL1091" s="94"/>
      <c r="AM1091" s="128"/>
      <c r="AN1091" s="180"/>
      <c r="AO1091" s="128"/>
      <c r="AP1091" s="184"/>
      <c r="AQ1091" s="128"/>
      <c r="AR1091" s="184"/>
      <c r="AS1091" s="128"/>
      <c r="AT1091" s="184"/>
      <c r="AU1091" s="128"/>
      <c r="AV1091" s="184"/>
      <c r="AW1091" s="128"/>
      <c r="AX1091" s="184"/>
      <c r="AY1091" s="111"/>
      <c r="AZ1091" s="178"/>
      <c r="BC1091" s="47"/>
      <c r="BD1091" s="47"/>
      <c r="BF1091" s="113"/>
      <c r="BG1091" s="113"/>
      <c r="BH1091" s="113"/>
      <c r="BI1091" s="113"/>
      <c r="BJ1091" s="113"/>
      <c r="BK1091" s="113"/>
      <c r="BL1091" s="5">
        <f t="shared" si="184"/>
        <v>0</v>
      </c>
    </row>
    <row r="1092" spans="1:64" s="2" customFormat="1" ht="15.75" customHeight="1" outlineLevel="1" x14ac:dyDescent="0.2">
      <c r="A1092" s="595"/>
      <c r="B1092" s="602"/>
      <c r="C1092" s="7" t="s">
        <v>1554</v>
      </c>
      <c r="D1092" s="8"/>
      <c r="E1092" s="23"/>
      <c r="F1092" s="8"/>
      <c r="G1092" s="8"/>
      <c r="H1092" s="5">
        <f>H1090</f>
        <v>2.288115593220339</v>
      </c>
      <c r="I1092" s="5">
        <f>I1090</f>
        <v>0.01</v>
      </c>
      <c r="J1092" s="5">
        <f>J1090</f>
        <v>0.01</v>
      </c>
      <c r="K1092" s="23"/>
      <c r="L1092" s="8"/>
      <c r="M1092" s="8"/>
      <c r="N1092" s="8"/>
      <c r="O1092" s="8"/>
      <c r="P1092" s="8"/>
      <c r="Q1092" s="23"/>
      <c r="R1092" s="113"/>
      <c r="S1092" s="113"/>
      <c r="T1092" s="113"/>
      <c r="U1092" s="113"/>
      <c r="V1092" s="113"/>
      <c r="W1092" s="113"/>
      <c r="X1092" s="5">
        <f t="shared" si="182"/>
        <v>0</v>
      </c>
      <c r="Y1092" s="302"/>
      <c r="Z1092" s="5"/>
      <c r="AA1092" s="94"/>
      <c r="AB1092" s="311">
        <f t="shared" si="183"/>
        <v>0.01</v>
      </c>
      <c r="AC1092" s="296"/>
      <c r="AD1092" s="113"/>
      <c r="AE1092" s="5"/>
      <c r="AF1092" s="5"/>
      <c r="AG1092" s="5"/>
      <c r="AH1092" s="5"/>
      <c r="AI1092" s="5"/>
      <c r="AJ1092" s="5"/>
      <c r="AK1092" s="141"/>
      <c r="AL1092" s="94"/>
      <c r="AM1092" s="128"/>
      <c r="AN1092" s="180"/>
      <c r="AO1092" s="128"/>
      <c r="AP1092" s="184"/>
      <c r="AQ1092" s="128"/>
      <c r="AR1092" s="184"/>
      <c r="AS1092" s="128"/>
      <c r="AT1092" s="184"/>
      <c r="AU1092" s="128"/>
      <c r="AV1092" s="184"/>
      <c r="AW1092" s="128"/>
      <c r="AX1092" s="184"/>
      <c r="AY1092" s="111"/>
      <c r="AZ1092" s="178"/>
      <c r="BC1092" s="47"/>
      <c r="BD1092" s="47"/>
      <c r="BF1092" s="113"/>
      <c r="BG1092" s="113"/>
      <c r="BH1092" s="113"/>
      <c r="BI1092" s="113"/>
      <c r="BJ1092" s="113"/>
      <c r="BK1092" s="113"/>
      <c r="BL1092" s="5">
        <f t="shared" si="184"/>
        <v>0</v>
      </c>
    </row>
    <row r="1093" spans="1:64" s="2" customFormat="1" ht="38.25" outlineLevel="1" x14ac:dyDescent="0.2">
      <c r="A1093" s="593" t="s">
        <v>2014</v>
      </c>
      <c r="B1093" s="600" t="s">
        <v>2003</v>
      </c>
      <c r="C1093" s="7" t="s">
        <v>2256</v>
      </c>
      <c r="D1093" s="8" t="s">
        <v>145</v>
      </c>
      <c r="E1093" s="23" t="s">
        <v>1387</v>
      </c>
      <c r="F1093" s="8">
        <v>2013</v>
      </c>
      <c r="G1093" s="8">
        <v>2014</v>
      </c>
      <c r="H1093" s="5">
        <v>0.15548000000000001</v>
      </c>
      <c r="I1093" s="5">
        <v>0.03</v>
      </c>
      <c r="J1093" s="5">
        <f>R1093</f>
        <v>0.03</v>
      </c>
      <c r="K1093" s="23" t="s">
        <v>1387</v>
      </c>
      <c r="L1093" s="8"/>
      <c r="M1093" s="8"/>
      <c r="N1093" s="8"/>
      <c r="O1093" s="8"/>
      <c r="P1093" s="8"/>
      <c r="Q1093" s="23" t="s">
        <v>1387</v>
      </c>
      <c r="R1093" s="113">
        <v>0.03</v>
      </c>
      <c r="S1093" s="113"/>
      <c r="T1093" s="113"/>
      <c r="U1093" s="113"/>
      <c r="V1093" s="113"/>
      <c r="W1093" s="113"/>
      <c r="X1093" s="5">
        <f t="shared" si="182"/>
        <v>0.03</v>
      </c>
      <c r="Y1093" s="302">
        <f>H1093-H1094-H1095</f>
        <v>0</v>
      </c>
      <c r="Z1093" s="5">
        <f>I1093-I1094-I1095</f>
        <v>0</v>
      </c>
      <c r="AA1093" s="94">
        <f>J1093-J1094-J1095</f>
        <v>0</v>
      </c>
      <c r="AB1093" s="311">
        <f t="shared" si="183"/>
        <v>0</v>
      </c>
      <c r="AC1093" s="296"/>
      <c r="AD1093" s="113"/>
      <c r="AE1093" s="5"/>
      <c r="AF1093" s="5">
        <f>H1093</f>
        <v>0.15548000000000001</v>
      </c>
      <c r="AG1093" s="5"/>
      <c r="AH1093" s="5"/>
      <c r="AI1093" s="5"/>
      <c r="AJ1093" s="5"/>
      <c r="AK1093" s="141"/>
      <c r="AL1093" s="94">
        <f>SUM(AF1093:AK1093)</f>
        <v>0.15548000000000001</v>
      </c>
      <c r="AM1093" s="128">
        <v>0.5</v>
      </c>
      <c r="AN1093" s="180">
        <v>0</v>
      </c>
      <c r="AO1093" s="128"/>
      <c r="AP1093" s="184"/>
      <c r="AQ1093" s="128"/>
      <c r="AR1093" s="184"/>
      <c r="AS1093" s="128"/>
      <c r="AT1093" s="184"/>
      <c r="AU1093" s="128"/>
      <c r="AV1093" s="184"/>
      <c r="AW1093" s="128"/>
      <c r="AX1093" s="184"/>
      <c r="AY1093" s="111">
        <f>AM1093+AO1093+AQ1093+AS1093+AU1093+AW1093</f>
        <v>0.5</v>
      </c>
      <c r="AZ1093" s="178">
        <f>AN1093+AP1093+AR1093+AT1093+AV1093+AX1093</f>
        <v>0</v>
      </c>
      <c r="BC1093" s="47"/>
      <c r="BD1093" s="47"/>
      <c r="BF1093" s="113">
        <v>0.03</v>
      </c>
      <c r="BG1093" s="113"/>
      <c r="BH1093" s="113"/>
      <c r="BI1093" s="113"/>
      <c r="BJ1093" s="113"/>
      <c r="BK1093" s="113"/>
      <c r="BL1093" s="5">
        <f t="shared" si="184"/>
        <v>0.03</v>
      </c>
    </row>
    <row r="1094" spans="1:64" s="2" customFormat="1" ht="15.75" customHeight="1" outlineLevel="1" x14ac:dyDescent="0.2">
      <c r="A1094" s="594"/>
      <c r="B1094" s="601"/>
      <c r="C1094" s="7" t="s">
        <v>1553</v>
      </c>
      <c r="D1094" s="8"/>
      <c r="E1094" s="23"/>
      <c r="F1094" s="8"/>
      <c r="G1094" s="8"/>
      <c r="H1094" s="5"/>
      <c r="I1094" s="5"/>
      <c r="J1094" s="5"/>
      <c r="K1094" s="8"/>
      <c r="L1094" s="23"/>
      <c r="M1094" s="8"/>
      <c r="N1094" s="8"/>
      <c r="O1094" s="8"/>
      <c r="P1094" s="8"/>
      <c r="Q1094" s="23"/>
      <c r="R1094" s="113"/>
      <c r="S1094" s="113"/>
      <c r="T1094" s="113"/>
      <c r="U1094" s="113"/>
      <c r="V1094" s="113"/>
      <c r="W1094" s="113"/>
      <c r="X1094" s="5">
        <f>SUM(R1094:W1094)</f>
        <v>0</v>
      </c>
      <c r="Y1094" s="302"/>
      <c r="Z1094" s="5"/>
      <c r="AA1094" s="94"/>
      <c r="AB1094" s="311">
        <f t="shared" si="183"/>
        <v>0</v>
      </c>
      <c r="AC1094" s="296"/>
      <c r="AD1094" s="113"/>
      <c r="AE1094" s="5"/>
      <c r="AF1094" s="5"/>
      <c r="AG1094" s="5"/>
      <c r="AH1094" s="5"/>
      <c r="AI1094" s="5"/>
      <c r="AJ1094" s="5"/>
      <c r="AK1094" s="141"/>
      <c r="AL1094" s="94"/>
      <c r="AM1094" s="128"/>
      <c r="AN1094" s="180"/>
      <c r="AO1094" s="128"/>
      <c r="AP1094" s="184"/>
      <c r="AQ1094" s="128"/>
      <c r="AR1094" s="184"/>
      <c r="AS1094" s="128"/>
      <c r="AT1094" s="184"/>
      <c r="AU1094" s="128"/>
      <c r="AV1094" s="184"/>
      <c r="AW1094" s="128"/>
      <c r="AX1094" s="184"/>
      <c r="AY1094" s="111"/>
      <c r="AZ1094" s="178"/>
      <c r="BC1094" s="47"/>
      <c r="BD1094" s="47"/>
      <c r="BF1094" s="113"/>
      <c r="BG1094" s="113"/>
      <c r="BH1094" s="113"/>
      <c r="BI1094" s="113"/>
      <c r="BJ1094" s="113"/>
      <c r="BK1094" s="113"/>
      <c r="BL1094" s="5">
        <f t="shared" si="184"/>
        <v>0</v>
      </c>
    </row>
    <row r="1095" spans="1:64" s="2" customFormat="1" ht="15.75" customHeight="1" outlineLevel="1" x14ac:dyDescent="0.2">
      <c r="A1095" s="595"/>
      <c r="B1095" s="602"/>
      <c r="C1095" s="7" t="s">
        <v>1554</v>
      </c>
      <c r="D1095" s="8"/>
      <c r="E1095" s="23"/>
      <c r="F1095" s="8"/>
      <c r="G1095" s="8"/>
      <c r="H1095" s="5">
        <v>0.15548000000000001</v>
      </c>
      <c r="I1095" s="5">
        <f>I1093</f>
        <v>0.03</v>
      </c>
      <c r="J1095" s="5">
        <v>0.03</v>
      </c>
      <c r="K1095" s="23"/>
      <c r="L1095" s="8"/>
      <c r="M1095" s="8"/>
      <c r="N1095" s="8"/>
      <c r="O1095" s="8"/>
      <c r="P1095" s="8"/>
      <c r="Q1095" s="23"/>
      <c r="R1095" s="113"/>
      <c r="S1095" s="113"/>
      <c r="T1095" s="113"/>
      <c r="U1095" s="113"/>
      <c r="V1095" s="113"/>
      <c r="W1095" s="113"/>
      <c r="X1095" s="5">
        <f>SUM(R1095:W1095)</f>
        <v>0</v>
      </c>
      <c r="Y1095" s="302"/>
      <c r="Z1095" s="5"/>
      <c r="AA1095" s="94"/>
      <c r="AB1095" s="311">
        <f t="shared" si="183"/>
        <v>0.03</v>
      </c>
      <c r="AC1095" s="296"/>
      <c r="AD1095" s="113"/>
      <c r="AE1095" s="5"/>
      <c r="AF1095" s="5"/>
      <c r="AG1095" s="5"/>
      <c r="AH1095" s="5"/>
      <c r="AI1095" s="5"/>
      <c r="AJ1095" s="5"/>
      <c r="AK1095" s="141"/>
      <c r="AL1095" s="94"/>
      <c r="AM1095" s="128"/>
      <c r="AN1095" s="180"/>
      <c r="AO1095" s="128"/>
      <c r="AP1095" s="184"/>
      <c r="AQ1095" s="128"/>
      <c r="AR1095" s="184"/>
      <c r="AS1095" s="128"/>
      <c r="AT1095" s="184"/>
      <c r="AU1095" s="128"/>
      <c r="AV1095" s="184"/>
      <c r="AW1095" s="128"/>
      <c r="AX1095" s="184"/>
      <c r="AY1095" s="111"/>
      <c r="AZ1095" s="178"/>
      <c r="BC1095" s="47"/>
      <c r="BD1095" s="47"/>
      <c r="BF1095" s="113"/>
      <c r="BG1095" s="113"/>
      <c r="BH1095" s="113"/>
      <c r="BI1095" s="113"/>
      <c r="BJ1095" s="113"/>
      <c r="BK1095" s="113"/>
      <c r="BL1095" s="5">
        <f t="shared" si="184"/>
        <v>0</v>
      </c>
    </row>
    <row r="1096" spans="1:64" s="2" customFormat="1" ht="38.25" outlineLevel="1" x14ac:dyDescent="0.2">
      <c r="A1096" s="593" t="s">
        <v>2016</v>
      </c>
      <c r="B1096" s="600" t="s">
        <v>2006</v>
      </c>
      <c r="C1096" s="7" t="s">
        <v>2257</v>
      </c>
      <c r="D1096" s="8" t="s">
        <v>145</v>
      </c>
      <c r="E1096" s="23" t="s">
        <v>335</v>
      </c>
      <c r="F1096" s="8">
        <v>2013</v>
      </c>
      <c r="G1096" s="8">
        <v>2014</v>
      </c>
      <c r="H1096" s="5">
        <v>0.15548000000000001</v>
      </c>
      <c r="I1096" s="5">
        <v>0.03</v>
      </c>
      <c r="J1096" s="5">
        <f>R1096</f>
        <v>0.03</v>
      </c>
      <c r="K1096" s="23" t="s">
        <v>335</v>
      </c>
      <c r="L1096" s="8"/>
      <c r="M1096" s="8"/>
      <c r="N1096" s="8"/>
      <c r="O1096" s="8"/>
      <c r="P1096" s="8"/>
      <c r="Q1096" s="23" t="s">
        <v>335</v>
      </c>
      <c r="R1096" s="113">
        <v>0.03</v>
      </c>
      <c r="S1096" s="113"/>
      <c r="T1096" s="113"/>
      <c r="U1096" s="113"/>
      <c r="V1096" s="113"/>
      <c r="W1096" s="113"/>
      <c r="X1096" s="5">
        <f t="shared" si="182"/>
        <v>0.03</v>
      </c>
      <c r="Y1096" s="302">
        <f>H1096-H1097-H1098</f>
        <v>0</v>
      </c>
      <c r="Z1096" s="5">
        <f>I1096-I1097-I1098</f>
        <v>0</v>
      </c>
      <c r="AA1096" s="94">
        <f>J1096-J1097-J1098</f>
        <v>0</v>
      </c>
      <c r="AB1096" s="311">
        <f t="shared" si="183"/>
        <v>0</v>
      </c>
      <c r="AC1096" s="296"/>
      <c r="AD1096" s="113"/>
      <c r="AE1096" s="5"/>
      <c r="AF1096" s="5">
        <f>H1096</f>
        <v>0.15548000000000001</v>
      </c>
      <c r="AG1096" s="5"/>
      <c r="AH1096" s="5"/>
      <c r="AI1096" s="5"/>
      <c r="AJ1096" s="5"/>
      <c r="AK1096" s="141"/>
      <c r="AL1096" s="94">
        <f>SUM(AF1096:AK1096)</f>
        <v>0.15548000000000001</v>
      </c>
      <c r="AM1096" s="128">
        <v>0.1</v>
      </c>
      <c r="AN1096" s="180">
        <v>0</v>
      </c>
      <c r="AO1096" s="128"/>
      <c r="AP1096" s="184"/>
      <c r="AQ1096" s="128"/>
      <c r="AR1096" s="184"/>
      <c r="AS1096" s="128"/>
      <c r="AT1096" s="184"/>
      <c r="AU1096" s="128"/>
      <c r="AV1096" s="184"/>
      <c r="AW1096" s="128"/>
      <c r="AX1096" s="184"/>
      <c r="AY1096" s="111">
        <f>AM1096+AO1096+AQ1096+AS1096+AU1096+AW1096</f>
        <v>0.1</v>
      </c>
      <c r="AZ1096" s="178">
        <f>AN1096+AP1096+AR1096+AT1096+AV1096+AX1096</f>
        <v>0</v>
      </c>
      <c r="BC1096" s="47"/>
      <c r="BD1096" s="47"/>
      <c r="BF1096" s="113">
        <v>0.03</v>
      </c>
      <c r="BG1096" s="113"/>
      <c r="BH1096" s="113"/>
      <c r="BI1096" s="113"/>
      <c r="BJ1096" s="113"/>
      <c r="BK1096" s="113"/>
      <c r="BL1096" s="5">
        <f t="shared" si="184"/>
        <v>0.03</v>
      </c>
    </row>
    <row r="1097" spans="1:64" s="2" customFormat="1" ht="15.75" customHeight="1" outlineLevel="1" x14ac:dyDescent="0.2">
      <c r="A1097" s="594"/>
      <c r="B1097" s="601"/>
      <c r="C1097" s="7" t="s">
        <v>1553</v>
      </c>
      <c r="D1097" s="8"/>
      <c r="E1097" s="23"/>
      <c r="F1097" s="8"/>
      <c r="G1097" s="8"/>
      <c r="H1097" s="5"/>
      <c r="I1097" s="5"/>
      <c r="J1097" s="5"/>
      <c r="K1097" s="8"/>
      <c r="L1097" s="23"/>
      <c r="M1097" s="8"/>
      <c r="N1097" s="8"/>
      <c r="O1097" s="8"/>
      <c r="P1097" s="8"/>
      <c r="Q1097" s="23"/>
      <c r="R1097" s="113"/>
      <c r="S1097" s="113"/>
      <c r="T1097" s="113"/>
      <c r="U1097" s="113"/>
      <c r="V1097" s="113"/>
      <c r="W1097" s="113"/>
      <c r="X1097" s="5">
        <f t="shared" si="182"/>
        <v>0</v>
      </c>
      <c r="Y1097" s="302"/>
      <c r="Z1097" s="5"/>
      <c r="AA1097" s="94"/>
      <c r="AB1097" s="311">
        <f t="shared" si="183"/>
        <v>0</v>
      </c>
      <c r="AC1097" s="296"/>
      <c r="AD1097" s="113"/>
      <c r="AE1097" s="5"/>
      <c r="AF1097" s="5"/>
      <c r="AG1097" s="5"/>
      <c r="AH1097" s="5"/>
      <c r="AI1097" s="5"/>
      <c r="AJ1097" s="5"/>
      <c r="AK1097" s="141"/>
      <c r="AL1097" s="94"/>
      <c r="AM1097" s="128"/>
      <c r="AN1097" s="180"/>
      <c r="AO1097" s="128"/>
      <c r="AP1097" s="184"/>
      <c r="AQ1097" s="128"/>
      <c r="AR1097" s="184"/>
      <c r="AS1097" s="128"/>
      <c r="AT1097" s="184"/>
      <c r="AU1097" s="128"/>
      <c r="AV1097" s="184"/>
      <c r="AW1097" s="128"/>
      <c r="AX1097" s="184"/>
      <c r="AY1097" s="111"/>
      <c r="AZ1097" s="178"/>
      <c r="BC1097" s="47"/>
      <c r="BD1097" s="47"/>
      <c r="BF1097" s="113"/>
      <c r="BG1097" s="113"/>
      <c r="BH1097" s="113"/>
      <c r="BI1097" s="113"/>
      <c r="BJ1097" s="113"/>
      <c r="BK1097" s="113"/>
      <c r="BL1097" s="5">
        <f t="shared" si="184"/>
        <v>0</v>
      </c>
    </row>
    <row r="1098" spans="1:64" s="2" customFormat="1" ht="15.75" customHeight="1" outlineLevel="1" x14ac:dyDescent="0.2">
      <c r="A1098" s="595"/>
      <c r="B1098" s="602"/>
      <c r="C1098" s="7" t="s">
        <v>1554</v>
      </c>
      <c r="D1098" s="8"/>
      <c r="E1098" s="23"/>
      <c r="F1098" s="8"/>
      <c r="G1098" s="8"/>
      <c r="H1098" s="5">
        <v>0.15548000000000001</v>
      </c>
      <c r="I1098" s="5">
        <f>I1096</f>
        <v>0.03</v>
      </c>
      <c r="J1098" s="5">
        <v>0.03</v>
      </c>
      <c r="K1098" s="23"/>
      <c r="L1098" s="8"/>
      <c r="M1098" s="8"/>
      <c r="N1098" s="8"/>
      <c r="O1098" s="8"/>
      <c r="P1098" s="8"/>
      <c r="Q1098" s="23"/>
      <c r="R1098" s="113"/>
      <c r="S1098" s="113"/>
      <c r="T1098" s="113"/>
      <c r="U1098" s="113"/>
      <c r="V1098" s="113"/>
      <c r="W1098" s="113"/>
      <c r="X1098" s="5">
        <f t="shared" si="182"/>
        <v>0</v>
      </c>
      <c r="Y1098" s="302"/>
      <c r="Z1098" s="5"/>
      <c r="AA1098" s="94"/>
      <c r="AB1098" s="311">
        <f t="shared" si="183"/>
        <v>0.03</v>
      </c>
      <c r="AC1098" s="296"/>
      <c r="AD1098" s="113"/>
      <c r="AE1098" s="5"/>
      <c r="AF1098" s="5"/>
      <c r="AG1098" s="5"/>
      <c r="AH1098" s="5"/>
      <c r="AI1098" s="5"/>
      <c r="AJ1098" s="5"/>
      <c r="AK1098" s="141"/>
      <c r="AL1098" s="94"/>
      <c r="AM1098" s="128"/>
      <c r="AN1098" s="180"/>
      <c r="AO1098" s="128"/>
      <c r="AP1098" s="184"/>
      <c r="AQ1098" s="128"/>
      <c r="AR1098" s="184"/>
      <c r="AS1098" s="128"/>
      <c r="AT1098" s="184"/>
      <c r="AU1098" s="128"/>
      <c r="AV1098" s="184"/>
      <c r="AW1098" s="128"/>
      <c r="AX1098" s="184"/>
      <c r="AY1098" s="111"/>
      <c r="AZ1098" s="178"/>
      <c r="BC1098" s="47"/>
      <c r="BD1098" s="47"/>
      <c r="BF1098" s="113"/>
      <c r="BG1098" s="113"/>
      <c r="BH1098" s="113"/>
      <c r="BI1098" s="113"/>
      <c r="BJ1098" s="113"/>
      <c r="BK1098" s="113"/>
      <c r="BL1098" s="5">
        <f t="shared" si="184"/>
        <v>0</v>
      </c>
    </row>
    <row r="1099" spans="1:64" s="2" customFormat="1" ht="25.5" customHeight="1" outlineLevel="1" x14ac:dyDescent="0.2">
      <c r="A1099" s="593" t="s">
        <v>2018</v>
      </c>
      <c r="B1099" s="600" t="s">
        <v>2009</v>
      </c>
      <c r="C1099" s="7" t="s">
        <v>2258</v>
      </c>
      <c r="D1099" s="8" t="s">
        <v>145</v>
      </c>
      <c r="E1099" s="23" t="s">
        <v>1241</v>
      </c>
      <c r="F1099" s="8">
        <v>2013</v>
      </c>
      <c r="G1099" s="8">
        <v>2015</v>
      </c>
      <c r="H1099" s="5">
        <v>1.2711664406779664</v>
      </c>
      <c r="I1099" s="5">
        <v>1.2711664406779664</v>
      </c>
      <c r="J1099" s="5">
        <f>R1099</f>
        <v>0.98237300000000005</v>
      </c>
      <c r="K1099" s="8"/>
      <c r="L1099" s="23" t="s">
        <v>1241</v>
      </c>
      <c r="M1099" s="8"/>
      <c r="N1099" s="8"/>
      <c r="O1099" s="8"/>
      <c r="P1099" s="8"/>
      <c r="Q1099" s="23" t="s">
        <v>1241</v>
      </c>
      <c r="R1099" s="113">
        <v>0.98237300000000005</v>
      </c>
      <c r="S1099" s="113"/>
      <c r="T1099" s="113"/>
      <c r="U1099" s="113"/>
      <c r="V1099" s="113"/>
      <c r="W1099" s="113"/>
      <c r="X1099" s="5">
        <f t="shared" si="182"/>
        <v>0.98237300000000005</v>
      </c>
      <c r="Y1099" s="302">
        <f>H1099-H1100-H1101</f>
        <v>0</v>
      </c>
      <c r="Z1099" s="5">
        <f>I1099-I1100-I1101</f>
        <v>0</v>
      </c>
      <c r="AA1099" s="94">
        <f>J1099-J1100-J1101</f>
        <v>0</v>
      </c>
      <c r="AB1099" s="311">
        <f t="shared" si="183"/>
        <v>0.28879344067796631</v>
      </c>
      <c r="AC1099" s="296"/>
      <c r="AD1099" s="113"/>
      <c r="AE1099" s="5"/>
      <c r="AF1099" s="5"/>
      <c r="AG1099" s="5">
        <f>H1099</f>
        <v>1.2711664406779664</v>
      </c>
      <c r="AH1099" s="5"/>
      <c r="AI1099" s="5"/>
      <c r="AJ1099" s="5"/>
      <c r="AK1099" s="141"/>
      <c r="AL1099" s="94">
        <f>SUM(AF1099:AK1099)</f>
        <v>1.2711664406779664</v>
      </c>
      <c r="AM1099" s="128"/>
      <c r="AN1099" s="180"/>
      <c r="AO1099" s="128">
        <v>0</v>
      </c>
      <c r="AP1099" s="184">
        <v>0</v>
      </c>
      <c r="AQ1099" s="128"/>
      <c r="AR1099" s="184"/>
      <c r="AS1099" s="128"/>
      <c r="AT1099" s="184"/>
      <c r="AU1099" s="128"/>
      <c r="AV1099" s="184"/>
      <c r="AW1099" s="128"/>
      <c r="AX1099" s="184"/>
      <c r="AY1099" s="111">
        <f>AM1099+AO1099+AQ1099+AS1099+AU1099+AW1099</f>
        <v>0</v>
      </c>
      <c r="AZ1099" s="178">
        <f>AN1099+AP1099+AR1099+AT1099+AV1099+AX1099</f>
        <v>0</v>
      </c>
      <c r="BC1099" s="47"/>
      <c r="BD1099" s="47"/>
      <c r="BF1099" s="113">
        <v>0.98237300000000005</v>
      </c>
      <c r="BG1099" s="113"/>
      <c r="BH1099" s="113"/>
      <c r="BI1099" s="113"/>
      <c r="BJ1099" s="113"/>
      <c r="BK1099" s="113"/>
      <c r="BL1099" s="5">
        <f t="shared" si="184"/>
        <v>0.98237300000000005</v>
      </c>
    </row>
    <row r="1100" spans="1:64" s="2" customFormat="1" ht="15.75" customHeight="1" outlineLevel="1" x14ac:dyDescent="0.2">
      <c r="A1100" s="594"/>
      <c r="B1100" s="601"/>
      <c r="C1100" s="7" t="s">
        <v>1553</v>
      </c>
      <c r="D1100" s="8"/>
      <c r="E1100" s="23"/>
      <c r="F1100" s="8"/>
      <c r="G1100" s="8"/>
      <c r="H1100" s="5">
        <v>1.2711664406779664</v>
      </c>
      <c r="I1100" s="5">
        <v>1.2711664406779664</v>
      </c>
      <c r="J1100" s="5">
        <f>R1099</f>
        <v>0.98237300000000005</v>
      </c>
      <c r="K1100" s="8"/>
      <c r="L1100" s="23"/>
      <c r="M1100" s="8"/>
      <c r="N1100" s="8"/>
      <c r="O1100" s="8"/>
      <c r="P1100" s="8"/>
      <c r="Q1100" s="23"/>
      <c r="R1100" s="113"/>
      <c r="S1100" s="113"/>
      <c r="T1100" s="113"/>
      <c r="U1100" s="113"/>
      <c r="V1100" s="113"/>
      <c r="W1100" s="113"/>
      <c r="X1100" s="5">
        <f>SUM(R1100:W1100)</f>
        <v>0</v>
      </c>
      <c r="Y1100" s="302"/>
      <c r="Z1100" s="5"/>
      <c r="AA1100" s="94"/>
      <c r="AB1100" s="311">
        <f t="shared" si="183"/>
        <v>1.2711664406779664</v>
      </c>
      <c r="AC1100" s="296"/>
      <c r="AD1100" s="113"/>
      <c r="AE1100" s="5"/>
      <c r="AF1100" s="5"/>
      <c r="AG1100" s="5"/>
      <c r="AH1100" s="5"/>
      <c r="AI1100" s="5"/>
      <c r="AJ1100" s="5"/>
      <c r="AK1100" s="141"/>
      <c r="AL1100" s="94"/>
      <c r="AM1100" s="128"/>
      <c r="AN1100" s="180"/>
      <c r="AO1100" s="128"/>
      <c r="AP1100" s="184"/>
      <c r="AQ1100" s="128"/>
      <c r="AR1100" s="184"/>
      <c r="AS1100" s="128"/>
      <c r="AT1100" s="184"/>
      <c r="AU1100" s="128"/>
      <c r="AV1100" s="184"/>
      <c r="AW1100" s="128"/>
      <c r="AX1100" s="184"/>
      <c r="AY1100" s="111"/>
      <c r="AZ1100" s="178"/>
      <c r="BC1100" s="47"/>
      <c r="BD1100" s="47"/>
      <c r="BF1100" s="113"/>
      <c r="BG1100" s="113"/>
      <c r="BH1100" s="113"/>
      <c r="BI1100" s="113"/>
      <c r="BJ1100" s="113"/>
      <c r="BK1100" s="113"/>
      <c r="BL1100" s="5">
        <f t="shared" si="184"/>
        <v>0</v>
      </c>
    </row>
    <row r="1101" spans="1:64" s="2" customFormat="1" ht="15.75" customHeight="1" outlineLevel="1" x14ac:dyDescent="0.2">
      <c r="A1101" s="595"/>
      <c r="B1101" s="602"/>
      <c r="C1101" s="7" t="s">
        <v>1554</v>
      </c>
      <c r="D1101" s="8"/>
      <c r="E1101" s="23"/>
      <c r="F1101" s="8"/>
      <c r="G1101" s="8"/>
      <c r="H1101" s="5"/>
      <c r="I1101" s="5"/>
      <c r="J1101" s="5"/>
      <c r="K1101" s="23"/>
      <c r="L1101" s="8"/>
      <c r="M1101" s="8"/>
      <c r="N1101" s="8"/>
      <c r="O1101" s="8"/>
      <c r="P1101" s="8"/>
      <c r="Q1101" s="23"/>
      <c r="R1101" s="113"/>
      <c r="S1101" s="113"/>
      <c r="T1101" s="113"/>
      <c r="U1101" s="113"/>
      <c r="V1101" s="113"/>
      <c r="W1101" s="113"/>
      <c r="X1101" s="5">
        <f>SUM(R1101:W1101)</f>
        <v>0</v>
      </c>
      <c r="Y1101" s="302"/>
      <c r="Z1101" s="5"/>
      <c r="AA1101" s="94"/>
      <c r="AB1101" s="311">
        <f t="shared" si="183"/>
        <v>0</v>
      </c>
      <c r="AC1101" s="296"/>
      <c r="AD1101" s="113"/>
      <c r="AE1101" s="5"/>
      <c r="AF1101" s="5"/>
      <c r="AG1101" s="5"/>
      <c r="AH1101" s="5"/>
      <c r="AI1101" s="5"/>
      <c r="AJ1101" s="5"/>
      <c r="AK1101" s="141"/>
      <c r="AL1101" s="94"/>
      <c r="AM1101" s="128"/>
      <c r="AN1101" s="180"/>
      <c r="AO1101" s="128"/>
      <c r="AP1101" s="184"/>
      <c r="AQ1101" s="128"/>
      <c r="AR1101" s="184"/>
      <c r="AS1101" s="128"/>
      <c r="AT1101" s="184"/>
      <c r="AU1101" s="128"/>
      <c r="AV1101" s="184"/>
      <c r="AW1101" s="128"/>
      <c r="AX1101" s="184"/>
      <c r="AY1101" s="111"/>
      <c r="AZ1101" s="178"/>
      <c r="BC1101" s="47"/>
      <c r="BD1101" s="47"/>
      <c r="BF1101" s="113"/>
      <c r="BG1101" s="113"/>
      <c r="BH1101" s="113"/>
      <c r="BI1101" s="113"/>
      <c r="BJ1101" s="113"/>
      <c r="BK1101" s="113"/>
      <c r="BL1101" s="5">
        <f t="shared" si="184"/>
        <v>0</v>
      </c>
    </row>
    <row r="1102" spans="1:64" s="2" customFormat="1" ht="25.5" customHeight="1" outlineLevel="1" x14ac:dyDescent="0.2">
      <c r="A1102" s="593" t="s">
        <v>2020</v>
      </c>
      <c r="B1102" s="600" t="s">
        <v>2011</v>
      </c>
      <c r="C1102" s="7" t="s">
        <v>1527</v>
      </c>
      <c r="D1102" s="8" t="s">
        <v>145</v>
      </c>
      <c r="E1102" s="23" t="s">
        <v>1241</v>
      </c>
      <c r="F1102" s="8">
        <v>2013</v>
      </c>
      <c r="G1102" s="8">
        <v>2015</v>
      </c>
      <c r="H1102" s="5">
        <v>0.84743762711864412</v>
      </c>
      <c r="I1102" s="5">
        <v>0.84743762711864412</v>
      </c>
      <c r="J1102" s="5">
        <f>R1102</f>
        <v>0.79817799999999994</v>
      </c>
      <c r="K1102" s="8"/>
      <c r="L1102" s="23" t="s">
        <v>1241</v>
      </c>
      <c r="M1102" s="8"/>
      <c r="N1102" s="8"/>
      <c r="O1102" s="8"/>
      <c r="P1102" s="8"/>
      <c r="Q1102" s="23" t="s">
        <v>1241</v>
      </c>
      <c r="R1102" s="113">
        <v>0.79817799999999994</v>
      </c>
      <c r="S1102" s="113"/>
      <c r="T1102" s="113"/>
      <c r="U1102" s="113"/>
      <c r="V1102" s="113"/>
      <c r="W1102" s="113"/>
      <c r="X1102" s="5">
        <f t="shared" si="182"/>
        <v>0.79817799999999994</v>
      </c>
      <c r="Y1102" s="302">
        <f>H1102-H1103-H1104</f>
        <v>0</v>
      </c>
      <c r="Z1102" s="5">
        <f>I1102-I1103-I1104</f>
        <v>0</v>
      </c>
      <c r="AA1102" s="94">
        <f>J1102-J1103-J1104</f>
        <v>0</v>
      </c>
      <c r="AB1102" s="311">
        <f t="shared" si="183"/>
        <v>4.9259627118644178E-2</v>
      </c>
      <c r="AC1102" s="296"/>
      <c r="AD1102" s="113"/>
      <c r="AE1102" s="5"/>
      <c r="AF1102" s="5"/>
      <c r="AG1102" s="5">
        <f>H1102</f>
        <v>0.84743762711864412</v>
      </c>
      <c r="AH1102" s="5"/>
      <c r="AI1102" s="5"/>
      <c r="AJ1102" s="5"/>
      <c r="AK1102" s="141"/>
      <c r="AL1102" s="94">
        <f>SUM(AF1102:AK1102)</f>
        <v>0.84743762711864412</v>
      </c>
      <c r="AM1102" s="128"/>
      <c r="AN1102" s="180"/>
      <c r="AO1102" s="128">
        <v>0</v>
      </c>
      <c r="AP1102" s="184">
        <v>0</v>
      </c>
      <c r="AQ1102" s="128"/>
      <c r="AR1102" s="184"/>
      <c r="AS1102" s="128"/>
      <c r="AT1102" s="184"/>
      <c r="AU1102" s="128"/>
      <c r="AV1102" s="184"/>
      <c r="AW1102" s="128"/>
      <c r="AX1102" s="184"/>
      <c r="AY1102" s="111">
        <f>AM1102+AO1102+AQ1102+AS1102+AU1102+AW1102</f>
        <v>0</v>
      </c>
      <c r="AZ1102" s="178">
        <f>AN1102+AP1102+AR1102+AT1102+AV1102+AX1102</f>
        <v>0</v>
      </c>
      <c r="BC1102" s="47"/>
      <c r="BD1102" s="47"/>
      <c r="BF1102" s="113">
        <v>0.79817799999999994</v>
      </c>
      <c r="BG1102" s="113"/>
      <c r="BH1102" s="113"/>
      <c r="BI1102" s="113"/>
      <c r="BJ1102" s="113"/>
      <c r="BK1102" s="113"/>
      <c r="BL1102" s="5">
        <f t="shared" si="184"/>
        <v>0.79817799999999994</v>
      </c>
    </row>
    <row r="1103" spans="1:64" s="2" customFormat="1" ht="15.75" customHeight="1" outlineLevel="1" x14ac:dyDescent="0.2">
      <c r="A1103" s="594"/>
      <c r="B1103" s="601"/>
      <c r="C1103" s="7" t="s">
        <v>1553</v>
      </c>
      <c r="D1103" s="8"/>
      <c r="E1103" s="23"/>
      <c r="F1103" s="8"/>
      <c r="G1103" s="8"/>
      <c r="H1103" s="5"/>
      <c r="I1103" s="5"/>
      <c r="J1103" s="5"/>
      <c r="K1103" s="8"/>
      <c r="L1103" s="23"/>
      <c r="M1103" s="8"/>
      <c r="N1103" s="8"/>
      <c r="O1103" s="8"/>
      <c r="P1103" s="8"/>
      <c r="Q1103" s="23"/>
      <c r="R1103" s="113"/>
      <c r="S1103" s="113"/>
      <c r="T1103" s="113"/>
      <c r="U1103" s="113"/>
      <c r="V1103" s="113"/>
      <c r="W1103" s="113"/>
      <c r="X1103" s="5">
        <f t="shared" si="182"/>
        <v>0</v>
      </c>
      <c r="Y1103" s="302"/>
      <c r="Z1103" s="5"/>
      <c r="AA1103" s="94"/>
      <c r="AB1103" s="311">
        <f t="shared" si="183"/>
        <v>0</v>
      </c>
      <c r="AC1103" s="296"/>
      <c r="AD1103" s="113"/>
      <c r="AE1103" s="5"/>
      <c r="AF1103" s="5"/>
      <c r="AG1103" s="5"/>
      <c r="AH1103" s="5"/>
      <c r="AI1103" s="5"/>
      <c r="AJ1103" s="5"/>
      <c r="AK1103" s="141"/>
      <c r="AL1103" s="94"/>
      <c r="AM1103" s="128"/>
      <c r="AN1103" s="180"/>
      <c r="AO1103" s="128"/>
      <c r="AP1103" s="184"/>
      <c r="AQ1103" s="128"/>
      <c r="AR1103" s="184"/>
      <c r="AS1103" s="128"/>
      <c r="AT1103" s="184"/>
      <c r="AU1103" s="128"/>
      <c r="AV1103" s="184"/>
      <c r="AW1103" s="128"/>
      <c r="AX1103" s="184"/>
      <c r="AY1103" s="111"/>
      <c r="AZ1103" s="178"/>
      <c r="BC1103" s="47"/>
      <c r="BD1103" s="47"/>
      <c r="BF1103" s="113"/>
      <c r="BG1103" s="113"/>
      <c r="BH1103" s="113"/>
      <c r="BI1103" s="113"/>
      <c r="BJ1103" s="113"/>
      <c r="BK1103" s="113"/>
      <c r="BL1103" s="5">
        <f t="shared" si="184"/>
        <v>0</v>
      </c>
    </row>
    <row r="1104" spans="1:64" s="2" customFormat="1" ht="15.75" customHeight="1" outlineLevel="1" x14ac:dyDescent="0.2">
      <c r="A1104" s="595"/>
      <c r="B1104" s="602"/>
      <c r="C1104" s="7" t="s">
        <v>1554</v>
      </c>
      <c r="D1104" s="8"/>
      <c r="E1104" s="23"/>
      <c r="F1104" s="8"/>
      <c r="G1104" s="8"/>
      <c r="H1104" s="5">
        <v>0.84743762711864412</v>
      </c>
      <c r="I1104" s="5">
        <v>0.84743762711864412</v>
      </c>
      <c r="J1104" s="5">
        <v>0.79817799999999994</v>
      </c>
      <c r="K1104" s="23"/>
      <c r="L1104" s="8"/>
      <c r="M1104" s="8"/>
      <c r="N1104" s="8"/>
      <c r="O1104" s="8"/>
      <c r="P1104" s="8"/>
      <c r="Q1104" s="23"/>
      <c r="R1104" s="113"/>
      <c r="S1104" s="113"/>
      <c r="T1104" s="113"/>
      <c r="U1104" s="113"/>
      <c r="V1104" s="113"/>
      <c r="W1104" s="113"/>
      <c r="X1104" s="5">
        <f t="shared" si="182"/>
        <v>0</v>
      </c>
      <c r="Y1104" s="302"/>
      <c r="Z1104" s="5"/>
      <c r="AA1104" s="94"/>
      <c r="AB1104" s="311">
        <f t="shared" si="183"/>
        <v>0.84743762711864412</v>
      </c>
      <c r="AC1104" s="296"/>
      <c r="AD1104" s="113"/>
      <c r="AE1104" s="5"/>
      <c r="AF1104" s="5"/>
      <c r="AG1104" s="5"/>
      <c r="AH1104" s="5"/>
      <c r="AI1104" s="5"/>
      <c r="AJ1104" s="5"/>
      <c r="AK1104" s="141"/>
      <c r="AL1104" s="94"/>
      <c r="AM1104" s="128"/>
      <c r="AN1104" s="180"/>
      <c r="AO1104" s="128"/>
      <c r="AP1104" s="184"/>
      <c r="AQ1104" s="128"/>
      <c r="AR1104" s="184"/>
      <c r="AS1104" s="128"/>
      <c r="AT1104" s="184"/>
      <c r="AU1104" s="128"/>
      <c r="AV1104" s="184"/>
      <c r="AW1104" s="128"/>
      <c r="AX1104" s="184"/>
      <c r="AY1104" s="111"/>
      <c r="AZ1104" s="178"/>
      <c r="BC1104" s="47"/>
      <c r="BD1104" s="47"/>
      <c r="BF1104" s="113"/>
      <c r="BG1104" s="113"/>
      <c r="BH1104" s="113"/>
      <c r="BI1104" s="113"/>
      <c r="BJ1104" s="113"/>
      <c r="BK1104" s="113"/>
      <c r="BL1104" s="5">
        <f t="shared" si="184"/>
        <v>0</v>
      </c>
    </row>
    <row r="1105" spans="1:64" s="2" customFormat="1" ht="51" customHeight="1" outlineLevel="1" x14ac:dyDescent="0.2">
      <c r="A1105" s="593" t="s">
        <v>2022</v>
      </c>
      <c r="B1105" s="600" t="s">
        <v>2013</v>
      </c>
      <c r="C1105" s="7" t="s">
        <v>2024</v>
      </c>
      <c r="D1105" s="8" t="s">
        <v>145</v>
      </c>
      <c r="E1105" s="23" t="s">
        <v>335</v>
      </c>
      <c r="F1105" s="8">
        <v>2013</v>
      </c>
      <c r="G1105" s="8">
        <v>2015</v>
      </c>
      <c r="H1105" s="5">
        <v>0.33571378999999996</v>
      </c>
      <c r="I1105" s="5">
        <v>0.21184440677966104</v>
      </c>
      <c r="J1105" s="5">
        <f>R1105</f>
        <v>0.208754</v>
      </c>
      <c r="K1105" s="8"/>
      <c r="L1105" s="23" t="s">
        <v>335</v>
      </c>
      <c r="M1105" s="8"/>
      <c r="N1105" s="8"/>
      <c r="O1105" s="8"/>
      <c r="P1105" s="8"/>
      <c r="Q1105" s="23" t="s">
        <v>335</v>
      </c>
      <c r="R1105" s="113">
        <v>0.208754</v>
      </c>
      <c r="S1105" s="113"/>
      <c r="T1105" s="113"/>
      <c r="U1105" s="113"/>
      <c r="V1105" s="113"/>
      <c r="W1105" s="113"/>
      <c r="X1105" s="5">
        <f t="shared" si="182"/>
        <v>0.208754</v>
      </c>
      <c r="Y1105" s="302">
        <f>H1105-H1106-H1107</f>
        <v>0</v>
      </c>
      <c r="Z1105" s="5">
        <f>I1105-I1106-I1107</f>
        <v>0</v>
      </c>
      <c r="AA1105" s="94">
        <f>J1105-J1106-J1107</f>
        <v>0</v>
      </c>
      <c r="AB1105" s="311">
        <f t="shared" si="183"/>
        <v>3.0904067796610479E-3</v>
      </c>
      <c r="AC1105" s="296"/>
      <c r="AD1105" s="113"/>
      <c r="AE1105" s="5"/>
      <c r="AF1105" s="5"/>
      <c r="AG1105" s="5">
        <f>H1105</f>
        <v>0.33571378999999996</v>
      </c>
      <c r="AH1105" s="5"/>
      <c r="AI1105" s="5"/>
      <c r="AJ1105" s="5"/>
      <c r="AK1105" s="141"/>
      <c r="AL1105" s="94">
        <f>SUM(AF1105:AK1105)</f>
        <v>0.33571378999999996</v>
      </c>
      <c r="AM1105" s="128"/>
      <c r="AN1105" s="180"/>
      <c r="AO1105" s="128">
        <v>0.1</v>
      </c>
      <c r="AP1105" s="184">
        <v>0</v>
      </c>
      <c r="AQ1105" s="128"/>
      <c r="AR1105" s="184"/>
      <c r="AS1105" s="128"/>
      <c r="AT1105" s="184"/>
      <c r="AU1105" s="128"/>
      <c r="AV1105" s="184"/>
      <c r="AW1105" s="128"/>
      <c r="AX1105" s="184"/>
      <c r="AY1105" s="111">
        <f>AM1105+AO1105+AQ1105+AS1105+AU1105+AW1105</f>
        <v>0.1</v>
      </c>
      <c r="AZ1105" s="178">
        <f>AN1105+AP1105+AR1105+AT1105+AV1105+AX1105</f>
        <v>0</v>
      </c>
      <c r="BC1105" s="47"/>
      <c r="BD1105" s="47"/>
      <c r="BF1105" s="113">
        <v>0.208754</v>
      </c>
      <c r="BG1105" s="113"/>
      <c r="BH1105" s="113"/>
      <c r="BI1105" s="113"/>
      <c r="BJ1105" s="113"/>
      <c r="BK1105" s="113"/>
      <c r="BL1105" s="5">
        <f t="shared" si="184"/>
        <v>0.208754</v>
      </c>
    </row>
    <row r="1106" spans="1:64" s="2" customFormat="1" ht="15.75" customHeight="1" outlineLevel="1" x14ac:dyDescent="0.2">
      <c r="A1106" s="594"/>
      <c r="B1106" s="601"/>
      <c r="C1106" s="7" t="s">
        <v>1553</v>
      </c>
      <c r="D1106" s="8"/>
      <c r="E1106" s="23"/>
      <c r="F1106" s="8"/>
      <c r="G1106" s="8"/>
      <c r="H1106" s="5"/>
      <c r="I1106" s="5"/>
      <c r="J1106" s="5"/>
      <c r="K1106" s="8"/>
      <c r="L1106" s="23"/>
      <c r="M1106" s="8"/>
      <c r="N1106" s="8"/>
      <c r="O1106" s="8"/>
      <c r="P1106" s="8"/>
      <c r="Q1106" s="23"/>
      <c r="R1106" s="113"/>
      <c r="S1106" s="113"/>
      <c r="T1106" s="113"/>
      <c r="U1106" s="113"/>
      <c r="V1106" s="113"/>
      <c r="W1106" s="113"/>
      <c r="X1106" s="5">
        <f>SUM(R1106:W1106)</f>
        <v>0</v>
      </c>
      <c r="Y1106" s="302"/>
      <c r="Z1106" s="5"/>
      <c r="AA1106" s="94"/>
      <c r="AB1106" s="311">
        <f t="shared" si="183"/>
        <v>0</v>
      </c>
      <c r="AC1106" s="296"/>
      <c r="AD1106" s="113"/>
      <c r="AE1106" s="5"/>
      <c r="AF1106" s="5"/>
      <c r="AG1106" s="5"/>
      <c r="AH1106" s="5"/>
      <c r="AI1106" s="5"/>
      <c r="AJ1106" s="5"/>
      <c r="AK1106" s="141"/>
      <c r="AL1106" s="94"/>
      <c r="AM1106" s="128"/>
      <c r="AN1106" s="180"/>
      <c r="AO1106" s="128"/>
      <c r="AP1106" s="184"/>
      <c r="AQ1106" s="128"/>
      <c r="AR1106" s="184"/>
      <c r="AS1106" s="128"/>
      <c r="AT1106" s="184"/>
      <c r="AU1106" s="128"/>
      <c r="AV1106" s="184"/>
      <c r="AW1106" s="128"/>
      <c r="AX1106" s="184"/>
      <c r="AY1106" s="111"/>
      <c r="AZ1106" s="178"/>
      <c r="BC1106" s="47"/>
      <c r="BD1106" s="47"/>
      <c r="BF1106" s="113"/>
      <c r="BG1106" s="113"/>
      <c r="BH1106" s="113"/>
      <c r="BI1106" s="113"/>
      <c r="BJ1106" s="113"/>
      <c r="BK1106" s="113"/>
      <c r="BL1106" s="5">
        <f t="shared" si="184"/>
        <v>0</v>
      </c>
    </row>
    <row r="1107" spans="1:64" s="2" customFormat="1" ht="15.75" customHeight="1" outlineLevel="1" x14ac:dyDescent="0.2">
      <c r="A1107" s="595"/>
      <c r="B1107" s="602"/>
      <c r="C1107" s="7" t="s">
        <v>1554</v>
      </c>
      <c r="D1107" s="8"/>
      <c r="E1107" s="23"/>
      <c r="F1107" s="8"/>
      <c r="G1107" s="8"/>
      <c r="H1107" s="5">
        <f>H1105</f>
        <v>0.33571378999999996</v>
      </c>
      <c r="I1107" s="5">
        <f>I1105</f>
        <v>0.21184440677966104</v>
      </c>
      <c r="J1107" s="5">
        <f>J1105</f>
        <v>0.208754</v>
      </c>
      <c r="K1107" s="23"/>
      <c r="L1107" s="8"/>
      <c r="M1107" s="8"/>
      <c r="N1107" s="8"/>
      <c r="O1107" s="8"/>
      <c r="P1107" s="8"/>
      <c r="Q1107" s="23"/>
      <c r="R1107" s="113"/>
      <c r="S1107" s="113"/>
      <c r="T1107" s="113"/>
      <c r="U1107" s="113"/>
      <c r="V1107" s="113"/>
      <c r="W1107" s="113"/>
      <c r="X1107" s="5">
        <f>SUM(R1107:W1107)</f>
        <v>0</v>
      </c>
      <c r="Y1107" s="302"/>
      <c r="Z1107" s="5"/>
      <c r="AA1107" s="94"/>
      <c r="AB1107" s="311">
        <f t="shared" si="183"/>
        <v>0.21184440677966104</v>
      </c>
      <c r="AC1107" s="296"/>
      <c r="AD1107" s="113"/>
      <c r="AE1107" s="5"/>
      <c r="AF1107" s="5"/>
      <c r="AG1107" s="5"/>
      <c r="AH1107" s="5"/>
      <c r="AI1107" s="5"/>
      <c r="AJ1107" s="5"/>
      <c r="AK1107" s="141"/>
      <c r="AL1107" s="94"/>
      <c r="AM1107" s="128"/>
      <c r="AN1107" s="180"/>
      <c r="AO1107" s="128"/>
      <c r="AP1107" s="184"/>
      <c r="AQ1107" s="128"/>
      <c r="AR1107" s="184"/>
      <c r="AS1107" s="128"/>
      <c r="AT1107" s="184"/>
      <c r="AU1107" s="128"/>
      <c r="AV1107" s="184"/>
      <c r="AW1107" s="128"/>
      <c r="AX1107" s="184"/>
      <c r="AY1107" s="111"/>
      <c r="AZ1107" s="178"/>
      <c r="BC1107" s="47"/>
      <c r="BD1107" s="47"/>
      <c r="BF1107" s="113"/>
      <c r="BG1107" s="113"/>
      <c r="BH1107" s="113"/>
      <c r="BI1107" s="113"/>
      <c r="BJ1107" s="113"/>
      <c r="BK1107" s="113"/>
      <c r="BL1107" s="5">
        <f t="shared" si="184"/>
        <v>0</v>
      </c>
    </row>
    <row r="1108" spans="1:64" s="2" customFormat="1" ht="38.25" outlineLevel="1" x14ac:dyDescent="0.2">
      <c r="A1108" s="593" t="s">
        <v>2025</v>
      </c>
      <c r="B1108" s="600" t="s">
        <v>2015</v>
      </c>
      <c r="C1108" s="7" t="s">
        <v>2259</v>
      </c>
      <c r="D1108" s="8" t="s">
        <v>145</v>
      </c>
      <c r="E1108" s="23" t="s">
        <v>1241</v>
      </c>
      <c r="F1108" s="8">
        <v>2013</v>
      </c>
      <c r="G1108" s="8">
        <v>2014</v>
      </c>
      <c r="H1108" s="5">
        <v>0.15548000000000001</v>
      </c>
      <c r="I1108" s="5">
        <v>0.06</v>
      </c>
      <c r="J1108" s="5">
        <f>R1108</f>
        <v>0.06</v>
      </c>
      <c r="K1108" s="23" t="s">
        <v>1241</v>
      </c>
      <c r="L1108" s="8"/>
      <c r="M1108" s="8"/>
      <c r="N1108" s="8"/>
      <c r="O1108" s="8"/>
      <c r="P1108" s="8"/>
      <c r="Q1108" s="23" t="s">
        <v>1241</v>
      </c>
      <c r="R1108" s="113">
        <v>0.06</v>
      </c>
      <c r="S1108" s="113"/>
      <c r="T1108" s="113"/>
      <c r="U1108" s="113"/>
      <c r="V1108" s="113"/>
      <c r="W1108" s="113"/>
      <c r="X1108" s="5">
        <f t="shared" si="182"/>
        <v>0.06</v>
      </c>
      <c r="Y1108" s="302">
        <f>H1108-H1109-H1110</f>
        <v>0</v>
      </c>
      <c r="Z1108" s="5">
        <f>I1108-I1109-I1110</f>
        <v>0</v>
      </c>
      <c r="AA1108" s="94">
        <f>J1108-J1109-J1110</f>
        <v>0</v>
      </c>
      <c r="AB1108" s="311">
        <f t="shared" si="183"/>
        <v>0</v>
      </c>
      <c r="AC1108" s="296"/>
      <c r="AD1108" s="113"/>
      <c r="AE1108" s="5"/>
      <c r="AF1108" s="5">
        <f>H1108</f>
        <v>0.15548000000000001</v>
      </c>
      <c r="AG1108" s="5"/>
      <c r="AH1108" s="5"/>
      <c r="AI1108" s="5"/>
      <c r="AJ1108" s="5"/>
      <c r="AK1108" s="141"/>
      <c r="AL1108" s="94">
        <f>SUM(AF1108:AK1108)</f>
        <v>0.15548000000000001</v>
      </c>
      <c r="AM1108" s="128">
        <v>0</v>
      </c>
      <c r="AN1108" s="180">
        <v>0</v>
      </c>
      <c r="AO1108" s="128"/>
      <c r="AP1108" s="184"/>
      <c r="AQ1108" s="128"/>
      <c r="AR1108" s="184"/>
      <c r="AS1108" s="128"/>
      <c r="AT1108" s="184"/>
      <c r="AU1108" s="128"/>
      <c r="AV1108" s="184"/>
      <c r="AW1108" s="128"/>
      <c r="AX1108" s="184"/>
      <c r="AY1108" s="111">
        <f>AM1108+AO1108+AQ1108+AS1108+AU1108+AW1108</f>
        <v>0</v>
      </c>
      <c r="AZ1108" s="178">
        <f>AN1108+AP1108+AR1108+AT1108+AV1108+AX1108</f>
        <v>0</v>
      </c>
      <c r="BC1108" s="47"/>
      <c r="BD1108" s="47"/>
      <c r="BF1108" s="113">
        <v>0.06</v>
      </c>
      <c r="BG1108" s="113"/>
      <c r="BH1108" s="113"/>
      <c r="BI1108" s="113"/>
      <c r="BJ1108" s="113"/>
      <c r="BK1108" s="113"/>
      <c r="BL1108" s="5">
        <f t="shared" si="184"/>
        <v>0.06</v>
      </c>
    </row>
    <row r="1109" spans="1:64" s="2" customFormat="1" ht="15.75" customHeight="1" outlineLevel="1" x14ac:dyDescent="0.2">
      <c r="A1109" s="594"/>
      <c r="B1109" s="601"/>
      <c r="C1109" s="7" t="s">
        <v>1553</v>
      </c>
      <c r="D1109" s="8"/>
      <c r="E1109" s="23"/>
      <c r="F1109" s="8"/>
      <c r="G1109" s="8"/>
      <c r="H1109" s="5"/>
      <c r="I1109" s="5"/>
      <c r="J1109" s="5"/>
      <c r="K1109" s="8"/>
      <c r="L1109" s="23"/>
      <c r="M1109" s="8"/>
      <c r="N1109" s="8"/>
      <c r="O1109" s="8"/>
      <c r="P1109" s="8"/>
      <c r="Q1109" s="23"/>
      <c r="R1109" s="113"/>
      <c r="S1109" s="113"/>
      <c r="T1109" s="113"/>
      <c r="U1109" s="113"/>
      <c r="V1109" s="113"/>
      <c r="W1109" s="113"/>
      <c r="X1109" s="5">
        <f t="shared" si="182"/>
        <v>0</v>
      </c>
      <c r="Y1109" s="302"/>
      <c r="Z1109" s="5"/>
      <c r="AA1109" s="94"/>
      <c r="AB1109" s="311">
        <f t="shared" ref="AB1109:AB1172" si="185">I1109-X1109</f>
        <v>0</v>
      </c>
      <c r="AC1109" s="296"/>
      <c r="AD1109" s="113"/>
      <c r="AE1109" s="5"/>
      <c r="AF1109" s="5"/>
      <c r="AG1109" s="5"/>
      <c r="AH1109" s="5"/>
      <c r="AI1109" s="5"/>
      <c r="AJ1109" s="5"/>
      <c r="AK1109" s="141"/>
      <c r="AL1109" s="94"/>
      <c r="AM1109" s="128"/>
      <c r="AN1109" s="180"/>
      <c r="AO1109" s="128"/>
      <c r="AP1109" s="184"/>
      <c r="AQ1109" s="128"/>
      <c r="AR1109" s="184"/>
      <c r="AS1109" s="128"/>
      <c r="AT1109" s="184"/>
      <c r="AU1109" s="128"/>
      <c r="AV1109" s="184"/>
      <c r="AW1109" s="128"/>
      <c r="AX1109" s="184"/>
      <c r="AY1109" s="111"/>
      <c r="AZ1109" s="178"/>
      <c r="BC1109" s="47"/>
      <c r="BD1109" s="47"/>
      <c r="BF1109" s="113"/>
      <c r="BG1109" s="113"/>
      <c r="BH1109" s="113"/>
      <c r="BI1109" s="113"/>
      <c r="BJ1109" s="113"/>
      <c r="BK1109" s="113"/>
      <c r="BL1109" s="5">
        <f t="shared" si="184"/>
        <v>0</v>
      </c>
    </row>
    <row r="1110" spans="1:64" s="2" customFormat="1" ht="15.75" customHeight="1" outlineLevel="1" x14ac:dyDescent="0.2">
      <c r="A1110" s="595"/>
      <c r="B1110" s="602"/>
      <c r="C1110" s="7" t="s">
        <v>1554</v>
      </c>
      <c r="D1110" s="8"/>
      <c r="E1110" s="23"/>
      <c r="F1110" s="8"/>
      <c r="G1110" s="8"/>
      <c r="H1110" s="5">
        <v>0.15548000000000001</v>
      </c>
      <c r="I1110" s="5">
        <f>I1108</f>
        <v>0.06</v>
      </c>
      <c r="J1110" s="5">
        <v>0.06</v>
      </c>
      <c r="K1110" s="23"/>
      <c r="L1110" s="8"/>
      <c r="M1110" s="8"/>
      <c r="N1110" s="8"/>
      <c r="O1110" s="8"/>
      <c r="P1110" s="8"/>
      <c r="Q1110" s="23"/>
      <c r="R1110" s="113"/>
      <c r="S1110" s="113"/>
      <c r="T1110" s="113"/>
      <c r="U1110" s="113"/>
      <c r="V1110" s="113"/>
      <c r="W1110" s="113"/>
      <c r="X1110" s="5">
        <f t="shared" si="182"/>
        <v>0</v>
      </c>
      <c r="Y1110" s="302"/>
      <c r="Z1110" s="5"/>
      <c r="AA1110" s="94"/>
      <c r="AB1110" s="311">
        <f t="shared" si="185"/>
        <v>0.06</v>
      </c>
      <c r="AC1110" s="296"/>
      <c r="AD1110" s="113"/>
      <c r="AE1110" s="5"/>
      <c r="AF1110" s="5"/>
      <c r="AG1110" s="5"/>
      <c r="AH1110" s="5"/>
      <c r="AI1110" s="5"/>
      <c r="AJ1110" s="5"/>
      <c r="AK1110" s="141"/>
      <c r="AL1110" s="94"/>
      <c r="AM1110" s="128"/>
      <c r="AN1110" s="180"/>
      <c r="AO1110" s="128"/>
      <c r="AP1110" s="184"/>
      <c r="AQ1110" s="128"/>
      <c r="AR1110" s="184"/>
      <c r="AS1110" s="128"/>
      <c r="AT1110" s="184"/>
      <c r="AU1110" s="128"/>
      <c r="AV1110" s="184"/>
      <c r="AW1110" s="128"/>
      <c r="AX1110" s="184"/>
      <c r="AY1110" s="111"/>
      <c r="AZ1110" s="178"/>
      <c r="BC1110" s="47"/>
      <c r="BD1110" s="47"/>
      <c r="BF1110" s="113"/>
      <c r="BG1110" s="113"/>
      <c r="BH1110" s="113"/>
      <c r="BI1110" s="113"/>
      <c r="BJ1110" s="113"/>
      <c r="BK1110" s="113"/>
      <c r="BL1110" s="5">
        <f t="shared" si="184"/>
        <v>0</v>
      </c>
    </row>
    <row r="1111" spans="1:64" s="2" customFormat="1" ht="27" customHeight="1" outlineLevel="1" x14ac:dyDescent="0.2">
      <c r="A1111" s="593" t="s">
        <v>2027</v>
      </c>
      <c r="B1111" s="600" t="s">
        <v>2017</v>
      </c>
      <c r="C1111" s="7" t="s">
        <v>2029</v>
      </c>
      <c r="D1111" s="8" t="s">
        <v>145</v>
      </c>
      <c r="E1111" s="23" t="s">
        <v>1387</v>
      </c>
      <c r="F1111" s="8">
        <v>2013</v>
      </c>
      <c r="G1111" s="8">
        <v>2014</v>
      </c>
      <c r="H1111" s="5">
        <v>0.15548000000000001</v>
      </c>
      <c r="I1111" s="5">
        <v>0.03</v>
      </c>
      <c r="J1111" s="5">
        <f>R1111</f>
        <v>0.03</v>
      </c>
      <c r="K1111" s="23" t="s">
        <v>1387</v>
      </c>
      <c r="L1111" s="8"/>
      <c r="M1111" s="8"/>
      <c r="N1111" s="8"/>
      <c r="O1111" s="8"/>
      <c r="P1111" s="8"/>
      <c r="Q1111" s="23" t="s">
        <v>1387</v>
      </c>
      <c r="R1111" s="113">
        <v>0.03</v>
      </c>
      <c r="S1111" s="113"/>
      <c r="T1111" s="113"/>
      <c r="U1111" s="113"/>
      <c r="V1111" s="113"/>
      <c r="W1111" s="113"/>
      <c r="X1111" s="5">
        <f t="shared" si="182"/>
        <v>0.03</v>
      </c>
      <c r="Y1111" s="302">
        <f>H1111-H1112-H1113</f>
        <v>0</v>
      </c>
      <c r="Z1111" s="5">
        <f>I1111-I1112-I1113</f>
        <v>0</v>
      </c>
      <c r="AA1111" s="94">
        <f>J1111-J1112-J1113</f>
        <v>0</v>
      </c>
      <c r="AB1111" s="311">
        <f t="shared" si="185"/>
        <v>0</v>
      </c>
      <c r="AC1111" s="296"/>
      <c r="AD1111" s="113"/>
      <c r="AE1111" s="5"/>
      <c r="AF1111" s="5">
        <f>H1111</f>
        <v>0.15548000000000001</v>
      </c>
      <c r="AG1111" s="5"/>
      <c r="AH1111" s="5"/>
      <c r="AI1111" s="5"/>
      <c r="AJ1111" s="5"/>
      <c r="AK1111" s="141"/>
      <c r="AL1111" s="94">
        <f>SUM(AF1111:AK1111)</f>
        <v>0.15548000000000001</v>
      </c>
      <c r="AM1111" s="128">
        <v>0.5</v>
      </c>
      <c r="AN1111" s="180">
        <v>0</v>
      </c>
      <c r="AO1111" s="128"/>
      <c r="AP1111" s="184"/>
      <c r="AQ1111" s="128"/>
      <c r="AR1111" s="184"/>
      <c r="AS1111" s="128"/>
      <c r="AT1111" s="184"/>
      <c r="AU1111" s="128"/>
      <c r="AV1111" s="184"/>
      <c r="AW1111" s="128"/>
      <c r="AX1111" s="184"/>
      <c r="AY1111" s="111">
        <f>AM1111+AO1111+AQ1111+AS1111+AU1111+AW1111</f>
        <v>0.5</v>
      </c>
      <c r="AZ1111" s="178">
        <f>AN1111+AP1111+AR1111+AT1111+AV1111+AX1111</f>
        <v>0</v>
      </c>
      <c r="BC1111" s="47"/>
      <c r="BD1111" s="47"/>
      <c r="BF1111" s="113">
        <v>0.03</v>
      </c>
      <c r="BG1111" s="113"/>
      <c r="BH1111" s="113"/>
      <c r="BI1111" s="113"/>
      <c r="BJ1111" s="113"/>
      <c r="BK1111" s="113"/>
      <c r="BL1111" s="5">
        <f t="shared" si="184"/>
        <v>0.03</v>
      </c>
    </row>
    <row r="1112" spans="1:64" s="2" customFormat="1" ht="15.75" customHeight="1" outlineLevel="1" x14ac:dyDescent="0.2">
      <c r="A1112" s="594"/>
      <c r="B1112" s="601"/>
      <c r="C1112" s="7" t="s">
        <v>1553</v>
      </c>
      <c r="D1112" s="8"/>
      <c r="E1112" s="23"/>
      <c r="F1112" s="8"/>
      <c r="G1112" s="8"/>
      <c r="H1112" s="5"/>
      <c r="I1112" s="5"/>
      <c r="J1112" s="5"/>
      <c r="K1112" s="8"/>
      <c r="L1112" s="23"/>
      <c r="M1112" s="8"/>
      <c r="N1112" s="8"/>
      <c r="O1112" s="8"/>
      <c r="P1112" s="8"/>
      <c r="Q1112" s="23"/>
      <c r="R1112" s="113"/>
      <c r="S1112" s="113"/>
      <c r="T1112" s="113"/>
      <c r="U1112" s="113"/>
      <c r="V1112" s="113"/>
      <c r="W1112" s="113"/>
      <c r="X1112" s="5">
        <f>SUM(R1112:W1112)</f>
        <v>0</v>
      </c>
      <c r="Y1112" s="302"/>
      <c r="Z1112" s="5"/>
      <c r="AA1112" s="94"/>
      <c r="AB1112" s="311">
        <f t="shared" si="185"/>
        <v>0</v>
      </c>
      <c r="AC1112" s="296"/>
      <c r="AD1112" s="113"/>
      <c r="AE1112" s="5"/>
      <c r="AF1112" s="5"/>
      <c r="AG1112" s="5"/>
      <c r="AH1112" s="5"/>
      <c r="AI1112" s="5"/>
      <c r="AJ1112" s="5"/>
      <c r="AK1112" s="141"/>
      <c r="AL1112" s="94"/>
      <c r="AM1112" s="128"/>
      <c r="AN1112" s="180"/>
      <c r="AO1112" s="128"/>
      <c r="AP1112" s="184"/>
      <c r="AQ1112" s="128"/>
      <c r="AR1112" s="184"/>
      <c r="AS1112" s="128"/>
      <c r="AT1112" s="184"/>
      <c r="AU1112" s="128"/>
      <c r="AV1112" s="184"/>
      <c r="AW1112" s="128"/>
      <c r="AX1112" s="184"/>
      <c r="AY1112" s="111"/>
      <c r="AZ1112" s="178"/>
      <c r="BC1112" s="47"/>
      <c r="BD1112" s="47"/>
      <c r="BF1112" s="113"/>
      <c r="BG1112" s="113"/>
      <c r="BH1112" s="113"/>
      <c r="BI1112" s="113"/>
      <c r="BJ1112" s="113"/>
      <c r="BK1112" s="113"/>
      <c r="BL1112" s="5">
        <f t="shared" si="184"/>
        <v>0</v>
      </c>
    </row>
    <row r="1113" spans="1:64" s="2" customFormat="1" ht="15.75" customHeight="1" outlineLevel="1" x14ac:dyDescent="0.2">
      <c r="A1113" s="595"/>
      <c r="B1113" s="602"/>
      <c r="C1113" s="7" t="s">
        <v>1554</v>
      </c>
      <c r="D1113" s="8"/>
      <c r="E1113" s="23"/>
      <c r="F1113" s="8"/>
      <c r="G1113" s="8"/>
      <c r="H1113" s="5">
        <v>0.15548000000000001</v>
      </c>
      <c r="I1113" s="5">
        <f>I1111</f>
        <v>0.03</v>
      </c>
      <c r="J1113" s="5">
        <v>0.03</v>
      </c>
      <c r="K1113" s="23"/>
      <c r="L1113" s="8"/>
      <c r="M1113" s="8"/>
      <c r="N1113" s="8"/>
      <c r="O1113" s="8"/>
      <c r="P1113" s="8"/>
      <c r="Q1113" s="23"/>
      <c r="R1113" s="113"/>
      <c r="S1113" s="113"/>
      <c r="T1113" s="113"/>
      <c r="U1113" s="113"/>
      <c r="V1113" s="113"/>
      <c r="W1113" s="113"/>
      <c r="X1113" s="5">
        <f>SUM(R1113:W1113)</f>
        <v>0</v>
      </c>
      <c r="Y1113" s="302"/>
      <c r="Z1113" s="5"/>
      <c r="AA1113" s="94"/>
      <c r="AB1113" s="311">
        <f t="shared" si="185"/>
        <v>0.03</v>
      </c>
      <c r="AC1113" s="296"/>
      <c r="AD1113" s="113"/>
      <c r="AE1113" s="5"/>
      <c r="AF1113" s="5"/>
      <c r="AG1113" s="5"/>
      <c r="AH1113" s="5"/>
      <c r="AI1113" s="5"/>
      <c r="AJ1113" s="5"/>
      <c r="AK1113" s="141"/>
      <c r="AL1113" s="94"/>
      <c r="AM1113" s="128"/>
      <c r="AN1113" s="180"/>
      <c r="AO1113" s="128"/>
      <c r="AP1113" s="184"/>
      <c r="AQ1113" s="128"/>
      <c r="AR1113" s="184"/>
      <c r="AS1113" s="128"/>
      <c r="AT1113" s="184"/>
      <c r="AU1113" s="128"/>
      <c r="AV1113" s="184"/>
      <c r="AW1113" s="128"/>
      <c r="AX1113" s="184"/>
      <c r="AY1113" s="111"/>
      <c r="AZ1113" s="178"/>
      <c r="BC1113" s="47"/>
      <c r="BD1113" s="47"/>
      <c r="BF1113" s="113"/>
      <c r="BG1113" s="113"/>
      <c r="BH1113" s="113"/>
      <c r="BI1113" s="113"/>
      <c r="BJ1113" s="113"/>
      <c r="BK1113" s="113"/>
      <c r="BL1113" s="5">
        <f t="shared" si="184"/>
        <v>0</v>
      </c>
    </row>
    <row r="1114" spans="1:64" s="2" customFormat="1" ht="38.25" customHeight="1" outlineLevel="1" x14ac:dyDescent="0.2">
      <c r="A1114" s="593" t="s">
        <v>2030</v>
      </c>
      <c r="B1114" s="600" t="s">
        <v>2019</v>
      </c>
      <c r="C1114" s="7" t="s">
        <v>2032</v>
      </c>
      <c r="D1114" s="8" t="s">
        <v>145</v>
      </c>
      <c r="E1114" s="23" t="s">
        <v>343</v>
      </c>
      <c r="F1114" s="8">
        <v>2013</v>
      </c>
      <c r="G1114" s="8">
        <v>2015</v>
      </c>
      <c r="H1114" s="5">
        <v>1.2711664406779664</v>
      </c>
      <c r="I1114" s="5">
        <v>1.2711664406779664</v>
      </c>
      <c r="J1114" s="5">
        <f>R1114</f>
        <v>1.043771</v>
      </c>
      <c r="K1114" s="8"/>
      <c r="L1114" s="23" t="s">
        <v>343</v>
      </c>
      <c r="M1114" s="8"/>
      <c r="N1114" s="8"/>
      <c r="O1114" s="8"/>
      <c r="P1114" s="8"/>
      <c r="Q1114" s="23" t="s">
        <v>343</v>
      </c>
      <c r="R1114" s="113">
        <v>1.043771</v>
      </c>
      <c r="S1114" s="113"/>
      <c r="T1114" s="113"/>
      <c r="U1114" s="113"/>
      <c r="V1114" s="113"/>
      <c r="W1114" s="113"/>
      <c r="X1114" s="5">
        <f t="shared" si="182"/>
        <v>1.043771</v>
      </c>
      <c r="Y1114" s="302">
        <f>H1114-H1115-H1116</f>
        <v>0</v>
      </c>
      <c r="Z1114" s="5">
        <f>I1114-I1115-I1116</f>
        <v>0</v>
      </c>
      <c r="AA1114" s="94">
        <f>J1114-J1115-J1116</f>
        <v>0</v>
      </c>
      <c r="AB1114" s="311">
        <f t="shared" si="185"/>
        <v>0.22739544067796635</v>
      </c>
      <c r="AC1114" s="296"/>
      <c r="AD1114" s="113"/>
      <c r="AE1114" s="5"/>
      <c r="AF1114" s="5"/>
      <c r="AG1114" s="5">
        <f>H1114</f>
        <v>1.2711664406779664</v>
      </c>
      <c r="AH1114" s="5"/>
      <c r="AI1114" s="5"/>
      <c r="AJ1114" s="5"/>
      <c r="AK1114" s="141"/>
      <c r="AL1114" s="94">
        <f>SUM(AF1114:AK1114)</f>
        <v>1.2711664406779664</v>
      </c>
      <c r="AM1114" s="128"/>
      <c r="AN1114" s="180"/>
      <c r="AO1114" s="128">
        <v>0.4</v>
      </c>
      <c r="AP1114" s="184">
        <v>0</v>
      </c>
      <c r="AQ1114" s="128"/>
      <c r="AR1114" s="184"/>
      <c r="AS1114" s="128"/>
      <c r="AT1114" s="184"/>
      <c r="AU1114" s="128"/>
      <c r="AV1114" s="184"/>
      <c r="AW1114" s="128"/>
      <c r="AX1114" s="184"/>
      <c r="AY1114" s="111">
        <f>AM1114+AO1114+AQ1114+AS1114+AU1114+AW1114</f>
        <v>0.4</v>
      </c>
      <c r="AZ1114" s="178">
        <f>AN1114+AP1114+AR1114+AT1114+AV1114+AX1114</f>
        <v>0</v>
      </c>
      <c r="BC1114" s="47"/>
      <c r="BD1114" s="47"/>
      <c r="BF1114" s="113">
        <v>1.043771</v>
      </c>
      <c r="BG1114" s="113"/>
      <c r="BH1114" s="113"/>
      <c r="BI1114" s="113"/>
      <c r="BJ1114" s="113"/>
      <c r="BK1114" s="113"/>
      <c r="BL1114" s="5">
        <f t="shared" si="184"/>
        <v>1.043771</v>
      </c>
    </row>
    <row r="1115" spans="1:64" s="2" customFormat="1" ht="15.75" customHeight="1" outlineLevel="1" x14ac:dyDescent="0.2">
      <c r="A1115" s="594"/>
      <c r="B1115" s="601"/>
      <c r="C1115" s="7" t="s">
        <v>1553</v>
      </c>
      <c r="D1115" s="8"/>
      <c r="E1115" s="23"/>
      <c r="F1115" s="8"/>
      <c r="G1115" s="8"/>
      <c r="H1115" s="5">
        <v>1.2711664406779664</v>
      </c>
      <c r="I1115" s="5">
        <v>1.2711664406779664</v>
      </c>
      <c r="J1115" s="5">
        <f>R1114</f>
        <v>1.043771</v>
      </c>
      <c r="K1115" s="8"/>
      <c r="L1115" s="23"/>
      <c r="M1115" s="8"/>
      <c r="N1115" s="8"/>
      <c r="O1115" s="8"/>
      <c r="P1115" s="8"/>
      <c r="Q1115" s="23"/>
      <c r="R1115" s="113"/>
      <c r="S1115" s="113"/>
      <c r="T1115" s="113"/>
      <c r="U1115" s="113"/>
      <c r="V1115" s="113"/>
      <c r="W1115" s="113"/>
      <c r="X1115" s="5">
        <f t="shared" si="182"/>
        <v>0</v>
      </c>
      <c r="Y1115" s="302"/>
      <c r="Z1115" s="5"/>
      <c r="AA1115" s="94"/>
      <c r="AB1115" s="311">
        <f t="shared" si="185"/>
        <v>1.2711664406779664</v>
      </c>
      <c r="AC1115" s="296"/>
      <c r="AD1115" s="113"/>
      <c r="AE1115" s="5"/>
      <c r="AF1115" s="5"/>
      <c r="AG1115" s="5"/>
      <c r="AH1115" s="5"/>
      <c r="AI1115" s="5"/>
      <c r="AJ1115" s="5"/>
      <c r="AK1115" s="141"/>
      <c r="AL1115" s="94"/>
      <c r="AM1115" s="128"/>
      <c r="AN1115" s="180"/>
      <c r="AO1115" s="128"/>
      <c r="AP1115" s="184"/>
      <c r="AQ1115" s="128"/>
      <c r="AR1115" s="184"/>
      <c r="AS1115" s="128"/>
      <c r="AT1115" s="184"/>
      <c r="AU1115" s="128"/>
      <c r="AV1115" s="184"/>
      <c r="AW1115" s="128"/>
      <c r="AX1115" s="184"/>
      <c r="AY1115" s="111"/>
      <c r="AZ1115" s="178"/>
      <c r="BC1115" s="47"/>
      <c r="BD1115" s="47"/>
      <c r="BF1115" s="113"/>
      <c r="BG1115" s="113"/>
      <c r="BH1115" s="113"/>
      <c r="BI1115" s="113"/>
      <c r="BJ1115" s="113"/>
      <c r="BK1115" s="113"/>
      <c r="BL1115" s="5">
        <f t="shared" si="184"/>
        <v>0</v>
      </c>
    </row>
    <row r="1116" spans="1:64" s="2" customFormat="1" ht="15.75" customHeight="1" outlineLevel="1" x14ac:dyDescent="0.2">
      <c r="A1116" s="595"/>
      <c r="B1116" s="602"/>
      <c r="C1116" s="7" t="s">
        <v>1554</v>
      </c>
      <c r="D1116" s="8"/>
      <c r="E1116" s="23"/>
      <c r="F1116" s="8"/>
      <c r="G1116" s="8"/>
      <c r="H1116" s="5"/>
      <c r="I1116" s="5"/>
      <c r="J1116" s="5"/>
      <c r="K1116" s="23"/>
      <c r="L1116" s="8"/>
      <c r="M1116" s="8"/>
      <c r="N1116" s="8"/>
      <c r="O1116" s="8"/>
      <c r="P1116" s="8"/>
      <c r="Q1116" s="23"/>
      <c r="R1116" s="113"/>
      <c r="S1116" s="113"/>
      <c r="T1116" s="113"/>
      <c r="U1116" s="113"/>
      <c r="V1116" s="113"/>
      <c r="W1116" s="113"/>
      <c r="X1116" s="5">
        <f t="shared" si="182"/>
        <v>0</v>
      </c>
      <c r="Y1116" s="302"/>
      <c r="Z1116" s="5"/>
      <c r="AA1116" s="94"/>
      <c r="AB1116" s="311">
        <f t="shared" si="185"/>
        <v>0</v>
      </c>
      <c r="AC1116" s="296"/>
      <c r="AD1116" s="113"/>
      <c r="AE1116" s="5"/>
      <c r="AF1116" s="5"/>
      <c r="AG1116" s="5"/>
      <c r="AH1116" s="5"/>
      <c r="AI1116" s="5"/>
      <c r="AJ1116" s="5"/>
      <c r="AK1116" s="141"/>
      <c r="AL1116" s="94"/>
      <c r="AM1116" s="128"/>
      <c r="AN1116" s="180"/>
      <c r="AO1116" s="128"/>
      <c r="AP1116" s="184"/>
      <c r="AQ1116" s="128"/>
      <c r="AR1116" s="184"/>
      <c r="AS1116" s="128"/>
      <c r="AT1116" s="184"/>
      <c r="AU1116" s="128"/>
      <c r="AV1116" s="184"/>
      <c r="AW1116" s="128"/>
      <c r="AX1116" s="184"/>
      <c r="AY1116" s="111"/>
      <c r="AZ1116" s="178"/>
      <c r="BC1116" s="47"/>
      <c r="BD1116" s="47"/>
      <c r="BF1116" s="113"/>
      <c r="BG1116" s="113"/>
      <c r="BH1116" s="113"/>
      <c r="BI1116" s="113"/>
      <c r="BJ1116" s="113"/>
      <c r="BK1116" s="113"/>
      <c r="BL1116" s="5">
        <f t="shared" si="184"/>
        <v>0</v>
      </c>
    </row>
    <row r="1117" spans="1:64" s="2" customFormat="1" ht="38.25" customHeight="1" outlineLevel="1" x14ac:dyDescent="0.2">
      <c r="A1117" s="593" t="s">
        <v>2033</v>
      </c>
      <c r="B1117" s="600" t="s">
        <v>2021</v>
      </c>
      <c r="C1117" s="7" t="s">
        <v>2035</v>
      </c>
      <c r="D1117" s="8" t="s">
        <v>145</v>
      </c>
      <c r="E1117" s="23" t="s">
        <v>335</v>
      </c>
      <c r="F1117" s="8">
        <v>2013</v>
      </c>
      <c r="G1117" s="8">
        <v>2015</v>
      </c>
      <c r="H1117" s="5">
        <v>0.25421728813559319</v>
      </c>
      <c r="I1117" s="5">
        <v>0.25421728813559319</v>
      </c>
      <c r="J1117" s="5">
        <f>R1117</f>
        <v>0.184195</v>
      </c>
      <c r="K1117" s="8"/>
      <c r="L1117" s="23" t="s">
        <v>335</v>
      </c>
      <c r="M1117" s="8"/>
      <c r="N1117" s="8"/>
      <c r="O1117" s="8"/>
      <c r="P1117" s="8"/>
      <c r="Q1117" s="23" t="s">
        <v>335</v>
      </c>
      <c r="R1117" s="113">
        <v>0.184195</v>
      </c>
      <c r="S1117" s="113"/>
      <c r="T1117" s="113"/>
      <c r="U1117" s="113"/>
      <c r="V1117" s="113"/>
      <c r="W1117" s="113"/>
      <c r="X1117" s="5">
        <f t="shared" si="182"/>
        <v>0.184195</v>
      </c>
      <c r="Y1117" s="302">
        <f>H1117-H1118-H1119</f>
        <v>0</v>
      </c>
      <c r="Z1117" s="5">
        <f>I1117-I1118-I1119</f>
        <v>0</v>
      </c>
      <c r="AA1117" s="94">
        <f>J1117-J1118-J1119</f>
        <v>0</v>
      </c>
      <c r="AB1117" s="311">
        <f t="shared" si="185"/>
        <v>7.0022288135593191E-2</v>
      </c>
      <c r="AC1117" s="296"/>
      <c r="AD1117" s="113"/>
      <c r="AE1117" s="5"/>
      <c r="AF1117" s="5"/>
      <c r="AG1117" s="5">
        <f>H1117</f>
        <v>0.25421728813559319</v>
      </c>
      <c r="AH1117" s="5"/>
      <c r="AI1117" s="5"/>
      <c r="AJ1117" s="5"/>
      <c r="AK1117" s="141"/>
      <c r="AL1117" s="94">
        <f>SUM(AF1117:AK1117)</f>
        <v>0.25421728813559319</v>
      </c>
      <c r="AM1117" s="128"/>
      <c r="AN1117" s="180"/>
      <c r="AO1117" s="128">
        <v>0.1</v>
      </c>
      <c r="AP1117" s="184">
        <v>0</v>
      </c>
      <c r="AQ1117" s="128"/>
      <c r="AR1117" s="184"/>
      <c r="AS1117" s="128"/>
      <c r="AT1117" s="184"/>
      <c r="AU1117" s="128"/>
      <c r="AV1117" s="184"/>
      <c r="AW1117" s="128"/>
      <c r="AX1117" s="184"/>
      <c r="AY1117" s="111">
        <f>AM1117+AO1117+AQ1117+AS1117+AU1117+AW1117</f>
        <v>0.1</v>
      </c>
      <c r="AZ1117" s="178">
        <f>AN1117+AP1117+AR1117+AT1117+AV1117+AX1117</f>
        <v>0</v>
      </c>
      <c r="BC1117" s="47"/>
      <c r="BD1117" s="47"/>
      <c r="BF1117" s="113">
        <v>0.184195</v>
      </c>
      <c r="BG1117" s="113"/>
      <c r="BH1117" s="113"/>
      <c r="BI1117" s="113"/>
      <c r="BJ1117" s="113"/>
      <c r="BK1117" s="113"/>
      <c r="BL1117" s="5">
        <f t="shared" si="184"/>
        <v>0.184195</v>
      </c>
    </row>
    <row r="1118" spans="1:64" s="2" customFormat="1" ht="15.75" customHeight="1" outlineLevel="1" x14ac:dyDescent="0.2">
      <c r="A1118" s="594"/>
      <c r="B1118" s="601"/>
      <c r="C1118" s="7" t="s">
        <v>1553</v>
      </c>
      <c r="D1118" s="8"/>
      <c r="E1118" s="23"/>
      <c r="F1118" s="8"/>
      <c r="G1118" s="8"/>
      <c r="H1118" s="5"/>
      <c r="I1118" s="5"/>
      <c r="J1118" s="5"/>
      <c r="K1118" s="8"/>
      <c r="L1118" s="23"/>
      <c r="M1118" s="8"/>
      <c r="N1118" s="8"/>
      <c r="O1118" s="8"/>
      <c r="P1118" s="8"/>
      <c r="Q1118" s="23"/>
      <c r="R1118" s="113"/>
      <c r="S1118" s="113"/>
      <c r="T1118" s="113"/>
      <c r="U1118" s="113"/>
      <c r="V1118" s="113"/>
      <c r="W1118" s="113"/>
      <c r="X1118" s="5">
        <f>SUM(R1118:W1118)</f>
        <v>0</v>
      </c>
      <c r="Y1118" s="302"/>
      <c r="Z1118" s="5"/>
      <c r="AA1118" s="94"/>
      <c r="AB1118" s="311">
        <f t="shared" si="185"/>
        <v>0</v>
      </c>
      <c r="AC1118" s="296"/>
      <c r="AD1118" s="113"/>
      <c r="AE1118" s="5"/>
      <c r="AF1118" s="5"/>
      <c r="AG1118" s="5"/>
      <c r="AH1118" s="5"/>
      <c r="AI1118" s="5"/>
      <c r="AJ1118" s="5"/>
      <c r="AK1118" s="141"/>
      <c r="AL1118" s="94"/>
      <c r="AM1118" s="128"/>
      <c r="AN1118" s="180"/>
      <c r="AO1118" s="128"/>
      <c r="AP1118" s="184"/>
      <c r="AQ1118" s="128"/>
      <c r="AR1118" s="184"/>
      <c r="AS1118" s="128"/>
      <c r="AT1118" s="184"/>
      <c r="AU1118" s="128"/>
      <c r="AV1118" s="184"/>
      <c r="AW1118" s="128"/>
      <c r="AX1118" s="184"/>
      <c r="AY1118" s="111"/>
      <c r="AZ1118" s="178"/>
      <c r="BC1118" s="47"/>
      <c r="BD1118" s="47"/>
      <c r="BF1118" s="113"/>
      <c r="BG1118" s="113"/>
      <c r="BH1118" s="113"/>
      <c r="BI1118" s="113"/>
      <c r="BJ1118" s="113"/>
      <c r="BK1118" s="113"/>
      <c r="BL1118" s="5">
        <f t="shared" si="184"/>
        <v>0</v>
      </c>
    </row>
    <row r="1119" spans="1:64" s="2" customFormat="1" ht="15.75" customHeight="1" outlineLevel="1" x14ac:dyDescent="0.2">
      <c r="A1119" s="595"/>
      <c r="B1119" s="602"/>
      <c r="C1119" s="7" t="s">
        <v>1554</v>
      </c>
      <c r="D1119" s="8"/>
      <c r="E1119" s="23"/>
      <c r="F1119" s="8"/>
      <c r="G1119" s="8"/>
      <c r="H1119" s="5">
        <v>0.25421728813559319</v>
      </c>
      <c r="I1119" s="5">
        <v>0.25421728813559319</v>
      </c>
      <c r="J1119" s="5">
        <v>0.184195</v>
      </c>
      <c r="K1119" s="23"/>
      <c r="L1119" s="8"/>
      <c r="M1119" s="8"/>
      <c r="N1119" s="8"/>
      <c r="O1119" s="8"/>
      <c r="P1119" s="8"/>
      <c r="Q1119" s="23"/>
      <c r="R1119" s="113"/>
      <c r="S1119" s="113"/>
      <c r="T1119" s="113"/>
      <c r="U1119" s="113"/>
      <c r="V1119" s="113"/>
      <c r="W1119" s="113"/>
      <c r="X1119" s="5">
        <f>SUM(R1119:W1119)</f>
        <v>0</v>
      </c>
      <c r="Y1119" s="302"/>
      <c r="Z1119" s="5"/>
      <c r="AA1119" s="94"/>
      <c r="AB1119" s="311">
        <f t="shared" si="185"/>
        <v>0.25421728813559319</v>
      </c>
      <c r="AC1119" s="296"/>
      <c r="AD1119" s="113"/>
      <c r="AE1119" s="5"/>
      <c r="AF1119" s="5"/>
      <c r="AG1119" s="5"/>
      <c r="AH1119" s="5"/>
      <c r="AI1119" s="5"/>
      <c r="AJ1119" s="5"/>
      <c r="AK1119" s="141"/>
      <c r="AL1119" s="94"/>
      <c r="AM1119" s="128"/>
      <c r="AN1119" s="180"/>
      <c r="AO1119" s="128"/>
      <c r="AP1119" s="184"/>
      <c r="AQ1119" s="128"/>
      <c r="AR1119" s="184"/>
      <c r="AS1119" s="128"/>
      <c r="AT1119" s="184"/>
      <c r="AU1119" s="128"/>
      <c r="AV1119" s="184"/>
      <c r="AW1119" s="128"/>
      <c r="AX1119" s="184"/>
      <c r="AY1119" s="111"/>
      <c r="AZ1119" s="178"/>
      <c r="BC1119" s="47"/>
      <c r="BD1119" s="47"/>
      <c r="BF1119" s="113"/>
      <c r="BG1119" s="113"/>
      <c r="BH1119" s="113"/>
      <c r="BI1119" s="113"/>
      <c r="BJ1119" s="113"/>
      <c r="BK1119" s="113"/>
      <c r="BL1119" s="5">
        <f t="shared" ref="BL1119:BL1131" si="186">SUM(BF1119:BK1119)</f>
        <v>0</v>
      </c>
    </row>
    <row r="1120" spans="1:64" s="2" customFormat="1" ht="27.75" customHeight="1" outlineLevel="1" x14ac:dyDescent="0.2">
      <c r="A1120" s="593" t="s">
        <v>2036</v>
      </c>
      <c r="B1120" s="600" t="s">
        <v>2023</v>
      </c>
      <c r="C1120" s="7" t="s">
        <v>2038</v>
      </c>
      <c r="D1120" s="8" t="s">
        <v>145</v>
      </c>
      <c r="E1120" s="23" t="s">
        <v>335</v>
      </c>
      <c r="F1120" s="8">
        <v>2013</v>
      </c>
      <c r="G1120" s="8">
        <v>2015</v>
      </c>
      <c r="H1120" s="5">
        <v>1.2711664406779664</v>
      </c>
      <c r="I1120" s="5">
        <v>1.2711664406779664</v>
      </c>
      <c r="J1120" s="5">
        <f>R1120</f>
        <v>0.98237300000000005</v>
      </c>
      <c r="K1120" s="8"/>
      <c r="L1120" s="23" t="s">
        <v>335</v>
      </c>
      <c r="M1120" s="8"/>
      <c r="N1120" s="8"/>
      <c r="O1120" s="8"/>
      <c r="P1120" s="8"/>
      <c r="Q1120" s="23" t="s">
        <v>335</v>
      </c>
      <c r="R1120" s="113">
        <v>0.98237300000000005</v>
      </c>
      <c r="S1120" s="113"/>
      <c r="T1120" s="113"/>
      <c r="U1120" s="113"/>
      <c r="V1120" s="113"/>
      <c r="W1120" s="113"/>
      <c r="X1120" s="5">
        <f t="shared" si="182"/>
        <v>0.98237300000000005</v>
      </c>
      <c r="Y1120" s="302">
        <f>H1120-H1121-H1122</f>
        <v>0</v>
      </c>
      <c r="Z1120" s="5">
        <f>I1120-I1121-I1122</f>
        <v>0</v>
      </c>
      <c r="AA1120" s="94">
        <f>J1120-J1121-J1122</f>
        <v>0</v>
      </c>
      <c r="AB1120" s="311">
        <f t="shared" si="185"/>
        <v>0.28879344067796631</v>
      </c>
      <c r="AC1120" s="296"/>
      <c r="AD1120" s="113"/>
      <c r="AE1120" s="5"/>
      <c r="AF1120" s="5"/>
      <c r="AG1120" s="5">
        <f>H1120</f>
        <v>1.2711664406779664</v>
      </c>
      <c r="AH1120" s="5"/>
      <c r="AI1120" s="5"/>
      <c r="AJ1120" s="5"/>
      <c r="AK1120" s="141"/>
      <c r="AL1120" s="94">
        <f>SUM(AF1120:AK1120)</f>
        <v>1.2711664406779664</v>
      </c>
      <c r="AM1120" s="128"/>
      <c r="AN1120" s="180"/>
      <c r="AO1120" s="128">
        <v>0.1</v>
      </c>
      <c r="AP1120" s="184">
        <v>0</v>
      </c>
      <c r="AQ1120" s="128"/>
      <c r="AR1120" s="184"/>
      <c r="AS1120" s="128"/>
      <c r="AT1120" s="184"/>
      <c r="AU1120" s="128"/>
      <c r="AV1120" s="184"/>
      <c r="AW1120" s="128"/>
      <c r="AX1120" s="184"/>
      <c r="AY1120" s="111">
        <f>AM1120+AO1120+AQ1120+AS1120+AU1120+AW1120</f>
        <v>0.1</v>
      </c>
      <c r="AZ1120" s="178">
        <f>AN1120+AP1120+AR1120+AT1120+AV1120+AX1120</f>
        <v>0</v>
      </c>
      <c r="BC1120" s="47"/>
      <c r="BD1120" s="47"/>
      <c r="BF1120" s="113">
        <v>0.98237300000000005</v>
      </c>
      <c r="BG1120" s="113"/>
      <c r="BH1120" s="113"/>
      <c r="BI1120" s="113"/>
      <c r="BJ1120" s="113"/>
      <c r="BK1120" s="113"/>
      <c r="BL1120" s="5">
        <f t="shared" si="186"/>
        <v>0.98237300000000005</v>
      </c>
    </row>
    <row r="1121" spans="1:64" s="2" customFormat="1" ht="14.1" customHeight="1" outlineLevel="1" x14ac:dyDescent="0.2">
      <c r="A1121" s="594"/>
      <c r="B1121" s="601"/>
      <c r="C1121" s="7" t="s">
        <v>1553</v>
      </c>
      <c r="D1121" s="8"/>
      <c r="E1121" s="23"/>
      <c r="F1121" s="8"/>
      <c r="G1121" s="8"/>
      <c r="H1121" s="5">
        <v>1.2711664406779664</v>
      </c>
      <c r="I1121" s="5">
        <v>1.2711664406779664</v>
      </c>
      <c r="J1121" s="5">
        <f>R1120</f>
        <v>0.98237300000000005</v>
      </c>
      <c r="K1121" s="8"/>
      <c r="L1121" s="23"/>
      <c r="M1121" s="8"/>
      <c r="N1121" s="8"/>
      <c r="O1121" s="8"/>
      <c r="P1121" s="8"/>
      <c r="Q1121" s="23"/>
      <c r="R1121" s="113"/>
      <c r="S1121" s="113"/>
      <c r="T1121" s="113"/>
      <c r="U1121" s="113"/>
      <c r="V1121" s="113"/>
      <c r="W1121" s="113"/>
      <c r="X1121" s="5">
        <f t="shared" si="182"/>
        <v>0</v>
      </c>
      <c r="Y1121" s="302"/>
      <c r="Z1121" s="5"/>
      <c r="AA1121" s="94"/>
      <c r="AB1121" s="311">
        <f t="shared" si="185"/>
        <v>1.2711664406779664</v>
      </c>
      <c r="AC1121" s="296"/>
      <c r="AD1121" s="113"/>
      <c r="AE1121" s="5"/>
      <c r="AF1121" s="5"/>
      <c r="AG1121" s="5"/>
      <c r="AH1121" s="5"/>
      <c r="AI1121" s="5"/>
      <c r="AJ1121" s="5"/>
      <c r="AK1121" s="141"/>
      <c r="AL1121" s="94"/>
      <c r="AM1121" s="128"/>
      <c r="AN1121" s="180"/>
      <c r="AO1121" s="128"/>
      <c r="AP1121" s="184"/>
      <c r="AQ1121" s="128"/>
      <c r="AR1121" s="184"/>
      <c r="AS1121" s="128"/>
      <c r="AT1121" s="184"/>
      <c r="AU1121" s="128"/>
      <c r="AV1121" s="184"/>
      <c r="AW1121" s="128"/>
      <c r="AX1121" s="184"/>
      <c r="AY1121" s="111"/>
      <c r="AZ1121" s="178"/>
      <c r="BC1121" s="47"/>
      <c r="BD1121" s="47"/>
      <c r="BF1121" s="113"/>
      <c r="BG1121" s="113"/>
      <c r="BH1121" s="113"/>
      <c r="BI1121" s="113"/>
      <c r="BJ1121" s="113"/>
      <c r="BK1121" s="113"/>
      <c r="BL1121" s="5">
        <f t="shared" si="186"/>
        <v>0</v>
      </c>
    </row>
    <row r="1122" spans="1:64" s="2" customFormat="1" ht="14.1" customHeight="1" outlineLevel="1" x14ac:dyDescent="0.2">
      <c r="A1122" s="595"/>
      <c r="B1122" s="602"/>
      <c r="C1122" s="7" t="s">
        <v>1554</v>
      </c>
      <c r="D1122" s="8"/>
      <c r="E1122" s="23"/>
      <c r="F1122" s="8"/>
      <c r="G1122" s="8"/>
      <c r="H1122" s="5"/>
      <c r="I1122" s="5"/>
      <c r="J1122" s="5"/>
      <c r="K1122" s="23"/>
      <c r="L1122" s="8"/>
      <c r="M1122" s="8"/>
      <c r="N1122" s="8"/>
      <c r="O1122" s="8"/>
      <c r="P1122" s="8"/>
      <c r="Q1122" s="23"/>
      <c r="R1122" s="113"/>
      <c r="S1122" s="113"/>
      <c r="T1122" s="113"/>
      <c r="U1122" s="113"/>
      <c r="V1122" s="113"/>
      <c r="W1122" s="113"/>
      <c r="X1122" s="5">
        <f t="shared" si="182"/>
        <v>0</v>
      </c>
      <c r="Y1122" s="302"/>
      <c r="Z1122" s="5"/>
      <c r="AA1122" s="94"/>
      <c r="AB1122" s="311">
        <f t="shared" si="185"/>
        <v>0</v>
      </c>
      <c r="AC1122" s="296"/>
      <c r="AD1122" s="113"/>
      <c r="AE1122" s="5"/>
      <c r="AF1122" s="5"/>
      <c r="AG1122" s="5"/>
      <c r="AH1122" s="5"/>
      <c r="AI1122" s="5"/>
      <c r="AJ1122" s="5"/>
      <c r="AK1122" s="141"/>
      <c r="AL1122" s="94"/>
      <c r="AM1122" s="128"/>
      <c r="AN1122" s="180"/>
      <c r="AO1122" s="128"/>
      <c r="AP1122" s="184"/>
      <c r="AQ1122" s="128"/>
      <c r="AR1122" s="184"/>
      <c r="AS1122" s="128"/>
      <c r="AT1122" s="184"/>
      <c r="AU1122" s="128"/>
      <c r="AV1122" s="184"/>
      <c r="AW1122" s="128"/>
      <c r="AX1122" s="184"/>
      <c r="AY1122" s="111"/>
      <c r="AZ1122" s="178"/>
      <c r="BC1122" s="47"/>
      <c r="BD1122" s="47"/>
      <c r="BF1122" s="113"/>
      <c r="BG1122" s="113"/>
      <c r="BH1122" s="113"/>
      <c r="BI1122" s="113"/>
      <c r="BJ1122" s="113"/>
      <c r="BK1122" s="113"/>
      <c r="BL1122" s="5">
        <f t="shared" si="186"/>
        <v>0</v>
      </c>
    </row>
    <row r="1123" spans="1:64" s="2" customFormat="1" ht="38.25" customHeight="1" outlineLevel="1" x14ac:dyDescent="0.2">
      <c r="A1123" s="593" t="s">
        <v>2039</v>
      </c>
      <c r="B1123" s="600" t="s">
        <v>2026</v>
      </c>
      <c r="C1123" s="7" t="s">
        <v>2041</v>
      </c>
      <c r="D1123" s="8" t="s">
        <v>145</v>
      </c>
      <c r="E1123" s="23" t="s">
        <v>335</v>
      </c>
      <c r="F1123" s="8">
        <v>2013</v>
      </c>
      <c r="G1123" s="8">
        <v>2015</v>
      </c>
      <c r="H1123" s="5">
        <v>0.44500000000000001</v>
      </c>
      <c r="I1123" s="5">
        <v>0.44489525423728821</v>
      </c>
      <c r="J1123" s="5">
        <f>R1123</f>
        <v>0.429788</v>
      </c>
      <c r="K1123" s="8"/>
      <c r="L1123" s="23" t="s">
        <v>335</v>
      </c>
      <c r="M1123" s="8"/>
      <c r="N1123" s="8"/>
      <c r="O1123" s="8"/>
      <c r="P1123" s="8"/>
      <c r="Q1123" s="23" t="s">
        <v>335</v>
      </c>
      <c r="R1123" s="113">
        <v>0.429788</v>
      </c>
      <c r="S1123" s="113"/>
      <c r="T1123" s="113"/>
      <c r="U1123" s="113"/>
      <c r="V1123" s="113"/>
      <c r="W1123" s="113"/>
      <c r="X1123" s="5">
        <f t="shared" si="182"/>
        <v>0.429788</v>
      </c>
      <c r="Y1123" s="302">
        <f>H1123-H1124-H1125</f>
        <v>0</v>
      </c>
      <c r="Z1123" s="5">
        <f>I1123-I1124-I1125</f>
        <v>0</v>
      </c>
      <c r="AA1123" s="94">
        <f>J1123-J1124-J1125</f>
        <v>0</v>
      </c>
      <c r="AB1123" s="311">
        <f t="shared" si="185"/>
        <v>1.5107254237288203E-2</v>
      </c>
      <c r="AC1123" s="296"/>
      <c r="AD1123" s="113"/>
      <c r="AE1123" s="5"/>
      <c r="AF1123" s="5"/>
      <c r="AG1123" s="5">
        <f>H1123</f>
        <v>0.44500000000000001</v>
      </c>
      <c r="AH1123" s="5"/>
      <c r="AI1123" s="5"/>
      <c r="AJ1123" s="5"/>
      <c r="AK1123" s="141"/>
      <c r="AL1123" s="94">
        <f>SUM(AF1123:AK1123)</f>
        <v>0.44500000000000001</v>
      </c>
      <c r="AM1123" s="128"/>
      <c r="AN1123" s="180"/>
      <c r="AO1123" s="128">
        <v>0.1</v>
      </c>
      <c r="AP1123" s="184">
        <v>0</v>
      </c>
      <c r="AQ1123" s="128"/>
      <c r="AR1123" s="184"/>
      <c r="AS1123" s="128"/>
      <c r="AT1123" s="184"/>
      <c r="AU1123" s="128"/>
      <c r="AV1123" s="184"/>
      <c r="AW1123" s="128"/>
      <c r="AX1123" s="184"/>
      <c r="AY1123" s="111">
        <f>AM1123+AO1123+AQ1123+AS1123+AU1123+AW1123</f>
        <v>0.1</v>
      </c>
      <c r="AZ1123" s="178">
        <f>AN1123+AP1123+AR1123+AT1123+AV1123+AX1123</f>
        <v>0</v>
      </c>
      <c r="BC1123" s="47"/>
      <c r="BD1123" s="47"/>
      <c r="BF1123" s="113">
        <v>0.429788</v>
      </c>
      <c r="BG1123" s="113"/>
      <c r="BH1123" s="113"/>
      <c r="BI1123" s="113"/>
      <c r="BJ1123" s="113"/>
      <c r="BK1123" s="113"/>
      <c r="BL1123" s="5">
        <f t="shared" si="186"/>
        <v>0.429788</v>
      </c>
    </row>
    <row r="1124" spans="1:64" s="2" customFormat="1" ht="14.1" customHeight="1" outlineLevel="1" x14ac:dyDescent="0.2">
      <c r="A1124" s="594"/>
      <c r="B1124" s="601"/>
      <c r="C1124" s="7" t="s">
        <v>1553</v>
      </c>
      <c r="D1124" s="8"/>
      <c r="E1124" s="23"/>
      <c r="F1124" s="8"/>
      <c r="G1124" s="8"/>
      <c r="H1124" s="5"/>
      <c r="I1124" s="5"/>
      <c r="J1124" s="5"/>
      <c r="K1124" s="8"/>
      <c r="L1124" s="23"/>
      <c r="M1124" s="8"/>
      <c r="N1124" s="8"/>
      <c r="O1124" s="8"/>
      <c r="P1124" s="8"/>
      <c r="Q1124" s="23"/>
      <c r="R1124" s="113"/>
      <c r="S1124" s="113"/>
      <c r="T1124" s="113"/>
      <c r="U1124" s="113"/>
      <c r="V1124" s="113"/>
      <c r="W1124" s="113"/>
      <c r="X1124" s="5">
        <f>SUM(R1124:W1124)</f>
        <v>0</v>
      </c>
      <c r="Y1124" s="302"/>
      <c r="Z1124" s="5"/>
      <c r="AA1124" s="94"/>
      <c r="AB1124" s="311">
        <f t="shared" si="185"/>
        <v>0</v>
      </c>
      <c r="AC1124" s="296"/>
      <c r="AD1124" s="113"/>
      <c r="AE1124" s="5"/>
      <c r="AF1124" s="5"/>
      <c r="AG1124" s="5"/>
      <c r="AH1124" s="5"/>
      <c r="AI1124" s="5"/>
      <c r="AJ1124" s="5"/>
      <c r="AK1124" s="141"/>
      <c r="AL1124" s="94"/>
      <c r="AM1124" s="128"/>
      <c r="AN1124" s="180"/>
      <c r="AO1124" s="128"/>
      <c r="AP1124" s="184"/>
      <c r="AQ1124" s="128"/>
      <c r="AR1124" s="184"/>
      <c r="AS1124" s="128"/>
      <c r="AT1124" s="184"/>
      <c r="AU1124" s="128"/>
      <c r="AV1124" s="184"/>
      <c r="AW1124" s="128"/>
      <c r="AX1124" s="184"/>
      <c r="AY1124" s="111"/>
      <c r="AZ1124" s="178"/>
      <c r="BC1124" s="47"/>
      <c r="BD1124" s="47"/>
      <c r="BF1124" s="113"/>
      <c r="BG1124" s="113"/>
      <c r="BH1124" s="113"/>
      <c r="BI1124" s="113"/>
      <c r="BJ1124" s="113"/>
      <c r="BK1124" s="113"/>
      <c r="BL1124" s="5">
        <f t="shared" si="186"/>
        <v>0</v>
      </c>
    </row>
    <row r="1125" spans="1:64" s="2" customFormat="1" ht="14.1" customHeight="1" outlineLevel="1" x14ac:dyDescent="0.2">
      <c r="A1125" s="595"/>
      <c r="B1125" s="602"/>
      <c r="C1125" s="7" t="s">
        <v>1554</v>
      </c>
      <c r="D1125" s="8"/>
      <c r="E1125" s="23"/>
      <c r="F1125" s="8"/>
      <c r="G1125" s="8"/>
      <c r="H1125" s="5">
        <v>0.44500000000000001</v>
      </c>
      <c r="I1125" s="5">
        <v>0.44489525423728821</v>
      </c>
      <c r="J1125" s="5">
        <v>0.429788</v>
      </c>
      <c r="K1125" s="23"/>
      <c r="L1125" s="8"/>
      <c r="M1125" s="8"/>
      <c r="N1125" s="8"/>
      <c r="O1125" s="8"/>
      <c r="P1125" s="8"/>
      <c r="Q1125" s="23"/>
      <c r="R1125" s="113"/>
      <c r="S1125" s="113"/>
      <c r="T1125" s="113"/>
      <c r="U1125" s="113"/>
      <c r="V1125" s="113"/>
      <c r="W1125" s="113"/>
      <c r="X1125" s="5">
        <f>SUM(R1125:W1125)</f>
        <v>0</v>
      </c>
      <c r="Y1125" s="302"/>
      <c r="Z1125" s="5"/>
      <c r="AA1125" s="94"/>
      <c r="AB1125" s="311">
        <f t="shared" si="185"/>
        <v>0.44489525423728821</v>
      </c>
      <c r="AC1125" s="296"/>
      <c r="AD1125" s="113"/>
      <c r="AE1125" s="5"/>
      <c r="AF1125" s="5"/>
      <c r="AG1125" s="5"/>
      <c r="AH1125" s="5"/>
      <c r="AI1125" s="5"/>
      <c r="AJ1125" s="5"/>
      <c r="AK1125" s="141"/>
      <c r="AL1125" s="94"/>
      <c r="AM1125" s="128"/>
      <c r="AN1125" s="180"/>
      <c r="AO1125" s="128"/>
      <c r="AP1125" s="184"/>
      <c r="AQ1125" s="128"/>
      <c r="AR1125" s="184"/>
      <c r="AS1125" s="128"/>
      <c r="AT1125" s="184"/>
      <c r="AU1125" s="128"/>
      <c r="AV1125" s="184"/>
      <c r="AW1125" s="128"/>
      <c r="AX1125" s="184"/>
      <c r="AY1125" s="111"/>
      <c r="AZ1125" s="178"/>
      <c r="BC1125" s="47"/>
      <c r="BD1125" s="47"/>
      <c r="BF1125" s="113"/>
      <c r="BG1125" s="113"/>
      <c r="BH1125" s="113"/>
      <c r="BI1125" s="113"/>
      <c r="BJ1125" s="113"/>
      <c r="BK1125" s="113"/>
      <c r="BL1125" s="5">
        <f t="shared" si="186"/>
        <v>0</v>
      </c>
    </row>
    <row r="1126" spans="1:64" s="2" customFormat="1" ht="38.25" outlineLevel="1" x14ac:dyDescent="0.2">
      <c r="A1126" s="593" t="s">
        <v>2042</v>
      </c>
      <c r="B1126" s="600" t="s">
        <v>2028</v>
      </c>
      <c r="C1126" s="7" t="s">
        <v>2260</v>
      </c>
      <c r="D1126" s="8" t="s">
        <v>145</v>
      </c>
      <c r="E1126" s="23" t="s">
        <v>340</v>
      </c>
      <c r="F1126" s="8">
        <v>2013</v>
      </c>
      <c r="G1126" s="8">
        <v>2014</v>
      </c>
      <c r="H1126" s="5">
        <v>0.15548000000000001</v>
      </c>
      <c r="I1126" s="5">
        <v>0.15548000000000001</v>
      </c>
      <c r="J1126" s="5">
        <f>R1126</f>
        <v>0.15548000000000001</v>
      </c>
      <c r="K1126" s="23" t="s">
        <v>340</v>
      </c>
      <c r="L1126" s="8"/>
      <c r="M1126" s="8"/>
      <c r="N1126" s="8"/>
      <c r="O1126" s="8"/>
      <c r="P1126" s="8"/>
      <c r="Q1126" s="23" t="s">
        <v>340</v>
      </c>
      <c r="R1126" s="286">
        <v>0.15548000000000001</v>
      </c>
      <c r="S1126" s="113"/>
      <c r="T1126" s="113"/>
      <c r="U1126" s="113"/>
      <c r="V1126" s="113"/>
      <c r="W1126" s="113"/>
      <c r="X1126" s="5">
        <f t="shared" si="182"/>
        <v>0.15548000000000001</v>
      </c>
      <c r="Y1126" s="302">
        <f>H1126-H1127-H1128</f>
        <v>0</v>
      </c>
      <c r="Z1126" s="5">
        <f>I1126-I1127-I1128</f>
        <v>0</v>
      </c>
      <c r="AA1126" s="94">
        <f>J1126-J1127-J1128</f>
        <v>0</v>
      </c>
      <c r="AB1126" s="311">
        <f t="shared" si="185"/>
        <v>0</v>
      </c>
      <c r="AC1126" s="296"/>
      <c r="AD1126" s="113"/>
      <c r="AE1126" s="5"/>
      <c r="AF1126" s="5">
        <f>H1126</f>
        <v>0.15548000000000001</v>
      </c>
      <c r="AG1126" s="5"/>
      <c r="AH1126" s="5"/>
      <c r="AI1126" s="5"/>
      <c r="AJ1126" s="5"/>
      <c r="AK1126" s="141"/>
      <c r="AL1126" s="94">
        <f>SUM(AF1126:AK1126)</f>
        <v>0.15548000000000001</v>
      </c>
      <c r="AM1126" s="128">
        <v>0.2</v>
      </c>
      <c r="AN1126" s="180">
        <v>0</v>
      </c>
      <c r="AO1126" s="128"/>
      <c r="AP1126" s="184"/>
      <c r="AQ1126" s="128"/>
      <c r="AR1126" s="184"/>
      <c r="AS1126" s="128"/>
      <c r="AT1126" s="184"/>
      <c r="AU1126" s="128"/>
      <c r="AV1126" s="184"/>
      <c r="AW1126" s="128"/>
      <c r="AX1126" s="184"/>
      <c r="AY1126" s="111">
        <f>AM1126+AO1126+AQ1126+AS1126+AU1126+AW1126</f>
        <v>0.2</v>
      </c>
      <c r="AZ1126" s="178">
        <f>AN1126+AP1126+AR1126+AT1126+AV1126+AX1126</f>
        <v>0</v>
      </c>
      <c r="BC1126" s="47"/>
      <c r="BD1126" s="47"/>
      <c r="BF1126" s="113">
        <v>0</v>
      </c>
      <c r="BG1126" s="113"/>
      <c r="BH1126" s="113"/>
      <c r="BI1126" s="113"/>
      <c r="BJ1126" s="113"/>
      <c r="BK1126" s="113"/>
      <c r="BL1126" s="5">
        <f t="shared" si="186"/>
        <v>0</v>
      </c>
    </row>
    <row r="1127" spans="1:64" s="2" customFormat="1" ht="14.1" customHeight="1" outlineLevel="1" x14ac:dyDescent="0.2">
      <c r="A1127" s="594"/>
      <c r="B1127" s="601"/>
      <c r="C1127" s="7" t="s">
        <v>1553</v>
      </c>
      <c r="D1127" s="8"/>
      <c r="E1127" s="23"/>
      <c r="F1127" s="8"/>
      <c r="G1127" s="8"/>
      <c r="H1127" s="5">
        <f>H1126</f>
        <v>0.15548000000000001</v>
      </c>
      <c r="I1127" s="5">
        <f>I1126</f>
        <v>0.15548000000000001</v>
      </c>
      <c r="J1127" s="5">
        <f>J1126</f>
        <v>0.15548000000000001</v>
      </c>
      <c r="K1127" s="8"/>
      <c r="L1127" s="23"/>
      <c r="M1127" s="8"/>
      <c r="N1127" s="8"/>
      <c r="O1127" s="8"/>
      <c r="P1127" s="8"/>
      <c r="Q1127" s="23"/>
      <c r="R1127" s="113"/>
      <c r="S1127" s="113"/>
      <c r="T1127" s="113"/>
      <c r="U1127" s="113"/>
      <c r="V1127" s="113"/>
      <c r="W1127" s="113"/>
      <c r="X1127" s="5">
        <f t="shared" si="182"/>
        <v>0</v>
      </c>
      <c r="Y1127" s="302"/>
      <c r="Z1127" s="5"/>
      <c r="AA1127" s="94"/>
      <c r="AB1127" s="311">
        <f t="shared" si="185"/>
        <v>0.15548000000000001</v>
      </c>
      <c r="AC1127" s="296"/>
      <c r="AD1127" s="113"/>
      <c r="AE1127" s="5"/>
      <c r="AF1127" s="5"/>
      <c r="AG1127" s="5"/>
      <c r="AH1127" s="5"/>
      <c r="AI1127" s="5"/>
      <c r="AJ1127" s="5"/>
      <c r="AK1127" s="141"/>
      <c r="AL1127" s="94"/>
      <c r="AM1127" s="128"/>
      <c r="AN1127" s="180"/>
      <c r="AO1127" s="128"/>
      <c r="AP1127" s="184"/>
      <c r="AQ1127" s="128"/>
      <c r="AR1127" s="184"/>
      <c r="AS1127" s="128"/>
      <c r="AT1127" s="184"/>
      <c r="AU1127" s="128"/>
      <c r="AV1127" s="184"/>
      <c r="AW1127" s="128"/>
      <c r="AX1127" s="184"/>
      <c r="AY1127" s="111"/>
      <c r="AZ1127" s="178"/>
      <c r="BC1127" s="47"/>
      <c r="BD1127" s="47"/>
      <c r="BF1127" s="113"/>
      <c r="BG1127" s="113"/>
      <c r="BH1127" s="113"/>
      <c r="BI1127" s="113"/>
      <c r="BJ1127" s="113"/>
      <c r="BK1127" s="113"/>
      <c r="BL1127" s="5">
        <f t="shared" si="186"/>
        <v>0</v>
      </c>
    </row>
    <row r="1128" spans="1:64" s="2" customFormat="1" ht="14.1" customHeight="1" outlineLevel="1" x14ac:dyDescent="0.2">
      <c r="A1128" s="595"/>
      <c r="B1128" s="602"/>
      <c r="C1128" s="7" t="s">
        <v>1554</v>
      </c>
      <c r="D1128" s="8"/>
      <c r="E1128" s="23"/>
      <c r="F1128" s="8"/>
      <c r="G1128" s="8"/>
      <c r="H1128" s="5"/>
      <c r="I1128" s="5"/>
      <c r="J1128" s="5"/>
      <c r="K1128" s="23"/>
      <c r="L1128" s="8"/>
      <c r="M1128" s="8"/>
      <c r="N1128" s="8"/>
      <c r="O1128" s="8"/>
      <c r="P1128" s="8"/>
      <c r="Q1128" s="23"/>
      <c r="R1128" s="113"/>
      <c r="S1128" s="113"/>
      <c r="T1128" s="113"/>
      <c r="U1128" s="113"/>
      <c r="V1128" s="113"/>
      <c r="W1128" s="113"/>
      <c r="X1128" s="5">
        <f t="shared" si="182"/>
        <v>0</v>
      </c>
      <c r="Y1128" s="302"/>
      <c r="Z1128" s="5"/>
      <c r="AA1128" s="94"/>
      <c r="AB1128" s="311">
        <f t="shared" si="185"/>
        <v>0</v>
      </c>
      <c r="AC1128" s="296"/>
      <c r="AD1128" s="113"/>
      <c r="AE1128" s="5"/>
      <c r="AF1128" s="5"/>
      <c r="AG1128" s="5"/>
      <c r="AH1128" s="5"/>
      <c r="AI1128" s="5"/>
      <c r="AJ1128" s="5"/>
      <c r="AK1128" s="141"/>
      <c r="AL1128" s="94"/>
      <c r="AM1128" s="128"/>
      <c r="AN1128" s="180"/>
      <c r="AO1128" s="128"/>
      <c r="AP1128" s="184"/>
      <c r="AQ1128" s="128"/>
      <c r="AR1128" s="184"/>
      <c r="AS1128" s="128"/>
      <c r="AT1128" s="184"/>
      <c r="AU1128" s="128"/>
      <c r="AV1128" s="184"/>
      <c r="AW1128" s="128"/>
      <c r="AX1128" s="184"/>
      <c r="AY1128" s="111"/>
      <c r="AZ1128" s="178"/>
      <c r="BC1128" s="47"/>
      <c r="BD1128" s="47"/>
      <c r="BF1128" s="113"/>
      <c r="BG1128" s="113"/>
      <c r="BH1128" s="113"/>
      <c r="BI1128" s="113"/>
      <c r="BJ1128" s="113"/>
      <c r="BK1128" s="113"/>
      <c r="BL1128" s="5">
        <f t="shared" si="186"/>
        <v>0</v>
      </c>
    </row>
    <row r="1129" spans="1:64" s="2" customFormat="1" ht="54" customHeight="1" outlineLevel="1" x14ac:dyDescent="0.2">
      <c r="A1129" s="593" t="s">
        <v>2044</v>
      </c>
      <c r="B1129" s="600" t="s">
        <v>2031</v>
      </c>
      <c r="C1129" s="7" t="s">
        <v>2261</v>
      </c>
      <c r="D1129" s="8" t="s">
        <v>145</v>
      </c>
      <c r="E1129" s="23" t="s">
        <v>335</v>
      </c>
      <c r="F1129" s="8">
        <v>2013</v>
      </c>
      <c r="G1129" s="8">
        <v>2015</v>
      </c>
      <c r="H1129" s="5">
        <v>0.50845457627118651</v>
      </c>
      <c r="I1129" s="5">
        <v>0.50845457627118651</v>
      </c>
      <c r="J1129" s="5">
        <f>R1129</f>
        <v>0.49118599999999996</v>
      </c>
      <c r="K1129" s="8"/>
      <c r="L1129" s="23" t="s">
        <v>335</v>
      </c>
      <c r="M1129" s="8"/>
      <c r="N1129" s="8"/>
      <c r="O1129" s="8"/>
      <c r="P1129" s="8"/>
      <c r="Q1129" s="23" t="s">
        <v>335</v>
      </c>
      <c r="R1129" s="113">
        <v>0.49118599999999996</v>
      </c>
      <c r="S1129" s="113"/>
      <c r="T1129" s="113"/>
      <c r="U1129" s="113"/>
      <c r="V1129" s="113"/>
      <c r="W1129" s="113"/>
      <c r="X1129" s="5">
        <f t="shared" si="182"/>
        <v>0.49118599999999996</v>
      </c>
      <c r="Y1129" s="302">
        <f>H1129-H1130-H1131</f>
        <v>0</v>
      </c>
      <c r="Z1129" s="5">
        <f>I1129-I1130-I1131</f>
        <v>0</v>
      </c>
      <c r="AA1129" s="94">
        <f>J1129-J1130-J1131</f>
        <v>0</v>
      </c>
      <c r="AB1129" s="311">
        <f t="shared" si="185"/>
        <v>1.7268576271186553E-2</v>
      </c>
      <c r="AC1129" s="296"/>
      <c r="AD1129" s="113"/>
      <c r="AE1129" s="5"/>
      <c r="AF1129" s="5"/>
      <c r="AG1129" s="5">
        <f>H1129</f>
        <v>0.50845457627118651</v>
      </c>
      <c r="AH1129" s="5"/>
      <c r="AI1129" s="5"/>
      <c r="AJ1129" s="5"/>
      <c r="AK1129" s="141"/>
      <c r="AL1129" s="94">
        <f>SUM(AF1129:AK1129)</f>
        <v>0.50845457627118651</v>
      </c>
      <c r="AM1129" s="128"/>
      <c r="AN1129" s="180"/>
      <c r="AO1129" s="128">
        <v>0.1</v>
      </c>
      <c r="AP1129" s="184">
        <v>0</v>
      </c>
      <c r="AQ1129" s="128"/>
      <c r="AR1129" s="184"/>
      <c r="AS1129" s="128"/>
      <c r="AT1129" s="184"/>
      <c r="AU1129" s="128"/>
      <c r="AV1129" s="184"/>
      <c r="AW1129" s="128"/>
      <c r="AX1129" s="184"/>
      <c r="AY1129" s="111">
        <f>AM1129+AO1129+AQ1129+AS1129+AU1129+AW1129</f>
        <v>0.1</v>
      </c>
      <c r="AZ1129" s="178">
        <f>AN1129+AP1129+AR1129+AT1129+AV1129+AX1129</f>
        <v>0</v>
      </c>
      <c r="BC1129" s="47"/>
      <c r="BD1129" s="47"/>
      <c r="BF1129" s="113">
        <v>0.49118599999999996</v>
      </c>
      <c r="BG1129" s="113"/>
      <c r="BH1129" s="113"/>
      <c r="BI1129" s="113"/>
      <c r="BJ1129" s="113"/>
      <c r="BK1129" s="113"/>
      <c r="BL1129" s="5">
        <f t="shared" si="186"/>
        <v>0.49118599999999996</v>
      </c>
    </row>
    <row r="1130" spans="1:64" s="2" customFormat="1" ht="15.75" customHeight="1" outlineLevel="1" x14ac:dyDescent="0.2">
      <c r="A1130" s="594"/>
      <c r="B1130" s="601"/>
      <c r="C1130" s="7" t="s">
        <v>1553</v>
      </c>
      <c r="D1130" s="8"/>
      <c r="E1130" s="23"/>
      <c r="F1130" s="8"/>
      <c r="G1130" s="8"/>
      <c r="H1130" s="5"/>
      <c r="I1130" s="5"/>
      <c r="J1130" s="5"/>
      <c r="K1130" s="8"/>
      <c r="L1130" s="23"/>
      <c r="M1130" s="8"/>
      <c r="N1130" s="8"/>
      <c r="O1130" s="8"/>
      <c r="P1130" s="8"/>
      <c r="Q1130" s="23"/>
      <c r="R1130" s="113"/>
      <c r="S1130" s="113"/>
      <c r="T1130" s="113"/>
      <c r="U1130" s="113"/>
      <c r="V1130" s="113"/>
      <c r="W1130" s="113"/>
      <c r="X1130" s="5">
        <f>SUM(R1130:W1130)</f>
        <v>0</v>
      </c>
      <c r="Y1130" s="302"/>
      <c r="Z1130" s="5"/>
      <c r="AA1130" s="94"/>
      <c r="AB1130" s="311">
        <f t="shared" si="185"/>
        <v>0</v>
      </c>
      <c r="AC1130" s="296"/>
      <c r="AD1130" s="113"/>
      <c r="AE1130" s="5"/>
      <c r="AF1130" s="5"/>
      <c r="AG1130" s="5"/>
      <c r="AH1130" s="5"/>
      <c r="AI1130" s="5"/>
      <c r="AJ1130" s="5"/>
      <c r="AK1130" s="141"/>
      <c r="AL1130" s="94"/>
      <c r="AM1130" s="128"/>
      <c r="AN1130" s="180"/>
      <c r="AO1130" s="128"/>
      <c r="AP1130" s="184"/>
      <c r="AQ1130" s="128"/>
      <c r="AR1130" s="184"/>
      <c r="AS1130" s="128"/>
      <c r="AT1130" s="184"/>
      <c r="AU1130" s="128"/>
      <c r="AV1130" s="184"/>
      <c r="AW1130" s="128"/>
      <c r="AX1130" s="184"/>
      <c r="AY1130" s="111"/>
      <c r="AZ1130" s="178"/>
      <c r="BC1130" s="47"/>
      <c r="BD1130" s="47"/>
      <c r="BF1130" s="113"/>
      <c r="BG1130" s="113"/>
      <c r="BH1130" s="113"/>
      <c r="BI1130" s="113"/>
      <c r="BJ1130" s="113"/>
      <c r="BK1130" s="113"/>
      <c r="BL1130" s="5">
        <f t="shared" si="186"/>
        <v>0</v>
      </c>
    </row>
    <row r="1131" spans="1:64" s="2" customFormat="1" ht="15.75" customHeight="1" outlineLevel="1" x14ac:dyDescent="0.2">
      <c r="A1131" s="595"/>
      <c r="B1131" s="602"/>
      <c r="C1131" s="7" t="s">
        <v>1554</v>
      </c>
      <c r="D1131" s="8"/>
      <c r="E1131" s="23"/>
      <c r="F1131" s="8"/>
      <c r="G1131" s="8"/>
      <c r="H1131" s="5">
        <f>H1129</f>
        <v>0.50845457627118651</v>
      </c>
      <c r="I1131" s="5">
        <f>I1129</f>
        <v>0.50845457627118651</v>
      </c>
      <c r="J1131" s="5">
        <f>J1129</f>
        <v>0.49118599999999996</v>
      </c>
      <c r="K1131" s="23"/>
      <c r="L1131" s="8"/>
      <c r="M1131" s="8"/>
      <c r="N1131" s="8"/>
      <c r="O1131" s="8"/>
      <c r="P1131" s="8"/>
      <c r="Q1131" s="23"/>
      <c r="R1131" s="113"/>
      <c r="S1131" s="113"/>
      <c r="T1131" s="113"/>
      <c r="U1131" s="113"/>
      <c r="V1131" s="113"/>
      <c r="W1131" s="113"/>
      <c r="X1131" s="5">
        <f>SUM(R1131:W1131)</f>
        <v>0</v>
      </c>
      <c r="Y1131" s="302"/>
      <c r="Z1131" s="5"/>
      <c r="AA1131" s="94"/>
      <c r="AB1131" s="311">
        <f t="shared" si="185"/>
        <v>0.50845457627118651</v>
      </c>
      <c r="AC1131" s="296"/>
      <c r="AD1131" s="113"/>
      <c r="AE1131" s="5"/>
      <c r="AF1131" s="5"/>
      <c r="AG1131" s="5"/>
      <c r="AH1131" s="5"/>
      <c r="AI1131" s="5"/>
      <c r="AJ1131" s="5"/>
      <c r="AK1131" s="141"/>
      <c r="AL1131" s="94"/>
      <c r="AM1131" s="128"/>
      <c r="AN1131" s="180"/>
      <c r="AO1131" s="128"/>
      <c r="AP1131" s="184"/>
      <c r="AQ1131" s="128"/>
      <c r="AR1131" s="184"/>
      <c r="AS1131" s="128"/>
      <c r="AT1131" s="184"/>
      <c r="AU1131" s="128"/>
      <c r="AV1131" s="184"/>
      <c r="AW1131" s="128"/>
      <c r="AX1131" s="184"/>
      <c r="AY1131" s="111"/>
      <c r="AZ1131" s="178"/>
      <c r="BC1131" s="47"/>
      <c r="BD1131" s="47"/>
      <c r="BF1131" s="113"/>
      <c r="BG1131" s="113"/>
      <c r="BH1131" s="113"/>
      <c r="BI1131" s="113"/>
      <c r="BJ1131" s="113"/>
      <c r="BK1131" s="113"/>
      <c r="BL1131" s="5">
        <f t="shared" si="186"/>
        <v>0</v>
      </c>
    </row>
    <row r="1132" spans="1:64" s="2" customFormat="1" ht="38.25" outlineLevel="1" x14ac:dyDescent="0.2">
      <c r="A1132" s="593" t="s">
        <v>2046</v>
      </c>
      <c r="B1132" s="600" t="s">
        <v>2034</v>
      </c>
      <c r="C1132" s="7" t="s">
        <v>2048</v>
      </c>
      <c r="D1132" s="8" t="s">
        <v>145</v>
      </c>
      <c r="E1132" s="23" t="s">
        <v>335</v>
      </c>
      <c r="F1132" s="8">
        <v>2013</v>
      </c>
      <c r="G1132" s="8">
        <v>2014</v>
      </c>
      <c r="H1132" s="5">
        <v>0.15548000000000001</v>
      </c>
      <c r="I1132" s="5">
        <v>0.03</v>
      </c>
      <c r="J1132" s="5">
        <f>R1132</f>
        <v>0.03</v>
      </c>
      <c r="K1132" s="23" t="s">
        <v>335</v>
      </c>
      <c r="L1132" s="8"/>
      <c r="M1132" s="8"/>
      <c r="N1132" s="8"/>
      <c r="O1132" s="8"/>
      <c r="P1132" s="8"/>
      <c r="Q1132" s="23" t="s">
        <v>335</v>
      </c>
      <c r="R1132" s="113">
        <v>0.03</v>
      </c>
      <c r="S1132" s="113"/>
      <c r="T1132" s="113"/>
      <c r="U1132" s="113"/>
      <c r="V1132" s="113"/>
      <c r="W1132" s="113"/>
      <c r="X1132" s="5">
        <f t="shared" si="182"/>
        <v>0.03</v>
      </c>
      <c r="Y1132" s="302">
        <f>H1132-H1133-H1134</f>
        <v>0</v>
      </c>
      <c r="Z1132" s="5">
        <f>I1132-I1133-I1134</f>
        <v>0</v>
      </c>
      <c r="AA1132" s="94">
        <f>J1132-J1133-J1134</f>
        <v>0</v>
      </c>
      <c r="AB1132" s="311">
        <f t="shared" si="185"/>
        <v>0</v>
      </c>
      <c r="AC1132" s="296"/>
      <c r="AD1132" s="113"/>
      <c r="AE1132" s="5"/>
      <c r="AF1132" s="5">
        <f>H1132</f>
        <v>0.15548000000000001</v>
      </c>
      <c r="AG1132" s="5"/>
      <c r="AH1132" s="5"/>
      <c r="AI1132" s="5"/>
      <c r="AJ1132" s="5"/>
      <c r="AK1132" s="141"/>
      <c r="AL1132" s="94">
        <f>SUM(AF1132:AK1132)</f>
        <v>0.15548000000000001</v>
      </c>
      <c r="AM1132" s="128">
        <v>0.1</v>
      </c>
      <c r="AN1132" s="180">
        <v>0</v>
      </c>
      <c r="AO1132" s="128"/>
      <c r="AP1132" s="184"/>
      <c r="AQ1132" s="128"/>
      <c r="AR1132" s="184"/>
      <c r="AS1132" s="128"/>
      <c r="AT1132" s="184"/>
      <c r="AU1132" s="128"/>
      <c r="AV1132" s="184"/>
      <c r="AW1132" s="128"/>
      <c r="AX1132" s="184"/>
      <c r="AY1132" s="111">
        <f>AM1132+AO1132+AQ1132+AS1132+AU1132+AW1132</f>
        <v>0.1</v>
      </c>
      <c r="AZ1132" s="178">
        <f>AN1132+AP1132+AR1132+AT1132+AV1132+AX1132</f>
        <v>0</v>
      </c>
      <c r="BC1132" s="47"/>
      <c r="BD1132" s="47"/>
      <c r="BF1132" s="113">
        <v>0.03</v>
      </c>
      <c r="BG1132" s="113"/>
      <c r="BH1132" s="113"/>
      <c r="BI1132" s="113"/>
      <c r="BJ1132" s="113"/>
      <c r="BK1132" s="113"/>
      <c r="BL1132" s="5">
        <f t="shared" ref="BL1132:BL1138" si="187">SUM(BF1132:BK1132)</f>
        <v>0.03</v>
      </c>
    </row>
    <row r="1133" spans="1:64" s="2" customFormat="1" ht="14.1" customHeight="1" outlineLevel="1" x14ac:dyDescent="0.2">
      <c r="A1133" s="594"/>
      <c r="B1133" s="601"/>
      <c r="C1133" s="7" t="s">
        <v>1553</v>
      </c>
      <c r="D1133" s="8"/>
      <c r="E1133" s="23"/>
      <c r="F1133" s="8"/>
      <c r="G1133" s="8"/>
      <c r="H1133" s="5">
        <v>0.15548000000000001</v>
      </c>
      <c r="I1133" s="5">
        <f>I1132</f>
        <v>0.03</v>
      </c>
      <c r="J1133" s="5">
        <f>R1132</f>
        <v>0.03</v>
      </c>
      <c r="K1133" s="8"/>
      <c r="L1133" s="23"/>
      <c r="M1133" s="8"/>
      <c r="N1133" s="8"/>
      <c r="O1133" s="8"/>
      <c r="P1133" s="8"/>
      <c r="Q1133" s="23"/>
      <c r="R1133" s="113"/>
      <c r="S1133" s="113"/>
      <c r="T1133" s="113"/>
      <c r="U1133" s="113"/>
      <c r="V1133" s="113"/>
      <c r="W1133" s="113"/>
      <c r="X1133" s="5">
        <f t="shared" si="182"/>
        <v>0</v>
      </c>
      <c r="Y1133" s="302"/>
      <c r="Z1133" s="5"/>
      <c r="AA1133" s="94"/>
      <c r="AB1133" s="311">
        <f t="shared" si="185"/>
        <v>0.03</v>
      </c>
      <c r="AC1133" s="296"/>
      <c r="AD1133" s="113"/>
      <c r="AE1133" s="5"/>
      <c r="AF1133" s="5"/>
      <c r="AG1133" s="5"/>
      <c r="AH1133" s="5"/>
      <c r="AI1133" s="5"/>
      <c r="AJ1133" s="5"/>
      <c r="AK1133" s="141"/>
      <c r="AL1133" s="94"/>
      <c r="AM1133" s="128"/>
      <c r="AN1133" s="180"/>
      <c r="AO1133" s="128"/>
      <c r="AP1133" s="184"/>
      <c r="AQ1133" s="128"/>
      <c r="AR1133" s="184"/>
      <c r="AS1133" s="128"/>
      <c r="AT1133" s="184"/>
      <c r="AU1133" s="128"/>
      <c r="AV1133" s="184"/>
      <c r="AW1133" s="128"/>
      <c r="AX1133" s="184"/>
      <c r="AY1133" s="111"/>
      <c r="AZ1133" s="178"/>
      <c r="BC1133" s="47"/>
      <c r="BD1133" s="47"/>
      <c r="BF1133" s="113"/>
      <c r="BG1133" s="113"/>
      <c r="BH1133" s="113"/>
      <c r="BI1133" s="113"/>
      <c r="BJ1133" s="113"/>
      <c r="BK1133" s="113"/>
      <c r="BL1133" s="5">
        <f t="shared" si="187"/>
        <v>0</v>
      </c>
    </row>
    <row r="1134" spans="1:64" s="2" customFormat="1" ht="14.1" customHeight="1" outlineLevel="1" x14ac:dyDescent="0.2">
      <c r="A1134" s="595"/>
      <c r="B1134" s="602"/>
      <c r="C1134" s="7" t="s">
        <v>1554</v>
      </c>
      <c r="D1134" s="8"/>
      <c r="E1134" s="23"/>
      <c r="F1134" s="8"/>
      <c r="G1134" s="8"/>
      <c r="H1134" s="5"/>
      <c r="I1134" s="5"/>
      <c r="J1134" s="5"/>
      <c r="K1134" s="23"/>
      <c r="L1134" s="8"/>
      <c r="M1134" s="8"/>
      <c r="N1134" s="8"/>
      <c r="O1134" s="8"/>
      <c r="P1134" s="8"/>
      <c r="Q1134" s="23"/>
      <c r="R1134" s="113"/>
      <c r="S1134" s="113"/>
      <c r="T1134" s="113"/>
      <c r="U1134" s="113"/>
      <c r="V1134" s="113"/>
      <c r="W1134" s="113"/>
      <c r="X1134" s="5">
        <f t="shared" si="182"/>
        <v>0</v>
      </c>
      <c r="Y1134" s="302"/>
      <c r="Z1134" s="5"/>
      <c r="AA1134" s="94"/>
      <c r="AB1134" s="311">
        <f t="shared" si="185"/>
        <v>0</v>
      </c>
      <c r="AC1134" s="296"/>
      <c r="AD1134" s="113"/>
      <c r="AE1134" s="5"/>
      <c r="AF1134" s="5"/>
      <c r="AG1134" s="5"/>
      <c r="AH1134" s="5"/>
      <c r="AI1134" s="5"/>
      <c r="AJ1134" s="5"/>
      <c r="AK1134" s="141"/>
      <c r="AL1134" s="94"/>
      <c r="AM1134" s="128"/>
      <c r="AN1134" s="180"/>
      <c r="AO1134" s="128"/>
      <c r="AP1134" s="184"/>
      <c r="AQ1134" s="128"/>
      <c r="AR1134" s="184"/>
      <c r="AS1134" s="128"/>
      <c r="AT1134" s="184"/>
      <c r="AU1134" s="128"/>
      <c r="AV1134" s="184"/>
      <c r="AW1134" s="128"/>
      <c r="AX1134" s="184"/>
      <c r="AY1134" s="111"/>
      <c r="AZ1134" s="178"/>
      <c r="BC1134" s="47"/>
      <c r="BD1134" s="47"/>
      <c r="BF1134" s="113"/>
      <c r="BG1134" s="113"/>
      <c r="BH1134" s="113"/>
      <c r="BI1134" s="113"/>
      <c r="BJ1134" s="113"/>
      <c r="BK1134" s="113"/>
      <c r="BL1134" s="5">
        <f t="shared" si="187"/>
        <v>0</v>
      </c>
    </row>
    <row r="1135" spans="1:64" s="2" customFormat="1" ht="38.25" customHeight="1" outlineLevel="1" x14ac:dyDescent="0.2">
      <c r="A1135" s="593" t="s">
        <v>2049</v>
      </c>
      <c r="B1135" s="600" t="s">
        <v>2037</v>
      </c>
      <c r="C1135" s="7" t="s">
        <v>2262</v>
      </c>
      <c r="D1135" s="8" t="s">
        <v>145</v>
      </c>
      <c r="E1135" s="23" t="s">
        <v>343</v>
      </c>
      <c r="F1135" s="8">
        <v>2013</v>
      </c>
      <c r="G1135" s="8">
        <v>2015</v>
      </c>
      <c r="H1135" s="5">
        <v>0.42370881355932205</v>
      </c>
      <c r="I1135" s="5">
        <v>0.42370881355932205</v>
      </c>
      <c r="J1135" s="5">
        <f>R1135</f>
        <v>0.01</v>
      </c>
      <c r="K1135" s="8"/>
      <c r="L1135" s="23" t="s">
        <v>343</v>
      </c>
      <c r="M1135" s="8"/>
      <c r="N1135" s="8"/>
      <c r="O1135" s="8"/>
      <c r="P1135" s="8"/>
      <c r="Q1135" s="23" t="s">
        <v>343</v>
      </c>
      <c r="R1135" s="113">
        <v>0.01</v>
      </c>
      <c r="S1135" s="113"/>
      <c r="T1135" s="113"/>
      <c r="U1135" s="113"/>
      <c r="V1135" s="113"/>
      <c r="W1135" s="113"/>
      <c r="X1135" s="5">
        <f t="shared" si="182"/>
        <v>0.01</v>
      </c>
      <c r="Y1135" s="302">
        <f>H1135-H1136-H1137</f>
        <v>0</v>
      </c>
      <c r="Z1135" s="5">
        <f>I1135-I1136-I1137</f>
        <v>0</v>
      </c>
      <c r="AA1135" s="94">
        <f>J1135-J1136-J1137</f>
        <v>0</v>
      </c>
      <c r="AB1135" s="311">
        <f t="shared" si="185"/>
        <v>0.41370881355932204</v>
      </c>
      <c r="AC1135" s="296"/>
      <c r="AD1135" s="113"/>
      <c r="AE1135" s="5"/>
      <c r="AF1135" s="5"/>
      <c r="AG1135" s="5">
        <f>H1135</f>
        <v>0.42370881355932205</v>
      </c>
      <c r="AH1135" s="5"/>
      <c r="AI1135" s="5"/>
      <c r="AJ1135" s="5"/>
      <c r="AK1135" s="141"/>
      <c r="AL1135" s="94">
        <f>SUM(AF1135:AK1135)</f>
        <v>0.42370881355932205</v>
      </c>
      <c r="AM1135" s="128"/>
      <c r="AN1135" s="180"/>
      <c r="AO1135" s="128">
        <v>0.4</v>
      </c>
      <c r="AP1135" s="184">
        <v>0</v>
      </c>
      <c r="AQ1135" s="128"/>
      <c r="AR1135" s="184"/>
      <c r="AS1135" s="128"/>
      <c r="AT1135" s="184"/>
      <c r="AU1135" s="128"/>
      <c r="AV1135" s="184"/>
      <c r="AW1135" s="128"/>
      <c r="AX1135" s="184"/>
      <c r="AY1135" s="111">
        <f>AM1135+AO1135+AQ1135+AS1135+AU1135+AW1135</f>
        <v>0.4</v>
      </c>
      <c r="AZ1135" s="178">
        <f>AN1135+AP1135+AR1135+AT1135+AV1135+AX1135</f>
        <v>0</v>
      </c>
      <c r="BC1135" s="47"/>
      <c r="BD1135" s="47"/>
      <c r="BF1135" s="113">
        <v>0.01</v>
      </c>
      <c r="BG1135" s="113"/>
      <c r="BH1135" s="113"/>
      <c r="BI1135" s="113"/>
      <c r="BJ1135" s="113"/>
      <c r="BK1135" s="113"/>
      <c r="BL1135" s="5">
        <f t="shared" si="187"/>
        <v>0.01</v>
      </c>
    </row>
    <row r="1136" spans="1:64" s="2" customFormat="1" ht="14.1" customHeight="1" outlineLevel="1" x14ac:dyDescent="0.2">
      <c r="A1136" s="594"/>
      <c r="B1136" s="601"/>
      <c r="C1136" s="7" t="s">
        <v>1553</v>
      </c>
      <c r="D1136" s="8"/>
      <c r="E1136" s="23"/>
      <c r="F1136" s="8"/>
      <c r="G1136" s="8"/>
      <c r="H1136" s="5">
        <v>0.42370881355932205</v>
      </c>
      <c r="I1136" s="5">
        <v>0.42370881355932205</v>
      </c>
      <c r="J1136" s="5">
        <f>R1135</f>
        <v>0.01</v>
      </c>
      <c r="K1136" s="8"/>
      <c r="L1136" s="23"/>
      <c r="M1136" s="8"/>
      <c r="N1136" s="8"/>
      <c r="O1136" s="8"/>
      <c r="P1136" s="8"/>
      <c r="Q1136" s="23"/>
      <c r="R1136" s="113"/>
      <c r="S1136" s="113"/>
      <c r="T1136" s="113"/>
      <c r="U1136" s="113"/>
      <c r="V1136" s="113"/>
      <c r="W1136" s="113"/>
      <c r="X1136" s="5">
        <f t="shared" si="182"/>
        <v>0</v>
      </c>
      <c r="Y1136" s="302"/>
      <c r="Z1136" s="5"/>
      <c r="AA1136" s="94"/>
      <c r="AB1136" s="311">
        <f t="shared" si="185"/>
        <v>0.42370881355932205</v>
      </c>
      <c r="AC1136" s="296"/>
      <c r="AD1136" s="113"/>
      <c r="AE1136" s="5"/>
      <c r="AF1136" s="5"/>
      <c r="AG1136" s="5"/>
      <c r="AH1136" s="5"/>
      <c r="AI1136" s="5"/>
      <c r="AJ1136" s="5"/>
      <c r="AK1136" s="141"/>
      <c r="AL1136" s="94"/>
      <c r="AM1136" s="128"/>
      <c r="AN1136" s="180"/>
      <c r="AO1136" s="128"/>
      <c r="AP1136" s="184"/>
      <c r="AQ1136" s="128"/>
      <c r="AR1136" s="184"/>
      <c r="AS1136" s="128"/>
      <c r="AT1136" s="184"/>
      <c r="AU1136" s="128"/>
      <c r="AV1136" s="184"/>
      <c r="AW1136" s="128"/>
      <c r="AX1136" s="184"/>
      <c r="AY1136" s="111"/>
      <c r="AZ1136" s="178"/>
      <c r="BC1136" s="47"/>
      <c r="BD1136" s="47"/>
      <c r="BF1136" s="113"/>
      <c r="BG1136" s="113"/>
      <c r="BH1136" s="113"/>
      <c r="BI1136" s="113"/>
      <c r="BJ1136" s="113"/>
      <c r="BK1136" s="113"/>
      <c r="BL1136" s="5">
        <f t="shared" si="187"/>
        <v>0</v>
      </c>
    </row>
    <row r="1137" spans="1:64" s="2" customFormat="1" ht="14.1" customHeight="1" outlineLevel="1" x14ac:dyDescent="0.2">
      <c r="A1137" s="595"/>
      <c r="B1137" s="602"/>
      <c r="C1137" s="7" t="s">
        <v>1554</v>
      </c>
      <c r="D1137" s="8"/>
      <c r="E1137" s="23"/>
      <c r="F1137" s="8"/>
      <c r="G1137" s="8"/>
      <c r="H1137" s="5"/>
      <c r="I1137" s="5"/>
      <c r="J1137" s="5"/>
      <c r="K1137" s="23"/>
      <c r="L1137" s="8"/>
      <c r="M1137" s="8"/>
      <c r="N1137" s="8"/>
      <c r="O1137" s="8"/>
      <c r="P1137" s="8"/>
      <c r="Q1137" s="23"/>
      <c r="R1137" s="113"/>
      <c r="S1137" s="113"/>
      <c r="T1137" s="113"/>
      <c r="U1137" s="113"/>
      <c r="V1137" s="113"/>
      <c r="W1137" s="113"/>
      <c r="X1137" s="5">
        <f t="shared" si="182"/>
        <v>0</v>
      </c>
      <c r="Y1137" s="302"/>
      <c r="Z1137" s="5"/>
      <c r="AA1137" s="94"/>
      <c r="AB1137" s="311">
        <f t="shared" si="185"/>
        <v>0</v>
      </c>
      <c r="AC1137" s="296"/>
      <c r="AD1137" s="113"/>
      <c r="AE1137" s="5"/>
      <c r="AF1137" s="5"/>
      <c r="AG1137" s="5"/>
      <c r="AH1137" s="5"/>
      <c r="AI1137" s="5"/>
      <c r="AJ1137" s="5"/>
      <c r="AK1137" s="141"/>
      <c r="AL1137" s="94"/>
      <c r="AM1137" s="128"/>
      <c r="AN1137" s="180"/>
      <c r="AO1137" s="128"/>
      <c r="AP1137" s="184"/>
      <c r="AQ1137" s="128"/>
      <c r="AR1137" s="184"/>
      <c r="AS1137" s="128"/>
      <c r="AT1137" s="184"/>
      <c r="AU1137" s="128"/>
      <c r="AV1137" s="184"/>
      <c r="AW1137" s="128"/>
      <c r="AX1137" s="184"/>
      <c r="AY1137" s="111"/>
      <c r="AZ1137" s="178"/>
      <c r="BC1137" s="47"/>
      <c r="BD1137" s="47"/>
      <c r="BF1137" s="113"/>
      <c r="BG1137" s="113"/>
      <c r="BH1137" s="113"/>
      <c r="BI1137" s="113"/>
      <c r="BJ1137" s="113"/>
      <c r="BK1137" s="113"/>
      <c r="BL1137" s="5">
        <f t="shared" si="187"/>
        <v>0</v>
      </c>
    </row>
    <row r="1138" spans="1:64" s="2" customFormat="1" ht="51" customHeight="1" outlineLevel="1" x14ac:dyDescent="0.2">
      <c r="A1138" s="593" t="s">
        <v>2051</v>
      </c>
      <c r="B1138" s="600" t="s">
        <v>2040</v>
      </c>
      <c r="C1138" s="7" t="s">
        <v>2053</v>
      </c>
      <c r="D1138" s="8" t="s">
        <v>145</v>
      </c>
      <c r="E1138" s="23" t="s">
        <v>340</v>
      </c>
      <c r="F1138" s="8">
        <v>2013</v>
      </c>
      <c r="G1138" s="8">
        <v>2015</v>
      </c>
      <c r="H1138" s="5">
        <v>0.42399999999999999</v>
      </c>
      <c r="I1138" s="5">
        <v>0.42370881355932205</v>
      </c>
      <c r="J1138" s="5">
        <f>R1138</f>
        <v>0.383017</v>
      </c>
      <c r="K1138" s="8"/>
      <c r="L1138" s="23" t="s">
        <v>340</v>
      </c>
      <c r="M1138" s="8"/>
      <c r="N1138" s="8"/>
      <c r="O1138" s="8"/>
      <c r="P1138" s="8"/>
      <c r="Q1138" s="23" t="s">
        <v>340</v>
      </c>
      <c r="R1138" s="113">
        <v>0.383017</v>
      </c>
      <c r="S1138" s="113"/>
      <c r="T1138" s="113"/>
      <c r="U1138" s="113"/>
      <c r="V1138" s="113"/>
      <c r="W1138" s="113"/>
      <c r="X1138" s="5">
        <f t="shared" si="182"/>
        <v>0.383017</v>
      </c>
      <c r="Y1138" s="302">
        <f>H1138-H1139-H1140</f>
        <v>0</v>
      </c>
      <c r="Z1138" s="5">
        <f>I1138-I1139-I1140</f>
        <v>0</v>
      </c>
      <c r="AA1138" s="94">
        <f>J1138-J1139-J1140</f>
        <v>0</v>
      </c>
      <c r="AB1138" s="311">
        <f t="shared" si="185"/>
        <v>4.0691813559322054E-2</v>
      </c>
      <c r="AC1138" s="296"/>
      <c r="AD1138" s="113"/>
      <c r="AE1138" s="5"/>
      <c r="AF1138" s="5"/>
      <c r="AG1138" s="5">
        <f>H1138</f>
        <v>0.42399999999999999</v>
      </c>
      <c r="AH1138" s="5"/>
      <c r="AI1138" s="5"/>
      <c r="AJ1138" s="5"/>
      <c r="AK1138" s="141"/>
      <c r="AL1138" s="94">
        <f>SUM(AF1138:AK1138)</f>
        <v>0.42399999999999999</v>
      </c>
      <c r="AM1138" s="128"/>
      <c r="AN1138" s="180"/>
      <c r="AO1138" s="128">
        <v>0.2</v>
      </c>
      <c r="AP1138" s="184">
        <v>0</v>
      </c>
      <c r="AQ1138" s="128"/>
      <c r="AR1138" s="184"/>
      <c r="AS1138" s="128"/>
      <c r="AT1138" s="184"/>
      <c r="AU1138" s="128"/>
      <c r="AV1138" s="184"/>
      <c r="AW1138" s="128"/>
      <c r="AX1138" s="184"/>
      <c r="AY1138" s="111">
        <f>AM1138+AO1138+AQ1138+AS1138+AU1138+AW1138</f>
        <v>0.2</v>
      </c>
      <c r="AZ1138" s="178">
        <f>AN1138+AP1138+AR1138+AT1138+AV1138+AX1138</f>
        <v>0</v>
      </c>
      <c r="BC1138" s="47"/>
      <c r="BD1138" s="47"/>
      <c r="BF1138" s="113">
        <v>0.383017</v>
      </c>
      <c r="BG1138" s="113"/>
      <c r="BH1138" s="113"/>
      <c r="BI1138" s="113"/>
      <c r="BJ1138" s="113"/>
      <c r="BK1138" s="113"/>
      <c r="BL1138" s="5">
        <f t="shared" si="187"/>
        <v>0.383017</v>
      </c>
    </row>
    <row r="1139" spans="1:64" s="2" customFormat="1" ht="14.1" customHeight="1" outlineLevel="1" x14ac:dyDescent="0.2">
      <c r="A1139" s="594"/>
      <c r="B1139" s="601"/>
      <c r="C1139" s="7" t="s">
        <v>1553</v>
      </c>
      <c r="D1139" s="8"/>
      <c r="E1139" s="23"/>
      <c r="F1139" s="8"/>
      <c r="G1139" s="8"/>
      <c r="H1139" s="5">
        <v>0.42399999999999999</v>
      </c>
      <c r="I1139" s="5">
        <v>0.42370881355932205</v>
      </c>
      <c r="J1139" s="5">
        <f>R1138</f>
        <v>0.383017</v>
      </c>
      <c r="K1139" s="8"/>
      <c r="L1139" s="23"/>
      <c r="M1139" s="8"/>
      <c r="N1139" s="8"/>
      <c r="O1139" s="8"/>
      <c r="P1139" s="8"/>
      <c r="Q1139" s="23"/>
      <c r="R1139" s="113"/>
      <c r="S1139" s="113"/>
      <c r="T1139" s="113"/>
      <c r="U1139" s="113"/>
      <c r="V1139" s="113"/>
      <c r="W1139" s="113"/>
      <c r="X1139" s="5">
        <f>SUM(R1139:W1139)</f>
        <v>0</v>
      </c>
      <c r="Y1139" s="302"/>
      <c r="Z1139" s="5"/>
      <c r="AA1139" s="94"/>
      <c r="AB1139" s="311">
        <f t="shared" si="185"/>
        <v>0.42370881355932205</v>
      </c>
      <c r="AC1139" s="296"/>
      <c r="AD1139" s="113"/>
      <c r="AE1139" s="5"/>
      <c r="AF1139" s="5"/>
      <c r="AG1139" s="5"/>
      <c r="AH1139" s="5"/>
      <c r="AI1139" s="5"/>
      <c r="AJ1139" s="5"/>
      <c r="AK1139" s="141"/>
      <c r="AL1139" s="94"/>
      <c r="AM1139" s="128"/>
      <c r="AN1139" s="180"/>
      <c r="AO1139" s="128"/>
      <c r="AP1139" s="184"/>
      <c r="AQ1139" s="128"/>
      <c r="AR1139" s="184"/>
      <c r="AS1139" s="128"/>
      <c r="AT1139" s="184"/>
      <c r="AU1139" s="128"/>
      <c r="AV1139" s="184"/>
      <c r="AW1139" s="128"/>
      <c r="AX1139" s="184"/>
      <c r="AY1139" s="111"/>
      <c r="AZ1139" s="178"/>
      <c r="BC1139" s="47"/>
      <c r="BD1139" s="47"/>
      <c r="BF1139" s="113"/>
      <c r="BG1139" s="113"/>
      <c r="BH1139" s="113"/>
      <c r="BI1139" s="113"/>
      <c r="BJ1139" s="113"/>
      <c r="BK1139" s="113"/>
      <c r="BL1139" s="5">
        <f t="shared" ref="BL1139:BL1170" si="188">SUM(BF1139:BK1139)</f>
        <v>0</v>
      </c>
    </row>
    <row r="1140" spans="1:64" s="2" customFormat="1" ht="14.1" customHeight="1" outlineLevel="1" x14ac:dyDescent="0.2">
      <c r="A1140" s="595"/>
      <c r="B1140" s="602"/>
      <c r="C1140" s="7" t="s">
        <v>1554</v>
      </c>
      <c r="D1140" s="8"/>
      <c r="E1140" s="23"/>
      <c r="F1140" s="8"/>
      <c r="G1140" s="8"/>
      <c r="H1140" s="5"/>
      <c r="I1140" s="5"/>
      <c r="J1140" s="5"/>
      <c r="K1140" s="23"/>
      <c r="L1140" s="8"/>
      <c r="M1140" s="8"/>
      <c r="N1140" s="8"/>
      <c r="O1140" s="8"/>
      <c r="P1140" s="8"/>
      <c r="Q1140" s="23"/>
      <c r="R1140" s="113"/>
      <c r="S1140" s="113"/>
      <c r="T1140" s="113"/>
      <c r="U1140" s="113"/>
      <c r="V1140" s="113"/>
      <c r="W1140" s="113"/>
      <c r="X1140" s="5">
        <f>SUM(R1140:W1140)</f>
        <v>0</v>
      </c>
      <c r="Y1140" s="302"/>
      <c r="Z1140" s="5"/>
      <c r="AA1140" s="94"/>
      <c r="AB1140" s="311">
        <f t="shared" si="185"/>
        <v>0</v>
      </c>
      <c r="AC1140" s="296"/>
      <c r="AD1140" s="113"/>
      <c r="AE1140" s="5"/>
      <c r="AF1140" s="5"/>
      <c r="AG1140" s="5"/>
      <c r="AH1140" s="5"/>
      <c r="AI1140" s="5"/>
      <c r="AJ1140" s="5"/>
      <c r="AK1140" s="141"/>
      <c r="AL1140" s="94"/>
      <c r="AM1140" s="128"/>
      <c r="AN1140" s="180"/>
      <c r="AO1140" s="128"/>
      <c r="AP1140" s="184"/>
      <c r="AQ1140" s="128"/>
      <c r="AR1140" s="184"/>
      <c r="AS1140" s="128"/>
      <c r="AT1140" s="184"/>
      <c r="AU1140" s="128"/>
      <c r="AV1140" s="184"/>
      <c r="AW1140" s="128"/>
      <c r="AX1140" s="184"/>
      <c r="AY1140" s="111"/>
      <c r="AZ1140" s="178"/>
      <c r="BC1140" s="47"/>
      <c r="BD1140" s="47"/>
      <c r="BF1140" s="113"/>
      <c r="BG1140" s="113"/>
      <c r="BH1140" s="113"/>
      <c r="BI1140" s="113"/>
      <c r="BJ1140" s="113"/>
      <c r="BK1140" s="113"/>
      <c r="BL1140" s="5">
        <f t="shared" si="188"/>
        <v>0</v>
      </c>
    </row>
    <row r="1141" spans="1:64" s="2" customFormat="1" ht="38.25" outlineLevel="1" x14ac:dyDescent="0.2">
      <c r="A1141" s="593" t="s">
        <v>2054</v>
      </c>
      <c r="B1141" s="600" t="s">
        <v>2043</v>
      </c>
      <c r="C1141" s="7" t="s">
        <v>2056</v>
      </c>
      <c r="D1141" s="8" t="s">
        <v>145</v>
      </c>
      <c r="E1141" s="23" t="s">
        <v>333</v>
      </c>
      <c r="F1141" s="8">
        <v>2013</v>
      </c>
      <c r="G1141" s="8">
        <v>2014</v>
      </c>
      <c r="H1141" s="5">
        <v>0.15548000000000001</v>
      </c>
      <c r="I1141" s="5">
        <v>3.6838999999999997E-2</v>
      </c>
      <c r="J1141" s="5">
        <f>R1141</f>
        <v>3.6838999999999997E-2</v>
      </c>
      <c r="K1141" s="23" t="s">
        <v>333</v>
      </c>
      <c r="L1141" s="8"/>
      <c r="M1141" s="8"/>
      <c r="N1141" s="8"/>
      <c r="O1141" s="8"/>
      <c r="P1141" s="8"/>
      <c r="Q1141" s="23" t="s">
        <v>333</v>
      </c>
      <c r="R1141" s="113">
        <v>3.6838999999999997E-2</v>
      </c>
      <c r="S1141" s="113"/>
      <c r="T1141" s="113"/>
      <c r="U1141" s="113"/>
      <c r="V1141" s="113"/>
      <c r="W1141" s="113"/>
      <c r="X1141" s="5">
        <f t="shared" si="182"/>
        <v>3.6838999999999997E-2</v>
      </c>
      <c r="Y1141" s="302">
        <f>H1141-H1142-H1143</f>
        <v>0</v>
      </c>
      <c r="Z1141" s="5">
        <f>I1141-I1142-I1143</f>
        <v>0</v>
      </c>
      <c r="AA1141" s="94">
        <f>J1141-J1142-J1143</f>
        <v>0</v>
      </c>
      <c r="AB1141" s="311">
        <f t="shared" si="185"/>
        <v>0</v>
      </c>
      <c r="AC1141" s="296"/>
      <c r="AD1141" s="113"/>
      <c r="AE1141" s="5"/>
      <c r="AF1141" s="5">
        <f>H1141</f>
        <v>0.15548000000000001</v>
      </c>
      <c r="AG1141" s="5"/>
      <c r="AH1141" s="5"/>
      <c r="AI1141" s="5"/>
      <c r="AJ1141" s="5"/>
      <c r="AK1141" s="141"/>
      <c r="AL1141" s="94">
        <f>SUM(AF1141:AK1141)</f>
        <v>0.15548000000000001</v>
      </c>
      <c r="AM1141" s="128">
        <v>0.3</v>
      </c>
      <c r="AN1141" s="180">
        <v>0</v>
      </c>
      <c r="AO1141" s="128"/>
      <c r="AP1141" s="184"/>
      <c r="AQ1141" s="128"/>
      <c r="AR1141" s="184"/>
      <c r="AS1141" s="128"/>
      <c r="AT1141" s="184"/>
      <c r="AU1141" s="128"/>
      <c r="AV1141" s="184"/>
      <c r="AW1141" s="128"/>
      <c r="AX1141" s="184"/>
      <c r="AY1141" s="111">
        <f>AM1141+AO1141+AQ1141+AS1141+AU1141+AW1141</f>
        <v>0.3</v>
      </c>
      <c r="AZ1141" s="178">
        <f>AN1141+AP1141+AR1141+AT1141+AV1141+AX1141</f>
        <v>0</v>
      </c>
      <c r="BC1141" s="47"/>
      <c r="BD1141" s="47"/>
      <c r="BF1141" s="113">
        <v>3.6838999999999997E-2</v>
      </c>
      <c r="BG1141" s="113"/>
      <c r="BH1141" s="113"/>
      <c r="BI1141" s="113"/>
      <c r="BJ1141" s="113"/>
      <c r="BK1141" s="113"/>
      <c r="BL1141" s="5">
        <f t="shared" si="188"/>
        <v>3.6838999999999997E-2</v>
      </c>
    </row>
    <row r="1142" spans="1:64" s="2" customFormat="1" ht="14.1" customHeight="1" outlineLevel="1" x14ac:dyDescent="0.2">
      <c r="A1142" s="594"/>
      <c r="B1142" s="601"/>
      <c r="C1142" s="7" t="s">
        <v>1553</v>
      </c>
      <c r="D1142" s="8"/>
      <c r="E1142" s="23"/>
      <c r="F1142" s="8"/>
      <c r="G1142" s="8"/>
      <c r="H1142" s="5">
        <v>0.15548000000000001</v>
      </c>
      <c r="I1142" s="5">
        <f>I1141</f>
        <v>3.6838999999999997E-2</v>
      </c>
      <c r="J1142" s="5">
        <f>R1141</f>
        <v>3.6838999999999997E-2</v>
      </c>
      <c r="K1142" s="8"/>
      <c r="L1142" s="23"/>
      <c r="M1142" s="8"/>
      <c r="N1142" s="8"/>
      <c r="O1142" s="8"/>
      <c r="P1142" s="8"/>
      <c r="Q1142" s="23"/>
      <c r="R1142" s="113"/>
      <c r="S1142" s="113"/>
      <c r="T1142" s="113"/>
      <c r="U1142" s="113"/>
      <c r="V1142" s="113"/>
      <c r="W1142" s="113"/>
      <c r="X1142" s="5">
        <f t="shared" si="182"/>
        <v>0</v>
      </c>
      <c r="Y1142" s="302"/>
      <c r="Z1142" s="5"/>
      <c r="AA1142" s="94"/>
      <c r="AB1142" s="311">
        <f t="shared" si="185"/>
        <v>3.6838999999999997E-2</v>
      </c>
      <c r="AC1142" s="296"/>
      <c r="AD1142" s="113"/>
      <c r="AE1142" s="5"/>
      <c r="AF1142" s="5"/>
      <c r="AG1142" s="5"/>
      <c r="AH1142" s="5"/>
      <c r="AI1142" s="5"/>
      <c r="AJ1142" s="5"/>
      <c r="AK1142" s="141"/>
      <c r="AL1142" s="94"/>
      <c r="AM1142" s="128"/>
      <c r="AN1142" s="180"/>
      <c r="AO1142" s="128"/>
      <c r="AP1142" s="184"/>
      <c r="AQ1142" s="128"/>
      <c r="AR1142" s="184"/>
      <c r="AS1142" s="128"/>
      <c r="AT1142" s="184"/>
      <c r="AU1142" s="128"/>
      <c r="AV1142" s="184"/>
      <c r="AW1142" s="128"/>
      <c r="AX1142" s="184"/>
      <c r="AY1142" s="111"/>
      <c r="AZ1142" s="178"/>
      <c r="BC1142" s="47"/>
      <c r="BD1142" s="47"/>
      <c r="BF1142" s="113"/>
      <c r="BG1142" s="113"/>
      <c r="BH1142" s="113"/>
      <c r="BI1142" s="113"/>
      <c r="BJ1142" s="113"/>
      <c r="BK1142" s="113"/>
      <c r="BL1142" s="5">
        <f t="shared" si="188"/>
        <v>0</v>
      </c>
    </row>
    <row r="1143" spans="1:64" s="2" customFormat="1" ht="14.1" customHeight="1" outlineLevel="1" x14ac:dyDescent="0.2">
      <c r="A1143" s="595"/>
      <c r="B1143" s="602"/>
      <c r="C1143" s="7" t="s">
        <v>1554</v>
      </c>
      <c r="D1143" s="8"/>
      <c r="E1143" s="23"/>
      <c r="F1143" s="8"/>
      <c r="G1143" s="8"/>
      <c r="H1143" s="5"/>
      <c r="I1143" s="5"/>
      <c r="J1143" s="5"/>
      <c r="K1143" s="23"/>
      <c r="L1143" s="8"/>
      <c r="M1143" s="8"/>
      <c r="N1143" s="8"/>
      <c r="O1143" s="8"/>
      <c r="P1143" s="8"/>
      <c r="Q1143" s="23"/>
      <c r="R1143" s="113"/>
      <c r="S1143" s="113"/>
      <c r="T1143" s="113"/>
      <c r="U1143" s="113"/>
      <c r="V1143" s="113"/>
      <c r="W1143" s="113"/>
      <c r="X1143" s="5">
        <f t="shared" si="182"/>
        <v>0</v>
      </c>
      <c r="Y1143" s="302"/>
      <c r="Z1143" s="5"/>
      <c r="AA1143" s="94"/>
      <c r="AB1143" s="311">
        <f t="shared" si="185"/>
        <v>0</v>
      </c>
      <c r="AC1143" s="296"/>
      <c r="AD1143" s="113"/>
      <c r="AE1143" s="5"/>
      <c r="AF1143" s="5"/>
      <c r="AG1143" s="5"/>
      <c r="AH1143" s="5"/>
      <c r="AI1143" s="5"/>
      <c r="AJ1143" s="5"/>
      <c r="AK1143" s="141"/>
      <c r="AL1143" s="94"/>
      <c r="AM1143" s="128"/>
      <c r="AN1143" s="180"/>
      <c r="AO1143" s="128"/>
      <c r="AP1143" s="184"/>
      <c r="AQ1143" s="128"/>
      <c r="AR1143" s="184"/>
      <c r="AS1143" s="128"/>
      <c r="AT1143" s="184"/>
      <c r="AU1143" s="128"/>
      <c r="AV1143" s="184"/>
      <c r="AW1143" s="128"/>
      <c r="AX1143" s="184"/>
      <c r="AY1143" s="111"/>
      <c r="AZ1143" s="178"/>
      <c r="BC1143" s="47"/>
      <c r="BD1143" s="47"/>
      <c r="BF1143" s="113"/>
      <c r="BG1143" s="113"/>
      <c r="BH1143" s="113"/>
      <c r="BI1143" s="113"/>
      <c r="BJ1143" s="113"/>
      <c r="BK1143" s="113"/>
      <c r="BL1143" s="5">
        <f t="shared" si="188"/>
        <v>0</v>
      </c>
    </row>
    <row r="1144" spans="1:64" s="2" customFormat="1" ht="38.25" outlineLevel="1" x14ac:dyDescent="0.2">
      <c r="A1144" s="593" t="s">
        <v>2057</v>
      </c>
      <c r="B1144" s="600" t="s">
        <v>2045</v>
      </c>
      <c r="C1144" s="7" t="s">
        <v>2059</v>
      </c>
      <c r="D1144" s="8" t="s">
        <v>145</v>
      </c>
      <c r="E1144" s="23" t="s">
        <v>1387</v>
      </c>
      <c r="F1144" s="8">
        <v>2013</v>
      </c>
      <c r="G1144" s="8">
        <v>2014</v>
      </c>
      <c r="H1144" s="5">
        <v>0.15548000000000001</v>
      </c>
      <c r="I1144" s="5">
        <v>9.8236999999999991E-2</v>
      </c>
      <c r="J1144" s="5">
        <f>R1144</f>
        <v>9.8236999999999991E-2</v>
      </c>
      <c r="K1144" s="23" t="s">
        <v>1387</v>
      </c>
      <c r="L1144" s="8"/>
      <c r="M1144" s="8"/>
      <c r="N1144" s="8"/>
      <c r="O1144" s="8"/>
      <c r="P1144" s="8"/>
      <c r="Q1144" s="23" t="s">
        <v>1387</v>
      </c>
      <c r="R1144" s="113">
        <v>9.8236999999999991E-2</v>
      </c>
      <c r="S1144" s="113"/>
      <c r="T1144" s="113"/>
      <c r="U1144" s="113"/>
      <c r="V1144" s="113"/>
      <c r="W1144" s="113"/>
      <c r="X1144" s="5">
        <f t="shared" si="182"/>
        <v>9.8236999999999991E-2</v>
      </c>
      <c r="Y1144" s="302">
        <f>H1144-H1145-H1146</f>
        <v>0</v>
      </c>
      <c r="Z1144" s="5">
        <f>I1144-I1145-I1146</f>
        <v>0</v>
      </c>
      <c r="AA1144" s="94">
        <f>J1144-J1145-J1146</f>
        <v>0</v>
      </c>
      <c r="AB1144" s="311">
        <f t="shared" si="185"/>
        <v>0</v>
      </c>
      <c r="AC1144" s="296"/>
      <c r="AD1144" s="113"/>
      <c r="AE1144" s="5"/>
      <c r="AF1144" s="5">
        <f>H1144</f>
        <v>0.15548000000000001</v>
      </c>
      <c r="AG1144" s="5"/>
      <c r="AH1144" s="5"/>
      <c r="AI1144" s="5"/>
      <c r="AJ1144" s="5"/>
      <c r="AK1144" s="141"/>
      <c r="AL1144" s="94">
        <f>SUM(AF1144:AK1144)</f>
        <v>0.15548000000000001</v>
      </c>
      <c r="AM1144" s="128">
        <v>0.5</v>
      </c>
      <c r="AN1144" s="180">
        <v>0</v>
      </c>
      <c r="AO1144" s="128"/>
      <c r="AP1144" s="184"/>
      <c r="AQ1144" s="128"/>
      <c r="AR1144" s="184"/>
      <c r="AS1144" s="128"/>
      <c r="AT1144" s="184"/>
      <c r="AU1144" s="128"/>
      <c r="AV1144" s="184"/>
      <c r="AW1144" s="128"/>
      <c r="AX1144" s="184"/>
      <c r="AY1144" s="111">
        <f>AM1144+AO1144+AQ1144+AS1144+AU1144+AW1144</f>
        <v>0.5</v>
      </c>
      <c r="AZ1144" s="178">
        <f>AN1144+AP1144+AR1144+AT1144+AV1144+AX1144</f>
        <v>0</v>
      </c>
      <c r="BC1144" s="47"/>
      <c r="BD1144" s="47"/>
      <c r="BF1144" s="113">
        <v>9.8236999999999991E-2</v>
      </c>
      <c r="BG1144" s="113"/>
      <c r="BH1144" s="113"/>
      <c r="BI1144" s="113"/>
      <c r="BJ1144" s="113"/>
      <c r="BK1144" s="113"/>
      <c r="BL1144" s="5">
        <f t="shared" si="188"/>
        <v>9.8236999999999991E-2</v>
      </c>
    </row>
    <row r="1145" spans="1:64" s="2" customFormat="1" ht="14.1" customHeight="1" outlineLevel="1" x14ac:dyDescent="0.2">
      <c r="A1145" s="594"/>
      <c r="B1145" s="601"/>
      <c r="C1145" s="7" t="s">
        <v>1553</v>
      </c>
      <c r="D1145" s="8"/>
      <c r="E1145" s="23"/>
      <c r="F1145" s="8"/>
      <c r="G1145" s="8"/>
      <c r="H1145" s="5"/>
      <c r="I1145" s="5"/>
      <c r="J1145" s="5"/>
      <c r="K1145" s="8"/>
      <c r="L1145" s="23"/>
      <c r="M1145" s="8"/>
      <c r="N1145" s="8"/>
      <c r="O1145" s="8"/>
      <c r="P1145" s="8"/>
      <c r="Q1145" s="23"/>
      <c r="R1145" s="113"/>
      <c r="S1145" s="113"/>
      <c r="T1145" s="113"/>
      <c r="U1145" s="113"/>
      <c r="V1145" s="113"/>
      <c r="W1145" s="113"/>
      <c r="X1145" s="5">
        <f>SUM(R1145:W1145)</f>
        <v>0</v>
      </c>
      <c r="Y1145" s="302"/>
      <c r="Z1145" s="5"/>
      <c r="AA1145" s="94"/>
      <c r="AB1145" s="311">
        <f t="shared" si="185"/>
        <v>0</v>
      </c>
      <c r="AC1145" s="296"/>
      <c r="AD1145" s="113"/>
      <c r="AE1145" s="5"/>
      <c r="AF1145" s="5"/>
      <c r="AG1145" s="5"/>
      <c r="AH1145" s="5"/>
      <c r="AI1145" s="5"/>
      <c r="AJ1145" s="5"/>
      <c r="AK1145" s="141"/>
      <c r="AL1145" s="94"/>
      <c r="AM1145" s="128"/>
      <c r="AN1145" s="180"/>
      <c r="AO1145" s="128"/>
      <c r="AP1145" s="184"/>
      <c r="AQ1145" s="128"/>
      <c r="AR1145" s="184"/>
      <c r="AS1145" s="128"/>
      <c r="AT1145" s="184"/>
      <c r="AU1145" s="128"/>
      <c r="AV1145" s="184"/>
      <c r="AW1145" s="128"/>
      <c r="AX1145" s="184"/>
      <c r="AY1145" s="111"/>
      <c r="AZ1145" s="178"/>
      <c r="BC1145" s="47"/>
      <c r="BD1145" s="47"/>
      <c r="BF1145" s="113"/>
      <c r="BG1145" s="113"/>
      <c r="BH1145" s="113"/>
      <c r="BI1145" s="113"/>
      <c r="BJ1145" s="113"/>
      <c r="BK1145" s="113"/>
      <c r="BL1145" s="5">
        <f t="shared" si="188"/>
        <v>0</v>
      </c>
    </row>
    <row r="1146" spans="1:64" s="2" customFormat="1" ht="14.1" customHeight="1" outlineLevel="1" x14ac:dyDescent="0.2">
      <c r="A1146" s="595"/>
      <c r="B1146" s="602"/>
      <c r="C1146" s="7" t="s">
        <v>1554</v>
      </c>
      <c r="D1146" s="8"/>
      <c r="E1146" s="23"/>
      <c r="F1146" s="8"/>
      <c r="G1146" s="8"/>
      <c r="H1146" s="5">
        <v>0.15548000000000001</v>
      </c>
      <c r="I1146" s="5">
        <f>I1144</f>
        <v>9.8236999999999991E-2</v>
      </c>
      <c r="J1146" s="5">
        <v>9.8236999999999991E-2</v>
      </c>
      <c r="K1146" s="23"/>
      <c r="L1146" s="8"/>
      <c r="M1146" s="8"/>
      <c r="N1146" s="8"/>
      <c r="O1146" s="8"/>
      <c r="P1146" s="8"/>
      <c r="Q1146" s="23"/>
      <c r="R1146" s="113"/>
      <c r="S1146" s="113"/>
      <c r="T1146" s="113"/>
      <c r="U1146" s="113"/>
      <c r="V1146" s="113"/>
      <c r="W1146" s="113"/>
      <c r="X1146" s="5">
        <f>SUM(R1146:W1146)</f>
        <v>0</v>
      </c>
      <c r="Y1146" s="302"/>
      <c r="Z1146" s="5"/>
      <c r="AA1146" s="94"/>
      <c r="AB1146" s="311">
        <f t="shared" si="185"/>
        <v>9.8236999999999991E-2</v>
      </c>
      <c r="AC1146" s="296"/>
      <c r="AD1146" s="113"/>
      <c r="AE1146" s="5"/>
      <c r="AF1146" s="5"/>
      <c r="AG1146" s="5"/>
      <c r="AH1146" s="5"/>
      <c r="AI1146" s="5"/>
      <c r="AJ1146" s="5"/>
      <c r="AK1146" s="141"/>
      <c r="AL1146" s="94"/>
      <c r="AM1146" s="128"/>
      <c r="AN1146" s="180"/>
      <c r="AO1146" s="128"/>
      <c r="AP1146" s="184"/>
      <c r="AQ1146" s="128"/>
      <c r="AR1146" s="184"/>
      <c r="AS1146" s="128"/>
      <c r="AT1146" s="184"/>
      <c r="AU1146" s="128"/>
      <c r="AV1146" s="184"/>
      <c r="AW1146" s="128"/>
      <c r="AX1146" s="184"/>
      <c r="AY1146" s="111"/>
      <c r="AZ1146" s="178"/>
      <c r="BC1146" s="47"/>
      <c r="BD1146" s="47"/>
      <c r="BF1146" s="113"/>
      <c r="BG1146" s="113"/>
      <c r="BH1146" s="113"/>
      <c r="BI1146" s="113"/>
      <c r="BJ1146" s="113"/>
      <c r="BK1146" s="113"/>
      <c r="BL1146" s="5">
        <f t="shared" si="188"/>
        <v>0</v>
      </c>
    </row>
    <row r="1147" spans="1:64" s="2" customFormat="1" ht="25.5" customHeight="1" outlineLevel="1" x14ac:dyDescent="0.2">
      <c r="A1147" s="593" t="s">
        <v>2060</v>
      </c>
      <c r="B1147" s="600" t="s">
        <v>2047</v>
      </c>
      <c r="C1147" s="7" t="s">
        <v>1510</v>
      </c>
      <c r="D1147" s="8" t="s">
        <v>145</v>
      </c>
      <c r="E1147" s="23" t="s">
        <v>335</v>
      </c>
      <c r="F1147" s="8">
        <v>2013</v>
      </c>
      <c r="G1147" s="8">
        <v>2015</v>
      </c>
      <c r="H1147" s="5">
        <v>2.4359999999999999</v>
      </c>
      <c r="I1147" s="5">
        <v>0.01</v>
      </c>
      <c r="J1147" s="5">
        <f>R1147</f>
        <v>0.01</v>
      </c>
      <c r="K1147" s="8"/>
      <c r="L1147" s="23" t="s">
        <v>335</v>
      </c>
      <c r="M1147" s="8"/>
      <c r="N1147" s="8"/>
      <c r="O1147" s="8"/>
      <c r="P1147" s="8"/>
      <c r="Q1147" s="23" t="s">
        <v>335</v>
      </c>
      <c r="R1147" s="113">
        <v>0.01</v>
      </c>
      <c r="S1147" s="113"/>
      <c r="T1147" s="113"/>
      <c r="U1147" s="113"/>
      <c r="V1147" s="113"/>
      <c r="W1147" s="113"/>
      <c r="X1147" s="5">
        <f t="shared" si="182"/>
        <v>0.01</v>
      </c>
      <c r="Y1147" s="302">
        <f>H1147-H1148-H1149</f>
        <v>0</v>
      </c>
      <c r="Z1147" s="5">
        <f>I1147-I1148-I1149</f>
        <v>0</v>
      </c>
      <c r="AA1147" s="94">
        <f>J1147-J1148-J1149</f>
        <v>0</v>
      </c>
      <c r="AB1147" s="311">
        <f t="shared" si="185"/>
        <v>0</v>
      </c>
      <c r="AC1147" s="296"/>
      <c r="AD1147" s="113"/>
      <c r="AE1147" s="5"/>
      <c r="AF1147" s="5"/>
      <c r="AG1147" s="5">
        <f>H1147</f>
        <v>2.4359999999999999</v>
      </c>
      <c r="AH1147" s="5"/>
      <c r="AI1147" s="5"/>
      <c r="AJ1147" s="5"/>
      <c r="AK1147" s="141"/>
      <c r="AL1147" s="94">
        <f>SUM(AF1147:AK1147)</f>
        <v>2.4359999999999999</v>
      </c>
      <c r="AM1147" s="128"/>
      <c r="AN1147" s="180"/>
      <c r="AO1147" s="128">
        <v>0.1</v>
      </c>
      <c r="AP1147" s="184">
        <v>0</v>
      </c>
      <c r="AQ1147" s="128"/>
      <c r="AR1147" s="184"/>
      <c r="AS1147" s="128"/>
      <c r="AT1147" s="184"/>
      <c r="AU1147" s="128"/>
      <c r="AV1147" s="184"/>
      <c r="AW1147" s="128"/>
      <c r="AX1147" s="184"/>
      <c r="AY1147" s="111">
        <f>AM1147+AO1147+AQ1147+AS1147+AU1147+AW1147</f>
        <v>0.1</v>
      </c>
      <c r="AZ1147" s="178">
        <f>AN1147+AP1147+AR1147+AT1147+AV1147+AX1147</f>
        <v>0</v>
      </c>
      <c r="BC1147" s="47"/>
      <c r="BD1147" s="47"/>
      <c r="BF1147" s="113">
        <v>0.01</v>
      </c>
      <c r="BG1147" s="113"/>
      <c r="BH1147" s="113"/>
      <c r="BI1147" s="113"/>
      <c r="BJ1147" s="113"/>
      <c r="BK1147" s="113"/>
      <c r="BL1147" s="5">
        <f t="shared" si="188"/>
        <v>0.01</v>
      </c>
    </row>
    <row r="1148" spans="1:64" s="2" customFormat="1" ht="14.1" customHeight="1" outlineLevel="1" x14ac:dyDescent="0.2">
      <c r="A1148" s="594"/>
      <c r="B1148" s="601"/>
      <c r="C1148" s="7" t="s">
        <v>1553</v>
      </c>
      <c r="D1148" s="8"/>
      <c r="E1148" s="23"/>
      <c r="F1148" s="8"/>
      <c r="G1148" s="8"/>
      <c r="H1148" s="5"/>
      <c r="I1148" s="5"/>
      <c r="J1148" s="5"/>
      <c r="K1148" s="8"/>
      <c r="L1148" s="23"/>
      <c r="M1148" s="8"/>
      <c r="N1148" s="8"/>
      <c r="O1148" s="8"/>
      <c r="P1148" s="8"/>
      <c r="Q1148" s="23"/>
      <c r="R1148" s="113"/>
      <c r="S1148" s="113"/>
      <c r="T1148" s="113"/>
      <c r="U1148" s="113"/>
      <c r="V1148" s="113"/>
      <c r="W1148" s="113"/>
      <c r="X1148" s="5">
        <f t="shared" si="182"/>
        <v>0</v>
      </c>
      <c r="Y1148" s="302"/>
      <c r="Z1148" s="5"/>
      <c r="AA1148" s="94"/>
      <c r="AB1148" s="311">
        <f t="shared" si="185"/>
        <v>0</v>
      </c>
      <c r="AC1148" s="296"/>
      <c r="AD1148" s="113"/>
      <c r="AE1148" s="5"/>
      <c r="AF1148" s="5"/>
      <c r="AG1148" s="5"/>
      <c r="AH1148" s="5"/>
      <c r="AI1148" s="5"/>
      <c r="AJ1148" s="5"/>
      <c r="AK1148" s="141"/>
      <c r="AL1148" s="94"/>
      <c r="AM1148" s="128"/>
      <c r="AN1148" s="180"/>
      <c r="AO1148" s="128"/>
      <c r="AP1148" s="184"/>
      <c r="AQ1148" s="128"/>
      <c r="AR1148" s="184"/>
      <c r="AS1148" s="128"/>
      <c r="AT1148" s="184"/>
      <c r="AU1148" s="128"/>
      <c r="AV1148" s="184"/>
      <c r="AW1148" s="128"/>
      <c r="AX1148" s="184"/>
      <c r="AY1148" s="111"/>
      <c r="AZ1148" s="178"/>
      <c r="BC1148" s="47"/>
      <c r="BD1148" s="47"/>
      <c r="BF1148" s="113"/>
      <c r="BG1148" s="113"/>
      <c r="BH1148" s="113"/>
      <c r="BI1148" s="113"/>
      <c r="BJ1148" s="113"/>
      <c r="BK1148" s="113"/>
      <c r="BL1148" s="5">
        <f t="shared" si="188"/>
        <v>0</v>
      </c>
    </row>
    <row r="1149" spans="1:64" s="2" customFormat="1" ht="14.1" customHeight="1" outlineLevel="1" x14ac:dyDescent="0.2">
      <c r="A1149" s="595"/>
      <c r="B1149" s="602"/>
      <c r="C1149" s="7" t="s">
        <v>1554</v>
      </c>
      <c r="D1149" s="8"/>
      <c r="E1149" s="23"/>
      <c r="F1149" s="8"/>
      <c r="G1149" s="8"/>
      <c r="H1149" s="5">
        <v>2.4359999999999999</v>
      </c>
      <c r="I1149" s="5">
        <f>I1147</f>
        <v>0.01</v>
      </c>
      <c r="J1149" s="5">
        <v>0.01</v>
      </c>
      <c r="K1149" s="23"/>
      <c r="L1149" s="8"/>
      <c r="M1149" s="8"/>
      <c r="N1149" s="8"/>
      <c r="O1149" s="8"/>
      <c r="P1149" s="8"/>
      <c r="Q1149" s="23"/>
      <c r="R1149" s="113"/>
      <c r="S1149" s="113"/>
      <c r="T1149" s="113"/>
      <c r="U1149" s="113"/>
      <c r="V1149" s="113"/>
      <c r="W1149" s="113"/>
      <c r="X1149" s="5">
        <f t="shared" si="182"/>
        <v>0</v>
      </c>
      <c r="Y1149" s="302"/>
      <c r="Z1149" s="5"/>
      <c r="AA1149" s="94"/>
      <c r="AB1149" s="311">
        <f t="shared" si="185"/>
        <v>0.01</v>
      </c>
      <c r="AC1149" s="296"/>
      <c r="AD1149" s="113"/>
      <c r="AE1149" s="5"/>
      <c r="AF1149" s="5"/>
      <c r="AG1149" s="5"/>
      <c r="AH1149" s="5"/>
      <c r="AI1149" s="5"/>
      <c r="AJ1149" s="5"/>
      <c r="AK1149" s="141"/>
      <c r="AL1149" s="94"/>
      <c r="AM1149" s="128"/>
      <c r="AN1149" s="180"/>
      <c r="AO1149" s="128"/>
      <c r="AP1149" s="184"/>
      <c r="AQ1149" s="128"/>
      <c r="AR1149" s="184"/>
      <c r="AS1149" s="128"/>
      <c r="AT1149" s="184"/>
      <c r="AU1149" s="128"/>
      <c r="AV1149" s="184"/>
      <c r="AW1149" s="128"/>
      <c r="AX1149" s="184"/>
      <c r="AY1149" s="111"/>
      <c r="AZ1149" s="178"/>
      <c r="BC1149" s="47"/>
      <c r="BD1149" s="47"/>
      <c r="BF1149" s="113"/>
      <c r="BG1149" s="113"/>
      <c r="BH1149" s="113"/>
      <c r="BI1149" s="113"/>
      <c r="BJ1149" s="113"/>
      <c r="BK1149" s="113"/>
      <c r="BL1149" s="5">
        <f t="shared" si="188"/>
        <v>0</v>
      </c>
    </row>
    <row r="1150" spans="1:64" s="2" customFormat="1" ht="39.950000000000003" customHeight="1" outlineLevel="1" x14ac:dyDescent="0.2">
      <c r="A1150" s="593" t="s">
        <v>2062</v>
      </c>
      <c r="B1150" s="600" t="s">
        <v>2050</v>
      </c>
      <c r="C1150" s="7" t="s">
        <v>2064</v>
      </c>
      <c r="D1150" s="8" t="s">
        <v>145</v>
      </c>
      <c r="E1150" s="23" t="s">
        <v>1241</v>
      </c>
      <c r="F1150" s="8">
        <v>2013</v>
      </c>
      <c r="G1150" s="8">
        <v>2014</v>
      </c>
      <c r="H1150" s="5">
        <v>0.15548000000000001</v>
      </c>
      <c r="I1150" s="5">
        <v>0.11</v>
      </c>
      <c r="J1150" s="5">
        <f>R1150</f>
        <v>0.109939</v>
      </c>
      <c r="K1150" s="23" t="s">
        <v>1241</v>
      </c>
      <c r="L1150" s="8"/>
      <c r="M1150" s="8"/>
      <c r="N1150" s="8"/>
      <c r="O1150" s="8"/>
      <c r="P1150" s="8"/>
      <c r="Q1150" s="23" t="s">
        <v>1241</v>
      </c>
      <c r="R1150" s="113">
        <v>0.109939</v>
      </c>
      <c r="S1150" s="113"/>
      <c r="T1150" s="113"/>
      <c r="U1150" s="113"/>
      <c r="V1150" s="113"/>
      <c r="W1150" s="113"/>
      <c r="X1150" s="5">
        <f t="shared" si="182"/>
        <v>0.109939</v>
      </c>
      <c r="Y1150" s="302">
        <f>H1150-H1151-H1152</f>
        <v>0</v>
      </c>
      <c r="Z1150" s="5">
        <f>I1150-I1151-I1152</f>
        <v>0</v>
      </c>
      <c r="AA1150" s="94">
        <f>J1150-J1151-J1152</f>
        <v>0</v>
      </c>
      <c r="AB1150" s="311">
        <f t="shared" si="185"/>
        <v>6.1000000000005494E-5</v>
      </c>
      <c r="AC1150" s="296"/>
      <c r="AD1150" s="113"/>
      <c r="AE1150" s="5"/>
      <c r="AF1150" s="5">
        <f>H1150</f>
        <v>0.15548000000000001</v>
      </c>
      <c r="AG1150" s="5"/>
      <c r="AH1150" s="5"/>
      <c r="AI1150" s="5"/>
      <c r="AJ1150" s="5"/>
      <c r="AK1150" s="141"/>
      <c r="AL1150" s="94">
        <f>SUM(AF1150:AK1150)</f>
        <v>0.15548000000000001</v>
      </c>
      <c r="AM1150" s="128">
        <v>0</v>
      </c>
      <c r="AN1150" s="180">
        <v>0</v>
      </c>
      <c r="AO1150" s="128"/>
      <c r="AP1150" s="184"/>
      <c r="AQ1150" s="128"/>
      <c r="AR1150" s="184"/>
      <c r="AS1150" s="128"/>
      <c r="AT1150" s="184"/>
      <c r="AU1150" s="128"/>
      <c r="AV1150" s="184"/>
      <c r="AW1150" s="128"/>
      <c r="AX1150" s="184"/>
      <c r="AY1150" s="111">
        <f>AM1150+AO1150+AQ1150+AS1150+AU1150+AW1150</f>
        <v>0</v>
      </c>
      <c r="AZ1150" s="178">
        <f>AN1150+AP1150+AR1150+AT1150+AV1150+AX1150</f>
        <v>0</v>
      </c>
      <c r="BC1150" s="47"/>
      <c r="BD1150" s="47"/>
      <c r="BF1150" s="113">
        <v>0.109939</v>
      </c>
      <c r="BG1150" s="113"/>
      <c r="BH1150" s="113"/>
      <c r="BI1150" s="113"/>
      <c r="BJ1150" s="113"/>
      <c r="BK1150" s="113"/>
      <c r="BL1150" s="5">
        <f t="shared" si="188"/>
        <v>0.109939</v>
      </c>
    </row>
    <row r="1151" spans="1:64" s="2" customFormat="1" ht="14.1" customHeight="1" outlineLevel="1" x14ac:dyDescent="0.2">
      <c r="A1151" s="594"/>
      <c r="B1151" s="601"/>
      <c r="C1151" s="7" t="s">
        <v>1553</v>
      </c>
      <c r="D1151" s="8"/>
      <c r="E1151" s="23"/>
      <c r="F1151" s="8"/>
      <c r="G1151" s="8"/>
      <c r="H1151" s="5">
        <v>0.15548000000000001</v>
      </c>
      <c r="I1151" s="5">
        <f>I1150</f>
        <v>0.11</v>
      </c>
      <c r="J1151" s="5">
        <v>0.109939</v>
      </c>
      <c r="K1151" s="8"/>
      <c r="L1151" s="23"/>
      <c r="M1151" s="8"/>
      <c r="N1151" s="8"/>
      <c r="O1151" s="8"/>
      <c r="P1151" s="8"/>
      <c r="Q1151" s="23"/>
      <c r="R1151" s="113"/>
      <c r="S1151" s="113"/>
      <c r="T1151" s="113"/>
      <c r="U1151" s="113"/>
      <c r="V1151" s="113"/>
      <c r="W1151" s="113"/>
      <c r="X1151" s="5">
        <f>SUM(R1151:W1151)</f>
        <v>0</v>
      </c>
      <c r="Y1151" s="302"/>
      <c r="Z1151" s="5"/>
      <c r="AA1151" s="94"/>
      <c r="AB1151" s="311">
        <f t="shared" si="185"/>
        <v>0.11</v>
      </c>
      <c r="AC1151" s="296"/>
      <c r="AD1151" s="113"/>
      <c r="AE1151" s="5"/>
      <c r="AF1151" s="5"/>
      <c r="AG1151" s="5"/>
      <c r="AH1151" s="5"/>
      <c r="AI1151" s="5"/>
      <c r="AJ1151" s="5"/>
      <c r="AK1151" s="141"/>
      <c r="AL1151" s="94"/>
      <c r="AM1151" s="128"/>
      <c r="AN1151" s="180"/>
      <c r="AO1151" s="128"/>
      <c r="AP1151" s="184"/>
      <c r="AQ1151" s="128"/>
      <c r="AR1151" s="184"/>
      <c r="AS1151" s="128"/>
      <c r="AT1151" s="184"/>
      <c r="AU1151" s="128"/>
      <c r="AV1151" s="184"/>
      <c r="AW1151" s="128"/>
      <c r="AX1151" s="184"/>
      <c r="AY1151" s="111"/>
      <c r="AZ1151" s="178"/>
      <c r="BC1151" s="47"/>
      <c r="BD1151" s="47"/>
      <c r="BF1151" s="113"/>
      <c r="BG1151" s="113"/>
      <c r="BH1151" s="113"/>
      <c r="BI1151" s="113"/>
      <c r="BJ1151" s="113"/>
      <c r="BK1151" s="113"/>
      <c r="BL1151" s="5">
        <f t="shared" si="188"/>
        <v>0</v>
      </c>
    </row>
    <row r="1152" spans="1:64" s="2" customFormat="1" ht="14.1" customHeight="1" outlineLevel="1" x14ac:dyDescent="0.2">
      <c r="A1152" s="595"/>
      <c r="B1152" s="602"/>
      <c r="C1152" s="7" t="s">
        <v>1554</v>
      </c>
      <c r="D1152" s="8"/>
      <c r="E1152" s="23"/>
      <c r="F1152" s="8"/>
      <c r="G1152" s="8"/>
      <c r="H1152" s="5"/>
      <c r="I1152" s="5"/>
      <c r="J1152" s="5"/>
      <c r="K1152" s="23"/>
      <c r="L1152" s="8"/>
      <c r="M1152" s="8"/>
      <c r="N1152" s="8"/>
      <c r="O1152" s="8"/>
      <c r="P1152" s="8"/>
      <c r="Q1152" s="23"/>
      <c r="R1152" s="113"/>
      <c r="S1152" s="113"/>
      <c r="T1152" s="113"/>
      <c r="U1152" s="113"/>
      <c r="V1152" s="113"/>
      <c r="W1152" s="113"/>
      <c r="X1152" s="5">
        <f>SUM(R1152:W1152)</f>
        <v>0</v>
      </c>
      <c r="Y1152" s="302"/>
      <c r="Z1152" s="5"/>
      <c r="AA1152" s="94"/>
      <c r="AB1152" s="311">
        <f t="shared" si="185"/>
        <v>0</v>
      </c>
      <c r="AC1152" s="296"/>
      <c r="AD1152" s="113"/>
      <c r="AE1152" s="5"/>
      <c r="AF1152" s="5"/>
      <c r="AG1152" s="5"/>
      <c r="AH1152" s="5"/>
      <c r="AI1152" s="5"/>
      <c r="AJ1152" s="5"/>
      <c r="AK1152" s="141"/>
      <c r="AL1152" s="94"/>
      <c r="AM1152" s="128"/>
      <c r="AN1152" s="180"/>
      <c r="AO1152" s="128"/>
      <c r="AP1152" s="184"/>
      <c r="AQ1152" s="128"/>
      <c r="AR1152" s="184"/>
      <c r="AS1152" s="128"/>
      <c r="AT1152" s="184"/>
      <c r="AU1152" s="128"/>
      <c r="AV1152" s="184"/>
      <c r="AW1152" s="128"/>
      <c r="AX1152" s="184"/>
      <c r="AY1152" s="111"/>
      <c r="AZ1152" s="178"/>
      <c r="BC1152" s="47"/>
      <c r="BD1152" s="47"/>
      <c r="BF1152" s="113"/>
      <c r="BG1152" s="113"/>
      <c r="BH1152" s="113"/>
      <c r="BI1152" s="113"/>
      <c r="BJ1152" s="113"/>
      <c r="BK1152" s="113"/>
      <c r="BL1152" s="5">
        <f t="shared" si="188"/>
        <v>0</v>
      </c>
    </row>
    <row r="1153" spans="1:64" s="2" customFormat="1" ht="38.25" customHeight="1" outlineLevel="1" x14ac:dyDescent="0.2">
      <c r="A1153" s="593" t="s">
        <v>2065</v>
      </c>
      <c r="B1153" s="600" t="s">
        <v>2052</v>
      </c>
      <c r="C1153" s="7" t="s">
        <v>2067</v>
      </c>
      <c r="D1153" s="8" t="s">
        <v>145</v>
      </c>
      <c r="E1153" s="23" t="s">
        <v>1241</v>
      </c>
      <c r="F1153" s="8">
        <v>2013</v>
      </c>
      <c r="G1153" s="8">
        <v>2015</v>
      </c>
      <c r="H1153" s="5">
        <v>0.77400000000000002</v>
      </c>
      <c r="I1153" s="5">
        <v>0.77370881355932219</v>
      </c>
      <c r="J1153" s="5">
        <f>R1153</f>
        <v>0.73677899999999996</v>
      </c>
      <c r="K1153" s="8"/>
      <c r="L1153" s="23" t="s">
        <v>1241</v>
      </c>
      <c r="M1153" s="8"/>
      <c r="N1153" s="8"/>
      <c r="O1153" s="8"/>
      <c r="P1153" s="8"/>
      <c r="Q1153" s="23" t="s">
        <v>1241</v>
      </c>
      <c r="R1153" s="113">
        <v>0.73677899999999996</v>
      </c>
      <c r="S1153" s="113"/>
      <c r="T1153" s="113"/>
      <c r="U1153" s="113"/>
      <c r="V1153" s="113"/>
      <c r="W1153" s="113"/>
      <c r="X1153" s="5">
        <f t="shared" si="182"/>
        <v>0.73677899999999996</v>
      </c>
      <c r="Y1153" s="302">
        <f>H1153-H1154-H1155</f>
        <v>0</v>
      </c>
      <c r="Z1153" s="5">
        <f>I1153-I1154-I1155</f>
        <v>0</v>
      </c>
      <c r="AA1153" s="94">
        <f>J1153-J1154-J1155</f>
        <v>0</v>
      </c>
      <c r="AB1153" s="311">
        <f t="shared" si="185"/>
        <v>3.6929813559322233E-2</v>
      </c>
      <c r="AC1153" s="296"/>
      <c r="AD1153" s="113"/>
      <c r="AE1153" s="5"/>
      <c r="AF1153" s="5"/>
      <c r="AG1153" s="5">
        <f>H1153</f>
        <v>0.77400000000000002</v>
      </c>
      <c r="AH1153" s="5"/>
      <c r="AI1153" s="5"/>
      <c r="AJ1153" s="5"/>
      <c r="AK1153" s="141"/>
      <c r="AL1153" s="94">
        <f>SUM(AF1153:AK1153)</f>
        <v>0.77400000000000002</v>
      </c>
      <c r="AM1153" s="128"/>
      <c r="AN1153" s="180"/>
      <c r="AO1153" s="128">
        <v>0</v>
      </c>
      <c r="AP1153" s="184">
        <v>0</v>
      </c>
      <c r="AQ1153" s="128"/>
      <c r="AR1153" s="184"/>
      <c r="AS1153" s="128"/>
      <c r="AT1153" s="184"/>
      <c r="AU1153" s="128"/>
      <c r="AV1153" s="184"/>
      <c r="AW1153" s="128"/>
      <c r="AX1153" s="184"/>
      <c r="AY1153" s="111">
        <f>AM1153+AO1153+AQ1153+AS1153+AU1153+AW1153</f>
        <v>0</v>
      </c>
      <c r="AZ1153" s="178">
        <f>AN1153+AP1153+AR1153+AT1153+AV1153+AX1153</f>
        <v>0</v>
      </c>
      <c r="BC1153" s="47"/>
      <c r="BD1153" s="47"/>
      <c r="BF1153" s="113">
        <v>0.73677899999999996</v>
      </c>
      <c r="BG1153" s="113"/>
      <c r="BH1153" s="113"/>
      <c r="BI1153" s="113"/>
      <c r="BJ1153" s="113"/>
      <c r="BK1153" s="113"/>
      <c r="BL1153" s="5">
        <f t="shared" si="188"/>
        <v>0.73677899999999996</v>
      </c>
    </row>
    <row r="1154" spans="1:64" s="2" customFormat="1" ht="14.1" customHeight="1" outlineLevel="1" x14ac:dyDescent="0.2">
      <c r="A1154" s="594"/>
      <c r="B1154" s="601"/>
      <c r="C1154" s="7" t="s">
        <v>1553</v>
      </c>
      <c r="D1154" s="8"/>
      <c r="E1154" s="23"/>
      <c r="F1154" s="8"/>
      <c r="G1154" s="8"/>
      <c r="H1154" s="5">
        <v>0.77400000000000002</v>
      </c>
      <c r="I1154" s="5">
        <v>0.77370881355932219</v>
      </c>
      <c r="J1154" s="5">
        <f>R1153</f>
        <v>0.73677899999999996</v>
      </c>
      <c r="K1154" s="8"/>
      <c r="L1154" s="23"/>
      <c r="M1154" s="8"/>
      <c r="N1154" s="8"/>
      <c r="O1154" s="8"/>
      <c r="P1154" s="8"/>
      <c r="Q1154" s="23"/>
      <c r="R1154" s="113"/>
      <c r="S1154" s="113"/>
      <c r="T1154" s="113"/>
      <c r="U1154" s="113"/>
      <c r="V1154" s="113"/>
      <c r="W1154" s="113"/>
      <c r="X1154" s="5">
        <f t="shared" si="182"/>
        <v>0</v>
      </c>
      <c r="Y1154" s="302"/>
      <c r="Z1154" s="5"/>
      <c r="AA1154" s="94"/>
      <c r="AB1154" s="311">
        <f t="shared" si="185"/>
        <v>0.77370881355932219</v>
      </c>
      <c r="AC1154" s="296"/>
      <c r="AD1154" s="113"/>
      <c r="AE1154" s="5"/>
      <c r="AF1154" s="5"/>
      <c r="AG1154" s="5"/>
      <c r="AH1154" s="5"/>
      <c r="AI1154" s="5"/>
      <c r="AJ1154" s="5"/>
      <c r="AK1154" s="141"/>
      <c r="AL1154" s="94"/>
      <c r="AM1154" s="128"/>
      <c r="AN1154" s="180"/>
      <c r="AO1154" s="128"/>
      <c r="AP1154" s="184"/>
      <c r="AQ1154" s="128"/>
      <c r="AR1154" s="184"/>
      <c r="AS1154" s="128"/>
      <c r="AT1154" s="184"/>
      <c r="AU1154" s="128"/>
      <c r="AV1154" s="184"/>
      <c r="AW1154" s="128"/>
      <c r="AX1154" s="184"/>
      <c r="AY1154" s="111"/>
      <c r="AZ1154" s="178"/>
      <c r="BC1154" s="47"/>
      <c r="BD1154" s="47"/>
      <c r="BF1154" s="113"/>
      <c r="BG1154" s="113"/>
      <c r="BH1154" s="113"/>
      <c r="BI1154" s="113"/>
      <c r="BJ1154" s="113"/>
      <c r="BK1154" s="113"/>
      <c r="BL1154" s="5">
        <f t="shared" si="188"/>
        <v>0</v>
      </c>
    </row>
    <row r="1155" spans="1:64" s="2" customFormat="1" ht="14.1" customHeight="1" outlineLevel="1" x14ac:dyDescent="0.2">
      <c r="A1155" s="595"/>
      <c r="B1155" s="602"/>
      <c r="C1155" s="7" t="s">
        <v>1554</v>
      </c>
      <c r="D1155" s="8"/>
      <c r="E1155" s="23"/>
      <c r="F1155" s="8"/>
      <c r="G1155" s="8"/>
      <c r="H1155" s="5"/>
      <c r="I1155" s="5"/>
      <c r="J1155" s="5"/>
      <c r="K1155" s="23"/>
      <c r="L1155" s="8"/>
      <c r="M1155" s="8"/>
      <c r="N1155" s="8"/>
      <c r="O1155" s="8"/>
      <c r="P1155" s="8"/>
      <c r="Q1155" s="23"/>
      <c r="R1155" s="113"/>
      <c r="S1155" s="113"/>
      <c r="T1155" s="113"/>
      <c r="U1155" s="113"/>
      <c r="V1155" s="113"/>
      <c r="W1155" s="113"/>
      <c r="X1155" s="5">
        <f t="shared" si="182"/>
        <v>0</v>
      </c>
      <c r="Y1155" s="302"/>
      <c r="Z1155" s="5"/>
      <c r="AA1155" s="94"/>
      <c r="AB1155" s="311">
        <f t="shared" si="185"/>
        <v>0</v>
      </c>
      <c r="AC1155" s="296"/>
      <c r="AD1155" s="113"/>
      <c r="AE1155" s="5"/>
      <c r="AF1155" s="5"/>
      <c r="AG1155" s="5"/>
      <c r="AH1155" s="5"/>
      <c r="AI1155" s="5"/>
      <c r="AJ1155" s="5"/>
      <c r="AK1155" s="141"/>
      <c r="AL1155" s="94"/>
      <c r="AM1155" s="128"/>
      <c r="AN1155" s="180"/>
      <c r="AO1155" s="128"/>
      <c r="AP1155" s="184"/>
      <c r="AQ1155" s="128"/>
      <c r="AR1155" s="184"/>
      <c r="AS1155" s="128"/>
      <c r="AT1155" s="184"/>
      <c r="AU1155" s="128"/>
      <c r="AV1155" s="184"/>
      <c r="AW1155" s="128"/>
      <c r="AX1155" s="184"/>
      <c r="AY1155" s="111"/>
      <c r="AZ1155" s="178"/>
      <c r="BC1155" s="47"/>
      <c r="BD1155" s="47"/>
      <c r="BF1155" s="113"/>
      <c r="BG1155" s="113"/>
      <c r="BH1155" s="113"/>
      <c r="BI1155" s="113"/>
      <c r="BJ1155" s="113"/>
      <c r="BK1155" s="113"/>
      <c r="BL1155" s="5">
        <f t="shared" si="188"/>
        <v>0</v>
      </c>
    </row>
    <row r="1156" spans="1:64" s="2" customFormat="1" ht="51.95" customHeight="1" outlineLevel="1" x14ac:dyDescent="0.2">
      <c r="A1156" s="593" t="s">
        <v>2068</v>
      </c>
      <c r="B1156" s="600" t="s">
        <v>2055</v>
      </c>
      <c r="C1156" s="7" t="s">
        <v>2070</v>
      </c>
      <c r="D1156" s="8" t="s">
        <v>145</v>
      </c>
      <c r="E1156" s="23" t="s">
        <v>335</v>
      </c>
      <c r="F1156" s="8">
        <v>2013</v>
      </c>
      <c r="G1156" s="8">
        <v>2015</v>
      </c>
      <c r="H1156" s="5">
        <v>0.31777661016949155</v>
      </c>
      <c r="I1156" s="5">
        <v>0.31777661016949155</v>
      </c>
      <c r="J1156" s="5">
        <f>R1156</f>
        <v>0.30699099999999996</v>
      </c>
      <c r="K1156" s="8"/>
      <c r="L1156" s="23" t="s">
        <v>335</v>
      </c>
      <c r="M1156" s="8"/>
      <c r="N1156" s="8"/>
      <c r="O1156" s="8"/>
      <c r="P1156" s="8"/>
      <c r="Q1156" s="23" t="s">
        <v>335</v>
      </c>
      <c r="R1156" s="113">
        <v>0.30699099999999996</v>
      </c>
      <c r="S1156" s="113"/>
      <c r="T1156" s="113"/>
      <c r="U1156" s="113"/>
      <c r="V1156" s="113"/>
      <c r="W1156" s="113"/>
      <c r="X1156" s="5">
        <f t="shared" si="182"/>
        <v>0.30699099999999996</v>
      </c>
      <c r="Y1156" s="302">
        <f>H1156-H1157-H1158</f>
        <v>0</v>
      </c>
      <c r="Z1156" s="5">
        <f>I1156-I1157-I1158</f>
        <v>0</v>
      </c>
      <c r="AA1156" s="94">
        <f>J1156-J1157-J1158</f>
        <v>0</v>
      </c>
      <c r="AB1156" s="311">
        <f t="shared" si="185"/>
        <v>1.0785610169491588E-2</v>
      </c>
      <c r="AC1156" s="296"/>
      <c r="AD1156" s="113"/>
      <c r="AE1156" s="5"/>
      <c r="AF1156" s="5"/>
      <c r="AG1156" s="5">
        <f>H1156</f>
        <v>0.31777661016949155</v>
      </c>
      <c r="AH1156" s="5"/>
      <c r="AI1156" s="5"/>
      <c r="AJ1156" s="5"/>
      <c r="AK1156" s="141"/>
      <c r="AL1156" s="94">
        <f>SUM(AF1156:AK1156)</f>
        <v>0.31777661016949155</v>
      </c>
      <c r="AM1156" s="128"/>
      <c r="AN1156" s="180"/>
      <c r="AO1156" s="128">
        <v>0.1</v>
      </c>
      <c r="AP1156" s="184">
        <v>0</v>
      </c>
      <c r="AQ1156" s="128"/>
      <c r="AR1156" s="184"/>
      <c r="AS1156" s="128"/>
      <c r="AT1156" s="184"/>
      <c r="AU1156" s="128"/>
      <c r="AV1156" s="184"/>
      <c r="AW1156" s="128"/>
      <c r="AX1156" s="184"/>
      <c r="AY1156" s="111">
        <f>AM1156+AO1156+AQ1156+AS1156+AU1156+AW1156</f>
        <v>0.1</v>
      </c>
      <c r="AZ1156" s="178">
        <f>AN1156+AP1156+AR1156+AT1156+AV1156+AX1156</f>
        <v>0</v>
      </c>
      <c r="BC1156" s="47"/>
      <c r="BD1156" s="47"/>
      <c r="BF1156" s="113">
        <v>0.30699099999999996</v>
      </c>
      <c r="BG1156" s="113"/>
      <c r="BH1156" s="113"/>
      <c r="BI1156" s="113"/>
      <c r="BJ1156" s="113"/>
      <c r="BK1156" s="113"/>
      <c r="BL1156" s="5">
        <f t="shared" si="188"/>
        <v>0.30699099999999996</v>
      </c>
    </row>
    <row r="1157" spans="1:64" s="2" customFormat="1" ht="14.1" customHeight="1" outlineLevel="1" x14ac:dyDescent="0.2">
      <c r="A1157" s="594"/>
      <c r="B1157" s="601"/>
      <c r="C1157" s="7" t="s">
        <v>1553</v>
      </c>
      <c r="D1157" s="8"/>
      <c r="E1157" s="23"/>
      <c r="F1157" s="8"/>
      <c r="G1157" s="8"/>
      <c r="H1157" s="5"/>
      <c r="I1157" s="5"/>
      <c r="J1157" s="5"/>
      <c r="K1157" s="8"/>
      <c r="L1157" s="23"/>
      <c r="M1157" s="8"/>
      <c r="N1157" s="8"/>
      <c r="O1157" s="8"/>
      <c r="P1157" s="8"/>
      <c r="Q1157" s="23"/>
      <c r="R1157" s="113"/>
      <c r="S1157" s="113"/>
      <c r="T1157" s="113"/>
      <c r="U1157" s="113"/>
      <c r="V1157" s="113"/>
      <c r="W1157" s="113"/>
      <c r="X1157" s="5">
        <f>SUM(R1157:W1157)</f>
        <v>0</v>
      </c>
      <c r="Y1157" s="302"/>
      <c r="Z1157" s="5"/>
      <c r="AA1157" s="94"/>
      <c r="AB1157" s="311">
        <f t="shared" si="185"/>
        <v>0</v>
      </c>
      <c r="AC1157" s="296"/>
      <c r="AD1157" s="113"/>
      <c r="AE1157" s="5"/>
      <c r="AF1157" s="5"/>
      <c r="AG1157" s="5"/>
      <c r="AH1157" s="5"/>
      <c r="AI1157" s="5"/>
      <c r="AJ1157" s="5"/>
      <c r="AK1157" s="141"/>
      <c r="AL1157" s="94"/>
      <c r="AM1157" s="128"/>
      <c r="AN1157" s="180"/>
      <c r="AO1157" s="128"/>
      <c r="AP1157" s="184"/>
      <c r="AQ1157" s="128"/>
      <c r="AR1157" s="184"/>
      <c r="AS1157" s="128"/>
      <c r="AT1157" s="184"/>
      <c r="AU1157" s="128"/>
      <c r="AV1157" s="184"/>
      <c r="AW1157" s="128"/>
      <c r="AX1157" s="184"/>
      <c r="AY1157" s="111"/>
      <c r="AZ1157" s="178"/>
      <c r="BC1157" s="47"/>
      <c r="BD1157" s="47"/>
      <c r="BF1157" s="113"/>
      <c r="BG1157" s="113"/>
      <c r="BH1157" s="113"/>
      <c r="BI1157" s="113"/>
      <c r="BJ1157" s="113"/>
      <c r="BK1157" s="113"/>
      <c r="BL1157" s="5">
        <f t="shared" si="188"/>
        <v>0</v>
      </c>
    </row>
    <row r="1158" spans="1:64" s="2" customFormat="1" ht="14.1" customHeight="1" outlineLevel="1" x14ac:dyDescent="0.2">
      <c r="A1158" s="595"/>
      <c r="B1158" s="602"/>
      <c r="C1158" s="7" t="s">
        <v>1554</v>
      </c>
      <c r="D1158" s="8"/>
      <c r="E1158" s="23"/>
      <c r="F1158" s="8"/>
      <c r="G1158" s="8"/>
      <c r="H1158" s="5">
        <v>0.31777661016949155</v>
      </c>
      <c r="I1158" s="5">
        <v>0.31777661016949155</v>
      </c>
      <c r="J1158" s="5">
        <v>0.30699099999999996</v>
      </c>
      <c r="K1158" s="23"/>
      <c r="L1158" s="8"/>
      <c r="M1158" s="8"/>
      <c r="N1158" s="8"/>
      <c r="O1158" s="8"/>
      <c r="P1158" s="8"/>
      <c r="Q1158" s="23"/>
      <c r="R1158" s="113"/>
      <c r="S1158" s="113"/>
      <c r="T1158" s="113"/>
      <c r="U1158" s="113"/>
      <c r="V1158" s="113"/>
      <c r="W1158" s="113"/>
      <c r="X1158" s="5">
        <f>SUM(R1158:W1158)</f>
        <v>0</v>
      </c>
      <c r="Y1158" s="302"/>
      <c r="Z1158" s="5"/>
      <c r="AA1158" s="94"/>
      <c r="AB1158" s="311">
        <f t="shared" si="185"/>
        <v>0.31777661016949155</v>
      </c>
      <c r="AC1158" s="296"/>
      <c r="AD1158" s="113"/>
      <c r="AE1158" s="5"/>
      <c r="AF1158" s="5"/>
      <c r="AG1158" s="5"/>
      <c r="AH1158" s="5"/>
      <c r="AI1158" s="5"/>
      <c r="AJ1158" s="5"/>
      <c r="AK1158" s="141"/>
      <c r="AL1158" s="94"/>
      <c r="AM1158" s="128"/>
      <c r="AN1158" s="180"/>
      <c r="AO1158" s="128"/>
      <c r="AP1158" s="184"/>
      <c r="AQ1158" s="128"/>
      <c r="AR1158" s="184"/>
      <c r="AS1158" s="128"/>
      <c r="AT1158" s="184"/>
      <c r="AU1158" s="128"/>
      <c r="AV1158" s="184"/>
      <c r="AW1158" s="128"/>
      <c r="AX1158" s="184"/>
      <c r="AY1158" s="111"/>
      <c r="AZ1158" s="178"/>
      <c r="BC1158" s="47"/>
      <c r="BD1158" s="47"/>
      <c r="BF1158" s="113"/>
      <c r="BG1158" s="113"/>
      <c r="BH1158" s="113"/>
      <c r="BI1158" s="113"/>
      <c r="BJ1158" s="113"/>
      <c r="BK1158" s="113"/>
      <c r="BL1158" s="5">
        <f t="shared" si="188"/>
        <v>0</v>
      </c>
    </row>
    <row r="1159" spans="1:64" s="2" customFormat="1" ht="38.25" customHeight="1" outlineLevel="1" x14ac:dyDescent="0.2">
      <c r="A1159" s="593" t="s">
        <v>2071</v>
      </c>
      <c r="B1159" s="600" t="s">
        <v>2058</v>
      </c>
      <c r="C1159" s="7" t="s">
        <v>2073</v>
      </c>
      <c r="D1159" s="8" t="s">
        <v>145</v>
      </c>
      <c r="E1159" s="23" t="s">
        <v>1241</v>
      </c>
      <c r="F1159" s="8">
        <v>2013</v>
      </c>
      <c r="G1159" s="8">
        <v>2015</v>
      </c>
      <c r="H1159" s="5">
        <v>0.318</v>
      </c>
      <c r="I1159" s="5">
        <v>0.31777661016949155</v>
      </c>
      <c r="J1159" s="5">
        <f>R1159</f>
        <v>0.30699099999999996</v>
      </c>
      <c r="K1159" s="8"/>
      <c r="L1159" s="23" t="s">
        <v>1241</v>
      </c>
      <c r="M1159" s="8"/>
      <c r="N1159" s="8"/>
      <c r="O1159" s="8"/>
      <c r="P1159" s="8"/>
      <c r="Q1159" s="23" t="s">
        <v>1241</v>
      </c>
      <c r="R1159" s="113">
        <v>0.30699099999999996</v>
      </c>
      <c r="S1159" s="113"/>
      <c r="T1159" s="113"/>
      <c r="U1159" s="113"/>
      <c r="V1159" s="113"/>
      <c r="W1159" s="113"/>
      <c r="X1159" s="5">
        <f t="shared" si="182"/>
        <v>0.30699099999999996</v>
      </c>
      <c r="Y1159" s="302">
        <f>H1159-H1160-H1161</f>
        <v>2.2338983050845806E-4</v>
      </c>
      <c r="Z1159" s="5">
        <f>I1159-I1160-I1161</f>
        <v>0</v>
      </c>
      <c r="AA1159" s="94">
        <f>J1159-J1160-J1161</f>
        <v>0</v>
      </c>
      <c r="AB1159" s="311">
        <f t="shared" si="185"/>
        <v>1.0785610169491588E-2</v>
      </c>
      <c r="AC1159" s="296"/>
      <c r="AD1159" s="113"/>
      <c r="AE1159" s="5"/>
      <c r="AF1159" s="5"/>
      <c r="AG1159" s="5">
        <f>H1159</f>
        <v>0.318</v>
      </c>
      <c r="AH1159" s="5"/>
      <c r="AI1159" s="5"/>
      <c r="AJ1159" s="5"/>
      <c r="AK1159" s="141"/>
      <c r="AL1159" s="94">
        <f>SUM(AF1159:AK1159)</f>
        <v>0.318</v>
      </c>
      <c r="AM1159" s="128"/>
      <c r="AN1159" s="180"/>
      <c r="AO1159" s="128">
        <v>0</v>
      </c>
      <c r="AP1159" s="184">
        <v>0</v>
      </c>
      <c r="AQ1159" s="128"/>
      <c r="AR1159" s="184"/>
      <c r="AS1159" s="128"/>
      <c r="AT1159" s="184"/>
      <c r="AU1159" s="128"/>
      <c r="AV1159" s="184"/>
      <c r="AW1159" s="128"/>
      <c r="AX1159" s="184"/>
      <c r="AY1159" s="111">
        <f>AM1159+AO1159+AQ1159+AS1159+AU1159+AW1159</f>
        <v>0</v>
      </c>
      <c r="AZ1159" s="178">
        <f>AN1159+AP1159+AR1159+AT1159+AV1159+AX1159</f>
        <v>0</v>
      </c>
      <c r="BC1159" s="47"/>
      <c r="BD1159" s="47"/>
      <c r="BF1159" s="113">
        <v>0.30699099999999996</v>
      </c>
      <c r="BG1159" s="113"/>
      <c r="BH1159" s="113"/>
      <c r="BI1159" s="113"/>
      <c r="BJ1159" s="113"/>
      <c r="BK1159" s="113"/>
      <c r="BL1159" s="5">
        <f t="shared" si="188"/>
        <v>0.30699099999999996</v>
      </c>
    </row>
    <row r="1160" spans="1:64" s="2" customFormat="1" ht="14.1" customHeight="1" outlineLevel="1" x14ac:dyDescent="0.2">
      <c r="A1160" s="594"/>
      <c r="B1160" s="601"/>
      <c r="C1160" s="7" t="s">
        <v>1553</v>
      </c>
      <c r="D1160" s="8"/>
      <c r="E1160" s="23"/>
      <c r="F1160" s="8"/>
      <c r="G1160" s="8"/>
      <c r="H1160" s="5">
        <v>0.31777661016949155</v>
      </c>
      <c r="I1160" s="5">
        <v>0.31777661016949155</v>
      </c>
      <c r="J1160" s="5">
        <v>0.30699099999999996</v>
      </c>
      <c r="K1160" s="8"/>
      <c r="L1160" s="23"/>
      <c r="M1160" s="8"/>
      <c r="N1160" s="8"/>
      <c r="O1160" s="8"/>
      <c r="P1160" s="8"/>
      <c r="Q1160" s="23"/>
      <c r="R1160" s="113"/>
      <c r="S1160" s="113"/>
      <c r="T1160" s="113"/>
      <c r="U1160" s="113"/>
      <c r="V1160" s="113"/>
      <c r="W1160" s="113"/>
      <c r="X1160" s="5">
        <f t="shared" si="182"/>
        <v>0</v>
      </c>
      <c r="Y1160" s="302"/>
      <c r="Z1160" s="5"/>
      <c r="AA1160" s="94"/>
      <c r="AB1160" s="311">
        <f t="shared" si="185"/>
        <v>0.31777661016949155</v>
      </c>
      <c r="AC1160" s="296"/>
      <c r="AD1160" s="113"/>
      <c r="AE1160" s="5"/>
      <c r="AF1160" s="5"/>
      <c r="AG1160" s="5"/>
      <c r="AH1160" s="5"/>
      <c r="AI1160" s="5"/>
      <c r="AJ1160" s="5"/>
      <c r="AK1160" s="141"/>
      <c r="AL1160" s="94"/>
      <c r="AM1160" s="128"/>
      <c r="AN1160" s="180"/>
      <c r="AO1160" s="128"/>
      <c r="AP1160" s="184"/>
      <c r="AQ1160" s="128"/>
      <c r="AR1160" s="184"/>
      <c r="AS1160" s="128"/>
      <c r="AT1160" s="184"/>
      <c r="AU1160" s="128"/>
      <c r="AV1160" s="184"/>
      <c r="AW1160" s="128"/>
      <c r="AX1160" s="184"/>
      <c r="AY1160" s="111"/>
      <c r="AZ1160" s="178"/>
      <c r="BC1160" s="47"/>
      <c r="BD1160" s="47"/>
      <c r="BF1160" s="113"/>
      <c r="BG1160" s="113"/>
      <c r="BH1160" s="113"/>
      <c r="BI1160" s="113"/>
      <c r="BJ1160" s="113"/>
      <c r="BK1160" s="113"/>
      <c r="BL1160" s="5">
        <f t="shared" si="188"/>
        <v>0</v>
      </c>
    </row>
    <row r="1161" spans="1:64" s="2" customFormat="1" ht="14.1" customHeight="1" outlineLevel="1" x14ac:dyDescent="0.2">
      <c r="A1161" s="595"/>
      <c r="B1161" s="602"/>
      <c r="C1161" s="7" t="s">
        <v>1554</v>
      </c>
      <c r="D1161" s="8"/>
      <c r="E1161" s="23"/>
      <c r="F1161" s="8"/>
      <c r="G1161" s="8"/>
      <c r="H1161" s="5"/>
      <c r="I1161" s="5"/>
      <c r="J1161" s="5"/>
      <c r="K1161" s="23"/>
      <c r="L1161" s="8"/>
      <c r="M1161" s="8"/>
      <c r="N1161" s="8"/>
      <c r="O1161" s="8"/>
      <c r="P1161" s="8"/>
      <c r="Q1161" s="23"/>
      <c r="R1161" s="113"/>
      <c r="S1161" s="113"/>
      <c r="T1161" s="113"/>
      <c r="U1161" s="113"/>
      <c r="V1161" s="113"/>
      <c r="W1161" s="113"/>
      <c r="X1161" s="5">
        <f t="shared" si="182"/>
        <v>0</v>
      </c>
      <c r="Y1161" s="302"/>
      <c r="Z1161" s="5"/>
      <c r="AA1161" s="94"/>
      <c r="AB1161" s="311">
        <f t="shared" si="185"/>
        <v>0</v>
      </c>
      <c r="AC1161" s="296"/>
      <c r="AD1161" s="113"/>
      <c r="AE1161" s="5"/>
      <c r="AF1161" s="5"/>
      <c r="AG1161" s="5"/>
      <c r="AH1161" s="5"/>
      <c r="AI1161" s="5"/>
      <c r="AJ1161" s="5"/>
      <c r="AK1161" s="141"/>
      <c r="AL1161" s="94"/>
      <c r="AM1161" s="128"/>
      <c r="AN1161" s="180"/>
      <c r="AO1161" s="128"/>
      <c r="AP1161" s="184"/>
      <c r="AQ1161" s="128"/>
      <c r="AR1161" s="184"/>
      <c r="AS1161" s="128"/>
      <c r="AT1161" s="184"/>
      <c r="AU1161" s="128"/>
      <c r="AV1161" s="184"/>
      <c r="AW1161" s="128"/>
      <c r="AX1161" s="184"/>
      <c r="AY1161" s="111"/>
      <c r="AZ1161" s="178"/>
      <c r="BC1161" s="47"/>
      <c r="BD1161" s="47"/>
      <c r="BF1161" s="113"/>
      <c r="BG1161" s="113"/>
      <c r="BH1161" s="113"/>
      <c r="BI1161" s="113"/>
      <c r="BJ1161" s="113"/>
      <c r="BK1161" s="113"/>
      <c r="BL1161" s="5">
        <f t="shared" si="188"/>
        <v>0</v>
      </c>
    </row>
    <row r="1162" spans="1:64" s="2" customFormat="1" ht="38.25" customHeight="1" outlineLevel="1" x14ac:dyDescent="0.2">
      <c r="A1162" s="593" t="s">
        <v>2074</v>
      </c>
      <c r="B1162" s="600" t="s">
        <v>2061</v>
      </c>
      <c r="C1162" s="7" t="s">
        <v>2263</v>
      </c>
      <c r="D1162" s="8" t="s">
        <v>145</v>
      </c>
      <c r="E1162" s="23" t="s">
        <v>1241</v>
      </c>
      <c r="F1162" s="8">
        <v>2013</v>
      </c>
      <c r="G1162" s="8">
        <v>2015</v>
      </c>
      <c r="H1162" s="5">
        <v>1.0169291525423729</v>
      </c>
      <c r="I1162" s="5">
        <v>1.0169291525423729</v>
      </c>
      <c r="J1162" s="5">
        <f>R1162</f>
        <v>0.98237300000000005</v>
      </c>
      <c r="K1162" s="8"/>
      <c r="L1162" s="23" t="s">
        <v>1241</v>
      </c>
      <c r="M1162" s="8"/>
      <c r="N1162" s="8"/>
      <c r="O1162" s="8"/>
      <c r="P1162" s="8"/>
      <c r="Q1162" s="23" t="s">
        <v>1241</v>
      </c>
      <c r="R1162" s="113">
        <v>0.98237300000000005</v>
      </c>
      <c r="S1162" s="113"/>
      <c r="T1162" s="113"/>
      <c r="U1162" s="113"/>
      <c r="V1162" s="113"/>
      <c r="W1162" s="113"/>
      <c r="X1162" s="5">
        <f t="shared" si="182"/>
        <v>0.98237300000000005</v>
      </c>
      <c r="Y1162" s="302">
        <f>H1162-H1163-H1164</f>
        <v>0</v>
      </c>
      <c r="Z1162" s="5">
        <f>I1162-I1163-I1164</f>
        <v>0</v>
      </c>
      <c r="AA1162" s="94">
        <f>J1162-J1163-J1164</f>
        <v>0</v>
      </c>
      <c r="AB1162" s="311">
        <f t="shared" si="185"/>
        <v>3.4556152542372875E-2</v>
      </c>
      <c r="AC1162" s="296"/>
      <c r="AD1162" s="113"/>
      <c r="AE1162" s="5"/>
      <c r="AF1162" s="5"/>
      <c r="AG1162" s="5">
        <f>H1162</f>
        <v>1.0169291525423729</v>
      </c>
      <c r="AH1162" s="5"/>
      <c r="AI1162" s="5"/>
      <c r="AJ1162" s="5"/>
      <c r="AK1162" s="141"/>
      <c r="AL1162" s="94">
        <f>SUM(AF1162:AK1162)</f>
        <v>1.0169291525423729</v>
      </c>
      <c r="AM1162" s="128"/>
      <c r="AN1162" s="180"/>
      <c r="AO1162" s="128">
        <v>0</v>
      </c>
      <c r="AP1162" s="184">
        <v>0</v>
      </c>
      <c r="AQ1162" s="128"/>
      <c r="AR1162" s="184"/>
      <c r="AS1162" s="128"/>
      <c r="AT1162" s="184"/>
      <c r="AU1162" s="128"/>
      <c r="AV1162" s="184"/>
      <c r="AW1162" s="128"/>
      <c r="AX1162" s="184"/>
      <c r="AY1162" s="111">
        <f>AM1162+AO1162+AQ1162+AS1162+AU1162+AW1162</f>
        <v>0</v>
      </c>
      <c r="AZ1162" s="178">
        <f>AN1162+AP1162+AR1162+AT1162+AV1162+AX1162</f>
        <v>0</v>
      </c>
      <c r="BC1162" s="47"/>
      <c r="BD1162" s="47"/>
      <c r="BF1162" s="113">
        <v>0.98237300000000005</v>
      </c>
      <c r="BG1162" s="113"/>
      <c r="BH1162" s="113"/>
      <c r="BI1162" s="113"/>
      <c r="BJ1162" s="113"/>
      <c r="BK1162" s="113"/>
      <c r="BL1162" s="5">
        <f t="shared" si="188"/>
        <v>0.98237300000000005</v>
      </c>
    </row>
    <row r="1163" spans="1:64" s="2" customFormat="1" ht="14.1" customHeight="1" outlineLevel="1" x14ac:dyDescent="0.2">
      <c r="A1163" s="594"/>
      <c r="B1163" s="601"/>
      <c r="C1163" s="7" t="s">
        <v>1553</v>
      </c>
      <c r="D1163" s="8"/>
      <c r="E1163" s="23"/>
      <c r="F1163" s="8"/>
      <c r="G1163" s="8"/>
      <c r="H1163" s="5"/>
      <c r="I1163" s="5"/>
      <c r="J1163" s="5"/>
      <c r="K1163" s="8"/>
      <c r="L1163" s="23"/>
      <c r="M1163" s="8"/>
      <c r="N1163" s="8"/>
      <c r="O1163" s="8"/>
      <c r="P1163" s="8"/>
      <c r="Q1163" s="23"/>
      <c r="R1163" s="113"/>
      <c r="S1163" s="113"/>
      <c r="T1163" s="113"/>
      <c r="U1163" s="113"/>
      <c r="V1163" s="113"/>
      <c r="W1163" s="113"/>
      <c r="X1163" s="5">
        <f>SUM(R1163:W1163)</f>
        <v>0</v>
      </c>
      <c r="Y1163" s="302"/>
      <c r="Z1163" s="5"/>
      <c r="AA1163" s="94"/>
      <c r="AB1163" s="311">
        <f t="shared" si="185"/>
        <v>0</v>
      </c>
      <c r="AC1163" s="296"/>
      <c r="AD1163" s="113"/>
      <c r="AE1163" s="5"/>
      <c r="AF1163" s="5"/>
      <c r="AG1163" s="5"/>
      <c r="AH1163" s="5"/>
      <c r="AI1163" s="5"/>
      <c r="AJ1163" s="5"/>
      <c r="AK1163" s="141"/>
      <c r="AL1163" s="94"/>
      <c r="AM1163" s="128"/>
      <c r="AN1163" s="180"/>
      <c r="AO1163" s="128"/>
      <c r="AP1163" s="184"/>
      <c r="AQ1163" s="128"/>
      <c r="AR1163" s="184"/>
      <c r="AS1163" s="128"/>
      <c r="AT1163" s="184"/>
      <c r="AU1163" s="128"/>
      <c r="AV1163" s="184"/>
      <c r="AW1163" s="128"/>
      <c r="AX1163" s="184"/>
      <c r="AY1163" s="111"/>
      <c r="AZ1163" s="178"/>
      <c r="BC1163" s="47"/>
      <c r="BD1163" s="47"/>
      <c r="BF1163" s="113"/>
      <c r="BG1163" s="113"/>
      <c r="BH1163" s="113"/>
      <c r="BI1163" s="113"/>
      <c r="BJ1163" s="113"/>
      <c r="BK1163" s="113"/>
      <c r="BL1163" s="5">
        <f t="shared" si="188"/>
        <v>0</v>
      </c>
    </row>
    <row r="1164" spans="1:64" s="2" customFormat="1" ht="14.1" customHeight="1" outlineLevel="1" x14ac:dyDescent="0.2">
      <c r="A1164" s="595"/>
      <c r="B1164" s="602"/>
      <c r="C1164" s="7" t="s">
        <v>1554</v>
      </c>
      <c r="D1164" s="8"/>
      <c r="E1164" s="23"/>
      <c r="F1164" s="8"/>
      <c r="G1164" s="8"/>
      <c r="H1164" s="5">
        <v>1.0169291525423729</v>
      </c>
      <c r="I1164" s="5">
        <v>1.0169291525423729</v>
      </c>
      <c r="J1164" s="5">
        <v>0.98237300000000005</v>
      </c>
      <c r="K1164" s="23"/>
      <c r="L1164" s="8"/>
      <c r="M1164" s="8"/>
      <c r="N1164" s="8"/>
      <c r="O1164" s="8"/>
      <c r="P1164" s="8"/>
      <c r="Q1164" s="23"/>
      <c r="R1164" s="113"/>
      <c r="S1164" s="113"/>
      <c r="T1164" s="113"/>
      <c r="U1164" s="113"/>
      <c r="V1164" s="113"/>
      <c r="W1164" s="113"/>
      <c r="X1164" s="5">
        <f>SUM(R1164:W1164)</f>
        <v>0</v>
      </c>
      <c r="Y1164" s="302"/>
      <c r="Z1164" s="5"/>
      <c r="AA1164" s="94"/>
      <c r="AB1164" s="311">
        <f t="shared" si="185"/>
        <v>1.0169291525423729</v>
      </c>
      <c r="AC1164" s="296"/>
      <c r="AD1164" s="113"/>
      <c r="AE1164" s="5"/>
      <c r="AF1164" s="5"/>
      <c r="AG1164" s="5"/>
      <c r="AH1164" s="5"/>
      <c r="AI1164" s="5"/>
      <c r="AJ1164" s="5"/>
      <c r="AK1164" s="141"/>
      <c r="AL1164" s="94"/>
      <c r="AM1164" s="128"/>
      <c r="AN1164" s="180"/>
      <c r="AO1164" s="128"/>
      <c r="AP1164" s="184"/>
      <c r="AQ1164" s="128"/>
      <c r="AR1164" s="184"/>
      <c r="AS1164" s="128"/>
      <c r="AT1164" s="184"/>
      <c r="AU1164" s="128"/>
      <c r="AV1164" s="184"/>
      <c r="AW1164" s="128"/>
      <c r="AX1164" s="184"/>
      <c r="AY1164" s="111"/>
      <c r="AZ1164" s="178"/>
      <c r="BC1164" s="47"/>
      <c r="BD1164" s="47"/>
      <c r="BF1164" s="113"/>
      <c r="BG1164" s="113"/>
      <c r="BH1164" s="113"/>
      <c r="BI1164" s="113"/>
      <c r="BJ1164" s="113"/>
      <c r="BK1164" s="113"/>
      <c r="BL1164" s="5">
        <f t="shared" si="188"/>
        <v>0</v>
      </c>
    </row>
    <row r="1165" spans="1:64" s="2" customFormat="1" ht="38.25" outlineLevel="1" x14ac:dyDescent="0.2">
      <c r="A1165" s="593" t="s">
        <v>2076</v>
      </c>
      <c r="B1165" s="600" t="s">
        <v>2063</v>
      </c>
      <c r="C1165" s="7" t="s">
        <v>2264</v>
      </c>
      <c r="D1165" s="8" t="s">
        <v>145</v>
      </c>
      <c r="E1165" s="23" t="s">
        <v>335</v>
      </c>
      <c r="F1165" s="8">
        <v>2013</v>
      </c>
      <c r="G1165" s="8">
        <v>2014</v>
      </c>
      <c r="H1165" s="5">
        <v>0.15548000000000001</v>
      </c>
      <c r="I1165" s="5">
        <v>0.03</v>
      </c>
      <c r="J1165" s="5">
        <f>R1165</f>
        <v>0.03</v>
      </c>
      <c r="K1165" s="23" t="s">
        <v>335</v>
      </c>
      <c r="L1165" s="8"/>
      <c r="M1165" s="8"/>
      <c r="N1165" s="8"/>
      <c r="O1165" s="8"/>
      <c r="P1165" s="8"/>
      <c r="Q1165" s="23" t="s">
        <v>335</v>
      </c>
      <c r="R1165" s="113">
        <v>0.03</v>
      </c>
      <c r="S1165" s="113"/>
      <c r="T1165" s="113"/>
      <c r="U1165" s="113"/>
      <c r="V1165" s="113"/>
      <c r="W1165" s="113"/>
      <c r="X1165" s="5">
        <f t="shared" si="182"/>
        <v>0.03</v>
      </c>
      <c r="Y1165" s="302">
        <f>H1165-H1166-H1167</f>
        <v>0</v>
      </c>
      <c r="Z1165" s="5">
        <f>I1165-I1166-I1167</f>
        <v>0</v>
      </c>
      <c r="AA1165" s="94">
        <f>J1165-J1166-J1167</f>
        <v>0</v>
      </c>
      <c r="AB1165" s="311">
        <f t="shared" si="185"/>
        <v>0</v>
      </c>
      <c r="AC1165" s="296"/>
      <c r="AD1165" s="113"/>
      <c r="AE1165" s="5"/>
      <c r="AF1165" s="5">
        <f>H1165</f>
        <v>0.15548000000000001</v>
      </c>
      <c r="AG1165" s="5"/>
      <c r="AH1165" s="5"/>
      <c r="AI1165" s="5"/>
      <c r="AJ1165" s="5"/>
      <c r="AK1165" s="141"/>
      <c r="AL1165" s="94">
        <f>SUM(AF1165:AK1165)</f>
        <v>0.15548000000000001</v>
      </c>
      <c r="AM1165" s="128">
        <v>0.1</v>
      </c>
      <c r="AN1165" s="180">
        <v>0</v>
      </c>
      <c r="AO1165" s="128"/>
      <c r="AP1165" s="184"/>
      <c r="AQ1165" s="128"/>
      <c r="AR1165" s="184"/>
      <c r="AS1165" s="128"/>
      <c r="AT1165" s="184"/>
      <c r="AU1165" s="128"/>
      <c r="AV1165" s="184"/>
      <c r="AW1165" s="128"/>
      <c r="AX1165" s="184"/>
      <c r="AY1165" s="111">
        <f>AM1165+AO1165+AQ1165+AS1165+AU1165+AW1165</f>
        <v>0.1</v>
      </c>
      <c r="AZ1165" s="178">
        <f>AN1165+AP1165+AR1165+AT1165+AV1165+AX1165</f>
        <v>0</v>
      </c>
      <c r="BC1165" s="47"/>
      <c r="BD1165" s="47"/>
      <c r="BF1165" s="113">
        <v>0.03</v>
      </c>
      <c r="BG1165" s="113"/>
      <c r="BH1165" s="113"/>
      <c r="BI1165" s="113"/>
      <c r="BJ1165" s="113"/>
      <c r="BK1165" s="113"/>
      <c r="BL1165" s="5">
        <f t="shared" si="188"/>
        <v>0.03</v>
      </c>
    </row>
    <row r="1166" spans="1:64" s="2" customFormat="1" ht="14.1" customHeight="1" outlineLevel="1" x14ac:dyDescent="0.2">
      <c r="A1166" s="594"/>
      <c r="B1166" s="601"/>
      <c r="C1166" s="7" t="s">
        <v>1553</v>
      </c>
      <c r="D1166" s="8"/>
      <c r="E1166" s="23"/>
      <c r="F1166" s="8"/>
      <c r="G1166" s="8"/>
      <c r="H1166" s="5"/>
      <c r="I1166" s="5"/>
      <c r="J1166" s="5"/>
      <c r="K1166" s="8"/>
      <c r="L1166" s="23"/>
      <c r="M1166" s="8"/>
      <c r="N1166" s="8"/>
      <c r="O1166" s="8"/>
      <c r="P1166" s="8"/>
      <c r="Q1166" s="23"/>
      <c r="R1166" s="113"/>
      <c r="S1166" s="113"/>
      <c r="T1166" s="113"/>
      <c r="U1166" s="113"/>
      <c r="V1166" s="113"/>
      <c r="W1166" s="113"/>
      <c r="X1166" s="5">
        <f t="shared" si="182"/>
        <v>0</v>
      </c>
      <c r="Y1166" s="302"/>
      <c r="Z1166" s="5"/>
      <c r="AA1166" s="94"/>
      <c r="AB1166" s="311">
        <f t="shared" si="185"/>
        <v>0</v>
      </c>
      <c r="AC1166" s="296"/>
      <c r="AD1166" s="113"/>
      <c r="AE1166" s="5"/>
      <c r="AF1166" s="5"/>
      <c r="AG1166" s="5"/>
      <c r="AH1166" s="5"/>
      <c r="AI1166" s="5"/>
      <c r="AJ1166" s="5"/>
      <c r="AK1166" s="141"/>
      <c r="AL1166" s="94"/>
      <c r="AM1166" s="128"/>
      <c r="AN1166" s="180"/>
      <c r="AO1166" s="128"/>
      <c r="AP1166" s="184"/>
      <c r="AQ1166" s="128"/>
      <c r="AR1166" s="184"/>
      <c r="AS1166" s="128"/>
      <c r="AT1166" s="184"/>
      <c r="AU1166" s="128"/>
      <c r="AV1166" s="184"/>
      <c r="AW1166" s="128"/>
      <c r="AX1166" s="184"/>
      <c r="AY1166" s="111"/>
      <c r="AZ1166" s="178"/>
      <c r="BC1166" s="47"/>
      <c r="BD1166" s="47"/>
      <c r="BF1166" s="113"/>
      <c r="BG1166" s="113"/>
      <c r="BH1166" s="113"/>
      <c r="BI1166" s="113"/>
      <c r="BJ1166" s="113"/>
      <c r="BK1166" s="113"/>
      <c r="BL1166" s="5">
        <f t="shared" si="188"/>
        <v>0</v>
      </c>
    </row>
    <row r="1167" spans="1:64" s="2" customFormat="1" ht="14.1" customHeight="1" outlineLevel="1" x14ac:dyDescent="0.2">
      <c r="A1167" s="595"/>
      <c r="B1167" s="602"/>
      <c r="C1167" s="7" t="s">
        <v>1554</v>
      </c>
      <c r="D1167" s="8"/>
      <c r="E1167" s="23"/>
      <c r="F1167" s="8"/>
      <c r="G1167" s="8"/>
      <c r="H1167" s="5">
        <v>0.15548000000000001</v>
      </c>
      <c r="I1167" s="5">
        <f>I1165</f>
        <v>0.03</v>
      </c>
      <c r="J1167" s="5">
        <v>0.03</v>
      </c>
      <c r="K1167" s="23"/>
      <c r="L1167" s="8"/>
      <c r="M1167" s="8"/>
      <c r="N1167" s="8"/>
      <c r="O1167" s="8"/>
      <c r="P1167" s="8"/>
      <c r="Q1167" s="23"/>
      <c r="R1167" s="113"/>
      <c r="S1167" s="113"/>
      <c r="T1167" s="113"/>
      <c r="U1167" s="113"/>
      <c r="V1167" s="113"/>
      <c r="W1167" s="113"/>
      <c r="X1167" s="5">
        <f t="shared" si="182"/>
        <v>0</v>
      </c>
      <c r="Y1167" s="302"/>
      <c r="Z1167" s="5"/>
      <c r="AA1167" s="94"/>
      <c r="AB1167" s="311">
        <f t="shared" si="185"/>
        <v>0.03</v>
      </c>
      <c r="AC1167" s="296"/>
      <c r="AD1167" s="113"/>
      <c r="AE1167" s="5"/>
      <c r="AF1167" s="5"/>
      <c r="AG1167" s="5"/>
      <c r="AH1167" s="5"/>
      <c r="AI1167" s="5"/>
      <c r="AJ1167" s="5"/>
      <c r="AK1167" s="141"/>
      <c r="AL1167" s="94"/>
      <c r="AM1167" s="128"/>
      <c r="AN1167" s="180"/>
      <c r="AO1167" s="128"/>
      <c r="AP1167" s="184"/>
      <c r="AQ1167" s="128"/>
      <c r="AR1167" s="184"/>
      <c r="AS1167" s="128"/>
      <c r="AT1167" s="184"/>
      <c r="AU1167" s="128"/>
      <c r="AV1167" s="184"/>
      <c r="AW1167" s="128"/>
      <c r="AX1167" s="184"/>
      <c r="AY1167" s="111"/>
      <c r="AZ1167" s="178"/>
      <c r="BC1167" s="47"/>
      <c r="BD1167" s="47"/>
      <c r="BF1167" s="113"/>
      <c r="BG1167" s="113"/>
      <c r="BH1167" s="113"/>
      <c r="BI1167" s="113"/>
      <c r="BJ1167" s="113"/>
      <c r="BK1167" s="113"/>
      <c r="BL1167" s="5">
        <f t="shared" si="188"/>
        <v>0</v>
      </c>
    </row>
    <row r="1168" spans="1:64" s="2" customFormat="1" ht="41.25" customHeight="1" outlineLevel="1" x14ac:dyDescent="0.2">
      <c r="A1168" s="593" t="s">
        <v>2078</v>
      </c>
      <c r="B1168" s="600" t="s">
        <v>2066</v>
      </c>
      <c r="C1168" s="7" t="s">
        <v>2080</v>
      </c>
      <c r="D1168" s="8" t="s">
        <v>145</v>
      </c>
      <c r="E1168" s="23" t="s">
        <v>361</v>
      </c>
      <c r="F1168" s="8">
        <v>2013</v>
      </c>
      <c r="G1168" s="8">
        <v>2015</v>
      </c>
      <c r="H1168" s="5">
        <v>1.1051690000000001</v>
      </c>
      <c r="I1168" s="5">
        <v>1.1051690000000001</v>
      </c>
      <c r="J1168" s="5">
        <f>R1168</f>
        <v>1.1051690000000001</v>
      </c>
      <c r="K1168" s="8"/>
      <c r="L1168" s="23" t="s">
        <v>361</v>
      </c>
      <c r="M1168" s="8"/>
      <c r="N1168" s="8"/>
      <c r="O1168" s="8"/>
      <c r="P1168" s="8"/>
      <c r="Q1168" s="23" t="s">
        <v>361</v>
      </c>
      <c r="R1168" s="113">
        <v>1.1051690000000001</v>
      </c>
      <c r="S1168" s="113"/>
      <c r="T1168" s="113"/>
      <c r="U1168" s="113"/>
      <c r="V1168" s="113"/>
      <c r="W1168" s="113"/>
      <c r="X1168" s="5">
        <f t="shared" si="182"/>
        <v>1.1051690000000001</v>
      </c>
      <c r="Y1168" s="302">
        <f>H1168-H1169-H1170</f>
        <v>3.1689999999999774E-3</v>
      </c>
      <c r="Z1168" s="5">
        <f>I1168-I1169-I1170</f>
        <v>3.4940847457625157E-3</v>
      </c>
      <c r="AA1168" s="94">
        <f>J1168-J1169-J1170</f>
        <v>0</v>
      </c>
      <c r="AB1168" s="311">
        <f t="shared" si="185"/>
        <v>0</v>
      </c>
      <c r="AC1168" s="296"/>
      <c r="AD1168" s="113"/>
      <c r="AE1168" s="5"/>
      <c r="AF1168" s="5"/>
      <c r="AG1168" s="5">
        <f>H1168</f>
        <v>1.1051690000000001</v>
      </c>
      <c r="AH1168" s="5"/>
      <c r="AI1168" s="5"/>
      <c r="AJ1168" s="5"/>
      <c r="AK1168" s="141"/>
      <c r="AL1168" s="94">
        <f>SUM(AF1168:AK1168)</f>
        <v>1.1051690000000001</v>
      </c>
      <c r="AM1168" s="128"/>
      <c r="AN1168" s="180"/>
      <c r="AO1168" s="128">
        <v>0.12</v>
      </c>
      <c r="AP1168" s="184">
        <v>0</v>
      </c>
      <c r="AQ1168" s="128"/>
      <c r="AR1168" s="184"/>
      <c r="AS1168" s="128"/>
      <c r="AT1168" s="184"/>
      <c r="AU1168" s="128"/>
      <c r="AV1168" s="184"/>
      <c r="AW1168" s="128"/>
      <c r="AX1168" s="184"/>
      <c r="AY1168" s="111">
        <f>AM1168+AO1168+AQ1168+AS1168+AU1168+AW1168</f>
        <v>0.12</v>
      </c>
      <c r="AZ1168" s="178">
        <f>AN1168+AP1168+AR1168+AT1168+AV1168+AX1168</f>
        <v>0</v>
      </c>
      <c r="BC1168" s="47"/>
      <c r="BD1168" s="47"/>
      <c r="BF1168" s="113">
        <v>1.1051690000000001</v>
      </c>
      <c r="BG1168" s="113"/>
      <c r="BH1168" s="113"/>
      <c r="BI1168" s="113"/>
      <c r="BJ1168" s="113"/>
      <c r="BK1168" s="113"/>
      <c r="BL1168" s="5">
        <f t="shared" si="188"/>
        <v>1.1051690000000001</v>
      </c>
    </row>
    <row r="1169" spans="1:64" s="2" customFormat="1" ht="14.1" customHeight="1" outlineLevel="1" x14ac:dyDescent="0.2">
      <c r="A1169" s="594"/>
      <c r="B1169" s="601"/>
      <c r="C1169" s="7" t="s">
        <v>1553</v>
      </c>
      <c r="D1169" s="8"/>
      <c r="E1169" s="23"/>
      <c r="F1169" s="8"/>
      <c r="G1169" s="8"/>
      <c r="H1169" s="5">
        <v>1.1020000000000001</v>
      </c>
      <c r="I1169" s="5">
        <v>1.1016749152542376</v>
      </c>
      <c r="J1169" s="5">
        <v>1.1051690000000001</v>
      </c>
      <c r="K1169" s="8"/>
      <c r="L1169" s="23"/>
      <c r="M1169" s="8"/>
      <c r="N1169" s="8"/>
      <c r="O1169" s="8"/>
      <c r="P1169" s="8"/>
      <c r="Q1169" s="23"/>
      <c r="R1169" s="113"/>
      <c r="S1169" s="113"/>
      <c r="T1169" s="113"/>
      <c r="U1169" s="113"/>
      <c r="V1169" s="113"/>
      <c r="W1169" s="113"/>
      <c r="X1169" s="5">
        <f>SUM(R1169:W1169)</f>
        <v>0</v>
      </c>
      <c r="Y1169" s="302"/>
      <c r="Z1169" s="5"/>
      <c r="AA1169" s="94"/>
      <c r="AB1169" s="311">
        <f t="shared" si="185"/>
        <v>1.1016749152542376</v>
      </c>
      <c r="AC1169" s="296"/>
      <c r="AD1169" s="113"/>
      <c r="AE1169" s="5"/>
      <c r="AF1169" s="5"/>
      <c r="AG1169" s="5"/>
      <c r="AH1169" s="5"/>
      <c r="AI1169" s="5"/>
      <c r="AJ1169" s="5"/>
      <c r="AK1169" s="141"/>
      <c r="AL1169" s="94"/>
      <c r="AM1169" s="128"/>
      <c r="AN1169" s="180"/>
      <c r="AO1169" s="128"/>
      <c r="AP1169" s="184"/>
      <c r="AQ1169" s="128"/>
      <c r="AR1169" s="184"/>
      <c r="AS1169" s="128"/>
      <c r="AT1169" s="184"/>
      <c r="AU1169" s="128"/>
      <c r="AV1169" s="184"/>
      <c r="AW1169" s="128"/>
      <c r="AX1169" s="184"/>
      <c r="AY1169" s="111"/>
      <c r="AZ1169" s="178"/>
      <c r="BC1169" s="47"/>
      <c r="BD1169" s="47"/>
      <c r="BF1169" s="113"/>
      <c r="BG1169" s="113"/>
      <c r="BH1169" s="113"/>
      <c r="BI1169" s="113"/>
      <c r="BJ1169" s="113"/>
      <c r="BK1169" s="113"/>
      <c r="BL1169" s="5">
        <f t="shared" si="188"/>
        <v>0</v>
      </c>
    </row>
    <row r="1170" spans="1:64" s="2" customFormat="1" ht="14.1" customHeight="1" outlineLevel="1" x14ac:dyDescent="0.2">
      <c r="A1170" s="595"/>
      <c r="B1170" s="602"/>
      <c r="C1170" s="7" t="s">
        <v>1554</v>
      </c>
      <c r="D1170" s="8"/>
      <c r="E1170" s="23"/>
      <c r="F1170" s="8"/>
      <c r="G1170" s="8"/>
      <c r="H1170" s="5"/>
      <c r="I1170" s="5"/>
      <c r="J1170" s="5"/>
      <c r="K1170" s="23"/>
      <c r="L1170" s="8"/>
      <c r="M1170" s="8"/>
      <c r="N1170" s="8"/>
      <c r="O1170" s="8"/>
      <c r="P1170" s="8"/>
      <c r="Q1170" s="23"/>
      <c r="R1170" s="113"/>
      <c r="S1170" s="113"/>
      <c r="T1170" s="113"/>
      <c r="U1170" s="113"/>
      <c r="V1170" s="113"/>
      <c r="W1170" s="113"/>
      <c r="X1170" s="5">
        <f>SUM(R1170:W1170)</f>
        <v>0</v>
      </c>
      <c r="Y1170" s="302"/>
      <c r="Z1170" s="5"/>
      <c r="AA1170" s="94"/>
      <c r="AB1170" s="311">
        <f t="shared" si="185"/>
        <v>0</v>
      </c>
      <c r="AC1170" s="296"/>
      <c r="AD1170" s="113"/>
      <c r="AE1170" s="5"/>
      <c r="AF1170" s="5"/>
      <c r="AG1170" s="5"/>
      <c r="AH1170" s="5"/>
      <c r="AI1170" s="5"/>
      <c r="AJ1170" s="5"/>
      <c r="AK1170" s="141"/>
      <c r="AL1170" s="94"/>
      <c r="AM1170" s="128"/>
      <c r="AN1170" s="180"/>
      <c r="AO1170" s="128"/>
      <c r="AP1170" s="184"/>
      <c r="AQ1170" s="128"/>
      <c r="AR1170" s="184"/>
      <c r="AS1170" s="128"/>
      <c r="AT1170" s="184"/>
      <c r="AU1170" s="128"/>
      <c r="AV1170" s="184"/>
      <c r="AW1170" s="128"/>
      <c r="AX1170" s="184"/>
      <c r="AY1170" s="111"/>
      <c r="AZ1170" s="178"/>
      <c r="BC1170" s="47"/>
      <c r="BD1170" s="47"/>
      <c r="BF1170" s="113"/>
      <c r="BG1170" s="113"/>
      <c r="BH1170" s="113"/>
      <c r="BI1170" s="113"/>
      <c r="BJ1170" s="113"/>
      <c r="BK1170" s="113"/>
      <c r="BL1170" s="5">
        <f t="shared" si="188"/>
        <v>0</v>
      </c>
    </row>
    <row r="1171" spans="1:64" s="2" customFormat="1" ht="25.5" customHeight="1" outlineLevel="1" x14ac:dyDescent="0.2">
      <c r="A1171" s="593" t="s">
        <v>2081</v>
      </c>
      <c r="B1171" s="600" t="s">
        <v>2069</v>
      </c>
      <c r="C1171" s="7" t="s">
        <v>2083</v>
      </c>
      <c r="D1171" s="8" t="s">
        <v>145</v>
      </c>
      <c r="E1171" s="23" t="s">
        <v>1241</v>
      </c>
      <c r="F1171" s="8">
        <v>2013</v>
      </c>
      <c r="G1171" s="8">
        <v>2015</v>
      </c>
      <c r="H1171" s="5">
        <v>0.25421728813559302</v>
      </c>
      <c r="I1171" s="5">
        <v>0.25421728813559319</v>
      </c>
      <c r="J1171" s="5">
        <f>R1171</f>
        <v>0.24559299999999998</v>
      </c>
      <c r="K1171" s="8"/>
      <c r="L1171" s="23" t="s">
        <v>1241</v>
      </c>
      <c r="M1171" s="8"/>
      <c r="N1171" s="8"/>
      <c r="O1171" s="8"/>
      <c r="P1171" s="8"/>
      <c r="Q1171" s="23" t="s">
        <v>1241</v>
      </c>
      <c r="R1171" s="113">
        <v>0.24559299999999998</v>
      </c>
      <c r="S1171" s="113"/>
      <c r="T1171" s="113"/>
      <c r="U1171" s="113"/>
      <c r="V1171" s="113"/>
      <c r="W1171" s="113"/>
      <c r="X1171" s="5">
        <f t="shared" si="182"/>
        <v>0.24559299999999998</v>
      </c>
      <c r="Y1171" s="302">
        <f>H1171-H1172-H1173</f>
        <v>0</v>
      </c>
      <c r="Z1171" s="5">
        <f>I1171-I1172-I1173</f>
        <v>0</v>
      </c>
      <c r="AA1171" s="94">
        <f>J1171-J1172-J1173</f>
        <v>0</v>
      </c>
      <c r="AB1171" s="311">
        <f t="shared" si="185"/>
        <v>8.6242881355932111E-3</v>
      </c>
      <c r="AC1171" s="296"/>
      <c r="AD1171" s="113"/>
      <c r="AE1171" s="5"/>
      <c r="AF1171" s="5"/>
      <c r="AG1171" s="5">
        <f>H1171</f>
        <v>0.25421728813559302</v>
      </c>
      <c r="AH1171" s="5"/>
      <c r="AI1171" s="5"/>
      <c r="AJ1171" s="5"/>
      <c r="AK1171" s="141"/>
      <c r="AL1171" s="94">
        <f>SUM(AF1171:AK1171)</f>
        <v>0.25421728813559302</v>
      </c>
      <c r="AM1171" s="128"/>
      <c r="AN1171" s="180"/>
      <c r="AO1171" s="128">
        <v>0</v>
      </c>
      <c r="AP1171" s="184">
        <v>0</v>
      </c>
      <c r="AQ1171" s="128"/>
      <c r="AR1171" s="184"/>
      <c r="AS1171" s="128"/>
      <c r="AT1171" s="184"/>
      <c r="AU1171" s="128"/>
      <c r="AV1171" s="184"/>
      <c r="AW1171" s="128"/>
      <c r="AX1171" s="184"/>
      <c r="AY1171" s="111">
        <f>AM1171+AO1171+AQ1171+AS1171+AU1171+AW1171</f>
        <v>0</v>
      </c>
      <c r="AZ1171" s="178">
        <f>AN1171+AP1171+AR1171+AT1171+AV1171+AX1171</f>
        <v>0</v>
      </c>
      <c r="BC1171" s="47"/>
      <c r="BD1171" s="47"/>
      <c r="BF1171" s="113">
        <v>0.24559299999999998</v>
      </c>
      <c r="BG1171" s="113"/>
      <c r="BH1171" s="113"/>
      <c r="BI1171" s="113"/>
      <c r="BJ1171" s="113"/>
      <c r="BK1171" s="113"/>
      <c r="BL1171" s="5">
        <f t="shared" ref="BL1171:BL1202" si="189">SUM(BF1171:BK1171)</f>
        <v>0.24559299999999998</v>
      </c>
    </row>
    <row r="1172" spans="1:64" s="2" customFormat="1" ht="14.1" customHeight="1" outlineLevel="1" x14ac:dyDescent="0.2">
      <c r="A1172" s="594"/>
      <c r="B1172" s="601"/>
      <c r="C1172" s="7" t="s">
        <v>1553</v>
      </c>
      <c r="D1172" s="8"/>
      <c r="E1172" s="23"/>
      <c r="F1172" s="8"/>
      <c r="G1172" s="8"/>
      <c r="H1172" s="5">
        <v>0.25421728813559302</v>
      </c>
      <c r="I1172" s="5">
        <v>0.25421728813559319</v>
      </c>
      <c r="J1172" s="5">
        <f>R1171</f>
        <v>0.24559299999999998</v>
      </c>
      <c r="K1172" s="8"/>
      <c r="L1172" s="23"/>
      <c r="M1172" s="8"/>
      <c r="N1172" s="8"/>
      <c r="O1172" s="8"/>
      <c r="P1172" s="8"/>
      <c r="Q1172" s="23"/>
      <c r="R1172" s="113"/>
      <c r="S1172" s="113"/>
      <c r="T1172" s="113"/>
      <c r="U1172" s="113"/>
      <c r="V1172" s="113"/>
      <c r="W1172" s="113"/>
      <c r="X1172" s="5">
        <f t="shared" si="182"/>
        <v>0</v>
      </c>
      <c r="Y1172" s="302"/>
      <c r="Z1172" s="5"/>
      <c r="AA1172" s="94"/>
      <c r="AB1172" s="311">
        <f t="shared" si="185"/>
        <v>0.25421728813559319</v>
      </c>
      <c r="AC1172" s="296"/>
      <c r="AD1172" s="113"/>
      <c r="AE1172" s="5"/>
      <c r="AF1172" s="5"/>
      <c r="AG1172" s="5"/>
      <c r="AH1172" s="5"/>
      <c r="AI1172" s="5"/>
      <c r="AJ1172" s="5"/>
      <c r="AK1172" s="141"/>
      <c r="AL1172" s="94"/>
      <c r="AM1172" s="128"/>
      <c r="AN1172" s="180"/>
      <c r="AO1172" s="128"/>
      <c r="AP1172" s="184"/>
      <c r="AQ1172" s="128"/>
      <c r="AR1172" s="184"/>
      <c r="AS1172" s="128"/>
      <c r="AT1172" s="184"/>
      <c r="AU1172" s="128"/>
      <c r="AV1172" s="184"/>
      <c r="AW1172" s="128"/>
      <c r="AX1172" s="184"/>
      <c r="AY1172" s="111"/>
      <c r="AZ1172" s="178"/>
      <c r="BC1172" s="47"/>
      <c r="BD1172" s="47"/>
      <c r="BF1172" s="113"/>
      <c r="BG1172" s="113"/>
      <c r="BH1172" s="113"/>
      <c r="BI1172" s="113"/>
      <c r="BJ1172" s="113"/>
      <c r="BK1172" s="113"/>
      <c r="BL1172" s="5">
        <f t="shared" si="189"/>
        <v>0</v>
      </c>
    </row>
    <row r="1173" spans="1:64" s="2" customFormat="1" ht="14.1" customHeight="1" outlineLevel="1" x14ac:dyDescent="0.2">
      <c r="A1173" s="595"/>
      <c r="B1173" s="602"/>
      <c r="C1173" s="7" t="s">
        <v>1554</v>
      </c>
      <c r="D1173" s="8"/>
      <c r="E1173" s="23"/>
      <c r="F1173" s="8"/>
      <c r="G1173" s="8"/>
      <c r="H1173" s="5"/>
      <c r="I1173" s="5"/>
      <c r="J1173" s="5"/>
      <c r="K1173" s="23"/>
      <c r="L1173" s="8"/>
      <c r="M1173" s="8"/>
      <c r="N1173" s="8"/>
      <c r="O1173" s="8"/>
      <c r="P1173" s="8"/>
      <c r="Q1173" s="23"/>
      <c r="R1173" s="113"/>
      <c r="S1173" s="113"/>
      <c r="T1173" s="113"/>
      <c r="U1173" s="113"/>
      <c r="V1173" s="113"/>
      <c r="W1173" s="113"/>
      <c r="X1173" s="5">
        <f t="shared" si="182"/>
        <v>0</v>
      </c>
      <c r="Y1173" s="302"/>
      <c r="Z1173" s="5"/>
      <c r="AA1173" s="94"/>
      <c r="AB1173" s="311">
        <f t="shared" ref="AB1173:AB1236" si="190">I1173-X1173</f>
        <v>0</v>
      </c>
      <c r="AC1173" s="296"/>
      <c r="AD1173" s="113"/>
      <c r="AE1173" s="5"/>
      <c r="AF1173" s="5"/>
      <c r="AG1173" s="5"/>
      <c r="AH1173" s="5"/>
      <c r="AI1173" s="5"/>
      <c r="AJ1173" s="5"/>
      <c r="AK1173" s="141"/>
      <c r="AL1173" s="94"/>
      <c r="AM1173" s="128"/>
      <c r="AN1173" s="180"/>
      <c r="AO1173" s="128"/>
      <c r="AP1173" s="184"/>
      <c r="AQ1173" s="128"/>
      <c r="AR1173" s="184"/>
      <c r="AS1173" s="128"/>
      <c r="AT1173" s="184"/>
      <c r="AU1173" s="128"/>
      <c r="AV1173" s="184"/>
      <c r="AW1173" s="128"/>
      <c r="AX1173" s="184"/>
      <c r="AY1173" s="111"/>
      <c r="AZ1173" s="178"/>
      <c r="BC1173" s="47"/>
      <c r="BD1173" s="47"/>
      <c r="BF1173" s="113"/>
      <c r="BG1173" s="113"/>
      <c r="BH1173" s="113"/>
      <c r="BI1173" s="113"/>
      <c r="BJ1173" s="113"/>
      <c r="BK1173" s="113"/>
      <c r="BL1173" s="5">
        <f t="shared" si="189"/>
        <v>0</v>
      </c>
    </row>
    <row r="1174" spans="1:64" s="2" customFormat="1" ht="38.25" customHeight="1" outlineLevel="1" x14ac:dyDescent="0.2">
      <c r="A1174" s="593" t="s">
        <v>2084</v>
      </c>
      <c r="B1174" s="600" t="s">
        <v>2072</v>
      </c>
      <c r="C1174" s="7" t="s">
        <v>2086</v>
      </c>
      <c r="D1174" s="8" t="s">
        <v>145</v>
      </c>
      <c r="E1174" s="23" t="s">
        <v>1387</v>
      </c>
      <c r="F1174" s="8">
        <v>2013</v>
      </c>
      <c r="G1174" s="8">
        <v>2015</v>
      </c>
      <c r="H1174" s="5">
        <v>0.23300000000000001</v>
      </c>
      <c r="I1174" s="5">
        <v>0.23303084745762714</v>
      </c>
      <c r="J1174" s="5">
        <f>R1174</f>
        <v>0.184195</v>
      </c>
      <c r="K1174" s="8"/>
      <c r="L1174" s="23" t="s">
        <v>1387</v>
      </c>
      <c r="M1174" s="8"/>
      <c r="N1174" s="8"/>
      <c r="O1174" s="8"/>
      <c r="P1174" s="8"/>
      <c r="Q1174" s="23" t="s">
        <v>1387</v>
      </c>
      <c r="R1174" s="113">
        <v>0.184195</v>
      </c>
      <c r="S1174" s="113"/>
      <c r="T1174" s="113"/>
      <c r="U1174" s="113"/>
      <c r="V1174" s="113"/>
      <c r="W1174" s="113"/>
      <c r="X1174" s="5">
        <f t="shared" si="182"/>
        <v>0.184195</v>
      </c>
      <c r="Y1174" s="302">
        <f>H1174-H1175-H1176</f>
        <v>0</v>
      </c>
      <c r="Z1174" s="5">
        <f>I1174-I1175-I1176</f>
        <v>0</v>
      </c>
      <c r="AA1174" s="94">
        <f>J1174-J1175-J1176</f>
        <v>0</v>
      </c>
      <c r="AB1174" s="311">
        <f t="shared" si="190"/>
        <v>4.8835847457627146E-2</v>
      </c>
      <c r="AC1174" s="296"/>
      <c r="AD1174" s="113"/>
      <c r="AE1174" s="5"/>
      <c r="AF1174" s="5"/>
      <c r="AG1174" s="5">
        <f>H1174</f>
        <v>0.23300000000000001</v>
      </c>
      <c r="AH1174" s="5"/>
      <c r="AI1174" s="5"/>
      <c r="AJ1174" s="5"/>
      <c r="AK1174" s="141"/>
      <c r="AL1174" s="94">
        <f>SUM(AF1174:AK1174)</f>
        <v>0.23300000000000001</v>
      </c>
      <c r="AM1174" s="128"/>
      <c r="AN1174" s="180"/>
      <c r="AO1174" s="128">
        <v>0.5</v>
      </c>
      <c r="AP1174" s="184">
        <v>0</v>
      </c>
      <c r="AQ1174" s="128"/>
      <c r="AR1174" s="184"/>
      <c r="AS1174" s="128"/>
      <c r="AT1174" s="184"/>
      <c r="AU1174" s="128"/>
      <c r="AV1174" s="184"/>
      <c r="AW1174" s="128"/>
      <c r="AX1174" s="184"/>
      <c r="AY1174" s="111">
        <f>AM1174+AO1174+AQ1174+AS1174+AU1174+AW1174</f>
        <v>0.5</v>
      </c>
      <c r="AZ1174" s="178">
        <f>AN1174+AP1174+AR1174+AT1174+AV1174+AX1174</f>
        <v>0</v>
      </c>
      <c r="BC1174" s="47"/>
      <c r="BD1174" s="47"/>
      <c r="BF1174" s="113">
        <v>0.184195</v>
      </c>
      <c r="BG1174" s="113"/>
      <c r="BH1174" s="113"/>
      <c r="BI1174" s="113"/>
      <c r="BJ1174" s="113"/>
      <c r="BK1174" s="113"/>
      <c r="BL1174" s="5">
        <f t="shared" si="189"/>
        <v>0.184195</v>
      </c>
    </row>
    <row r="1175" spans="1:64" s="2" customFormat="1" ht="14.1" customHeight="1" outlineLevel="1" x14ac:dyDescent="0.2">
      <c r="A1175" s="594"/>
      <c r="B1175" s="601"/>
      <c r="C1175" s="7" t="s">
        <v>1553</v>
      </c>
      <c r="D1175" s="8"/>
      <c r="E1175" s="23"/>
      <c r="F1175" s="8"/>
      <c r="G1175" s="8"/>
      <c r="H1175" s="5"/>
      <c r="I1175" s="5"/>
      <c r="J1175" s="5"/>
      <c r="K1175" s="8"/>
      <c r="L1175" s="23"/>
      <c r="M1175" s="8"/>
      <c r="N1175" s="8"/>
      <c r="O1175" s="8"/>
      <c r="P1175" s="8"/>
      <c r="Q1175" s="23"/>
      <c r="R1175" s="113"/>
      <c r="S1175" s="113"/>
      <c r="T1175" s="113"/>
      <c r="U1175" s="113"/>
      <c r="V1175" s="113"/>
      <c r="W1175" s="113"/>
      <c r="X1175" s="5">
        <f>SUM(R1175:W1175)</f>
        <v>0</v>
      </c>
      <c r="Y1175" s="302"/>
      <c r="Z1175" s="5"/>
      <c r="AA1175" s="94"/>
      <c r="AB1175" s="311">
        <f t="shared" si="190"/>
        <v>0</v>
      </c>
      <c r="AC1175" s="296"/>
      <c r="AD1175" s="113"/>
      <c r="AE1175" s="5"/>
      <c r="AF1175" s="5"/>
      <c r="AG1175" s="5"/>
      <c r="AH1175" s="5"/>
      <c r="AI1175" s="5"/>
      <c r="AJ1175" s="5"/>
      <c r="AK1175" s="141"/>
      <c r="AL1175" s="94"/>
      <c r="AM1175" s="128"/>
      <c r="AN1175" s="180"/>
      <c r="AO1175" s="128"/>
      <c r="AP1175" s="184"/>
      <c r="AQ1175" s="128"/>
      <c r="AR1175" s="184"/>
      <c r="AS1175" s="128"/>
      <c r="AT1175" s="184"/>
      <c r="AU1175" s="128"/>
      <c r="AV1175" s="184"/>
      <c r="AW1175" s="128"/>
      <c r="AX1175" s="184"/>
      <c r="AY1175" s="111"/>
      <c r="AZ1175" s="178"/>
      <c r="BC1175" s="47"/>
      <c r="BD1175" s="47"/>
      <c r="BF1175" s="113"/>
      <c r="BG1175" s="113"/>
      <c r="BH1175" s="113"/>
      <c r="BI1175" s="113"/>
      <c r="BJ1175" s="113"/>
      <c r="BK1175" s="113"/>
      <c r="BL1175" s="5">
        <f t="shared" si="189"/>
        <v>0</v>
      </c>
    </row>
    <row r="1176" spans="1:64" s="2" customFormat="1" ht="14.1" customHeight="1" outlineLevel="1" x14ac:dyDescent="0.2">
      <c r="A1176" s="595"/>
      <c r="B1176" s="602"/>
      <c r="C1176" s="7" t="s">
        <v>1554</v>
      </c>
      <c r="D1176" s="8"/>
      <c r="E1176" s="23"/>
      <c r="F1176" s="8"/>
      <c r="G1176" s="8"/>
      <c r="H1176" s="5">
        <v>0.23300000000000001</v>
      </c>
      <c r="I1176" s="5">
        <v>0.23303084745762714</v>
      </c>
      <c r="J1176" s="5">
        <v>0.184195</v>
      </c>
      <c r="K1176" s="23"/>
      <c r="L1176" s="8"/>
      <c r="M1176" s="8"/>
      <c r="N1176" s="8"/>
      <c r="O1176" s="8"/>
      <c r="P1176" s="8"/>
      <c r="Q1176" s="23"/>
      <c r="R1176" s="113"/>
      <c r="S1176" s="113"/>
      <c r="T1176" s="113"/>
      <c r="U1176" s="113"/>
      <c r="V1176" s="113"/>
      <c r="W1176" s="113"/>
      <c r="X1176" s="5">
        <f>SUM(R1176:W1176)</f>
        <v>0</v>
      </c>
      <c r="Y1176" s="302"/>
      <c r="Z1176" s="5"/>
      <c r="AA1176" s="94"/>
      <c r="AB1176" s="311">
        <f t="shared" si="190"/>
        <v>0.23303084745762714</v>
      </c>
      <c r="AC1176" s="296"/>
      <c r="AD1176" s="113"/>
      <c r="AE1176" s="5"/>
      <c r="AF1176" s="5"/>
      <c r="AG1176" s="5"/>
      <c r="AH1176" s="5"/>
      <c r="AI1176" s="5"/>
      <c r="AJ1176" s="5"/>
      <c r="AK1176" s="141"/>
      <c r="AL1176" s="94"/>
      <c r="AM1176" s="128"/>
      <c r="AN1176" s="180"/>
      <c r="AO1176" s="128"/>
      <c r="AP1176" s="184"/>
      <c r="AQ1176" s="128"/>
      <c r="AR1176" s="184"/>
      <c r="AS1176" s="128"/>
      <c r="AT1176" s="184"/>
      <c r="AU1176" s="128"/>
      <c r="AV1176" s="184"/>
      <c r="AW1176" s="128"/>
      <c r="AX1176" s="184"/>
      <c r="AY1176" s="111"/>
      <c r="AZ1176" s="178"/>
      <c r="BC1176" s="47"/>
      <c r="BD1176" s="47"/>
      <c r="BF1176" s="113"/>
      <c r="BG1176" s="113"/>
      <c r="BH1176" s="113"/>
      <c r="BI1176" s="113"/>
      <c r="BJ1176" s="113"/>
      <c r="BK1176" s="113"/>
      <c r="BL1176" s="5">
        <f t="shared" si="189"/>
        <v>0</v>
      </c>
    </row>
    <row r="1177" spans="1:64" s="2" customFormat="1" ht="25.5" outlineLevel="1" x14ac:dyDescent="0.2">
      <c r="A1177" s="593" t="s">
        <v>2087</v>
      </c>
      <c r="B1177" s="600" t="s">
        <v>2075</v>
      </c>
      <c r="C1177" s="7" t="s">
        <v>2265</v>
      </c>
      <c r="D1177" s="8" t="s">
        <v>145</v>
      </c>
      <c r="E1177" s="23" t="s">
        <v>1241</v>
      </c>
      <c r="F1177" s="8">
        <v>2013</v>
      </c>
      <c r="G1177" s="8">
        <v>2014</v>
      </c>
      <c r="H1177" s="5">
        <v>0.15548000000000001</v>
      </c>
      <c r="I1177" s="5">
        <v>0.122797</v>
      </c>
      <c r="J1177" s="5">
        <f>R1177</f>
        <v>0.122797</v>
      </c>
      <c r="K1177" s="23" t="s">
        <v>1241</v>
      </c>
      <c r="L1177" s="8"/>
      <c r="M1177" s="8"/>
      <c r="N1177" s="8"/>
      <c r="O1177" s="8"/>
      <c r="P1177" s="8"/>
      <c r="Q1177" s="23" t="s">
        <v>1241</v>
      </c>
      <c r="R1177" s="113">
        <v>0.122797</v>
      </c>
      <c r="S1177" s="113"/>
      <c r="T1177" s="113"/>
      <c r="U1177" s="113"/>
      <c r="V1177" s="113"/>
      <c r="W1177" s="113"/>
      <c r="X1177" s="5">
        <f t="shared" si="182"/>
        <v>0.122797</v>
      </c>
      <c r="Y1177" s="302">
        <f>H1177-H1178-H1179</f>
        <v>0</v>
      </c>
      <c r="Z1177" s="5">
        <f>I1177-I1178-I1179</f>
        <v>0</v>
      </c>
      <c r="AA1177" s="94">
        <f>J1177-J1178-J1179</f>
        <v>0</v>
      </c>
      <c r="AB1177" s="311">
        <f t="shared" si="190"/>
        <v>0</v>
      </c>
      <c r="AC1177" s="296"/>
      <c r="AD1177" s="113"/>
      <c r="AE1177" s="5"/>
      <c r="AF1177" s="5">
        <f>H1177</f>
        <v>0.15548000000000001</v>
      </c>
      <c r="AG1177" s="5"/>
      <c r="AH1177" s="5"/>
      <c r="AI1177" s="5"/>
      <c r="AJ1177" s="5"/>
      <c r="AK1177" s="141"/>
      <c r="AL1177" s="94">
        <f>SUM(AF1177:AK1177)</f>
        <v>0.15548000000000001</v>
      </c>
      <c r="AM1177" s="128">
        <v>0</v>
      </c>
      <c r="AN1177" s="180">
        <v>0</v>
      </c>
      <c r="AO1177" s="128"/>
      <c r="AP1177" s="184"/>
      <c r="AQ1177" s="128"/>
      <c r="AR1177" s="184"/>
      <c r="AS1177" s="128"/>
      <c r="AT1177" s="184"/>
      <c r="AU1177" s="128"/>
      <c r="AV1177" s="184"/>
      <c r="AW1177" s="128"/>
      <c r="AX1177" s="184"/>
      <c r="AY1177" s="111">
        <f>AM1177+AO1177+AQ1177+AS1177+AU1177+AW1177</f>
        <v>0</v>
      </c>
      <c r="AZ1177" s="178">
        <f>AN1177+AP1177+AR1177+AT1177+AV1177+AX1177</f>
        <v>0</v>
      </c>
      <c r="BC1177" s="47"/>
      <c r="BD1177" s="47"/>
      <c r="BF1177" s="113">
        <v>0.122797</v>
      </c>
      <c r="BG1177" s="113"/>
      <c r="BH1177" s="113"/>
      <c r="BI1177" s="113"/>
      <c r="BJ1177" s="113"/>
      <c r="BK1177" s="113"/>
      <c r="BL1177" s="5">
        <f t="shared" si="189"/>
        <v>0.122797</v>
      </c>
    </row>
    <row r="1178" spans="1:64" s="2" customFormat="1" ht="14.1" customHeight="1" outlineLevel="1" x14ac:dyDescent="0.2">
      <c r="A1178" s="594"/>
      <c r="B1178" s="601"/>
      <c r="C1178" s="7" t="s">
        <v>1553</v>
      </c>
      <c r="D1178" s="8"/>
      <c r="E1178" s="23"/>
      <c r="F1178" s="8"/>
      <c r="G1178" s="8"/>
      <c r="H1178" s="5"/>
      <c r="I1178" s="5"/>
      <c r="J1178" s="5"/>
      <c r="K1178" s="8"/>
      <c r="L1178" s="23"/>
      <c r="M1178" s="8"/>
      <c r="N1178" s="8"/>
      <c r="O1178" s="8"/>
      <c r="P1178" s="8"/>
      <c r="Q1178" s="23"/>
      <c r="R1178" s="113"/>
      <c r="S1178" s="113"/>
      <c r="T1178" s="113"/>
      <c r="U1178" s="113"/>
      <c r="V1178" s="113"/>
      <c r="W1178" s="113"/>
      <c r="X1178" s="5">
        <f t="shared" si="182"/>
        <v>0</v>
      </c>
      <c r="Y1178" s="302"/>
      <c r="Z1178" s="5"/>
      <c r="AA1178" s="94"/>
      <c r="AB1178" s="311">
        <f t="shared" si="190"/>
        <v>0</v>
      </c>
      <c r="AC1178" s="296"/>
      <c r="AD1178" s="113"/>
      <c r="AE1178" s="5"/>
      <c r="AF1178" s="5"/>
      <c r="AG1178" s="5"/>
      <c r="AH1178" s="5"/>
      <c r="AI1178" s="5"/>
      <c r="AJ1178" s="5"/>
      <c r="AK1178" s="141"/>
      <c r="AL1178" s="94"/>
      <c r="AM1178" s="128"/>
      <c r="AN1178" s="180"/>
      <c r="AO1178" s="128"/>
      <c r="AP1178" s="184"/>
      <c r="AQ1178" s="128"/>
      <c r="AR1178" s="184"/>
      <c r="AS1178" s="128"/>
      <c r="AT1178" s="184"/>
      <c r="AU1178" s="128"/>
      <c r="AV1178" s="184"/>
      <c r="AW1178" s="128"/>
      <c r="AX1178" s="184"/>
      <c r="AY1178" s="111"/>
      <c r="AZ1178" s="178"/>
      <c r="BC1178" s="47"/>
      <c r="BD1178" s="47"/>
      <c r="BF1178" s="113"/>
      <c r="BG1178" s="113"/>
      <c r="BH1178" s="113"/>
      <c r="BI1178" s="113"/>
      <c r="BJ1178" s="113"/>
      <c r="BK1178" s="113"/>
      <c r="BL1178" s="5">
        <f t="shared" si="189"/>
        <v>0</v>
      </c>
    </row>
    <row r="1179" spans="1:64" s="2" customFormat="1" ht="14.1" customHeight="1" outlineLevel="1" x14ac:dyDescent="0.2">
      <c r="A1179" s="595"/>
      <c r="B1179" s="602"/>
      <c r="C1179" s="7" t="s">
        <v>1554</v>
      </c>
      <c r="D1179" s="8"/>
      <c r="E1179" s="23"/>
      <c r="F1179" s="8"/>
      <c r="G1179" s="8"/>
      <c r="H1179" s="5">
        <v>0.15548000000000001</v>
      </c>
      <c r="I1179" s="5">
        <f>I1177</f>
        <v>0.122797</v>
      </c>
      <c r="J1179" s="5">
        <v>0.122797</v>
      </c>
      <c r="K1179" s="23"/>
      <c r="L1179" s="8"/>
      <c r="M1179" s="8"/>
      <c r="N1179" s="8"/>
      <c r="O1179" s="8"/>
      <c r="P1179" s="8"/>
      <c r="Q1179" s="23"/>
      <c r="R1179" s="113"/>
      <c r="S1179" s="113"/>
      <c r="T1179" s="113"/>
      <c r="U1179" s="113"/>
      <c r="V1179" s="113"/>
      <c r="W1179" s="113"/>
      <c r="X1179" s="5">
        <f t="shared" si="182"/>
        <v>0</v>
      </c>
      <c r="Y1179" s="302"/>
      <c r="Z1179" s="5"/>
      <c r="AA1179" s="94"/>
      <c r="AB1179" s="311">
        <f t="shared" si="190"/>
        <v>0.122797</v>
      </c>
      <c r="AC1179" s="296"/>
      <c r="AD1179" s="113"/>
      <c r="AE1179" s="5"/>
      <c r="AF1179" s="5"/>
      <c r="AG1179" s="5"/>
      <c r="AH1179" s="5"/>
      <c r="AI1179" s="5"/>
      <c r="AJ1179" s="5"/>
      <c r="AK1179" s="141"/>
      <c r="AL1179" s="94"/>
      <c r="AM1179" s="128"/>
      <c r="AN1179" s="180"/>
      <c r="AO1179" s="128"/>
      <c r="AP1179" s="184"/>
      <c r="AQ1179" s="128"/>
      <c r="AR1179" s="184"/>
      <c r="AS1179" s="128"/>
      <c r="AT1179" s="184"/>
      <c r="AU1179" s="128"/>
      <c r="AV1179" s="184"/>
      <c r="AW1179" s="128"/>
      <c r="AX1179" s="184"/>
      <c r="AY1179" s="111"/>
      <c r="AZ1179" s="178"/>
      <c r="BC1179" s="47"/>
      <c r="BD1179" s="47"/>
      <c r="BF1179" s="113"/>
      <c r="BG1179" s="113"/>
      <c r="BH1179" s="113"/>
      <c r="BI1179" s="113"/>
      <c r="BJ1179" s="113"/>
      <c r="BK1179" s="113"/>
      <c r="BL1179" s="5">
        <f t="shared" si="189"/>
        <v>0</v>
      </c>
    </row>
    <row r="1180" spans="1:64" s="2" customFormat="1" ht="25.5" outlineLevel="1" x14ac:dyDescent="0.2">
      <c r="A1180" s="593" t="s">
        <v>2089</v>
      </c>
      <c r="B1180" s="600" t="s">
        <v>2077</v>
      </c>
      <c r="C1180" s="7" t="s">
        <v>2266</v>
      </c>
      <c r="D1180" s="8" t="s">
        <v>145</v>
      </c>
      <c r="E1180" s="23" t="s">
        <v>1241</v>
      </c>
      <c r="F1180" s="8">
        <v>2013</v>
      </c>
      <c r="G1180" s="8">
        <v>2014</v>
      </c>
      <c r="H1180" s="5">
        <v>0.15548000000000001</v>
      </c>
      <c r="I1180" s="5">
        <v>6.1398000000000001E-2</v>
      </c>
      <c r="J1180" s="5">
        <f>R1180</f>
        <v>6.1398000000000001E-2</v>
      </c>
      <c r="K1180" s="23" t="s">
        <v>1241</v>
      </c>
      <c r="L1180" s="8"/>
      <c r="M1180" s="8"/>
      <c r="N1180" s="8"/>
      <c r="O1180" s="8"/>
      <c r="P1180" s="8"/>
      <c r="Q1180" s="23" t="s">
        <v>1241</v>
      </c>
      <c r="R1180" s="113">
        <v>6.1398000000000001E-2</v>
      </c>
      <c r="S1180" s="113"/>
      <c r="T1180" s="113"/>
      <c r="U1180" s="113"/>
      <c r="V1180" s="113"/>
      <c r="W1180" s="113"/>
      <c r="X1180" s="5">
        <f t="shared" si="182"/>
        <v>6.1398000000000001E-2</v>
      </c>
      <c r="Y1180" s="302">
        <f>H1180-H1181-H1182</f>
        <v>0</v>
      </c>
      <c r="Z1180" s="5">
        <f>I1180-I1181-I1182</f>
        <v>0</v>
      </c>
      <c r="AA1180" s="94">
        <f>J1180-J1181-J1182</f>
        <v>0</v>
      </c>
      <c r="AB1180" s="311">
        <f t="shared" si="190"/>
        <v>0</v>
      </c>
      <c r="AC1180" s="296"/>
      <c r="AD1180" s="113"/>
      <c r="AE1180" s="5"/>
      <c r="AF1180" s="5">
        <f>H1180</f>
        <v>0.15548000000000001</v>
      </c>
      <c r="AG1180" s="5"/>
      <c r="AH1180" s="5"/>
      <c r="AI1180" s="5"/>
      <c r="AJ1180" s="5"/>
      <c r="AK1180" s="141"/>
      <c r="AL1180" s="94">
        <f>SUM(AF1180:AK1180)</f>
        <v>0.15548000000000001</v>
      </c>
      <c r="AM1180" s="128">
        <v>0</v>
      </c>
      <c r="AN1180" s="180">
        <v>0</v>
      </c>
      <c r="AO1180" s="128"/>
      <c r="AP1180" s="184"/>
      <c r="AQ1180" s="128"/>
      <c r="AR1180" s="184"/>
      <c r="AS1180" s="128"/>
      <c r="AT1180" s="184"/>
      <c r="AU1180" s="128"/>
      <c r="AV1180" s="184"/>
      <c r="AW1180" s="128"/>
      <c r="AX1180" s="184"/>
      <c r="AY1180" s="111">
        <f>AM1180+AO1180+AQ1180+AS1180+AU1180+AW1180</f>
        <v>0</v>
      </c>
      <c r="AZ1180" s="178">
        <f>AN1180+AP1180+AR1180+AT1180+AV1180+AX1180</f>
        <v>0</v>
      </c>
      <c r="BC1180" s="47"/>
      <c r="BD1180" s="47"/>
      <c r="BF1180" s="113">
        <v>6.1398000000000001E-2</v>
      </c>
      <c r="BG1180" s="113"/>
      <c r="BH1180" s="113"/>
      <c r="BI1180" s="113"/>
      <c r="BJ1180" s="113"/>
      <c r="BK1180" s="113"/>
      <c r="BL1180" s="5">
        <f t="shared" si="189"/>
        <v>6.1398000000000001E-2</v>
      </c>
    </row>
    <row r="1181" spans="1:64" s="2" customFormat="1" ht="14.1" customHeight="1" outlineLevel="1" x14ac:dyDescent="0.2">
      <c r="A1181" s="594"/>
      <c r="B1181" s="601"/>
      <c r="C1181" s="7" t="s">
        <v>1553</v>
      </c>
      <c r="D1181" s="8"/>
      <c r="E1181" s="23"/>
      <c r="F1181" s="8"/>
      <c r="G1181" s="8"/>
      <c r="H1181" s="5"/>
      <c r="I1181" s="5"/>
      <c r="J1181" s="5"/>
      <c r="K1181" s="8"/>
      <c r="L1181" s="23"/>
      <c r="M1181" s="8"/>
      <c r="N1181" s="8"/>
      <c r="O1181" s="8"/>
      <c r="P1181" s="8"/>
      <c r="Q1181" s="23"/>
      <c r="R1181" s="113"/>
      <c r="S1181" s="113"/>
      <c r="T1181" s="113"/>
      <c r="U1181" s="113"/>
      <c r="V1181" s="113"/>
      <c r="W1181" s="113"/>
      <c r="X1181" s="5">
        <f>SUM(R1181:W1181)</f>
        <v>0</v>
      </c>
      <c r="Y1181" s="302"/>
      <c r="Z1181" s="5"/>
      <c r="AA1181" s="94"/>
      <c r="AB1181" s="311">
        <f t="shared" si="190"/>
        <v>0</v>
      </c>
      <c r="AC1181" s="296"/>
      <c r="AD1181" s="113"/>
      <c r="AE1181" s="5"/>
      <c r="AF1181" s="5"/>
      <c r="AG1181" s="5"/>
      <c r="AH1181" s="5"/>
      <c r="AI1181" s="5"/>
      <c r="AJ1181" s="5"/>
      <c r="AK1181" s="141"/>
      <c r="AL1181" s="94"/>
      <c r="AM1181" s="128"/>
      <c r="AN1181" s="180"/>
      <c r="AO1181" s="128"/>
      <c r="AP1181" s="184"/>
      <c r="AQ1181" s="128"/>
      <c r="AR1181" s="184"/>
      <c r="AS1181" s="128"/>
      <c r="AT1181" s="184"/>
      <c r="AU1181" s="128"/>
      <c r="AV1181" s="184"/>
      <c r="AW1181" s="128"/>
      <c r="AX1181" s="184"/>
      <c r="AY1181" s="111"/>
      <c r="AZ1181" s="178"/>
      <c r="BC1181" s="47"/>
      <c r="BD1181" s="47"/>
      <c r="BF1181" s="113"/>
      <c r="BG1181" s="113"/>
      <c r="BH1181" s="113"/>
      <c r="BI1181" s="113"/>
      <c r="BJ1181" s="113"/>
      <c r="BK1181" s="113"/>
      <c r="BL1181" s="5">
        <f t="shared" si="189"/>
        <v>0</v>
      </c>
    </row>
    <row r="1182" spans="1:64" s="2" customFormat="1" ht="14.1" customHeight="1" outlineLevel="1" x14ac:dyDescent="0.2">
      <c r="A1182" s="595"/>
      <c r="B1182" s="602"/>
      <c r="C1182" s="7" t="s">
        <v>1554</v>
      </c>
      <c r="D1182" s="8"/>
      <c r="E1182" s="23"/>
      <c r="F1182" s="8"/>
      <c r="G1182" s="8"/>
      <c r="H1182" s="5">
        <v>0.15548000000000001</v>
      </c>
      <c r="I1182" s="5">
        <f>I1180</f>
        <v>6.1398000000000001E-2</v>
      </c>
      <c r="J1182" s="5">
        <v>6.1398000000000001E-2</v>
      </c>
      <c r="K1182" s="23"/>
      <c r="L1182" s="8"/>
      <c r="M1182" s="8"/>
      <c r="N1182" s="8"/>
      <c r="O1182" s="8"/>
      <c r="P1182" s="8"/>
      <c r="Q1182" s="23"/>
      <c r="R1182" s="113"/>
      <c r="S1182" s="113"/>
      <c r="T1182" s="113"/>
      <c r="U1182" s="113"/>
      <c r="V1182" s="113"/>
      <c r="W1182" s="113"/>
      <c r="X1182" s="5">
        <f>SUM(R1182:W1182)</f>
        <v>0</v>
      </c>
      <c r="Y1182" s="302"/>
      <c r="Z1182" s="5"/>
      <c r="AA1182" s="94"/>
      <c r="AB1182" s="311">
        <f t="shared" si="190"/>
        <v>6.1398000000000001E-2</v>
      </c>
      <c r="AC1182" s="296"/>
      <c r="AD1182" s="113"/>
      <c r="AE1182" s="5"/>
      <c r="AF1182" s="5"/>
      <c r="AG1182" s="5"/>
      <c r="AH1182" s="5"/>
      <c r="AI1182" s="5"/>
      <c r="AJ1182" s="5"/>
      <c r="AK1182" s="141"/>
      <c r="AL1182" s="94"/>
      <c r="AM1182" s="128"/>
      <c r="AN1182" s="180"/>
      <c r="AO1182" s="128"/>
      <c r="AP1182" s="184"/>
      <c r="AQ1182" s="128"/>
      <c r="AR1182" s="184"/>
      <c r="AS1182" s="128"/>
      <c r="AT1182" s="184"/>
      <c r="AU1182" s="128"/>
      <c r="AV1182" s="184"/>
      <c r="AW1182" s="128"/>
      <c r="AX1182" s="184"/>
      <c r="AY1182" s="111"/>
      <c r="AZ1182" s="178"/>
      <c r="BC1182" s="47"/>
      <c r="BD1182" s="47"/>
      <c r="BF1182" s="113"/>
      <c r="BG1182" s="113"/>
      <c r="BH1182" s="113"/>
      <c r="BI1182" s="113"/>
      <c r="BJ1182" s="113"/>
      <c r="BK1182" s="113"/>
      <c r="BL1182" s="5">
        <f t="shared" si="189"/>
        <v>0</v>
      </c>
    </row>
    <row r="1183" spans="1:64" s="2" customFormat="1" ht="25.5" customHeight="1" outlineLevel="1" x14ac:dyDescent="0.2">
      <c r="A1183" s="593" t="s">
        <v>2091</v>
      </c>
      <c r="B1183" s="600" t="s">
        <v>2079</v>
      </c>
      <c r="C1183" s="7" t="s">
        <v>2361</v>
      </c>
      <c r="D1183" s="8" t="s">
        <v>145</v>
      </c>
      <c r="E1183" s="23" t="s">
        <v>1241</v>
      </c>
      <c r="F1183" s="8">
        <v>2013</v>
      </c>
      <c r="G1183" s="8">
        <v>2015</v>
      </c>
      <c r="H1183" s="5">
        <v>1.1439999999999999</v>
      </c>
      <c r="I1183" s="5">
        <v>1.1440477966101696</v>
      </c>
      <c r="J1183" s="5">
        <f>R1183</f>
        <v>1.1051690000000001</v>
      </c>
      <c r="K1183" s="8"/>
      <c r="L1183" s="23" t="s">
        <v>1241</v>
      </c>
      <c r="M1183" s="8"/>
      <c r="N1183" s="8"/>
      <c r="O1183" s="8"/>
      <c r="P1183" s="8"/>
      <c r="Q1183" s="23" t="s">
        <v>1241</v>
      </c>
      <c r="R1183" s="113">
        <v>1.1051690000000001</v>
      </c>
      <c r="S1183" s="113"/>
      <c r="T1183" s="113"/>
      <c r="U1183" s="113"/>
      <c r="V1183" s="113"/>
      <c r="W1183" s="113"/>
      <c r="X1183" s="5">
        <f t="shared" si="182"/>
        <v>1.1051690000000001</v>
      </c>
      <c r="Y1183" s="302">
        <f>H1183-H1184-H1185</f>
        <v>0</v>
      </c>
      <c r="Z1183" s="5">
        <f>I1183-I1184-I1185</f>
        <v>0</v>
      </c>
      <c r="AA1183" s="94">
        <f>J1183-J1184-J1185</f>
        <v>0</v>
      </c>
      <c r="AB1183" s="311">
        <f t="shared" si="190"/>
        <v>3.8878796610169575E-2</v>
      </c>
      <c r="AC1183" s="296"/>
      <c r="AD1183" s="113"/>
      <c r="AE1183" s="5"/>
      <c r="AF1183" s="5"/>
      <c r="AG1183" s="5">
        <f>H1183</f>
        <v>1.1439999999999999</v>
      </c>
      <c r="AH1183" s="5"/>
      <c r="AI1183" s="5"/>
      <c r="AJ1183" s="5"/>
      <c r="AK1183" s="141"/>
      <c r="AL1183" s="94">
        <f>SUM(AF1183:AK1183)</f>
        <v>1.1439999999999999</v>
      </c>
      <c r="AM1183" s="128"/>
      <c r="AN1183" s="180"/>
      <c r="AO1183" s="128">
        <v>0</v>
      </c>
      <c r="AP1183" s="184">
        <v>0</v>
      </c>
      <c r="AQ1183" s="128"/>
      <c r="AR1183" s="184"/>
      <c r="AS1183" s="128"/>
      <c r="AT1183" s="184"/>
      <c r="AU1183" s="128"/>
      <c r="AV1183" s="184"/>
      <c r="AW1183" s="128"/>
      <c r="AX1183" s="184"/>
      <c r="AY1183" s="111">
        <f>AM1183+AO1183+AQ1183+AS1183+AU1183+AW1183</f>
        <v>0</v>
      </c>
      <c r="AZ1183" s="178">
        <f>AN1183+AP1183+AR1183+AT1183+AV1183+AX1183</f>
        <v>0</v>
      </c>
      <c r="BC1183" s="47"/>
      <c r="BD1183" s="47"/>
      <c r="BF1183" s="113">
        <v>1.1051690000000001</v>
      </c>
      <c r="BG1183" s="113"/>
      <c r="BH1183" s="113"/>
      <c r="BI1183" s="113"/>
      <c r="BJ1183" s="113"/>
      <c r="BK1183" s="113"/>
      <c r="BL1183" s="5">
        <f t="shared" si="189"/>
        <v>1.1051690000000001</v>
      </c>
    </row>
    <row r="1184" spans="1:64" s="2" customFormat="1" ht="14.1" customHeight="1" outlineLevel="1" x14ac:dyDescent="0.2">
      <c r="A1184" s="594"/>
      <c r="B1184" s="601"/>
      <c r="C1184" s="7" t="s">
        <v>1553</v>
      </c>
      <c r="D1184" s="8"/>
      <c r="E1184" s="23"/>
      <c r="F1184" s="8"/>
      <c r="G1184" s="8"/>
      <c r="H1184" s="5"/>
      <c r="I1184" s="5"/>
      <c r="J1184" s="5"/>
      <c r="K1184" s="8"/>
      <c r="L1184" s="23"/>
      <c r="M1184" s="8"/>
      <c r="N1184" s="8"/>
      <c r="O1184" s="8"/>
      <c r="P1184" s="8"/>
      <c r="Q1184" s="23"/>
      <c r="R1184" s="113"/>
      <c r="S1184" s="113"/>
      <c r="T1184" s="113"/>
      <c r="U1184" s="113"/>
      <c r="V1184" s="113"/>
      <c r="W1184" s="113"/>
      <c r="X1184" s="5">
        <f t="shared" si="182"/>
        <v>0</v>
      </c>
      <c r="Y1184" s="302"/>
      <c r="Z1184" s="5"/>
      <c r="AA1184" s="94"/>
      <c r="AB1184" s="311">
        <f t="shared" si="190"/>
        <v>0</v>
      </c>
      <c r="AC1184" s="296"/>
      <c r="AD1184" s="113"/>
      <c r="AE1184" s="5"/>
      <c r="AF1184" s="5"/>
      <c r="AG1184" s="5"/>
      <c r="AH1184" s="5"/>
      <c r="AI1184" s="5"/>
      <c r="AJ1184" s="5"/>
      <c r="AK1184" s="141"/>
      <c r="AL1184" s="94"/>
      <c r="AM1184" s="128"/>
      <c r="AN1184" s="180"/>
      <c r="AO1184" s="128"/>
      <c r="AP1184" s="184"/>
      <c r="AQ1184" s="128"/>
      <c r="AR1184" s="184"/>
      <c r="AS1184" s="128"/>
      <c r="AT1184" s="184"/>
      <c r="AU1184" s="128"/>
      <c r="AV1184" s="184"/>
      <c r="AW1184" s="128"/>
      <c r="AX1184" s="184"/>
      <c r="AY1184" s="111"/>
      <c r="AZ1184" s="178"/>
      <c r="BC1184" s="47"/>
      <c r="BD1184" s="47"/>
      <c r="BF1184" s="113"/>
      <c r="BG1184" s="113"/>
      <c r="BH1184" s="113"/>
      <c r="BI1184" s="113"/>
      <c r="BJ1184" s="113"/>
      <c r="BK1184" s="113"/>
      <c r="BL1184" s="5">
        <f t="shared" si="189"/>
        <v>0</v>
      </c>
    </row>
    <row r="1185" spans="1:64" s="2" customFormat="1" ht="14.1" customHeight="1" outlineLevel="1" x14ac:dyDescent="0.2">
      <c r="A1185" s="595"/>
      <c r="B1185" s="602"/>
      <c r="C1185" s="7" t="s">
        <v>1554</v>
      </c>
      <c r="D1185" s="8"/>
      <c r="E1185" s="23"/>
      <c r="F1185" s="8"/>
      <c r="G1185" s="8"/>
      <c r="H1185" s="5">
        <v>1.1439999999999999</v>
      </c>
      <c r="I1185" s="5">
        <v>1.1440477966101696</v>
      </c>
      <c r="J1185" s="5">
        <v>1.1051690000000001</v>
      </c>
      <c r="K1185" s="23"/>
      <c r="L1185" s="8"/>
      <c r="M1185" s="8"/>
      <c r="N1185" s="8"/>
      <c r="O1185" s="8"/>
      <c r="P1185" s="8"/>
      <c r="Q1185" s="23"/>
      <c r="R1185" s="113"/>
      <c r="S1185" s="113"/>
      <c r="T1185" s="113"/>
      <c r="U1185" s="113"/>
      <c r="V1185" s="113"/>
      <c r="W1185" s="113"/>
      <c r="X1185" s="5">
        <f t="shared" si="182"/>
        <v>0</v>
      </c>
      <c r="Y1185" s="302"/>
      <c r="Z1185" s="5"/>
      <c r="AA1185" s="94"/>
      <c r="AB1185" s="311">
        <f t="shared" si="190"/>
        <v>1.1440477966101696</v>
      </c>
      <c r="AC1185" s="296"/>
      <c r="AD1185" s="113"/>
      <c r="AE1185" s="5"/>
      <c r="AF1185" s="5"/>
      <c r="AG1185" s="5"/>
      <c r="AH1185" s="5"/>
      <c r="AI1185" s="5"/>
      <c r="AJ1185" s="5"/>
      <c r="AK1185" s="141"/>
      <c r="AL1185" s="94"/>
      <c r="AM1185" s="128"/>
      <c r="AN1185" s="180"/>
      <c r="AO1185" s="128"/>
      <c r="AP1185" s="184"/>
      <c r="AQ1185" s="128"/>
      <c r="AR1185" s="184"/>
      <c r="AS1185" s="128"/>
      <c r="AT1185" s="184"/>
      <c r="AU1185" s="128"/>
      <c r="AV1185" s="184"/>
      <c r="AW1185" s="128"/>
      <c r="AX1185" s="184"/>
      <c r="AY1185" s="111"/>
      <c r="AZ1185" s="178"/>
      <c r="BC1185" s="47"/>
      <c r="BD1185" s="47"/>
      <c r="BF1185" s="113"/>
      <c r="BG1185" s="113"/>
      <c r="BH1185" s="113"/>
      <c r="BI1185" s="113"/>
      <c r="BJ1185" s="113"/>
      <c r="BK1185" s="113"/>
      <c r="BL1185" s="5">
        <f t="shared" si="189"/>
        <v>0</v>
      </c>
    </row>
    <row r="1186" spans="1:64" s="2" customFormat="1" ht="38.25" customHeight="1" outlineLevel="1" x14ac:dyDescent="0.2">
      <c r="A1186" s="593" t="s">
        <v>2093</v>
      </c>
      <c r="B1186" s="600" t="s">
        <v>2082</v>
      </c>
      <c r="C1186" s="7" t="s">
        <v>2362</v>
      </c>
      <c r="D1186" s="8" t="s">
        <v>145</v>
      </c>
      <c r="E1186" s="23" t="s">
        <v>361</v>
      </c>
      <c r="F1186" s="8">
        <v>2013</v>
      </c>
      <c r="G1186" s="8">
        <v>2015</v>
      </c>
      <c r="H1186" s="5">
        <v>0.18726813559322036</v>
      </c>
      <c r="I1186" s="5">
        <v>0.18726813559322036</v>
      </c>
      <c r="J1186" s="5">
        <f>R1186</f>
        <v>0.01</v>
      </c>
      <c r="K1186" s="8"/>
      <c r="L1186" s="23" t="s">
        <v>361</v>
      </c>
      <c r="M1186" s="8"/>
      <c r="N1186" s="8"/>
      <c r="O1186" s="8"/>
      <c r="P1186" s="8"/>
      <c r="Q1186" s="23" t="s">
        <v>361</v>
      </c>
      <c r="R1186" s="113">
        <v>0.01</v>
      </c>
      <c r="S1186" s="113"/>
      <c r="T1186" s="113"/>
      <c r="U1186" s="113"/>
      <c r="V1186" s="113"/>
      <c r="W1186" s="113"/>
      <c r="X1186" s="5">
        <f t="shared" si="182"/>
        <v>0.01</v>
      </c>
      <c r="Y1186" s="302">
        <f>H1186-H1187-H1188</f>
        <v>0</v>
      </c>
      <c r="Z1186" s="5">
        <f>I1186-I1187-I1188</f>
        <v>0</v>
      </c>
      <c r="AA1186" s="94">
        <f>J1186-J1187-J1188</f>
        <v>0</v>
      </c>
      <c r="AB1186" s="311">
        <f t="shared" si="190"/>
        <v>0.17726813559322036</v>
      </c>
      <c r="AC1186" s="296"/>
      <c r="AD1186" s="113"/>
      <c r="AE1186" s="5"/>
      <c r="AF1186" s="5"/>
      <c r="AG1186" s="5">
        <f>H1186</f>
        <v>0.18726813559322036</v>
      </c>
      <c r="AH1186" s="5"/>
      <c r="AI1186" s="5"/>
      <c r="AJ1186" s="5"/>
      <c r="AK1186" s="141"/>
      <c r="AL1186" s="94">
        <f>SUM(AF1186:AK1186)</f>
        <v>0.18726813559322036</v>
      </c>
      <c r="AM1186" s="128"/>
      <c r="AN1186" s="180"/>
      <c r="AO1186" s="128">
        <v>0.12</v>
      </c>
      <c r="AP1186" s="184">
        <v>0</v>
      </c>
      <c r="AQ1186" s="128"/>
      <c r="AR1186" s="184"/>
      <c r="AS1186" s="128"/>
      <c r="AT1186" s="184"/>
      <c r="AU1186" s="128"/>
      <c r="AV1186" s="184"/>
      <c r="AW1186" s="128"/>
      <c r="AX1186" s="184"/>
      <c r="AY1186" s="111">
        <f>AM1186+AO1186+AQ1186+AS1186+AU1186+AW1186</f>
        <v>0.12</v>
      </c>
      <c r="AZ1186" s="178">
        <f>AN1186+AP1186+AR1186+AT1186+AV1186+AX1186</f>
        <v>0</v>
      </c>
      <c r="BC1186" s="47"/>
      <c r="BD1186" s="47"/>
      <c r="BF1186" s="113">
        <v>0.01</v>
      </c>
      <c r="BG1186" s="113"/>
      <c r="BH1186" s="113"/>
      <c r="BI1186" s="113"/>
      <c r="BJ1186" s="113"/>
      <c r="BK1186" s="113"/>
      <c r="BL1186" s="5">
        <f t="shared" si="189"/>
        <v>0.01</v>
      </c>
    </row>
    <row r="1187" spans="1:64" s="2" customFormat="1" ht="14.1" customHeight="1" outlineLevel="1" x14ac:dyDescent="0.2">
      <c r="A1187" s="594"/>
      <c r="B1187" s="601"/>
      <c r="C1187" s="7" t="s">
        <v>1553</v>
      </c>
      <c r="D1187" s="8"/>
      <c r="E1187" s="23"/>
      <c r="F1187" s="8"/>
      <c r="G1187" s="8"/>
      <c r="H1187" s="5">
        <v>0.18726813559322036</v>
      </c>
      <c r="I1187" s="5">
        <v>0.18726813559322036</v>
      </c>
      <c r="J1187" s="5">
        <f>R1186</f>
        <v>0.01</v>
      </c>
      <c r="K1187" s="8"/>
      <c r="L1187" s="23"/>
      <c r="M1187" s="8"/>
      <c r="N1187" s="8"/>
      <c r="O1187" s="8"/>
      <c r="P1187" s="8"/>
      <c r="Q1187" s="23"/>
      <c r="R1187" s="113"/>
      <c r="S1187" s="113"/>
      <c r="T1187" s="113"/>
      <c r="U1187" s="113"/>
      <c r="V1187" s="113"/>
      <c r="W1187" s="113"/>
      <c r="X1187" s="5">
        <f>SUM(R1187:W1187)</f>
        <v>0</v>
      </c>
      <c r="Y1187" s="302"/>
      <c r="Z1187" s="5"/>
      <c r="AA1187" s="94"/>
      <c r="AB1187" s="311">
        <f t="shared" si="190"/>
        <v>0.18726813559322036</v>
      </c>
      <c r="AC1187" s="296"/>
      <c r="AD1187" s="113"/>
      <c r="AE1187" s="5"/>
      <c r="AF1187" s="5"/>
      <c r="AG1187" s="5"/>
      <c r="AH1187" s="5"/>
      <c r="AI1187" s="5"/>
      <c r="AJ1187" s="5"/>
      <c r="AK1187" s="141"/>
      <c r="AL1187" s="94"/>
      <c r="AM1187" s="128"/>
      <c r="AN1187" s="180"/>
      <c r="AO1187" s="128"/>
      <c r="AP1187" s="184"/>
      <c r="AQ1187" s="128"/>
      <c r="AR1187" s="184"/>
      <c r="AS1187" s="128"/>
      <c r="AT1187" s="184"/>
      <c r="AU1187" s="128"/>
      <c r="AV1187" s="184"/>
      <c r="AW1187" s="128"/>
      <c r="AX1187" s="184"/>
      <c r="AY1187" s="111"/>
      <c r="AZ1187" s="178"/>
      <c r="BC1187" s="47"/>
      <c r="BD1187" s="47"/>
      <c r="BF1187" s="113"/>
      <c r="BG1187" s="113"/>
      <c r="BH1187" s="113"/>
      <c r="BI1187" s="113"/>
      <c r="BJ1187" s="113"/>
      <c r="BK1187" s="113"/>
      <c r="BL1187" s="5">
        <f t="shared" si="189"/>
        <v>0</v>
      </c>
    </row>
    <row r="1188" spans="1:64" s="2" customFormat="1" ht="14.1" customHeight="1" outlineLevel="1" x14ac:dyDescent="0.2">
      <c r="A1188" s="595"/>
      <c r="B1188" s="602"/>
      <c r="C1188" s="7" t="s">
        <v>1554</v>
      </c>
      <c r="D1188" s="8"/>
      <c r="E1188" s="23"/>
      <c r="F1188" s="8"/>
      <c r="G1188" s="8"/>
      <c r="H1188" s="5"/>
      <c r="I1188" s="5"/>
      <c r="J1188" s="5"/>
      <c r="K1188" s="23"/>
      <c r="L1188" s="8"/>
      <c r="M1188" s="8"/>
      <c r="N1188" s="8"/>
      <c r="O1188" s="8"/>
      <c r="P1188" s="8"/>
      <c r="Q1188" s="23"/>
      <c r="R1188" s="113"/>
      <c r="S1188" s="113"/>
      <c r="T1188" s="113"/>
      <c r="U1188" s="113"/>
      <c r="V1188" s="113"/>
      <c r="W1188" s="113"/>
      <c r="X1188" s="5">
        <f>SUM(R1188:W1188)</f>
        <v>0</v>
      </c>
      <c r="Y1188" s="302"/>
      <c r="Z1188" s="5"/>
      <c r="AA1188" s="94"/>
      <c r="AB1188" s="311">
        <f t="shared" si="190"/>
        <v>0</v>
      </c>
      <c r="AC1188" s="296"/>
      <c r="AD1188" s="113"/>
      <c r="AE1188" s="5"/>
      <c r="AF1188" s="5"/>
      <c r="AG1188" s="5"/>
      <c r="AH1188" s="5"/>
      <c r="AI1188" s="5"/>
      <c r="AJ1188" s="5"/>
      <c r="AK1188" s="141"/>
      <c r="AL1188" s="94"/>
      <c r="AM1188" s="128"/>
      <c r="AN1188" s="180"/>
      <c r="AO1188" s="128"/>
      <c r="AP1188" s="184"/>
      <c r="AQ1188" s="128"/>
      <c r="AR1188" s="184"/>
      <c r="AS1188" s="128"/>
      <c r="AT1188" s="184"/>
      <c r="AU1188" s="128"/>
      <c r="AV1188" s="184"/>
      <c r="AW1188" s="128"/>
      <c r="AX1188" s="184"/>
      <c r="AY1188" s="111"/>
      <c r="AZ1188" s="178"/>
      <c r="BC1188" s="47"/>
      <c r="BD1188" s="47"/>
      <c r="BF1188" s="113"/>
      <c r="BG1188" s="113"/>
      <c r="BH1188" s="113"/>
      <c r="BI1188" s="113"/>
      <c r="BJ1188" s="113"/>
      <c r="BK1188" s="113"/>
      <c r="BL1188" s="5">
        <f t="shared" si="189"/>
        <v>0</v>
      </c>
    </row>
    <row r="1189" spans="1:64" s="2" customFormat="1" ht="38.25" customHeight="1" outlineLevel="1" x14ac:dyDescent="0.2">
      <c r="A1189" s="593" t="s">
        <v>2095</v>
      </c>
      <c r="B1189" s="600" t="s">
        <v>2085</v>
      </c>
      <c r="C1189" s="7" t="s">
        <v>2097</v>
      </c>
      <c r="D1189" s="8" t="s">
        <v>145</v>
      </c>
      <c r="E1189" s="23" t="s">
        <v>1241</v>
      </c>
      <c r="F1189" s="8">
        <v>2013</v>
      </c>
      <c r="G1189" s="8">
        <v>2015</v>
      </c>
      <c r="H1189" s="5">
        <v>0.40300000000000002</v>
      </c>
      <c r="I1189" s="5">
        <v>0.40252237288135595</v>
      </c>
      <c r="J1189" s="5">
        <f>R1189</f>
        <v>0.36839</v>
      </c>
      <c r="K1189" s="8"/>
      <c r="L1189" s="23" t="s">
        <v>1241</v>
      </c>
      <c r="M1189" s="8"/>
      <c r="N1189" s="8"/>
      <c r="O1189" s="8"/>
      <c r="P1189" s="8"/>
      <c r="Q1189" s="23" t="s">
        <v>1241</v>
      </c>
      <c r="R1189" s="113">
        <v>0.36839</v>
      </c>
      <c r="S1189" s="113"/>
      <c r="T1189" s="113"/>
      <c r="U1189" s="113"/>
      <c r="V1189" s="113"/>
      <c r="W1189" s="113"/>
      <c r="X1189" s="5">
        <f t="shared" si="182"/>
        <v>0.36839</v>
      </c>
      <c r="Y1189" s="302">
        <f>H1189-H1190-H1191</f>
        <v>0</v>
      </c>
      <c r="Z1189" s="5">
        <f>I1189-I1190-I1191</f>
        <v>0</v>
      </c>
      <c r="AA1189" s="94">
        <f>J1189-J1190-J1191</f>
        <v>0</v>
      </c>
      <c r="AB1189" s="311">
        <f t="shared" si="190"/>
        <v>3.4132372881355955E-2</v>
      </c>
      <c r="AC1189" s="296"/>
      <c r="AD1189" s="113"/>
      <c r="AE1189" s="5"/>
      <c r="AF1189" s="5"/>
      <c r="AG1189" s="5">
        <f>H1189</f>
        <v>0.40300000000000002</v>
      </c>
      <c r="AH1189" s="5"/>
      <c r="AI1189" s="5"/>
      <c r="AJ1189" s="5"/>
      <c r="AK1189" s="141"/>
      <c r="AL1189" s="94">
        <f>SUM(AF1189:AK1189)</f>
        <v>0.40300000000000002</v>
      </c>
      <c r="AM1189" s="128"/>
      <c r="AN1189" s="180"/>
      <c r="AO1189" s="128">
        <v>0</v>
      </c>
      <c r="AP1189" s="184">
        <v>0</v>
      </c>
      <c r="AQ1189" s="128"/>
      <c r="AR1189" s="184"/>
      <c r="AS1189" s="128"/>
      <c r="AT1189" s="184"/>
      <c r="AU1189" s="128"/>
      <c r="AV1189" s="184"/>
      <c r="AW1189" s="128"/>
      <c r="AX1189" s="184"/>
      <c r="AY1189" s="111">
        <f>AM1189+AO1189+AQ1189+AS1189+AU1189+AW1189</f>
        <v>0</v>
      </c>
      <c r="AZ1189" s="178">
        <f>AN1189+AP1189+AR1189+AT1189+AV1189+AX1189</f>
        <v>0</v>
      </c>
      <c r="BC1189" s="47"/>
      <c r="BD1189" s="47"/>
      <c r="BF1189" s="113">
        <v>0.36839</v>
      </c>
      <c r="BG1189" s="113"/>
      <c r="BH1189" s="113"/>
      <c r="BI1189" s="113"/>
      <c r="BJ1189" s="113"/>
      <c r="BK1189" s="113"/>
      <c r="BL1189" s="5">
        <f t="shared" si="189"/>
        <v>0.36839</v>
      </c>
    </row>
    <row r="1190" spans="1:64" s="2" customFormat="1" ht="14.1" customHeight="1" outlineLevel="1" x14ac:dyDescent="0.2">
      <c r="A1190" s="594"/>
      <c r="B1190" s="601"/>
      <c r="C1190" s="7" t="s">
        <v>1553</v>
      </c>
      <c r="D1190" s="8"/>
      <c r="E1190" s="23"/>
      <c r="F1190" s="8"/>
      <c r="G1190" s="8"/>
      <c r="H1190" s="5"/>
      <c r="I1190" s="5"/>
      <c r="J1190" s="5"/>
      <c r="K1190" s="8"/>
      <c r="L1190" s="23"/>
      <c r="M1190" s="8"/>
      <c r="N1190" s="8"/>
      <c r="O1190" s="8"/>
      <c r="P1190" s="8"/>
      <c r="Q1190" s="23"/>
      <c r="R1190" s="113"/>
      <c r="S1190" s="113"/>
      <c r="T1190" s="113"/>
      <c r="U1190" s="113"/>
      <c r="V1190" s="113"/>
      <c r="W1190" s="113"/>
      <c r="X1190" s="5">
        <f>SUM(R1190:W1190)</f>
        <v>0</v>
      </c>
      <c r="Y1190" s="302"/>
      <c r="Z1190" s="5"/>
      <c r="AA1190" s="94"/>
      <c r="AB1190" s="311">
        <f t="shared" si="190"/>
        <v>0</v>
      </c>
      <c r="AC1190" s="296"/>
      <c r="AD1190" s="113"/>
      <c r="AE1190" s="5"/>
      <c r="AF1190" s="5"/>
      <c r="AG1190" s="5"/>
      <c r="AH1190" s="5"/>
      <c r="AI1190" s="5"/>
      <c r="AJ1190" s="5"/>
      <c r="AK1190" s="141"/>
      <c r="AL1190" s="94"/>
      <c r="AM1190" s="128"/>
      <c r="AN1190" s="180"/>
      <c r="AO1190" s="128"/>
      <c r="AP1190" s="184"/>
      <c r="AQ1190" s="128"/>
      <c r="AR1190" s="184"/>
      <c r="AS1190" s="128"/>
      <c r="AT1190" s="184"/>
      <c r="AU1190" s="128"/>
      <c r="AV1190" s="184"/>
      <c r="AW1190" s="128"/>
      <c r="AX1190" s="184"/>
      <c r="AY1190" s="111"/>
      <c r="AZ1190" s="178"/>
      <c r="BC1190" s="47"/>
      <c r="BD1190" s="47"/>
      <c r="BF1190" s="113"/>
      <c r="BG1190" s="113"/>
      <c r="BH1190" s="113"/>
      <c r="BI1190" s="113"/>
      <c r="BJ1190" s="113"/>
      <c r="BK1190" s="113"/>
      <c r="BL1190" s="5">
        <f t="shared" si="189"/>
        <v>0</v>
      </c>
    </row>
    <row r="1191" spans="1:64" s="2" customFormat="1" ht="14.1" customHeight="1" outlineLevel="1" x14ac:dyDescent="0.2">
      <c r="A1191" s="595"/>
      <c r="B1191" s="602"/>
      <c r="C1191" s="7" t="s">
        <v>1554</v>
      </c>
      <c r="D1191" s="8"/>
      <c r="E1191" s="23"/>
      <c r="F1191" s="8"/>
      <c r="G1191" s="8"/>
      <c r="H1191" s="5">
        <v>0.40300000000000002</v>
      </c>
      <c r="I1191" s="5">
        <v>0.40252237288135595</v>
      </c>
      <c r="J1191" s="5">
        <v>0.36839</v>
      </c>
      <c r="K1191" s="23"/>
      <c r="L1191" s="8"/>
      <c r="M1191" s="8"/>
      <c r="N1191" s="8"/>
      <c r="O1191" s="8"/>
      <c r="P1191" s="8"/>
      <c r="Q1191" s="23"/>
      <c r="R1191" s="113"/>
      <c r="S1191" s="113"/>
      <c r="T1191" s="113"/>
      <c r="U1191" s="113"/>
      <c r="V1191" s="113"/>
      <c r="W1191" s="113"/>
      <c r="X1191" s="5">
        <f>SUM(R1191:W1191)</f>
        <v>0</v>
      </c>
      <c r="Y1191" s="302"/>
      <c r="Z1191" s="5"/>
      <c r="AA1191" s="94"/>
      <c r="AB1191" s="311">
        <f t="shared" si="190"/>
        <v>0.40252237288135595</v>
      </c>
      <c r="AC1191" s="296"/>
      <c r="AD1191" s="113"/>
      <c r="AE1191" s="5"/>
      <c r="AF1191" s="5"/>
      <c r="AG1191" s="5"/>
      <c r="AH1191" s="5"/>
      <c r="AI1191" s="5"/>
      <c r="AJ1191" s="5"/>
      <c r="AK1191" s="141"/>
      <c r="AL1191" s="94"/>
      <c r="AM1191" s="128"/>
      <c r="AN1191" s="180"/>
      <c r="AO1191" s="128"/>
      <c r="AP1191" s="184"/>
      <c r="AQ1191" s="128"/>
      <c r="AR1191" s="184"/>
      <c r="AS1191" s="128"/>
      <c r="AT1191" s="184"/>
      <c r="AU1191" s="128"/>
      <c r="AV1191" s="184"/>
      <c r="AW1191" s="128"/>
      <c r="AX1191" s="184"/>
      <c r="AY1191" s="111"/>
      <c r="AZ1191" s="178"/>
      <c r="BC1191" s="47"/>
      <c r="BD1191" s="47"/>
      <c r="BF1191" s="113"/>
      <c r="BG1191" s="113"/>
      <c r="BH1191" s="113"/>
      <c r="BI1191" s="113"/>
      <c r="BJ1191" s="113"/>
      <c r="BK1191" s="113"/>
      <c r="BL1191" s="5">
        <f t="shared" si="189"/>
        <v>0</v>
      </c>
    </row>
    <row r="1192" spans="1:64" s="2" customFormat="1" ht="38.25" customHeight="1" outlineLevel="1" x14ac:dyDescent="0.2">
      <c r="A1192" s="593" t="s">
        <v>2098</v>
      </c>
      <c r="B1192" s="600" t="s">
        <v>2088</v>
      </c>
      <c r="C1192" s="7" t="s">
        <v>2100</v>
      </c>
      <c r="D1192" s="8" t="s">
        <v>145</v>
      </c>
      <c r="E1192" s="23" t="s">
        <v>1387</v>
      </c>
      <c r="F1192" s="8">
        <v>2013</v>
      </c>
      <c r="G1192" s="8">
        <v>2015</v>
      </c>
      <c r="H1192" s="5">
        <v>0.25421728813559319</v>
      </c>
      <c r="I1192" s="5">
        <v>0.25421728813559319</v>
      </c>
      <c r="J1192" s="5">
        <f>R1192</f>
        <v>0.24559299999999998</v>
      </c>
      <c r="K1192" s="8"/>
      <c r="L1192" s="23" t="s">
        <v>1387</v>
      </c>
      <c r="M1192" s="8"/>
      <c r="N1192" s="8"/>
      <c r="O1192" s="8"/>
      <c r="P1192" s="8"/>
      <c r="Q1192" s="23" t="s">
        <v>1387</v>
      </c>
      <c r="R1192" s="113">
        <v>0.24559299999999998</v>
      </c>
      <c r="S1192" s="113"/>
      <c r="T1192" s="113"/>
      <c r="U1192" s="113"/>
      <c r="V1192" s="113"/>
      <c r="W1192" s="113"/>
      <c r="X1192" s="5">
        <f t="shared" ref="X1192:X1327" si="191">SUM(R1192:W1192)</f>
        <v>0.24559299999999998</v>
      </c>
      <c r="Y1192" s="302">
        <f>H1192-H1193-H1194</f>
        <v>0</v>
      </c>
      <c r="Z1192" s="5">
        <f>I1192-I1193-I1194</f>
        <v>0</v>
      </c>
      <c r="AA1192" s="94">
        <f>J1192-J1193-J1194</f>
        <v>0</v>
      </c>
      <c r="AB1192" s="311">
        <f t="shared" si="190"/>
        <v>8.6242881355932111E-3</v>
      </c>
      <c r="AC1192" s="296"/>
      <c r="AD1192" s="113"/>
      <c r="AE1192" s="5"/>
      <c r="AF1192" s="5"/>
      <c r="AG1192" s="5">
        <f>H1192</f>
        <v>0.25421728813559319</v>
      </c>
      <c r="AH1192" s="5"/>
      <c r="AI1192" s="5"/>
      <c r="AJ1192" s="5"/>
      <c r="AK1192" s="141"/>
      <c r="AL1192" s="94">
        <f>SUM(AF1192:AK1192)</f>
        <v>0.25421728813559319</v>
      </c>
      <c r="AM1192" s="128"/>
      <c r="AN1192" s="180"/>
      <c r="AO1192" s="128">
        <v>0.5</v>
      </c>
      <c r="AP1192" s="184">
        <v>0</v>
      </c>
      <c r="AQ1192" s="128"/>
      <c r="AR1192" s="184"/>
      <c r="AS1192" s="128"/>
      <c r="AT1192" s="184"/>
      <c r="AU1192" s="128"/>
      <c r="AV1192" s="184"/>
      <c r="AW1192" s="128"/>
      <c r="AX1192" s="184"/>
      <c r="AY1192" s="111">
        <f>AM1192+AO1192+AQ1192+AS1192+AU1192+AW1192</f>
        <v>0.5</v>
      </c>
      <c r="AZ1192" s="178">
        <f>AN1192+AP1192+AR1192+AT1192+AV1192+AX1192</f>
        <v>0</v>
      </c>
      <c r="BC1192" s="47"/>
      <c r="BD1192" s="47"/>
      <c r="BF1192" s="113">
        <v>0.24559299999999998</v>
      </c>
      <c r="BG1192" s="113"/>
      <c r="BH1192" s="113"/>
      <c r="BI1192" s="113"/>
      <c r="BJ1192" s="113"/>
      <c r="BK1192" s="113"/>
      <c r="BL1192" s="5">
        <f t="shared" si="189"/>
        <v>0.24559299999999998</v>
      </c>
    </row>
    <row r="1193" spans="1:64" s="2" customFormat="1" ht="14.1" customHeight="1" outlineLevel="1" x14ac:dyDescent="0.2">
      <c r="A1193" s="594"/>
      <c r="B1193" s="601"/>
      <c r="C1193" s="7" t="s">
        <v>1553</v>
      </c>
      <c r="D1193" s="8"/>
      <c r="E1193" s="23"/>
      <c r="F1193" s="8"/>
      <c r="G1193" s="8"/>
      <c r="H1193" s="5"/>
      <c r="I1193" s="5"/>
      <c r="J1193" s="5"/>
      <c r="K1193" s="8"/>
      <c r="L1193" s="23"/>
      <c r="M1193" s="8"/>
      <c r="N1193" s="8"/>
      <c r="O1193" s="8"/>
      <c r="P1193" s="8"/>
      <c r="Q1193" s="23"/>
      <c r="R1193" s="113"/>
      <c r="S1193" s="113"/>
      <c r="T1193" s="113"/>
      <c r="U1193" s="113"/>
      <c r="V1193" s="113"/>
      <c r="W1193" s="113"/>
      <c r="X1193" s="5">
        <f t="shared" si="191"/>
        <v>0</v>
      </c>
      <c r="Y1193" s="302"/>
      <c r="Z1193" s="5"/>
      <c r="AA1193" s="94"/>
      <c r="AB1193" s="311">
        <f t="shared" si="190"/>
        <v>0</v>
      </c>
      <c r="AC1193" s="296"/>
      <c r="AD1193" s="113"/>
      <c r="AE1193" s="5"/>
      <c r="AF1193" s="5"/>
      <c r="AG1193" s="5"/>
      <c r="AH1193" s="5"/>
      <c r="AI1193" s="5"/>
      <c r="AJ1193" s="5"/>
      <c r="AK1193" s="141"/>
      <c r="AL1193" s="94"/>
      <c r="AM1193" s="128"/>
      <c r="AN1193" s="180"/>
      <c r="AO1193" s="128"/>
      <c r="AP1193" s="184"/>
      <c r="AQ1193" s="128"/>
      <c r="AR1193" s="184"/>
      <c r="AS1193" s="128"/>
      <c r="AT1193" s="184"/>
      <c r="AU1193" s="128"/>
      <c r="AV1193" s="184"/>
      <c r="AW1193" s="128"/>
      <c r="AX1193" s="184"/>
      <c r="AY1193" s="111"/>
      <c r="AZ1193" s="178"/>
      <c r="BC1193" s="47"/>
      <c r="BD1193" s="47"/>
      <c r="BF1193" s="113"/>
      <c r="BG1193" s="113"/>
      <c r="BH1193" s="113"/>
      <c r="BI1193" s="113"/>
      <c r="BJ1193" s="113"/>
      <c r="BK1193" s="113"/>
      <c r="BL1193" s="5">
        <f t="shared" si="189"/>
        <v>0</v>
      </c>
    </row>
    <row r="1194" spans="1:64" s="2" customFormat="1" ht="14.1" customHeight="1" outlineLevel="1" x14ac:dyDescent="0.2">
      <c r="A1194" s="595"/>
      <c r="B1194" s="602"/>
      <c r="C1194" s="7" t="s">
        <v>1554</v>
      </c>
      <c r="D1194" s="8"/>
      <c r="E1194" s="23"/>
      <c r="F1194" s="8"/>
      <c r="G1194" s="8"/>
      <c r="H1194" s="5">
        <v>0.25421728813559319</v>
      </c>
      <c r="I1194" s="5">
        <v>0.25421728813559319</v>
      </c>
      <c r="J1194" s="5">
        <v>0.24559299999999998</v>
      </c>
      <c r="K1194" s="23"/>
      <c r="L1194" s="8"/>
      <c r="M1194" s="8"/>
      <c r="N1194" s="8"/>
      <c r="O1194" s="8"/>
      <c r="P1194" s="8"/>
      <c r="Q1194" s="23"/>
      <c r="R1194" s="113"/>
      <c r="S1194" s="113"/>
      <c r="T1194" s="113"/>
      <c r="U1194" s="113"/>
      <c r="V1194" s="113"/>
      <c r="W1194" s="113"/>
      <c r="X1194" s="5">
        <f t="shared" si="191"/>
        <v>0</v>
      </c>
      <c r="Y1194" s="302"/>
      <c r="Z1194" s="5"/>
      <c r="AA1194" s="94"/>
      <c r="AB1194" s="311">
        <f t="shared" si="190"/>
        <v>0.25421728813559319</v>
      </c>
      <c r="AC1194" s="296"/>
      <c r="AD1194" s="113"/>
      <c r="AE1194" s="5"/>
      <c r="AF1194" s="5"/>
      <c r="AG1194" s="5"/>
      <c r="AH1194" s="5"/>
      <c r="AI1194" s="5"/>
      <c r="AJ1194" s="5"/>
      <c r="AK1194" s="141"/>
      <c r="AL1194" s="94"/>
      <c r="AM1194" s="128"/>
      <c r="AN1194" s="180"/>
      <c r="AO1194" s="128"/>
      <c r="AP1194" s="184"/>
      <c r="AQ1194" s="128"/>
      <c r="AR1194" s="184"/>
      <c r="AS1194" s="128"/>
      <c r="AT1194" s="184"/>
      <c r="AU1194" s="128"/>
      <c r="AV1194" s="184"/>
      <c r="AW1194" s="128"/>
      <c r="AX1194" s="184"/>
      <c r="AY1194" s="111"/>
      <c r="AZ1194" s="178"/>
      <c r="BC1194" s="47"/>
      <c r="BD1194" s="47"/>
      <c r="BF1194" s="113"/>
      <c r="BG1194" s="113"/>
      <c r="BH1194" s="113"/>
      <c r="BI1194" s="113"/>
      <c r="BJ1194" s="113"/>
      <c r="BK1194" s="113"/>
      <c r="BL1194" s="5">
        <f t="shared" si="189"/>
        <v>0</v>
      </c>
    </row>
    <row r="1195" spans="1:64" s="2" customFormat="1" ht="39.950000000000003" customHeight="1" outlineLevel="1" x14ac:dyDescent="0.2">
      <c r="A1195" s="593" t="s">
        <v>2101</v>
      </c>
      <c r="B1195" s="600" t="s">
        <v>2090</v>
      </c>
      <c r="C1195" s="7" t="s">
        <v>2588</v>
      </c>
      <c r="D1195" s="8" t="s">
        <v>145</v>
      </c>
      <c r="E1195" s="23" t="s">
        <v>343</v>
      </c>
      <c r="F1195" s="8">
        <v>2013</v>
      </c>
      <c r="G1195" s="8">
        <v>2014</v>
      </c>
      <c r="H1195" s="5">
        <v>0.15548000000000001</v>
      </c>
      <c r="I1195" s="5">
        <v>0.15548000000000001</v>
      </c>
      <c r="J1195" s="5">
        <f>R1195</f>
        <v>0.15548000000000001</v>
      </c>
      <c r="K1195" s="23" t="s">
        <v>343</v>
      </c>
      <c r="L1195" s="8"/>
      <c r="M1195" s="8"/>
      <c r="N1195" s="8"/>
      <c r="O1195" s="8"/>
      <c r="P1195" s="8"/>
      <c r="Q1195" s="23" t="s">
        <v>343</v>
      </c>
      <c r="R1195" s="286">
        <v>0.15548000000000001</v>
      </c>
      <c r="S1195" s="113"/>
      <c r="T1195" s="113"/>
      <c r="U1195" s="113"/>
      <c r="V1195" s="113"/>
      <c r="W1195" s="113"/>
      <c r="X1195" s="5">
        <f t="shared" si="191"/>
        <v>0.15548000000000001</v>
      </c>
      <c r="Y1195" s="302">
        <f>H1195-H1196-H1197</f>
        <v>0</v>
      </c>
      <c r="Z1195" s="5">
        <f>I1195-I1196-I1197</f>
        <v>0</v>
      </c>
      <c r="AA1195" s="94">
        <f>J1195-J1196-J1197</f>
        <v>0</v>
      </c>
      <c r="AB1195" s="311">
        <f t="shared" si="190"/>
        <v>0</v>
      </c>
      <c r="AC1195" s="296"/>
      <c r="AD1195" s="113"/>
      <c r="AE1195" s="5"/>
      <c r="AF1195" s="5">
        <f>H1195</f>
        <v>0.15548000000000001</v>
      </c>
      <c r="AG1195" s="5"/>
      <c r="AH1195" s="5"/>
      <c r="AI1195" s="5"/>
      <c r="AJ1195" s="5"/>
      <c r="AK1195" s="141"/>
      <c r="AL1195" s="94">
        <f>SUM(AF1195:AK1195)</f>
        <v>0.15548000000000001</v>
      </c>
      <c r="AM1195" s="128">
        <v>0.4</v>
      </c>
      <c r="AN1195" s="180">
        <v>0</v>
      </c>
      <c r="AO1195" s="128"/>
      <c r="AP1195" s="184"/>
      <c r="AQ1195" s="128"/>
      <c r="AR1195" s="184"/>
      <c r="AS1195" s="128"/>
      <c r="AT1195" s="184"/>
      <c r="AU1195" s="128"/>
      <c r="AV1195" s="184"/>
      <c r="AW1195" s="128"/>
      <c r="AX1195" s="184"/>
      <c r="AY1195" s="111">
        <f>AM1195+AO1195+AQ1195+AS1195+AU1195+AW1195</f>
        <v>0.4</v>
      </c>
      <c r="AZ1195" s="178">
        <f>AN1195+AP1195+AR1195+AT1195+AV1195+AX1195</f>
        <v>0</v>
      </c>
      <c r="BC1195" s="47"/>
      <c r="BD1195" s="47"/>
      <c r="BF1195" s="113">
        <v>0</v>
      </c>
      <c r="BG1195" s="113"/>
      <c r="BH1195" s="113"/>
      <c r="BI1195" s="113"/>
      <c r="BJ1195" s="113"/>
      <c r="BK1195" s="113"/>
      <c r="BL1195" s="5">
        <f t="shared" si="189"/>
        <v>0</v>
      </c>
    </row>
    <row r="1196" spans="1:64" s="2" customFormat="1" ht="14.1" customHeight="1" outlineLevel="1" x14ac:dyDescent="0.2">
      <c r="A1196" s="594"/>
      <c r="B1196" s="601"/>
      <c r="C1196" s="7" t="s">
        <v>1553</v>
      </c>
      <c r="D1196" s="8"/>
      <c r="E1196" s="23"/>
      <c r="F1196" s="8"/>
      <c r="G1196" s="8"/>
      <c r="H1196" s="5"/>
      <c r="I1196" s="5"/>
      <c r="J1196" s="5"/>
      <c r="K1196" s="8"/>
      <c r="L1196" s="23"/>
      <c r="M1196" s="8"/>
      <c r="N1196" s="8"/>
      <c r="O1196" s="8"/>
      <c r="P1196" s="8"/>
      <c r="Q1196" s="23"/>
      <c r="R1196" s="113"/>
      <c r="S1196" s="113"/>
      <c r="T1196" s="113"/>
      <c r="U1196" s="113"/>
      <c r="V1196" s="113"/>
      <c r="W1196" s="113"/>
      <c r="X1196" s="5">
        <f>SUM(R1196:W1196)</f>
        <v>0</v>
      </c>
      <c r="Y1196" s="302"/>
      <c r="Z1196" s="5"/>
      <c r="AA1196" s="94"/>
      <c r="AB1196" s="311">
        <f t="shared" si="190"/>
        <v>0</v>
      </c>
      <c r="AC1196" s="296"/>
      <c r="AD1196" s="113"/>
      <c r="AE1196" s="5"/>
      <c r="AF1196" s="5"/>
      <c r="AG1196" s="5"/>
      <c r="AH1196" s="5"/>
      <c r="AI1196" s="5"/>
      <c r="AJ1196" s="5"/>
      <c r="AK1196" s="141"/>
      <c r="AL1196" s="94"/>
      <c r="AM1196" s="128"/>
      <c r="AN1196" s="180"/>
      <c r="AO1196" s="128"/>
      <c r="AP1196" s="184"/>
      <c r="AQ1196" s="128"/>
      <c r="AR1196" s="184"/>
      <c r="AS1196" s="128"/>
      <c r="AT1196" s="184"/>
      <c r="AU1196" s="128"/>
      <c r="AV1196" s="184"/>
      <c r="AW1196" s="128"/>
      <c r="AX1196" s="184"/>
      <c r="AY1196" s="111"/>
      <c r="AZ1196" s="178"/>
      <c r="BC1196" s="47"/>
      <c r="BD1196" s="47"/>
      <c r="BF1196" s="113"/>
      <c r="BG1196" s="113"/>
      <c r="BH1196" s="113"/>
      <c r="BI1196" s="113"/>
      <c r="BJ1196" s="113"/>
      <c r="BK1196" s="113"/>
      <c r="BL1196" s="5">
        <f t="shared" si="189"/>
        <v>0</v>
      </c>
    </row>
    <row r="1197" spans="1:64" s="2" customFormat="1" ht="14.1" customHeight="1" outlineLevel="1" x14ac:dyDescent="0.2">
      <c r="A1197" s="595"/>
      <c r="B1197" s="602"/>
      <c r="C1197" s="7" t="s">
        <v>1554</v>
      </c>
      <c r="D1197" s="8"/>
      <c r="E1197" s="23"/>
      <c r="F1197" s="8"/>
      <c r="G1197" s="8"/>
      <c r="H1197" s="5">
        <f>H1195</f>
        <v>0.15548000000000001</v>
      </c>
      <c r="I1197" s="5">
        <f>I1195</f>
        <v>0.15548000000000001</v>
      </c>
      <c r="J1197" s="5">
        <f>J1195</f>
        <v>0.15548000000000001</v>
      </c>
      <c r="K1197" s="23"/>
      <c r="L1197" s="8"/>
      <c r="M1197" s="8"/>
      <c r="N1197" s="8"/>
      <c r="O1197" s="8"/>
      <c r="P1197" s="8"/>
      <c r="Q1197" s="23"/>
      <c r="R1197" s="113"/>
      <c r="S1197" s="113"/>
      <c r="T1197" s="113"/>
      <c r="U1197" s="113"/>
      <c r="V1197" s="113"/>
      <c r="W1197" s="113"/>
      <c r="X1197" s="5">
        <f>SUM(R1197:W1197)</f>
        <v>0</v>
      </c>
      <c r="Y1197" s="302"/>
      <c r="Z1197" s="5"/>
      <c r="AA1197" s="94"/>
      <c r="AB1197" s="311">
        <f t="shared" si="190"/>
        <v>0.15548000000000001</v>
      </c>
      <c r="AC1197" s="296"/>
      <c r="AD1197" s="113"/>
      <c r="AE1197" s="5"/>
      <c r="AF1197" s="5"/>
      <c r="AG1197" s="5"/>
      <c r="AH1197" s="5"/>
      <c r="AI1197" s="5"/>
      <c r="AJ1197" s="5"/>
      <c r="AK1197" s="141"/>
      <c r="AL1197" s="94"/>
      <c r="AM1197" s="128"/>
      <c r="AN1197" s="180"/>
      <c r="AO1197" s="128"/>
      <c r="AP1197" s="184"/>
      <c r="AQ1197" s="128"/>
      <c r="AR1197" s="184"/>
      <c r="AS1197" s="128"/>
      <c r="AT1197" s="184"/>
      <c r="AU1197" s="128"/>
      <c r="AV1197" s="184"/>
      <c r="AW1197" s="128"/>
      <c r="AX1197" s="184"/>
      <c r="AY1197" s="111"/>
      <c r="AZ1197" s="178"/>
      <c r="BC1197" s="47"/>
      <c r="BD1197" s="47"/>
      <c r="BF1197" s="113"/>
      <c r="BG1197" s="113"/>
      <c r="BH1197" s="113"/>
      <c r="BI1197" s="113"/>
      <c r="BJ1197" s="113"/>
      <c r="BK1197" s="113"/>
      <c r="BL1197" s="5">
        <f t="shared" si="189"/>
        <v>0</v>
      </c>
    </row>
    <row r="1198" spans="1:64" s="2" customFormat="1" ht="25.5" customHeight="1" outlineLevel="1" x14ac:dyDescent="0.2">
      <c r="A1198" s="593" t="s">
        <v>2103</v>
      </c>
      <c r="B1198" s="600" t="s">
        <v>2092</v>
      </c>
      <c r="C1198" s="7" t="s">
        <v>2105</v>
      </c>
      <c r="D1198" s="8" t="s">
        <v>145</v>
      </c>
      <c r="E1198" s="23" t="s">
        <v>335</v>
      </c>
      <c r="F1198" s="8">
        <v>2013</v>
      </c>
      <c r="G1198" s="8">
        <v>2015</v>
      </c>
      <c r="H1198" s="5">
        <v>4.0519999999999996</v>
      </c>
      <c r="I1198" s="5">
        <v>4.0516749152542371</v>
      </c>
      <c r="J1198" s="5">
        <f>R1198</f>
        <v>3.3466710000000002</v>
      </c>
      <c r="K1198" s="8"/>
      <c r="L1198" s="23" t="s">
        <v>335</v>
      </c>
      <c r="M1198" s="8"/>
      <c r="N1198" s="8"/>
      <c r="O1198" s="8"/>
      <c r="P1198" s="8"/>
      <c r="Q1198" s="23" t="s">
        <v>335</v>
      </c>
      <c r="R1198" s="113">
        <v>3.3466710000000002</v>
      </c>
      <c r="S1198" s="113"/>
      <c r="T1198" s="113"/>
      <c r="U1198" s="113"/>
      <c r="V1198" s="113"/>
      <c r="W1198" s="113"/>
      <c r="X1198" s="5">
        <f t="shared" si="191"/>
        <v>3.3466710000000002</v>
      </c>
      <c r="Y1198" s="302">
        <f>H1198-H1199-H1200</f>
        <v>0</v>
      </c>
      <c r="Z1198" s="5">
        <f>I1198-I1199-I1200</f>
        <v>0</v>
      </c>
      <c r="AA1198" s="94">
        <f>J1198-J1199-J1200</f>
        <v>0</v>
      </c>
      <c r="AB1198" s="311">
        <f t="shared" si="190"/>
        <v>0.70500391525423689</v>
      </c>
      <c r="AC1198" s="296"/>
      <c r="AD1198" s="113"/>
      <c r="AE1198" s="5"/>
      <c r="AF1198" s="5"/>
      <c r="AG1198" s="5">
        <f>H1198</f>
        <v>4.0519999999999996</v>
      </c>
      <c r="AH1198" s="5"/>
      <c r="AI1198" s="5"/>
      <c r="AJ1198" s="5"/>
      <c r="AK1198" s="141"/>
      <c r="AL1198" s="94">
        <f>SUM(AF1198:AK1198)</f>
        <v>4.0519999999999996</v>
      </c>
      <c r="AM1198" s="128"/>
      <c r="AN1198" s="180"/>
      <c r="AO1198" s="128">
        <v>0.1</v>
      </c>
      <c r="AP1198" s="184">
        <v>0</v>
      </c>
      <c r="AQ1198" s="128"/>
      <c r="AR1198" s="184"/>
      <c r="AS1198" s="128"/>
      <c r="AT1198" s="184"/>
      <c r="AU1198" s="128"/>
      <c r="AV1198" s="184"/>
      <c r="AW1198" s="128"/>
      <c r="AX1198" s="184"/>
      <c r="AY1198" s="111">
        <f>AM1198+AO1198+AQ1198+AS1198+AU1198+AW1198</f>
        <v>0.1</v>
      </c>
      <c r="AZ1198" s="178">
        <f>AN1198+AP1198+AR1198+AT1198+AV1198+AX1198</f>
        <v>0</v>
      </c>
      <c r="BC1198" s="47"/>
      <c r="BD1198" s="47"/>
      <c r="BF1198" s="113">
        <v>3.3466710000000002</v>
      </c>
      <c r="BG1198" s="113"/>
      <c r="BH1198" s="113"/>
      <c r="BI1198" s="113"/>
      <c r="BJ1198" s="113"/>
      <c r="BK1198" s="113"/>
      <c r="BL1198" s="5">
        <f t="shared" si="189"/>
        <v>3.3466710000000002</v>
      </c>
    </row>
    <row r="1199" spans="1:64" s="2" customFormat="1" ht="15.75" customHeight="1" outlineLevel="1" x14ac:dyDescent="0.2">
      <c r="A1199" s="594"/>
      <c r="B1199" s="601"/>
      <c r="C1199" s="7" t="s">
        <v>1553</v>
      </c>
      <c r="D1199" s="8"/>
      <c r="E1199" s="23"/>
      <c r="F1199" s="8"/>
      <c r="G1199" s="8"/>
      <c r="H1199" s="5"/>
      <c r="I1199" s="5"/>
      <c r="J1199" s="5"/>
      <c r="K1199" s="8"/>
      <c r="L1199" s="23"/>
      <c r="M1199" s="8"/>
      <c r="N1199" s="8"/>
      <c r="O1199" s="8"/>
      <c r="P1199" s="8"/>
      <c r="Q1199" s="23"/>
      <c r="R1199" s="113"/>
      <c r="S1199" s="113"/>
      <c r="T1199" s="113"/>
      <c r="U1199" s="113"/>
      <c r="V1199" s="113"/>
      <c r="W1199" s="113"/>
      <c r="X1199" s="5">
        <f t="shared" si="191"/>
        <v>0</v>
      </c>
      <c r="Y1199" s="302"/>
      <c r="Z1199" s="5"/>
      <c r="AA1199" s="94"/>
      <c r="AB1199" s="311">
        <f t="shared" si="190"/>
        <v>0</v>
      </c>
      <c r="AC1199" s="296"/>
      <c r="AD1199" s="113"/>
      <c r="AE1199" s="5"/>
      <c r="AF1199" s="5"/>
      <c r="AG1199" s="5"/>
      <c r="AH1199" s="5"/>
      <c r="AI1199" s="5"/>
      <c r="AJ1199" s="5"/>
      <c r="AK1199" s="141"/>
      <c r="AL1199" s="94"/>
      <c r="AM1199" s="128"/>
      <c r="AN1199" s="180"/>
      <c r="AO1199" s="128"/>
      <c r="AP1199" s="184"/>
      <c r="AQ1199" s="128"/>
      <c r="AR1199" s="184"/>
      <c r="AS1199" s="128"/>
      <c r="AT1199" s="184"/>
      <c r="AU1199" s="128"/>
      <c r="AV1199" s="184"/>
      <c r="AW1199" s="128"/>
      <c r="AX1199" s="184"/>
      <c r="AY1199" s="111"/>
      <c r="AZ1199" s="178"/>
      <c r="BC1199" s="47"/>
      <c r="BD1199" s="47"/>
      <c r="BF1199" s="113"/>
      <c r="BG1199" s="113"/>
      <c r="BH1199" s="113"/>
      <c r="BI1199" s="113"/>
      <c r="BJ1199" s="113"/>
      <c r="BK1199" s="113"/>
      <c r="BL1199" s="5">
        <f t="shared" si="189"/>
        <v>0</v>
      </c>
    </row>
    <row r="1200" spans="1:64" s="2" customFormat="1" ht="15.75" customHeight="1" outlineLevel="1" x14ac:dyDescent="0.2">
      <c r="A1200" s="595"/>
      <c r="B1200" s="602"/>
      <c r="C1200" s="7" t="s">
        <v>1554</v>
      </c>
      <c r="D1200" s="8"/>
      <c r="E1200" s="23"/>
      <c r="F1200" s="8"/>
      <c r="G1200" s="8"/>
      <c r="H1200" s="5">
        <v>4.0519999999999996</v>
      </c>
      <c r="I1200" s="5">
        <v>4.0516749152542371</v>
      </c>
      <c r="J1200" s="5">
        <v>3.3466710000000002</v>
      </c>
      <c r="K1200" s="23"/>
      <c r="L1200" s="8"/>
      <c r="M1200" s="8"/>
      <c r="N1200" s="8"/>
      <c r="O1200" s="8"/>
      <c r="P1200" s="8"/>
      <c r="Q1200" s="23"/>
      <c r="R1200" s="113"/>
      <c r="S1200" s="113"/>
      <c r="T1200" s="113"/>
      <c r="U1200" s="113"/>
      <c r="V1200" s="113"/>
      <c r="W1200" s="113"/>
      <c r="X1200" s="5">
        <f t="shared" si="191"/>
        <v>0</v>
      </c>
      <c r="Y1200" s="302"/>
      <c r="Z1200" s="5"/>
      <c r="AA1200" s="94"/>
      <c r="AB1200" s="311">
        <f t="shared" si="190"/>
        <v>4.0516749152542371</v>
      </c>
      <c r="AC1200" s="296"/>
      <c r="AD1200" s="113"/>
      <c r="AE1200" s="5"/>
      <c r="AF1200" s="5"/>
      <c r="AG1200" s="5"/>
      <c r="AH1200" s="5"/>
      <c r="AI1200" s="5"/>
      <c r="AJ1200" s="5"/>
      <c r="AK1200" s="141"/>
      <c r="AL1200" s="94"/>
      <c r="AM1200" s="128"/>
      <c r="AN1200" s="180"/>
      <c r="AO1200" s="128"/>
      <c r="AP1200" s="184"/>
      <c r="AQ1200" s="128"/>
      <c r="AR1200" s="184"/>
      <c r="AS1200" s="128"/>
      <c r="AT1200" s="184"/>
      <c r="AU1200" s="128"/>
      <c r="AV1200" s="184"/>
      <c r="AW1200" s="128"/>
      <c r="AX1200" s="184"/>
      <c r="AY1200" s="111"/>
      <c r="AZ1200" s="178"/>
      <c r="BC1200" s="47"/>
      <c r="BD1200" s="47"/>
      <c r="BF1200" s="113"/>
      <c r="BG1200" s="113"/>
      <c r="BH1200" s="113"/>
      <c r="BI1200" s="113"/>
      <c r="BJ1200" s="113"/>
      <c r="BK1200" s="113"/>
      <c r="BL1200" s="5">
        <f t="shared" si="189"/>
        <v>0</v>
      </c>
    </row>
    <row r="1201" spans="1:64" s="2" customFormat="1" ht="27" customHeight="1" outlineLevel="1" x14ac:dyDescent="0.2">
      <c r="A1201" s="593" t="s">
        <v>2106</v>
      </c>
      <c r="B1201" s="600" t="s">
        <v>2094</v>
      </c>
      <c r="C1201" s="7" t="s">
        <v>2108</v>
      </c>
      <c r="D1201" s="8" t="s">
        <v>145</v>
      </c>
      <c r="E1201" s="23" t="s">
        <v>335</v>
      </c>
      <c r="F1201" s="8">
        <v>2013</v>
      </c>
      <c r="G1201" s="8">
        <v>2015</v>
      </c>
      <c r="H1201" s="5">
        <v>1.6950000000000001</v>
      </c>
      <c r="I1201" s="5">
        <v>1.6948952542372884</v>
      </c>
      <c r="J1201" s="5">
        <f>R1201</f>
        <v>1.5349569999999999</v>
      </c>
      <c r="K1201" s="8"/>
      <c r="L1201" s="23" t="s">
        <v>335</v>
      </c>
      <c r="M1201" s="8"/>
      <c r="N1201" s="8"/>
      <c r="O1201" s="8"/>
      <c r="P1201" s="8"/>
      <c r="Q1201" s="23" t="s">
        <v>335</v>
      </c>
      <c r="R1201" s="113">
        <v>1.5349569999999999</v>
      </c>
      <c r="S1201" s="113"/>
      <c r="T1201" s="113"/>
      <c r="U1201" s="113"/>
      <c r="V1201" s="113"/>
      <c r="W1201" s="113"/>
      <c r="X1201" s="5">
        <f t="shared" si="191"/>
        <v>1.5349569999999999</v>
      </c>
      <c r="Y1201" s="302">
        <f>H1201-H1202-H1203</f>
        <v>0</v>
      </c>
      <c r="Z1201" s="5">
        <f>I1201-I1202-I1203</f>
        <v>0</v>
      </c>
      <c r="AA1201" s="94">
        <f>J1201-J1202-J1203</f>
        <v>0</v>
      </c>
      <c r="AB1201" s="311">
        <f t="shared" si="190"/>
        <v>0.15993825423728847</v>
      </c>
      <c r="AC1201" s="296"/>
      <c r="AD1201" s="113"/>
      <c r="AE1201" s="5"/>
      <c r="AF1201" s="5"/>
      <c r="AG1201" s="5">
        <f>H1201</f>
        <v>1.6950000000000001</v>
      </c>
      <c r="AH1201" s="5"/>
      <c r="AI1201" s="5"/>
      <c r="AJ1201" s="5"/>
      <c r="AK1201" s="141"/>
      <c r="AL1201" s="94">
        <f>SUM(AF1201:AK1201)</f>
        <v>1.6950000000000001</v>
      </c>
      <c r="AM1201" s="128"/>
      <c r="AN1201" s="180"/>
      <c r="AO1201" s="128">
        <v>0.1</v>
      </c>
      <c r="AP1201" s="184">
        <v>0</v>
      </c>
      <c r="AQ1201" s="128"/>
      <c r="AR1201" s="184"/>
      <c r="AS1201" s="128"/>
      <c r="AT1201" s="184"/>
      <c r="AU1201" s="128"/>
      <c r="AV1201" s="184"/>
      <c r="AW1201" s="128"/>
      <c r="AX1201" s="184"/>
      <c r="AY1201" s="111">
        <f>AM1201+AO1201+AQ1201+AS1201+AU1201+AW1201</f>
        <v>0.1</v>
      </c>
      <c r="AZ1201" s="178">
        <f>AN1201+AP1201+AR1201+AT1201+AV1201+AX1201</f>
        <v>0</v>
      </c>
      <c r="BC1201" s="47"/>
      <c r="BD1201" s="47"/>
      <c r="BF1201" s="113">
        <v>1.5349569999999999</v>
      </c>
      <c r="BG1201" s="113"/>
      <c r="BH1201" s="113"/>
      <c r="BI1201" s="113"/>
      <c r="BJ1201" s="113"/>
      <c r="BK1201" s="113"/>
      <c r="BL1201" s="5">
        <f t="shared" si="189"/>
        <v>1.5349569999999999</v>
      </c>
    </row>
    <row r="1202" spans="1:64" s="2" customFormat="1" ht="15.75" customHeight="1" outlineLevel="1" x14ac:dyDescent="0.2">
      <c r="A1202" s="594"/>
      <c r="B1202" s="601"/>
      <c r="C1202" s="7" t="s">
        <v>1553</v>
      </c>
      <c r="D1202" s="8"/>
      <c r="E1202" s="23"/>
      <c r="F1202" s="8"/>
      <c r="G1202" s="8"/>
      <c r="H1202" s="5">
        <v>1.6950000000000001</v>
      </c>
      <c r="I1202" s="5">
        <v>1.6948952542372884</v>
      </c>
      <c r="J1202" s="5">
        <v>1.5349569999999999</v>
      </c>
      <c r="K1202" s="8"/>
      <c r="L1202" s="23"/>
      <c r="M1202" s="8"/>
      <c r="N1202" s="8"/>
      <c r="O1202" s="8"/>
      <c r="P1202" s="8"/>
      <c r="Q1202" s="23"/>
      <c r="R1202" s="113"/>
      <c r="S1202" s="113"/>
      <c r="T1202" s="113"/>
      <c r="U1202" s="113"/>
      <c r="V1202" s="113"/>
      <c r="W1202" s="113"/>
      <c r="X1202" s="5">
        <f>SUM(R1202:W1202)</f>
        <v>0</v>
      </c>
      <c r="Y1202" s="302"/>
      <c r="Z1202" s="5"/>
      <c r="AA1202" s="94"/>
      <c r="AB1202" s="311">
        <f t="shared" si="190"/>
        <v>1.6948952542372884</v>
      </c>
      <c r="AC1202" s="296"/>
      <c r="AD1202" s="113"/>
      <c r="AE1202" s="5"/>
      <c r="AF1202" s="5"/>
      <c r="AG1202" s="5"/>
      <c r="AH1202" s="5"/>
      <c r="AI1202" s="5"/>
      <c r="AJ1202" s="5"/>
      <c r="AK1202" s="141"/>
      <c r="AL1202" s="94"/>
      <c r="AM1202" s="128"/>
      <c r="AN1202" s="180"/>
      <c r="AO1202" s="128"/>
      <c r="AP1202" s="184"/>
      <c r="AQ1202" s="128"/>
      <c r="AR1202" s="184"/>
      <c r="AS1202" s="128"/>
      <c r="AT1202" s="184"/>
      <c r="AU1202" s="128"/>
      <c r="AV1202" s="184"/>
      <c r="AW1202" s="128"/>
      <c r="AX1202" s="184"/>
      <c r="AY1202" s="111"/>
      <c r="AZ1202" s="178"/>
      <c r="BC1202" s="47"/>
      <c r="BD1202" s="47"/>
      <c r="BF1202" s="113"/>
      <c r="BG1202" s="113"/>
      <c r="BH1202" s="113"/>
      <c r="BI1202" s="113"/>
      <c r="BJ1202" s="113"/>
      <c r="BK1202" s="113"/>
      <c r="BL1202" s="5">
        <f t="shared" si="189"/>
        <v>0</v>
      </c>
    </row>
    <row r="1203" spans="1:64" s="2" customFormat="1" ht="15.75" customHeight="1" outlineLevel="1" x14ac:dyDescent="0.2">
      <c r="A1203" s="595"/>
      <c r="B1203" s="602"/>
      <c r="C1203" s="7" t="s">
        <v>1554</v>
      </c>
      <c r="D1203" s="8"/>
      <c r="E1203" s="23"/>
      <c r="F1203" s="8"/>
      <c r="G1203" s="8"/>
      <c r="H1203" s="5"/>
      <c r="I1203" s="5"/>
      <c r="J1203" s="5"/>
      <c r="K1203" s="23"/>
      <c r="L1203" s="8"/>
      <c r="M1203" s="8"/>
      <c r="N1203" s="8"/>
      <c r="O1203" s="8"/>
      <c r="P1203" s="8"/>
      <c r="Q1203" s="23"/>
      <c r="R1203" s="113"/>
      <c r="S1203" s="113"/>
      <c r="T1203" s="113"/>
      <c r="U1203" s="113"/>
      <c r="V1203" s="113"/>
      <c r="W1203" s="113"/>
      <c r="X1203" s="5">
        <f>SUM(R1203:W1203)</f>
        <v>0</v>
      </c>
      <c r="Y1203" s="302"/>
      <c r="Z1203" s="5"/>
      <c r="AA1203" s="94"/>
      <c r="AB1203" s="311">
        <f t="shared" si="190"/>
        <v>0</v>
      </c>
      <c r="AC1203" s="296"/>
      <c r="AD1203" s="113"/>
      <c r="AE1203" s="5"/>
      <c r="AF1203" s="5"/>
      <c r="AG1203" s="5"/>
      <c r="AH1203" s="5"/>
      <c r="AI1203" s="5"/>
      <c r="AJ1203" s="5"/>
      <c r="AK1203" s="141"/>
      <c r="AL1203" s="94"/>
      <c r="AM1203" s="128"/>
      <c r="AN1203" s="180"/>
      <c r="AO1203" s="128"/>
      <c r="AP1203" s="184"/>
      <c r="AQ1203" s="128"/>
      <c r="AR1203" s="184"/>
      <c r="AS1203" s="128"/>
      <c r="AT1203" s="184"/>
      <c r="AU1203" s="128"/>
      <c r="AV1203" s="184"/>
      <c r="AW1203" s="128"/>
      <c r="AX1203" s="184"/>
      <c r="AY1203" s="111"/>
      <c r="AZ1203" s="178"/>
      <c r="BC1203" s="47"/>
      <c r="BD1203" s="47"/>
      <c r="BF1203" s="113"/>
      <c r="BG1203" s="113"/>
      <c r="BH1203" s="113"/>
      <c r="BI1203" s="113"/>
      <c r="BJ1203" s="113"/>
      <c r="BK1203" s="113"/>
      <c r="BL1203" s="5">
        <f t="shared" ref="BL1203:BL1234" si="192">SUM(BF1203:BK1203)</f>
        <v>0</v>
      </c>
    </row>
    <row r="1204" spans="1:64" s="2" customFormat="1" ht="38.25" customHeight="1" outlineLevel="1" x14ac:dyDescent="0.2">
      <c r="A1204" s="593" t="s">
        <v>2109</v>
      </c>
      <c r="B1204" s="600" t="s">
        <v>2096</v>
      </c>
      <c r="C1204" s="7" t="s">
        <v>2363</v>
      </c>
      <c r="D1204" s="8" t="s">
        <v>145</v>
      </c>
      <c r="E1204" s="23" t="s">
        <v>335</v>
      </c>
      <c r="F1204" s="8">
        <v>2013</v>
      </c>
      <c r="G1204" s="8">
        <v>2015</v>
      </c>
      <c r="H1204" s="5">
        <v>0.3813359322033899</v>
      </c>
      <c r="I1204" s="5">
        <v>0.3813359322033899</v>
      </c>
      <c r="J1204" s="5">
        <f>R1204</f>
        <v>0.36839</v>
      </c>
      <c r="K1204" s="8"/>
      <c r="L1204" s="23" t="s">
        <v>335</v>
      </c>
      <c r="M1204" s="8"/>
      <c r="N1204" s="8"/>
      <c r="O1204" s="8"/>
      <c r="P1204" s="8"/>
      <c r="Q1204" s="23" t="s">
        <v>335</v>
      </c>
      <c r="R1204" s="113">
        <v>0.36839</v>
      </c>
      <c r="S1204" s="113"/>
      <c r="T1204" s="113"/>
      <c r="U1204" s="113"/>
      <c r="V1204" s="113"/>
      <c r="W1204" s="113"/>
      <c r="X1204" s="5">
        <f t="shared" si="191"/>
        <v>0.36839</v>
      </c>
      <c r="Y1204" s="302">
        <f>H1204-H1205-H1206</f>
        <v>0</v>
      </c>
      <c r="Z1204" s="5">
        <f>I1204-I1205-I1206</f>
        <v>0</v>
      </c>
      <c r="AA1204" s="94">
        <f>J1204-J1205-J1206</f>
        <v>0</v>
      </c>
      <c r="AB1204" s="311">
        <f t="shared" si="190"/>
        <v>1.2945932203389909E-2</v>
      </c>
      <c r="AC1204" s="296"/>
      <c r="AD1204" s="113"/>
      <c r="AE1204" s="5"/>
      <c r="AF1204" s="5"/>
      <c r="AG1204" s="5">
        <f>H1204</f>
        <v>0.3813359322033899</v>
      </c>
      <c r="AH1204" s="5"/>
      <c r="AI1204" s="5"/>
      <c r="AJ1204" s="5"/>
      <c r="AK1204" s="141"/>
      <c r="AL1204" s="94">
        <f>SUM(AF1204:AK1204)</f>
        <v>0.3813359322033899</v>
      </c>
      <c r="AM1204" s="128"/>
      <c r="AN1204" s="180"/>
      <c r="AO1204" s="128">
        <v>0.1</v>
      </c>
      <c r="AP1204" s="184">
        <v>0</v>
      </c>
      <c r="AQ1204" s="128"/>
      <c r="AR1204" s="184"/>
      <c r="AS1204" s="128"/>
      <c r="AT1204" s="184"/>
      <c r="AU1204" s="128"/>
      <c r="AV1204" s="184"/>
      <c r="AW1204" s="128"/>
      <c r="AX1204" s="184"/>
      <c r="AY1204" s="111">
        <f>AM1204+AO1204+AQ1204+AS1204+AU1204+AW1204</f>
        <v>0.1</v>
      </c>
      <c r="AZ1204" s="178">
        <f>AN1204+AP1204+AR1204+AT1204+AV1204+AX1204</f>
        <v>0</v>
      </c>
      <c r="BC1204" s="47"/>
      <c r="BD1204" s="47"/>
      <c r="BF1204" s="113">
        <v>0.36839</v>
      </c>
      <c r="BG1204" s="113"/>
      <c r="BH1204" s="113"/>
      <c r="BI1204" s="113"/>
      <c r="BJ1204" s="113"/>
      <c r="BK1204" s="113"/>
      <c r="BL1204" s="5">
        <f t="shared" si="192"/>
        <v>0.36839</v>
      </c>
    </row>
    <row r="1205" spans="1:64" s="2" customFormat="1" ht="15.75" customHeight="1" outlineLevel="1" x14ac:dyDescent="0.2">
      <c r="A1205" s="594"/>
      <c r="B1205" s="601"/>
      <c r="C1205" s="7" t="s">
        <v>1553</v>
      </c>
      <c r="D1205" s="8"/>
      <c r="E1205" s="23"/>
      <c r="F1205" s="8"/>
      <c r="G1205" s="8"/>
      <c r="H1205" s="5"/>
      <c r="I1205" s="5"/>
      <c r="J1205" s="5"/>
      <c r="K1205" s="8"/>
      <c r="L1205" s="23"/>
      <c r="M1205" s="8"/>
      <c r="N1205" s="8"/>
      <c r="O1205" s="8"/>
      <c r="P1205" s="8"/>
      <c r="Q1205" s="23"/>
      <c r="R1205" s="113"/>
      <c r="S1205" s="113"/>
      <c r="T1205" s="113"/>
      <c r="U1205" s="113"/>
      <c r="V1205" s="113"/>
      <c r="W1205" s="113"/>
      <c r="X1205" s="5">
        <f t="shared" si="191"/>
        <v>0</v>
      </c>
      <c r="Y1205" s="302"/>
      <c r="Z1205" s="5"/>
      <c r="AA1205" s="94"/>
      <c r="AB1205" s="311">
        <f t="shared" si="190"/>
        <v>0</v>
      </c>
      <c r="AC1205" s="296"/>
      <c r="AD1205" s="113"/>
      <c r="AE1205" s="5"/>
      <c r="AF1205" s="5"/>
      <c r="AG1205" s="5"/>
      <c r="AH1205" s="5"/>
      <c r="AI1205" s="5"/>
      <c r="AJ1205" s="5"/>
      <c r="AK1205" s="141"/>
      <c r="AL1205" s="94"/>
      <c r="AM1205" s="128"/>
      <c r="AN1205" s="180"/>
      <c r="AO1205" s="128"/>
      <c r="AP1205" s="184"/>
      <c r="AQ1205" s="128"/>
      <c r="AR1205" s="184"/>
      <c r="AS1205" s="128"/>
      <c r="AT1205" s="184"/>
      <c r="AU1205" s="128"/>
      <c r="AV1205" s="184"/>
      <c r="AW1205" s="128"/>
      <c r="AX1205" s="184"/>
      <c r="AY1205" s="111"/>
      <c r="AZ1205" s="178"/>
      <c r="BC1205" s="47"/>
      <c r="BD1205" s="47"/>
      <c r="BF1205" s="113"/>
      <c r="BG1205" s="113"/>
      <c r="BH1205" s="113"/>
      <c r="BI1205" s="113"/>
      <c r="BJ1205" s="113"/>
      <c r="BK1205" s="113"/>
      <c r="BL1205" s="5">
        <f t="shared" si="192"/>
        <v>0</v>
      </c>
    </row>
    <row r="1206" spans="1:64" s="2" customFormat="1" ht="15.75" customHeight="1" outlineLevel="1" x14ac:dyDescent="0.2">
      <c r="A1206" s="595"/>
      <c r="B1206" s="602"/>
      <c r="C1206" s="7" t="s">
        <v>1554</v>
      </c>
      <c r="D1206" s="8"/>
      <c r="E1206" s="23"/>
      <c r="F1206" s="8"/>
      <c r="G1206" s="8"/>
      <c r="H1206" s="5">
        <v>0.3813359322033899</v>
      </c>
      <c r="I1206" s="5">
        <v>0.3813359322033899</v>
      </c>
      <c r="J1206" s="5">
        <v>0.36839</v>
      </c>
      <c r="K1206" s="23"/>
      <c r="L1206" s="8"/>
      <c r="M1206" s="8"/>
      <c r="N1206" s="8"/>
      <c r="O1206" s="8"/>
      <c r="P1206" s="8"/>
      <c r="Q1206" s="23"/>
      <c r="R1206" s="113"/>
      <c r="S1206" s="113"/>
      <c r="T1206" s="113"/>
      <c r="U1206" s="113"/>
      <c r="V1206" s="113"/>
      <c r="W1206" s="113"/>
      <c r="X1206" s="5">
        <f t="shared" si="191"/>
        <v>0</v>
      </c>
      <c r="Y1206" s="302"/>
      <c r="Z1206" s="5"/>
      <c r="AA1206" s="94"/>
      <c r="AB1206" s="311">
        <f t="shared" si="190"/>
        <v>0.3813359322033899</v>
      </c>
      <c r="AC1206" s="296"/>
      <c r="AD1206" s="113"/>
      <c r="AE1206" s="5"/>
      <c r="AF1206" s="5"/>
      <c r="AG1206" s="5"/>
      <c r="AH1206" s="5"/>
      <c r="AI1206" s="5"/>
      <c r="AJ1206" s="5"/>
      <c r="AK1206" s="141"/>
      <c r="AL1206" s="94"/>
      <c r="AM1206" s="128"/>
      <c r="AN1206" s="180"/>
      <c r="AO1206" s="128"/>
      <c r="AP1206" s="184"/>
      <c r="AQ1206" s="128"/>
      <c r="AR1206" s="184"/>
      <c r="AS1206" s="128"/>
      <c r="AT1206" s="184"/>
      <c r="AU1206" s="128"/>
      <c r="AV1206" s="184"/>
      <c r="AW1206" s="128"/>
      <c r="AX1206" s="184"/>
      <c r="AY1206" s="111"/>
      <c r="AZ1206" s="178"/>
      <c r="BC1206" s="47"/>
      <c r="BD1206" s="47"/>
      <c r="BF1206" s="113"/>
      <c r="BG1206" s="113"/>
      <c r="BH1206" s="113"/>
      <c r="BI1206" s="113"/>
      <c r="BJ1206" s="113"/>
      <c r="BK1206" s="113"/>
      <c r="BL1206" s="5">
        <f t="shared" si="192"/>
        <v>0</v>
      </c>
    </row>
    <row r="1207" spans="1:64" s="2" customFormat="1" ht="38.25" customHeight="1" outlineLevel="1" x14ac:dyDescent="0.2">
      <c r="A1207" s="593" t="s">
        <v>2111</v>
      </c>
      <c r="B1207" s="600" t="s">
        <v>2099</v>
      </c>
      <c r="C1207" s="7" t="s">
        <v>2364</v>
      </c>
      <c r="D1207" s="8" t="s">
        <v>145</v>
      </c>
      <c r="E1207" s="23" t="s">
        <v>343</v>
      </c>
      <c r="F1207" s="8">
        <v>2013</v>
      </c>
      <c r="G1207" s="8">
        <v>2015</v>
      </c>
      <c r="H1207" s="5">
        <v>2.0339999999999998</v>
      </c>
      <c r="I1207" s="5">
        <v>0.04</v>
      </c>
      <c r="J1207" s="5">
        <f>R1207</f>
        <v>3.6838999999999997E-2</v>
      </c>
      <c r="K1207" s="8"/>
      <c r="L1207" s="23" t="s">
        <v>343</v>
      </c>
      <c r="M1207" s="8"/>
      <c r="N1207" s="8"/>
      <c r="O1207" s="8"/>
      <c r="P1207" s="8"/>
      <c r="Q1207" s="23" t="s">
        <v>343</v>
      </c>
      <c r="R1207" s="113">
        <v>3.6838999999999997E-2</v>
      </c>
      <c r="S1207" s="113"/>
      <c r="T1207" s="113"/>
      <c r="U1207" s="113"/>
      <c r="V1207" s="113"/>
      <c r="W1207" s="113"/>
      <c r="X1207" s="5">
        <f t="shared" si="191"/>
        <v>3.6838999999999997E-2</v>
      </c>
      <c r="Y1207" s="302">
        <f>H1207-H1208-H1209</f>
        <v>0</v>
      </c>
      <c r="Z1207" s="5">
        <f>I1207-I1208-I1209</f>
        <v>0</v>
      </c>
      <c r="AA1207" s="94">
        <f>J1207-J1208-J1209</f>
        <v>0</v>
      </c>
      <c r="AB1207" s="311">
        <f t="shared" si="190"/>
        <v>3.1610000000000041E-3</v>
      </c>
      <c r="AC1207" s="296"/>
      <c r="AD1207" s="113"/>
      <c r="AE1207" s="5"/>
      <c r="AF1207" s="5"/>
      <c r="AG1207" s="5">
        <f>H1207</f>
        <v>2.0339999999999998</v>
      </c>
      <c r="AH1207" s="5"/>
      <c r="AI1207" s="5"/>
      <c r="AJ1207" s="5"/>
      <c r="AK1207" s="141"/>
      <c r="AL1207" s="94">
        <f>SUM(AF1207:AK1207)</f>
        <v>2.0339999999999998</v>
      </c>
      <c r="AM1207" s="128"/>
      <c r="AN1207" s="180"/>
      <c r="AO1207" s="128">
        <v>0.4</v>
      </c>
      <c r="AP1207" s="184">
        <v>0</v>
      </c>
      <c r="AQ1207" s="128"/>
      <c r="AR1207" s="184"/>
      <c r="AS1207" s="128"/>
      <c r="AT1207" s="184"/>
      <c r="AU1207" s="128"/>
      <c r="AV1207" s="184"/>
      <c r="AW1207" s="128"/>
      <c r="AX1207" s="184"/>
      <c r="AY1207" s="111">
        <f>AM1207+AO1207+AQ1207+AS1207+AU1207+AW1207</f>
        <v>0.4</v>
      </c>
      <c r="AZ1207" s="178">
        <f>AN1207+AP1207+AR1207+AT1207+AV1207+AX1207</f>
        <v>0</v>
      </c>
      <c r="BC1207" s="47"/>
      <c r="BD1207" s="47"/>
      <c r="BF1207" s="113">
        <v>3.6838999999999997E-2</v>
      </c>
      <c r="BG1207" s="113"/>
      <c r="BH1207" s="113"/>
      <c r="BI1207" s="113"/>
      <c r="BJ1207" s="113"/>
      <c r="BK1207" s="113"/>
      <c r="BL1207" s="5">
        <f t="shared" si="192"/>
        <v>3.6838999999999997E-2</v>
      </c>
    </row>
    <row r="1208" spans="1:64" s="2" customFormat="1" ht="15.75" customHeight="1" outlineLevel="1" x14ac:dyDescent="0.2">
      <c r="A1208" s="594"/>
      <c r="B1208" s="601"/>
      <c r="C1208" s="7" t="s">
        <v>1553</v>
      </c>
      <c r="D1208" s="8"/>
      <c r="E1208" s="23"/>
      <c r="F1208" s="8"/>
      <c r="G1208" s="8"/>
      <c r="H1208" s="5"/>
      <c r="I1208" s="5"/>
      <c r="J1208" s="5"/>
      <c r="K1208" s="8"/>
      <c r="L1208" s="23"/>
      <c r="M1208" s="8"/>
      <c r="N1208" s="8"/>
      <c r="O1208" s="8"/>
      <c r="P1208" s="8"/>
      <c r="Q1208" s="23"/>
      <c r="R1208" s="113"/>
      <c r="S1208" s="113"/>
      <c r="T1208" s="113"/>
      <c r="U1208" s="113"/>
      <c r="V1208" s="113"/>
      <c r="W1208" s="113"/>
      <c r="X1208" s="5">
        <f>SUM(R1208:W1208)</f>
        <v>0</v>
      </c>
      <c r="Y1208" s="302"/>
      <c r="Z1208" s="5"/>
      <c r="AA1208" s="94"/>
      <c r="AB1208" s="311">
        <f t="shared" si="190"/>
        <v>0</v>
      </c>
      <c r="AC1208" s="296"/>
      <c r="AD1208" s="113"/>
      <c r="AE1208" s="5"/>
      <c r="AF1208" s="5"/>
      <c r="AG1208" s="5"/>
      <c r="AH1208" s="5"/>
      <c r="AI1208" s="5"/>
      <c r="AJ1208" s="5"/>
      <c r="AK1208" s="141"/>
      <c r="AL1208" s="94"/>
      <c r="AM1208" s="128"/>
      <c r="AN1208" s="180"/>
      <c r="AO1208" s="128"/>
      <c r="AP1208" s="184"/>
      <c r="AQ1208" s="128"/>
      <c r="AR1208" s="184"/>
      <c r="AS1208" s="128"/>
      <c r="AT1208" s="184"/>
      <c r="AU1208" s="128"/>
      <c r="AV1208" s="184"/>
      <c r="AW1208" s="128"/>
      <c r="AX1208" s="184"/>
      <c r="AY1208" s="111"/>
      <c r="AZ1208" s="178"/>
      <c r="BC1208" s="47"/>
      <c r="BD1208" s="47"/>
      <c r="BF1208" s="113"/>
      <c r="BG1208" s="113"/>
      <c r="BH1208" s="113"/>
      <c r="BI1208" s="113"/>
      <c r="BJ1208" s="113"/>
      <c r="BK1208" s="113"/>
      <c r="BL1208" s="5">
        <f t="shared" si="192"/>
        <v>0</v>
      </c>
    </row>
    <row r="1209" spans="1:64" s="2" customFormat="1" ht="15.75" customHeight="1" outlineLevel="1" x14ac:dyDescent="0.2">
      <c r="A1209" s="595"/>
      <c r="B1209" s="602"/>
      <c r="C1209" s="7" t="s">
        <v>1554</v>
      </c>
      <c r="D1209" s="8"/>
      <c r="E1209" s="23"/>
      <c r="F1209" s="8"/>
      <c r="G1209" s="8"/>
      <c r="H1209" s="5">
        <v>2.0339999999999998</v>
      </c>
      <c r="I1209" s="5">
        <f>I1207</f>
        <v>0.04</v>
      </c>
      <c r="J1209" s="5">
        <v>3.6838999999999997E-2</v>
      </c>
      <c r="K1209" s="23"/>
      <c r="L1209" s="8"/>
      <c r="M1209" s="8"/>
      <c r="N1209" s="8"/>
      <c r="O1209" s="8"/>
      <c r="P1209" s="8"/>
      <c r="Q1209" s="23"/>
      <c r="R1209" s="113"/>
      <c r="S1209" s="113"/>
      <c r="T1209" s="113"/>
      <c r="U1209" s="113"/>
      <c r="V1209" s="113"/>
      <c r="W1209" s="113"/>
      <c r="X1209" s="5">
        <f>SUM(R1209:W1209)</f>
        <v>0</v>
      </c>
      <c r="Y1209" s="302"/>
      <c r="Z1209" s="5"/>
      <c r="AA1209" s="94"/>
      <c r="AB1209" s="311">
        <f t="shared" si="190"/>
        <v>0.04</v>
      </c>
      <c r="AC1209" s="296"/>
      <c r="AD1209" s="113"/>
      <c r="AE1209" s="5"/>
      <c r="AF1209" s="5"/>
      <c r="AG1209" s="5"/>
      <c r="AH1209" s="5"/>
      <c r="AI1209" s="5"/>
      <c r="AJ1209" s="5"/>
      <c r="AK1209" s="141"/>
      <c r="AL1209" s="94"/>
      <c r="AM1209" s="128"/>
      <c r="AN1209" s="180"/>
      <c r="AO1209" s="128"/>
      <c r="AP1209" s="184"/>
      <c r="AQ1209" s="128"/>
      <c r="AR1209" s="184"/>
      <c r="AS1209" s="128"/>
      <c r="AT1209" s="184"/>
      <c r="AU1209" s="128"/>
      <c r="AV1209" s="184"/>
      <c r="AW1209" s="128"/>
      <c r="AX1209" s="184"/>
      <c r="AY1209" s="111"/>
      <c r="AZ1209" s="178"/>
      <c r="BC1209" s="47"/>
      <c r="BD1209" s="47"/>
      <c r="BF1209" s="113"/>
      <c r="BG1209" s="113"/>
      <c r="BH1209" s="113"/>
      <c r="BI1209" s="113"/>
      <c r="BJ1209" s="113"/>
      <c r="BK1209" s="113"/>
      <c r="BL1209" s="5">
        <f t="shared" si="192"/>
        <v>0</v>
      </c>
    </row>
    <row r="1210" spans="1:64" s="2" customFormat="1" ht="25.5" customHeight="1" outlineLevel="1" x14ac:dyDescent="0.2">
      <c r="A1210" s="593" t="s">
        <v>2113</v>
      </c>
      <c r="B1210" s="600" t="s">
        <v>2102</v>
      </c>
      <c r="C1210" s="7" t="s">
        <v>2365</v>
      </c>
      <c r="D1210" s="8" t="s">
        <v>145</v>
      </c>
      <c r="E1210" s="23" t="s">
        <v>1241</v>
      </c>
      <c r="F1210" s="8">
        <v>2013</v>
      </c>
      <c r="G1210" s="8">
        <v>2015</v>
      </c>
      <c r="H1210" s="5">
        <v>0.50845457627118651</v>
      </c>
      <c r="I1210" s="5">
        <v>0.50845457627118651</v>
      </c>
      <c r="J1210" s="5">
        <f>R1210</f>
        <v>0.49118599999999996</v>
      </c>
      <c r="K1210" s="8"/>
      <c r="L1210" s="23" t="s">
        <v>1241</v>
      </c>
      <c r="M1210" s="8"/>
      <c r="N1210" s="8"/>
      <c r="O1210" s="8"/>
      <c r="P1210" s="8"/>
      <c r="Q1210" s="23" t="s">
        <v>1241</v>
      </c>
      <c r="R1210" s="113">
        <v>0.49118599999999996</v>
      </c>
      <c r="S1210" s="113"/>
      <c r="T1210" s="113"/>
      <c r="U1210" s="113"/>
      <c r="V1210" s="113"/>
      <c r="W1210" s="113"/>
      <c r="X1210" s="5">
        <f t="shared" si="191"/>
        <v>0.49118599999999996</v>
      </c>
      <c r="Y1210" s="302">
        <f>H1210-H1211-H1212</f>
        <v>0</v>
      </c>
      <c r="Z1210" s="5">
        <f>I1210-I1211-I1212</f>
        <v>0</v>
      </c>
      <c r="AA1210" s="94">
        <f>J1210-J1211-J1212</f>
        <v>0</v>
      </c>
      <c r="AB1210" s="311">
        <f t="shared" si="190"/>
        <v>1.7268576271186553E-2</v>
      </c>
      <c r="AC1210" s="296"/>
      <c r="AD1210" s="113"/>
      <c r="AE1210" s="5"/>
      <c r="AF1210" s="5"/>
      <c r="AG1210" s="5">
        <f>H1210</f>
        <v>0.50845457627118651</v>
      </c>
      <c r="AH1210" s="5"/>
      <c r="AI1210" s="5"/>
      <c r="AJ1210" s="5"/>
      <c r="AK1210" s="141"/>
      <c r="AL1210" s="94">
        <f>SUM(AF1210:AK1210)</f>
        <v>0.50845457627118651</v>
      </c>
      <c r="AM1210" s="128"/>
      <c r="AN1210" s="180"/>
      <c r="AO1210" s="128">
        <v>0</v>
      </c>
      <c r="AP1210" s="184">
        <v>0</v>
      </c>
      <c r="AQ1210" s="128"/>
      <c r="AR1210" s="184"/>
      <c r="AS1210" s="128"/>
      <c r="AT1210" s="184"/>
      <c r="AU1210" s="128"/>
      <c r="AV1210" s="184"/>
      <c r="AW1210" s="128"/>
      <c r="AX1210" s="184"/>
      <c r="AY1210" s="111">
        <f>AM1210+AO1210+AQ1210+AS1210+AU1210+AW1210</f>
        <v>0</v>
      </c>
      <c r="AZ1210" s="178">
        <f>AN1210+AP1210+AR1210+AT1210+AV1210+AX1210</f>
        <v>0</v>
      </c>
      <c r="BC1210" s="47"/>
      <c r="BD1210" s="47"/>
      <c r="BF1210" s="113">
        <v>0.49118599999999996</v>
      </c>
      <c r="BG1210" s="113"/>
      <c r="BH1210" s="113"/>
      <c r="BI1210" s="113"/>
      <c r="BJ1210" s="113"/>
      <c r="BK1210" s="113"/>
      <c r="BL1210" s="5">
        <f t="shared" si="192"/>
        <v>0.49118599999999996</v>
      </c>
    </row>
    <row r="1211" spans="1:64" s="2" customFormat="1" ht="15.75" customHeight="1" outlineLevel="1" x14ac:dyDescent="0.2">
      <c r="A1211" s="594"/>
      <c r="B1211" s="601"/>
      <c r="C1211" s="7" t="s">
        <v>1553</v>
      </c>
      <c r="D1211" s="8"/>
      <c r="E1211" s="23"/>
      <c r="F1211" s="8"/>
      <c r="G1211" s="8"/>
      <c r="H1211" s="5"/>
      <c r="I1211" s="5"/>
      <c r="J1211" s="5"/>
      <c r="K1211" s="8"/>
      <c r="L1211" s="23"/>
      <c r="M1211" s="8"/>
      <c r="N1211" s="8"/>
      <c r="O1211" s="8"/>
      <c r="P1211" s="8"/>
      <c r="Q1211" s="23"/>
      <c r="R1211" s="113"/>
      <c r="S1211" s="113"/>
      <c r="T1211" s="113"/>
      <c r="U1211" s="113"/>
      <c r="V1211" s="113"/>
      <c r="W1211" s="113"/>
      <c r="X1211" s="5">
        <f t="shared" si="191"/>
        <v>0</v>
      </c>
      <c r="Y1211" s="302"/>
      <c r="Z1211" s="5"/>
      <c r="AA1211" s="94"/>
      <c r="AB1211" s="311">
        <f t="shared" si="190"/>
        <v>0</v>
      </c>
      <c r="AC1211" s="296"/>
      <c r="AD1211" s="113"/>
      <c r="AE1211" s="5"/>
      <c r="AF1211" s="5"/>
      <c r="AG1211" s="5"/>
      <c r="AH1211" s="5"/>
      <c r="AI1211" s="5"/>
      <c r="AJ1211" s="5"/>
      <c r="AK1211" s="141"/>
      <c r="AL1211" s="94"/>
      <c r="AM1211" s="128"/>
      <c r="AN1211" s="180"/>
      <c r="AO1211" s="128"/>
      <c r="AP1211" s="184"/>
      <c r="AQ1211" s="128"/>
      <c r="AR1211" s="184"/>
      <c r="AS1211" s="128"/>
      <c r="AT1211" s="184"/>
      <c r="AU1211" s="128"/>
      <c r="AV1211" s="184"/>
      <c r="AW1211" s="128"/>
      <c r="AX1211" s="184"/>
      <c r="AY1211" s="111"/>
      <c r="AZ1211" s="178"/>
      <c r="BC1211" s="47"/>
      <c r="BD1211" s="47"/>
      <c r="BF1211" s="113"/>
      <c r="BG1211" s="113"/>
      <c r="BH1211" s="113"/>
      <c r="BI1211" s="113"/>
      <c r="BJ1211" s="113"/>
      <c r="BK1211" s="113"/>
      <c r="BL1211" s="5">
        <f t="shared" si="192"/>
        <v>0</v>
      </c>
    </row>
    <row r="1212" spans="1:64" s="2" customFormat="1" ht="15.75" customHeight="1" outlineLevel="1" x14ac:dyDescent="0.2">
      <c r="A1212" s="595"/>
      <c r="B1212" s="602"/>
      <c r="C1212" s="7" t="s">
        <v>1554</v>
      </c>
      <c r="D1212" s="8"/>
      <c r="E1212" s="23"/>
      <c r="F1212" s="8"/>
      <c r="G1212" s="8"/>
      <c r="H1212" s="5">
        <v>0.50845457627118651</v>
      </c>
      <c r="I1212" s="5">
        <v>0.50845457627118651</v>
      </c>
      <c r="J1212" s="5">
        <v>0.49118599999999996</v>
      </c>
      <c r="K1212" s="23"/>
      <c r="L1212" s="8"/>
      <c r="M1212" s="8"/>
      <c r="N1212" s="8"/>
      <c r="O1212" s="8"/>
      <c r="P1212" s="8"/>
      <c r="Q1212" s="23"/>
      <c r="R1212" s="113"/>
      <c r="S1212" s="113"/>
      <c r="T1212" s="113"/>
      <c r="U1212" s="113"/>
      <c r="V1212" s="113"/>
      <c r="W1212" s="113"/>
      <c r="X1212" s="5">
        <f t="shared" si="191"/>
        <v>0</v>
      </c>
      <c r="Y1212" s="302"/>
      <c r="Z1212" s="5"/>
      <c r="AA1212" s="94"/>
      <c r="AB1212" s="311">
        <f t="shared" si="190"/>
        <v>0.50845457627118651</v>
      </c>
      <c r="AC1212" s="296"/>
      <c r="AD1212" s="113"/>
      <c r="AE1212" s="5"/>
      <c r="AF1212" s="5"/>
      <c r="AG1212" s="5"/>
      <c r="AH1212" s="5"/>
      <c r="AI1212" s="5"/>
      <c r="AJ1212" s="5"/>
      <c r="AK1212" s="141"/>
      <c r="AL1212" s="94"/>
      <c r="AM1212" s="128"/>
      <c r="AN1212" s="180"/>
      <c r="AO1212" s="128"/>
      <c r="AP1212" s="184"/>
      <c r="AQ1212" s="128"/>
      <c r="AR1212" s="184"/>
      <c r="AS1212" s="128"/>
      <c r="AT1212" s="184"/>
      <c r="AU1212" s="128"/>
      <c r="AV1212" s="184"/>
      <c r="AW1212" s="128"/>
      <c r="AX1212" s="184"/>
      <c r="AY1212" s="111"/>
      <c r="AZ1212" s="178"/>
      <c r="BC1212" s="47"/>
      <c r="BD1212" s="47"/>
      <c r="BF1212" s="113"/>
      <c r="BG1212" s="113"/>
      <c r="BH1212" s="113"/>
      <c r="BI1212" s="113"/>
      <c r="BJ1212" s="113"/>
      <c r="BK1212" s="113"/>
      <c r="BL1212" s="5">
        <f t="shared" si="192"/>
        <v>0</v>
      </c>
    </row>
    <row r="1213" spans="1:64" s="2" customFormat="1" ht="39.950000000000003" customHeight="1" outlineLevel="1" x14ac:dyDescent="0.2">
      <c r="A1213" s="593" t="s">
        <v>618</v>
      </c>
      <c r="B1213" s="600" t="s">
        <v>2104</v>
      </c>
      <c r="C1213" s="7" t="s">
        <v>620</v>
      </c>
      <c r="D1213" s="8" t="s">
        <v>145</v>
      </c>
      <c r="E1213" s="23" t="s">
        <v>361</v>
      </c>
      <c r="F1213" s="8">
        <v>2013</v>
      </c>
      <c r="G1213" s="8">
        <v>2015</v>
      </c>
      <c r="H1213" s="5">
        <v>0.63600000000000001</v>
      </c>
      <c r="I1213" s="5">
        <v>0.63557322033898322</v>
      </c>
      <c r="J1213" s="5">
        <f>R1213</f>
        <v>0.01</v>
      </c>
      <c r="K1213" s="8"/>
      <c r="L1213" s="23" t="s">
        <v>361</v>
      </c>
      <c r="M1213" s="8"/>
      <c r="N1213" s="8"/>
      <c r="O1213" s="8"/>
      <c r="P1213" s="8"/>
      <c r="Q1213" s="23" t="s">
        <v>361</v>
      </c>
      <c r="R1213" s="113">
        <v>0.01</v>
      </c>
      <c r="S1213" s="113"/>
      <c r="T1213" s="113"/>
      <c r="U1213" s="113"/>
      <c r="V1213" s="113"/>
      <c r="W1213" s="113"/>
      <c r="X1213" s="5">
        <f t="shared" si="191"/>
        <v>0.01</v>
      </c>
      <c r="Y1213" s="302">
        <f>H1213-H1214-H1215</f>
        <v>0</v>
      </c>
      <c r="Z1213" s="5">
        <f>I1213-I1214-I1215</f>
        <v>0</v>
      </c>
      <c r="AA1213" s="94">
        <f>J1213-J1214-J1215</f>
        <v>0</v>
      </c>
      <c r="AB1213" s="311">
        <f t="shared" si="190"/>
        <v>0.62557322033898322</v>
      </c>
      <c r="AC1213" s="296"/>
      <c r="AD1213" s="113"/>
      <c r="AE1213" s="5"/>
      <c r="AF1213" s="5"/>
      <c r="AG1213" s="5">
        <f>H1213</f>
        <v>0.63600000000000001</v>
      </c>
      <c r="AH1213" s="5"/>
      <c r="AI1213" s="5"/>
      <c r="AJ1213" s="5"/>
      <c r="AK1213" s="141"/>
      <c r="AL1213" s="94">
        <f>SUM(AF1213:AK1213)</f>
        <v>0.63600000000000001</v>
      </c>
      <c r="AM1213" s="128"/>
      <c r="AN1213" s="180"/>
      <c r="AO1213" s="128">
        <v>0.12</v>
      </c>
      <c r="AP1213" s="184">
        <v>0</v>
      </c>
      <c r="AQ1213" s="128"/>
      <c r="AR1213" s="184"/>
      <c r="AS1213" s="128"/>
      <c r="AT1213" s="184"/>
      <c r="AU1213" s="128"/>
      <c r="AV1213" s="184"/>
      <c r="AW1213" s="128"/>
      <c r="AX1213" s="184"/>
      <c r="AY1213" s="111">
        <f>AM1213+AO1213+AQ1213+AS1213+AU1213+AW1213</f>
        <v>0.12</v>
      </c>
      <c r="AZ1213" s="178">
        <f>AN1213+AP1213+AR1213+AT1213+AV1213+AX1213</f>
        <v>0</v>
      </c>
      <c r="BC1213" s="47"/>
      <c r="BD1213" s="47"/>
      <c r="BF1213" s="113">
        <v>0.01</v>
      </c>
      <c r="BG1213" s="113"/>
      <c r="BH1213" s="113"/>
      <c r="BI1213" s="113"/>
      <c r="BJ1213" s="113"/>
      <c r="BK1213" s="113"/>
      <c r="BL1213" s="5">
        <f t="shared" si="192"/>
        <v>0.01</v>
      </c>
    </row>
    <row r="1214" spans="1:64" s="2" customFormat="1" ht="14.1" customHeight="1" outlineLevel="1" x14ac:dyDescent="0.2">
      <c r="A1214" s="594"/>
      <c r="B1214" s="601"/>
      <c r="C1214" s="7" t="s">
        <v>1553</v>
      </c>
      <c r="D1214" s="8"/>
      <c r="E1214" s="23"/>
      <c r="F1214" s="8"/>
      <c r="G1214" s="8"/>
      <c r="H1214" s="5"/>
      <c r="I1214" s="5"/>
      <c r="J1214" s="5"/>
      <c r="K1214" s="8"/>
      <c r="L1214" s="23"/>
      <c r="M1214" s="8"/>
      <c r="N1214" s="8"/>
      <c r="O1214" s="8"/>
      <c r="P1214" s="8"/>
      <c r="Q1214" s="23"/>
      <c r="R1214" s="113"/>
      <c r="S1214" s="113"/>
      <c r="T1214" s="113"/>
      <c r="U1214" s="113"/>
      <c r="V1214" s="113"/>
      <c r="W1214" s="113"/>
      <c r="X1214" s="5">
        <f>SUM(R1214:W1214)</f>
        <v>0</v>
      </c>
      <c r="Y1214" s="302"/>
      <c r="Z1214" s="5"/>
      <c r="AA1214" s="94"/>
      <c r="AB1214" s="311">
        <f t="shared" si="190"/>
        <v>0</v>
      </c>
      <c r="AC1214" s="296"/>
      <c r="AD1214" s="113"/>
      <c r="AE1214" s="5"/>
      <c r="AF1214" s="5"/>
      <c r="AG1214" s="5"/>
      <c r="AH1214" s="5"/>
      <c r="AI1214" s="5"/>
      <c r="AJ1214" s="5"/>
      <c r="AK1214" s="141"/>
      <c r="AL1214" s="94"/>
      <c r="AM1214" s="128"/>
      <c r="AN1214" s="180"/>
      <c r="AO1214" s="128"/>
      <c r="AP1214" s="184"/>
      <c r="AQ1214" s="128"/>
      <c r="AR1214" s="184"/>
      <c r="AS1214" s="128"/>
      <c r="AT1214" s="184"/>
      <c r="AU1214" s="128"/>
      <c r="AV1214" s="184"/>
      <c r="AW1214" s="128"/>
      <c r="AX1214" s="184"/>
      <c r="AY1214" s="111"/>
      <c r="AZ1214" s="178"/>
      <c r="BC1214" s="47"/>
      <c r="BD1214" s="47"/>
      <c r="BF1214" s="113"/>
      <c r="BG1214" s="113"/>
      <c r="BH1214" s="113"/>
      <c r="BI1214" s="113"/>
      <c r="BJ1214" s="113"/>
      <c r="BK1214" s="113"/>
      <c r="BL1214" s="5">
        <f t="shared" si="192"/>
        <v>0</v>
      </c>
    </row>
    <row r="1215" spans="1:64" s="2" customFormat="1" ht="14.1" customHeight="1" outlineLevel="1" x14ac:dyDescent="0.2">
      <c r="A1215" s="595"/>
      <c r="B1215" s="602"/>
      <c r="C1215" s="7" t="s">
        <v>1554</v>
      </c>
      <c r="D1215" s="8"/>
      <c r="E1215" s="23"/>
      <c r="F1215" s="8"/>
      <c r="G1215" s="8"/>
      <c r="H1215" s="5">
        <v>0.63600000000000001</v>
      </c>
      <c r="I1215" s="5">
        <v>0.63557322033898322</v>
      </c>
      <c r="J1215" s="5">
        <v>0.01</v>
      </c>
      <c r="K1215" s="23"/>
      <c r="L1215" s="8"/>
      <c r="M1215" s="8"/>
      <c r="N1215" s="8"/>
      <c r="O1215" s="8"/>
      <c r="P1215" s="8"/>
      <c r="Q1215" s="23"/>
      <c r="R1215" s="113"/>
      <c r="S1215" s="113"/>
      <c r="T1215" s="113"/>
      <c r="U1215" s="113"/>
      <c r="V1215" s="113"/>
      <c r="W1215" s="113"/>
      <c r="X1215" s="5">
        <f>SUM(R1215:W1215)</f>
        <v>0</v>
      </c>
      <c r="Y1215" s="302"/>
      <c r="Z1215" s="5"/>
      <c r="AA1215" s="94"/>
      <c r="AB1215" s="311">
        <f t="shared" si="190"/>
        <v>0.63557322033898322</v>
      </c>
      <c r="AC1215" s="296"/>
      <c r="AD1215" s="113"/>
      <c r="AE1215" s="5"/>
      <c r="AF1215" s="5"/>
      <c r="AG1215" s="5"/>
      <c r="AH1215" s="5"/>
      <c r="AI1215" s="5"/>
      <c r="AJ1215" s="5"/>
      <c r="AK1215" s="141"/>
      <c r="AL1215" s="94"/>
      <c r="AM1215" s="128"/>
      <c r="AN1215" s="180"/>
      <c r="AO1215" s="128"/>
      <c r="AP1215" s="184"/>
      <c r="AQ1215" s="128"/>
      <c r="AR1215" s="184"/>
      <c r="AS1215" s="128"/>
      <c r="AT1215" s="184"/>
      <c r="AU1215" s="128"/>
      <c r="AV1215" s="184"/>
      <c r="AW1215" s="128"/>
      <c r="AX1215" s="184"/>
      <c r="AY1215" s="111"/>
      <c r="AZ1215" s="178"/>
      <c r="BC1215" s="47"/>
      <c r="BD1215" s="47"/>
      <c r="BF1215" s="113"/>
      <c r="BG1215" s="113"/>
      <c r="BH1215" s="113"/>
      <c r="BI1215" s="113"/>
      <c r="BJ1215" s="113"/>
      <c r="BK1215" s="113"/>
      <c r="BL1215" s="5">
        <f t="shared" si="192"/>
        <v>0</v>
      </c>
    </row>
    <row r="1216" spans="1:64" s="2" customFormat="1" ht="39.950000000000003" customHeight="1" outlineLevel="1" x14ac:dyDescent="0.2">
      <c r="A1216" s="593" t="s">
        <v>621</v>
      </c>
      <c r="B1216" s="600" t="s">
        <v>2107</v>
      </c>
      <c r="C1216" s="7" t="s">
        <v>2366</v>
      </c>
      <c r="D1216" s="8" t="s">
        <v>145</v>
      </c>
      <c r="E1216" s="23" t="s">
        <v>1241</v>
      </c>
      <c r="F1216" s="8">
        <v>2013</v>
      </c>
      <c r="G1216" s="8">
        <v>2014</v>
      </c>
      <c r="H1216" s="5">
        <v>0.15548000000000001</v>
      </c>
      <c r="I1216" s="5">
        <v>0.01</v>
      </c>
      <c r="J1216" s="5">
        <f>R1216</f>
        <v>0.01</v>
      </c>
      <c r="K1216" s="23" t="s">
        <v>1241</v>
      </c>
      <c r="L1216" s="8"/>
      <c r="M1216" s="8"/>
      <c r="N1216" s="8"/>
      <c r="O1216" s="8"/>
      <c r="P1216" s="8"/>
      <c r="Q1216" s="23" t="s">
        <v>1241</v>
      </c>
      <c r="R1216" s="113">
        <v>0.01</v>
      </c>
      <c r="S1216" s="113"/>
      <c r="T1216" s="113"/>
      <c r="U1216" s="113"/>
      <c r="V1216" s="113"/>
      <c r="W1216" s="113"/>
      <c r="X1216" s="5">
        <f t="shared" si="191"/>
        <v>0.01</v>
      </c>
      <c r="Y1216" s="302">
        <f>H1216-H1217-H1218</f>
        <v>0</v>
      </c>
      <c r="Z1216" s="5">
        <f>I1216-I1217-I1218</f>
        <v>0</v>
      </c>
      <c r="AA1216" s="94">
        <f>J1216-J1217-J1218</f>
        <v>0</v>
      </c>
      <c r="AB1216" s="311">
        <f t="shared" si="190"/>
        <v>0</v>
      </c>
      <c r="AC1216" s="296"/>
      <c r="AD1216" s="113"/>
      <c r="AE1216" s="5"/>
      <c r="AF1216" s="5">
        <f>H1216</f>
        <v>0.15548000000000001</v>
      </c>
      <c r="AG1216" s="5"/>
      <c r="AH1216" s="5"/>
      <c r="AI1216" s="5"/>
      <c r="AJ1216" s="5"/>
      <c r="AK1216" s="141"/>
      <c r="AL1216" s="94">
        <f>SUM(AF1216:AK1216)</f>
        <v>0.15548000000000001</v>
      </c>
      <c r="AM1216" s="128">
        <v>0</v>
      </c>
      <c r="AN1216" s="180">
        <v>0</v>
      </c>
      <c r="AO1216" s="128"/>
      <c r="AP1216" s="184"/>
      <c r="AQ1216" s="128"/>
      <c r="AR1216" s="184"/>
      <c r="AS1216" s="128"/>
      <c r="AT1216" s="184"/>
      <c r="AU1216" s="128"/>
      <c r="AV1216" s="184"/>
      <c r="AW1216" s="128"/>
      <c r="AX1216" s="184"/>
      <c r="AY1216" s="111">
        <f>AM1216+AO1216+AQ1216+AS1216+AU1216+AW1216</f>
        <v>0</v>
      </c>
      <c r="AZ1216" s="178">
        <f>AN1216+AP1216+AR1216+AT1216+AV1216+AX1216</f>
        <v>0</v>
      </c>
      <c r="BC1216" s="47"/>
      <c r="BD1216" s="47"/>
      <c r="BF1216" s="113">
        <v>0.01</v>
      </c>
      <c r="BG1216" s="113"/>
      <c r="BH1216" s="113"/>
      <c r="BI1216" s="113"/>
      <c r="BJ1216" s="113"/>
      <c r="BK1216" s="113"/>
      <c r="BL1216" s="5">
        <f t="shared" si="192"/>
        <v>0.01</v>
      </c>
    </row>
    <row r="1217" spans="1:64" s="2" customFormat="1" ht="14.1" customHeight="1" outlineLevel="1" x14ac:dyDescent="0.2">
      <c r="A1217" s="594"/>
      <c r="B1217" s="601"/>
      <c r="C1217" s="7" t="s">
        <v>1553</v>
      </c>
      <c r="D1217" s="8"/>
      <c r="E1217" s="23"/>
      <c r="F1217" s="8"/>
      <c r="G1217" s="8"/>
      <c r="H1217" s="5"/>
      <c r="I1217" s="5"/>
      <c r="J1217" s="5"/>
      <c r="K1217" s="8"/>
      <c r="L1217" s="23"/>
      <c r="M1217" s="8"/>
      <c r="N1217" s="8"/>
      <c r="O1217" s="8"/>
      <c r="P1217" s="8"/>
      <c r="Q1217" s="23"/>
      <c r="R1217" s="113"/>
      <c r="S1217" s="113"/>
      <c r="T1217" s="113"/>
      <c r="U1217" s="113"/>
      <c r="V1217" s="113"/>
      <c r="W1217" s="113"/>
      <c r="X1217" s="5">
        <f t="shared" si="191"/>
        <v>0</v>
      </c>
      <c r="Y1217" s="302"/>
      <c r="Z1217" s="5"/>
      <c r="AA1217" s="94"/>
      <c r="AB1217" s="311">
        <f t="shared" si="190"/>
        <v>0</v>
      </c>
      <c r="AC1217" s="296"/>
      <c r="AD1217" s="113"/>
      <c r="AE1217" s="5"/>
      <c r="AF1217" s="5"/>
      <c r="AG1217" s="5"/>
      <c r="AH1217" s="5"/>
      <c r="AI1217" s="5"/>
      <c r="AJ1217" s="5"/>
      <c r="AK1217" s="141"/>
      <c r="AL1217" s="94"/>
      <c r="AM1217" s="128"/>
      <c r="AN1217" s="180"/>
      <c r="AO1217" s="128"/>
      <c r="AP1217" s="184"/>
      <c r="AQ1217" s="128"/>
      <c r="AR1217" s="184"/>
      <c r="AS1217" s="128"/>
      <c r="AT1217" s="184"/>
      <c r="AU1217" s="128"/>
      <c r="AV1217" s="184"/>
      <c r="AW1217" s="128"/>
      <c r="AX1217" s="184"/>
      <c r="AY1217" s="111"/>
      <c r="AZ1217" s="178"/>
      <c r="BC1217" s="47"/>
      <c r="BD1217" s="47"/>
      <c r="BF1217" s="113"/>
      <c r="BG1217" s="113"/>
      <c r="BH1217" s="113"/>
      <c r="BI1217" s="113"/>
      <c r="BJ1217" s="113"/>
      <c r="BK1217" s="113"/>
      <c r="BL1217" s="5">
        <f t="shared" si="192"/>
        <v>0</v>
      </c>
    </row>
    <row r="1218" spans="1:64" s="2" customFormat="1" ht="14.1" customHeight="1" outlineLevel="1" x14ac:dyDescent="0.2">
      <c r="A1218" s="595"/>
      <c r="B1218" s="602"/>
      <c r="C1218" s="7" t="s">
        <v>1554</v>
      </c>
      <c r="D1218" s="8"/>
      <c r="E1218" s="23"/>
      <c r="F1218" s="8"/>
      <c r="G1218" s="8"/>
      <c r="H1218" s="5">
        <v>0.15548000000000001</v>
      </c>
      <c r="I1218" s="5">
        <f>I1216</f>
        <v>0.01</v>
      </c>
      <c r="J1218" s="5">
        <v>0.01</v>
      </c>
      <c r="K1218" s="23"/>
      <c r="L1218" s="8"/>
      <c r="M1218" s="8"/>
      <c r="N1218" s="8"/>
      <c r="O1218" s="8"/>
      <c r="P1218" s="8"/>
      <c r="Q1218" s="23"/>
      <c r="R1218" s="113"/>
      <c r="S1218" s="113"/>
      <c r="T1218" s="113"/>
      <c r="U1218" s="113"/>
      <c r="V1218" s="113"/>
      <c r="W1218" s="113"/>
      <c r="X1218" s="5">
        <f t="shared" si="191"/>
        <v>0</v>
      </c>
      <c r="Y1218" s="302"/>
      <c r="Z1218" s="5"/>
      <c r="AA1218" s="94"/>
      <c r="AB1218" s="311">
        <f t="shared" si="190"/>
        <v>0.01</v>
      </c>
      <c r="AC1218" s="296"/>
      <c r="AD1218" s="113"/>
      <c r="AE1218" s="5"/>
      <c r="AF1218" s="5"/>
      <c r="AG1218" s="5"/>
      <c r="AH1218" s="5"/>
      <c r="AI1218" s="5"/>
      <c r="AJ1218" s="5"/>
      <c r="AK1218" s="141"/>
      <c r="AL1218" s="94"/>
      <c r="AM1218" s="128"/>
      <c r="AN1218" s="180"/>
      <c r="AO1218" s="128"/>
      <c r="AP1218" s="184"/>
      <c r="AQ1218" s="128"/>
      <c r="AR1218" s="184"/>
      <c r="AS1218" s="128"/>
      <c r="AT1218" s="184"/>
      <c r="AU1218" s="128"/>
      <c r="AV1218" s="184"/>
      <c r="AW1218" s="128"/>
      <c r="AX1218" s="184"/>
      <c r="AY1218" s="111"/>
      <c r="AZ1218" s="178"/>
      <c r="BC1218" s="47"/>
      <c r="BD1218" s="47"/>
      <c r="BF1218" s="113"/>
      <c r="BG1218" s="113"/>
      <c r="BH1218" s="113"/>
      <c r="BI1218" s="113"/>
      <c r="BJ1218" s="113"/>
      <c r="BK1218" s="113"/>
      <c r="BL1218" s="5">
        <f t="shared" si="192"/>
        <v>0</v>
      </c>
    </row>
    <row r="1219" spans="1:64" s="2" customFormat="1" ht="38.25" customHeight="1" outlineLevel="1" x14ac:dyDescent="0.2">
      <c r="A1219" s="593" t="s">
        <v>623</v>
      </c>
      <c r="B1219" s="600" t="s">
        <v>2110</v>
      </c>
      <c r="C1219" s="7" t="s">
        <v>2367</v>
      </c>
      <c r="D1219" s="8" t="s">
        <v>145</v>
      </c>
      <c r="E1219" s="23" t="s">
        <v>1387</v>
      </c>
      <c r="F1219" s="8">
        <v>2013</v>
      </c>
      <c r="G1219" s="8">
        <v>2015</v>
      </c>
      <c r="H1219" s="5">
        <v>2.0339999999999998</v>
      </c>
      <c r="I1219" s="5">
        <v>0.01</v>
      </c>
      <c r="J1219" s="5">
        <f>R1219</f>
        <v>0.01</v>
      </c>
      <c r="K1219" s="8"/>
      <c r="L1219" s="23" t="s">
        <v>1387</v>
      </c>
      <c r="M1219" s="8"/>
      <c r="N1219" s="8"/>
      <c r="O1219" s="8"/>
      <c r="P1219" s="8"/>
      <c r="Q1219" s="23" t="s">
        <v>1387</v>
      </c>
      <c r="R1219" s="113">
        <v>0.01</v>
      </c>
      <c r="S1219" s="113"/>
      <c r="T1219" s="113"/>
      <c r="U1219" s="113"/>
      <c r="V1219" s="113"/>
      <c r="W1219" s="113"/>
      <c r="X1219" s="5">
        <f t="shared" si="191"/>
        <v>0.01</v>
      </c>
      <c r="Y1219" s="302">
        <f>H1219-H1220-H1221</f>
        <v>0</v>
      </c>
      <c r="Z1219" s="5">
        <f>I1219-I1220-I1221</f>
        <v>0</v>
      </c>
      <c r="AA1219" s="94">
        <f>J1219-J1220-J1221</f>
        <v>0</v>
      </c>
      <c r="AB1219" s="311">
        <f t="shared" si="190"/>
        <v>0</v>
      </c>
      <c r="AC1219" s="296"/>
      <c r="AD1219" s="113"/>
      <c r="AE1219" s="5"/>
      <c r="AF1219" s="5"/>
      <c r="AG1219" s="5">
        <f>H1219</f>
        <v>2.0339999999999998</v>
      </c>
      <c r="AH1219" s="5"/>
      <c r="AI1219" s="5"/>
      <c r="AJ1219" s="5"/>
      <c r="AK1219" s="141"/>
      <c r="AL1219" s="94">
        <f>SUM(AF1219:AK1219)</f>
        <v>2.0339999999999998</v>
      </c>
      <c r="AM1219" s="128"/>
      <c r="AN1219" s="180"/>
      <c r="AO1219" s="128">
        <v>0.5</v>
      </c>
      <c r="AP1219" s="184">
        <v>0</v>
      </c>
      <c r="AQ1219" s="128"/>
      <c r="AR1219" s="184"/>
      <c r="AS1219" s="128"/>
      <c r="AT1219" s="184"/>
      <c r="AU1219" s="128"/>
      <c r="AV1219" s="184"/>
      <c r="AW1219" s="128"/>
      <c r="AX1219" s="184"/>
      <c r="AY1219" s="111">
        <f>AM1219+AO1219+AQ1219+AS1219+AU1219+AW1219</f>
        <v>0.5</v>
      </c>
      <c r="AZ1219" s="178">
        <f>AN1219+AP1219+AR1219+AT1219+AV1219+AX1219</f>
        <v>0</v>
      </c>
      <c r="BC1219" s="47"/>
      <c r="BD1219" s="47"/>
      <c r="BF1219" s="113">
        <v>0.01</v>
      </c>
      <c r="BG1219" s="113"/>
      <c r="BH1219" s="113"/>
      <c r="BI1219" s="113"/>
      <c r="BJ1219" s="113"/>
      <c r="BK1219" s="113"/>
      <c r="BL1219" s="5">
        <f t="shared" si="192"/>
        <v>0.01</v>
      </c>
    </row>
    <row r="1220" spans="1:64" s="2" customFormat="1" ht="14.1" customHeight="1" outlineLevel="1" x14ac:dyDescent="0.2">
      <c r="A1220" s="594"/>
      <c r="B1220" s="601"/>
      <c r="C1220" s="7" t="s">
        <v>1553</v>
      </c>
      <c r="D1220" s="8"/>
      <c r="E1220" s="23"/>
      <c r="F1220" s="8"/>
      <c r="G1220" s="8"/>
      <c r="H1220" s="5">
        <v>2.0339999999999998</v>
      </c>
      <c r="I1220" s="5">
        <f>I1219</f>
        <v>0.01</v>
      </c>
      <c r="J1220" s="5">
        <v>0.01</v>
      </c>
      <c r="K1220" s="8"/>
      <c r="L1220" s="23"/>
      <c r="M1220" s="8"/>
      <c r="N1220" s="8"/>
      <c r="O1220" s="8"/>
      <c r="P1220" s="8"/>
      <c r="Q1220" s="23"/>
      <c r="R1220" s="113"/>
      <c r="S1220" s="113"/>
      <c r="T1220" s="113"/>
      <c r="U1220" s="113"/>
      <c r="V1220" s="113"/>
      <c r="W1220" s="113"/>
      <c r="X1220" s="5">
        <f>SUM(R1220:W1220)</f>
        <v>0</v>
      </c>
      <c r="Y1220" s="302"/>
      <c r="Z1220" s="5"/>
      <c r="AA1220" s="94"/>
      <c r="AB1220" s="311">
        <f t="shared" si="190"/>
        <v>0.01</v>
      </c>
      <c r="AC1220" s="296"/>
      <c r="AD1220" s="113"/>
      <c r="AE1220" s="5"/>
      <c r="AF1220" s="5"/>
      <c r="AG1220" s="5"/>
      <c r="AH1220" s="5"/>
      <c r="AI1220" s="5"/>
      <c r="AJ1220" s="5"/>
      <c r="AK1220" s="141"/>
      <c r="AL1220" s="94"/>
      <c r="AM1220" s="128"/>
      <c r="AN1220" s="180"/>
      <c r="AO1220" s="128"/>
      <c r="AP1220" s="184"/>
      <c r="AQ1220" s="128"/>
      <c r="AR1220" s="184"/>
      <c r="AS1220" s="128"/>
      <c r="AT1220" s="184"/>
      <c r="AU1220" s="128"/>
      <c r="AV1220" s="184"/>
      <c r="AW1220" s="128"/>
      <c r="AX1220" s="184"/>
      <c r="AY1220" s="111"/>
      <c r="AZ1220" s="178"/>
      <c r="BC1220" s="47"/>
      <c r="BD1220" s="47"/>
      <c r="BF1220" s="113"/>
      <c r="BG1220" s="113"/>
      <c r="BH1220" s="113"/>
      <c r="BI1220" s="113"/>
      <c r="BJ1220" s="113"/>
      <c r="BK1220" s="113"/>
      <c r="BL1220" s="5">
        <f t="shared" si="192"/>
        <v>0</v>
      </c>
    </row>
    <row r="1221" spans="1:64" s="2" customFormat="1" ht="14.1" customHeight="1" outlineLevel="1" x14ac:dyDescent="0.2">
      <c r="A1221" s="595"/>
      <c r="B1221" s="602"/>
      <c r="C1221" s="7" t="s">
        <v>1554</v>
      </c>
      <c r="D1221" s="8"/>
      <c r="E1221" s="23"/>
      <c r="F1221" s="8"/>
      <c r="G1221" s="8"/>
      <c r="H1221" s="5"/>
      <c r="I1221" s="5"/>
      <c r="J1221" s="5"/>
      <c r="K1221" s="23"/>
      <c r="L1221" s="8"/>
      <c r="M1221" s="8"/>
      <c r="N1221" s="8"/>
      <c r="O1221" s="8"/>
      <c r="P1221" s="8"/>
      <c r="Q1221" s="23"/>
      <c r="R1221" s="113"/>
      <c r="S1221" s="113"/>
      <c r="T1221" s="113"/>
      <c r="U1221" s="113"/>
      <c r="V1221" s="113"/>
      <c r="W1221" s="113"/>
      <c r="X1221" s="5">
        <f>SUM(R1221:W1221)</f>
        <v>0</v>
      </c>
      <c r="Y1221" s="302"/>
      <c r="Z1221" s="5"/>
      <c r="AA1221" s="94"/>
      <c r="AB1221" s="311">
        <f t="shared" si="190"/>
        <v>0</v>
      </c>
      <c r="AC1221" s="296"/>
      <c r="AD1221" s="113"/>
      <c r="AE1221" s="5"/>
      <c r="AF1221" s="5"/>
      <c r="AG1221" s="5"/>
      <c r="AH1221" s="5"/>
      <c r="AI1221" s="5"/>
      <c r="AJ1221" s="5"/>
      <c r="AK1221" s="141"/>
      <c r="AL1221" s="94"/>
      <c r="AM1221" s="128"/>
      <c r="AN1221" s="180"/>
      <c r="AO1221" s="128"/>
      <c r="AP1221" s="184"/>
      <c r="AQ1221" s="128"/>
      <c r="AR1221" s="184"/>
      <c r="AS1221" s="128"/>
      <c r="AT1221" s="184"/>
      <c r="AU1221" s="128"/>
      <c r="AV1221" s="184"/>
      <c r="AW1221" s="128"/>
      <c r="AX1221" s="184"/>
      <c r="AY1221" s="111"/>
      <c r="AZ1221" s="178"/>
      <c r="BC1221" s="47"/>
      <c r="BD1221" s="47"/>
      <c r="BF1221" s="113"/>
      <c r="BG1221" s="113"/>
      <c r="BH1221" s="113"/>
      <c r="BI1221" s="113"/>
      <c r="BJ1221" s="113"/>
      <c r="BK1221" s="113"/>
      <c r="BL1221" s="5">
        <f t="shared" si="192"/>
        <v>0</v>
      </c>
    </row>
    <row r="1222" spans="1:64" s="2" customFormat="1" ht="51" outlineLevel="1" x14ac:dyDescent="0.2">
      <c r="A1222" s="593" t="s">
        <v>625</v>
      </c>
      <c r="B1222" s="600" t="s">
        <v>2112</v>
      </c>
      <c r="C1222" s="7" t="s">
        <v>2368</v>
      </c>
      <c r="D1222" s="8" t="s">
        <v>145</v>
      </c>
      <c r="E1222" s="23" t="s">
        <v>1241</v>
      </c>
      <c r="F1222" s="8">
        <v>2013</v>
      </c>
      <c r="G1222" s="8">
        <v>2014</v>
      </c>
      <c r="H1222" s="5">
        <v>0.15548000000000001</v>
      </c>
      <c r="I1222" s="5">
        <v>0.01</v>
      </c>
      <c r="J1222" s="5">
        <f>R1222</f>
        <v>0.01</v>
      </c>
      <c r="K1222" s="23" t="s">
        <v>1241</v>
      </c>
      <c r="L1222" s="8"/>
      <c r="M1222" s="8"/>
      <c r="N1222" s="8"/>
      <c r="O1222" s="8"/>
      <c r="P1222" s="8"/>
      <c r="Q1222" s="23" t="s">
        <v>1241</v>
      </c>
      <c r="R1222" s="113">
        <v>0.01</v>
      </c>
      <c r="S1222" s="113"/>
      <c r="T1222" s="113"/>
      <c r="U1222" s="113"/>
      <c r="V1222" s="113"/>
      <c r="W1222" s="113"/>
      <c r="X1222" s="5">
        <f t="shared" si="191"/>
        <v>0.01</v>
      </c>
      <c r="Y1222" s="302">
        <f>H1222-H1223-H1224</f>
        <v>0</v>
      </c>
      <c r="Z1222" s="5">
        <f>I1222-I1223-I1224</f>
        <v>0</v>
      </c>
      <c r="AA1222" s="94">
        <f>J1222-J1223-J1224</f>
        <v>0</v>
      </c>
      <c r="AB1222" s="311">
        <f t="shared" si="190"/>
        <v>0</v>
      </c>
      <c r="AC1222" s="296"/>
      <c r="AD1222" s="113"/>
      <c r="AE1222" s="5"/>
      <c r="AF1222" s="5">
        <f>H1222</f>
        <v>0.15548000000000001</v>
      </c>
      <c r="AG1222" s="5"/>
      <c r="AH1222" s="5"/>
      <c r="AI1222" s="5"/>
      <c r="AJ1222" s="5"/>
      <c r="AK1222" s="141"/>
      <c r="AL1222" s="94">
        <f>SUM(AF1222:AK1222)</f>
        <v>0.15548000000000001</v>
      </c>
      <c r="AM1222" s="128">
        <v>0</v>
      </c>
      <c r="AN1222" s="180">
        <v>0</v>
      </c>
      <c r="AO1222" s="128"/>
      <c r="AP1222" s="184"/>
      <c r="AQ1222" s="128"/>
      <c r="AR1222" s="184"/>
      <c r="AS1222" s="128"/>
      <c r="AT1222" s="184"/>
      <c r="AU1222" s="128"/>
      <c r="AV1222" s="184"/>
      <c r="AW1222" s="128"/>
      <c r="AX1222" s="184"/>
      <c r="AY1222" s="111">
        <f>AM1222+AO1222+AQ1222+AS1222+AU1222+AW1222</f>
        <v>0</v>
      </c>
      <c r="AZ1222" s="178">
        <f>AN1222+AP1222+AR1222+AT1222+AV1222+AX1222</f>
        <v>0</v>
      </c>
      <c r="BC1222" s="47"/>
      <c r="BD1222" s="47"/>
      <c r="BF1222" s="113">
        <v>0.01</v>
      </c>
      <c r="BG1222" s="113"/>
      <c r="BH1222" s="113"/>
      <c r="BI1222" s="113"/>
      <c r="BJ1222" s="113"/>
      <c r="BK1222" s="113"/>
      <c r="BL1222" s="5">
        <f t="shared" si="192"/>
        <v>0.01</v>
      </c>
    </row>
    <row r="1223" spans="1:64" s="2" customFormat="1" ht="14.1" customHeight="1" outlineLevel="1" x14ac:dyDescent="0.2">
      <c r="A1223" s="594"/>
      <c r="B1223" s="601"/>
      <c r="C1223" s="7" t="s">
        <v>1553</v>
      </c>
      <c r="D1223" s="8"/>
      <c r="E1223" s="23"/>
      <c r="F1223" s="8"/>
      <c r="G1223" s="8"/>
      <c r="H1223" s="5"/>
      <c r="I1223" s="5"/>
      <c r="J1223" s="5"/>
      <c r="K1223" s="8"/>
      <c r="L1223" s="23"/>
      <c r="M1223" s="8"/>
      <c r="N1223" s="8"/>
      <c r="O1223" s="8"/>
      <c r="P1223" s="8"/>
      <c r="Q1223" s="23"/>
      <c r="R1223" s="113"/>
      <c r="S1223" s="113"/>
      <c r="T1223" s="113"/>
      <c r="U1223" s="113"/>
      <c r="V1223" s="113"/>
      <c r="W1223" s="113"/>
      <c r="X1223" s="5">
        <f t="shared" si="191"/>
        <v>0</v>
      </c>
      <c r="Y1223" s="302"/>
      <c r="Z1223" s="5"/>
      <c r="AA1223" s="94"/>
      <c r="AB1223" s="311">
        <f t="shared" si="190"/>
        <v>0</v>
      </c>
      <c r="AC1223" s="296"/>
      <c r="AD1223" s="113"/>
      <c r="AE1223" s="5"/>
      <c r="AF1223" s="5"/>
      <c r="AG1223" s="5"/>
      <c r="AH1223" s="5"/>
      <c r="AI1223" s="5"/>
      <c r="AJ1223" s="5"/>
      <c r="AK1223" s="141"/>
      <c r="AL1223" s="94"/>
      <c r="AM1223" s="128"/>
      <c r="AN1223" s="180"/>
      <c r="AO1223" s="128"/>
      <c r="AP1223" s="184"/>
      <c r="AQ1223" s="128"/>
      <c r="AR1223" s="184"/>
      <c r="AS1223" s="128"/>
      <c r="AT1223" s="184"/>
      <c r="AU1223" s="128"/>
      <c r="AV1223" s="184"/>
      <c r="AW1223" s="128"/>
      <c r="AX1223" s="184"/>
      <c r="AY1223" s="111"/>
      <c r="AZ1223" s="178"/>
      <c r="BC1223" s="47"/>
      <c r="BD1223" s="47"/>
      <c r="BF1223" s="113"/>
      <c r="BG1223" s="113"/>
      <c r="BH1223" s="113"/>
      <c r="BI1223" s="113"/>
      <c r="BJ1223" s="113"/>
      <c r="BK1223" s="113"/>
      <c r="BL1223" s="5">
        <f t="shared" si="192"/>
        <v>0</v>
      </c>
    </row>
    <row r="1224" spans="1:64" s="2" customFormat="1" ht="14.1" customHeight="1" outlineLevel="1" x14ac:dyDescent="0.2">
      <c r="A1224" s="595"/>
      <c r="B1224" s="602"/>
      <c r="C1224" s="7" t="s">
        <v>1554</v>
      </c>
      <c r="D1224" s="8"/>
      <c r="E1224" s="23"/>
      <c r="F1224" s="8"/>
      <c r="G1224" s="8"/>
      <c r="H1224" s="5">
        <v>0.15548000000000001</v>
      </c>
      <c r="I1224" s="5">
        <f>I1222</f>
        <v>0.01</v>
      </c>
      <c r="J1224" s="5">
        <v>0.01</v>
      </c>
      <c r="K1224" s="23"/>
      <c r="L1224" s="8"/>
      <c r="M1224" s="8"/>
      <c r="N1224" s="8"/>
      <c r="O1224" s="8"/>
      <c r="P1224" s="8"/>
      <c r="Q1224" s="23"/>
      <c r="R1224" s="113"/>
      <c r="S1224" s="113"/>
      <c r="T1224" s="113"/>
      <c r="U1224" s="113"/>
      <c r="V1224" s="113"/>
      <c r="W1224" s="113"/>
      <c r="X1224" s="5">
        <f t="shared" si="191"/>
        <v>0</v>
      </c>
      <c r="Y1224" s="302"/>
      <c r="Z1224" s="5"/>
      <c r="AA1224" s="94"/>
      <c r="AB1224" s="311">
        <f t="shared" si="190"/>
        <v>0.01</v>
      </c>
      <c r="AC1224" s="296"/>
      <c r="AD1224" s="113"/>
      <c r="AE1224" s="5"/>
      <c r="AF1224" s="5"/>
      <c r="AG1224" s="5"/>
      <c r="AH1224" s="5"/>
      <c r="AI1224" s="5"/>
      <c r="AJ1224" s="5"/>
      <c r="AK1224" s="141"/>
      <c r="AL1224" s="94"/>
      <c r="AM1224" s="128"/>
      <c r="AN1224" s="180"/>
      <c r="AO1224" s="128"/>
      <c r="AP1224" s="184"/>
      <c r="AQ1224" s="128"/>
      <c r="AR1224" s="184"/>
      <c r="AS1224" s="128"/>
      <c r="AT1224" s="184"/>
      <c r="AU1224" s="128"/>
      <c r="AV1224" s="184"/>
      <c r="AW1224" s="128"/>
      <c r="AX1224" s="184"/>
      <c r="AY1224" s="111"/>
      <c r="AZ1224" s="178"/>
      <c r="BC1224" s="47"/>
      <c r="BD1224" s="47"/>
      <c r="BF1224" s="113"/>
      <c r="BG1224" s="113"/>
      <c r="BH1224" s="113"/>
      <c r="BI1224" s="113"/>
      <c r="BJ1224" s="113"/>
      <c r="BK1224" s="113"/>
      <c r="BL1224" s="5">
        <f t="shared" si="192"/>
        <v>0</v>
      </c>
    </row>
    <row r="1225" spans="1:64" s="2" customFormat="1" ht="39.950000000000003" customHeight="1" outlineLevel="1" x14ac:dyDescent="0.2">
      <c r="A1225" s="593" t="s">
        <v>627</v>
      </c>
      <c r="B1225" s="600" t="s">
        <v>617</v>
      </c>
      <c r="C1225" s="7" t="s">
        <v>629</v>
      </c>
      <c r="D1225" s="8" t="s">
        <v>145</v>
      </c>
      <c r="E1225" s="23" t="s">
        <v>1241</v>
      </c>
      <c r="F1225" s="8">
        <v>2013</v>
      </c>
      <c r="G1225" s="8">
        <v>2015</v>
      </c>
      <c r="H1225" s="5">
        <v>0.19500000000000001</v>
      </c>
      <c r="I1225" s="5">
        <v>0.19489525423728815</v>
      </c>
      <c r="J1225" s="5">
        <f>R1225</f>
        <v>0.01</v>
      </c>
      <c r="K1225" s="8"/>
      <c r="L1225" s="23" t="s">
        <v>1241</v>
      </c>
      <c r="M1225" s="8"/>
      <c r="N1225" s="8"/>
      <c r="O1225" s="8"/>
      <c r="P1225" s="8"/>
      <c r="Q1225" s="23" t="s">
        <v>1241</v>
      </c>
      <c r="R1225" s="113">
        <v>0.01</v>
      </c>
      <c r="S1225" s="113"/>
      <c r="T1225" s="113"/>
      <c r="U1225" s="113"/>
      <c r="V1225" s="113"/>
      <c r="W1225" s="113"/>
      <c r="X1225" s="5">
        <f t="shared" si="191"/>
        <v>0.01</v>
      </c>
      <c r="Y1225" s="302">
        <f>H1225-H1226-H1227</f>
        <v>0</v>
      </c>
      <c r="Z1225" s="5">
        <f>I1225-I1226-I1227</f>
        <v>0</v>
      </c>
      <c r="AA1225" s="94">
        <f>J1225-J1226-J1227</f>
        <v>0</v>
      </c>
      <c r="AB1225" s="311">
        <f t="shared" si="190"/>
        <v>0.18489525423728814</v>
      </c>
      <c r="AC1225" s="296"/>
      <c r="AD1225" s="113"/>
      <c r="AE1225" s="5"/>
      <c r="AF1225" s="5"/>
      <c r="AG1225" s="5">
        <f>H1225</f>
        <v>0.19500000000000001</v>
      </c>
      <c r="AH1225" s="5"/>
      <c r="AI1225" s="5"/>
      <c r="AJ1225" s="5"/>
      <c r="AK1225" s="141"/>
      <c r="AL1225" s="94">
        <f>SUM(AF1225:AK1225)</f>
        <v>0.19500000000000001</v>
      </c>
      <c r="AM1225" s="128"/>
      <c r="AN1225" s="180"/>
      <c r="AO1225" s="128">
        <v>0</v>
      </c>
      <c r="AP1225" s="184">
        <v>0</v>
      </c>
      <c r="AQ1225" s="128"/>
      <c r="AR1225" s="184"/>
      <c r="AS1225" s="128"/>
      <c r="AT1225" s="184"/>
      <c r="AU1225" s="128"/>
      <c r="AV1225" s="184"/>
      <c r="AW1225" s="128"/>
      <c r="AX1225" s="184"/>
      <c r="AY1225" s="111">
        <f>AM1225+AO1225+AQ1225+AS1225+AU1225+AW1225</f>
        <v>0</v>
      </c>
      <c r="AZ1225" s="178">
        <f>AN1225+AP1225+AR1225+AT1225+AV1225+AX1225</f>
        <v>0</v>
      </c>
      <c r="BC1225" s="47"/>
      <c r="BD1225" s="47"/>
      <c r="BF1225" s="113">
        <v>0.01</v>
      </c>
      <c r="BG1225" s="113"/>
      <c r="BH1225" s="113"/>
      <c r="BI1225" s="113"/>
      <c r="BJ1225" s="113"/>
      <c r="BK1225" s="113"/>
      <c r="BL1225" s="5">
        <f t="shared" si="192"/>
        <v>0.01</v>
      </c>
    </row>
    <row r="1226" spans="1:64" s="2" customFormat="1" ht="14.1" customHeight="1" outlineLevel="1" x14ac:dyDescent="0.2">
      <c r="A1226" s="594"/>
      <c r="B1226" s="601"/>
      <c r="C1226" s="7" t="s">
        <v>1553</v>
      </c>
      <c r="D1226" s="8"/>
      <c r="E1226" s="23"/>
      <c r="F1226" s="8"/>
      <c r="G1226" s="8"/>
      <c r="H1226" s="5"/>
      <c r="I1226" s="5"/>
      <c r="J1226" s="5"/>
      <c r="K1226" s="8"/>
      <c r="L1226" s="23"/>
      <c r="M1226" s="8"/>
      <c r="N1226" s="8"/>
      <c r="O1226" s="8"/>
      <c r="P1226" s="8"/>
      <c r="Q1226" s="23"/>
      <c r="R1226" s="113"/>
      <c r="S1226" s="113"/>
      <c r="T1226" s="113"/>
      <c r="U1226" s="113"/>
      <c r="V1226" s="113"/>
      <c r="W1226" s="113"/>
      <c r="X1226" s="5">
        <f>SUM(R1226:W1226)</f>
        <v>0</v>
      </c>
      <c r="Y1226" s="302"/>
      <c r="Z1226" s="5"/>
      <c r="AA1226" s="94"/>
      <c r="AB1226" s="311">
        <f t="shared" si="190"/>
        <v>0</v>
      </c>
      <c r="AC1226" s="296"/>
      <c r="AD1226" s="113"/>
      <c r="AE1226" s="5"/>
      <c r="AF1226" s="5"/>
      <c r="AG1226" s="5"/>
      <c r="AH1226" s="5"/>
      <c r="AI1226" s="5"/>
      <c r="AJ1226" s="5"/>
      <c r="AK1226" s="141"/>
      <c r="AL1226" s="94"/>
      <c r="AM1226" s="128"/>
      <c r="AN1226" s="180"/>
      <c r="AO1226" s="128"/>
      <c r="AP1226" s="184"/>
      <c r="AQ1226" s="128"/>
      <c r="AR1226" s="184"/>
      <c r="AS1226" s="128"/>
      <c r="AT1226" s="184"/>
      <c r="AU1226" s="128"/>
      <c r="AV1226" s="184"/>
      <c r="AW1226" s="128"/>
      <c r="AX1226" s="184"/>
      <c r="AY1226" s="111"/>
      <c r="AZ1226" s="178"/>
      <c r="BC1226" s="47"/>
      <c r="BD1226" s="47"/>
      <c r="BF1226" s="113"/>
      <c r="BG1226" s="113"/>
      <c r="BH1226" s="113"/>
      <c r="BI1226" s="113"/>
      <c r="BJ1226" s="113"/>
      <c r="BK1226" s="113"/>
      <c r="BL1226" s="5">
        <f t="shared" si="192"/>
        <v>0</v>
      </c>
    </row>
    <row r="1227" spans="1:64" s="2" customFormat="1" ht="14.1" customHeight="1" outlineLevel="1" x14ac:dyDescent="0.2">
      <c r="A1227" s="595"/>
      <c r="B1227" s="602"/>
      <c r="C1227" s="7" t="s">
        <v>1554</v>
      </c>
      <c r="D1227" s="8"/>
      <c r="E1227" s="23"/>
      <c r="F1227" s="8"/>
      <c r="G1227" s="8"/>
      <c r="H1227" s="5">
        <v>0.19500000000000001</v>
      </c>
      <c r="I1227" s="5">
        <v>0.19489525423728815</v>
      </c>
      <c r="J1227" s="5">
        <v>0.01</v>
      </c>
      <c r="K1227" s="23"/>
      <c r="L1227" s="8"/>
      <c r="M1227" s="8"/>
      <c r="N1227" s="8"/>
      <c r="O1227" s="8"/>
      <c r="P1227" s="8"/>
      <c r="Q1227" s="23"/>
      <c r="R1227" s="113"/>
      <c r="S1227" s="113"/>
      <c r="T1227" s="113"/>
      <c r="U1227" s="113"/>
      <c r="V1227" s="113"/>
      <c r="W1227" s="113"/>
      <c r="X1227" s="5">
        <f>SUM(R1227:W1227)</f>
        <v>0</v>
      </c>
      <c r="Y1227" s="302"/>
      <c r="Z1227" s="5"/>
      <c r="AA1227" s="94"/>
      <c r="AB1227" s="311">
        <f t="shared" si="190"/>
        <v>0.19489525423728815</v>
      </c>
      <c r="AC1227" s="296"/>
      <c r="AD1227" s="113"/>
      <c r="AE1227" s="5"/>
      <c r="AF1227" s="5"/>
      <c r="AG1227" s="5"/>
      <c r="AH1227" s="5"/>
      <c r="AI1227" s="5"/>
      <c r="AJ1227" s="5"/>
      <c r="AK1227" s="141"/>
      <c r="AL1227" s="94"/>
      <c r="AM1227" s="128"/>
      <c r="AN1227" s="180"/>
      <c r="AO1227" s="128"/>
      <c r="AP1227" s="184"/>
      <c r="AQ1227" s="128"/>
      <c r="AR1227" s="184"/>
      <c r="AS1227" s="128"/>
      <c r="AT1227" s="184"/>
      <c r="AU1227" s="128"/>
      <c r="AV1227" s="184"/>
      <c r="AW1227" s="128"/>
      <c r="AX1227" s="184"/>
      <c r="AY1227" s="111"/>
      <c r="AZ1227" s="178"/>
      <c r="BC1227" s="47"/>
      <c r="BD1227" s="47"/>
      <c r="BF1227" s="113"/>
      <c r="BG1227" s="113"/>
      <c r="BH1227" s="113"/>
      <c r="BI1227" s="113"/>
      <c r="BJ1227" s="113"/>
      <c r="BK1227" s="113"/>
      <c r="BL1227" s="5">
        <f t="shared" si="192"/>
        <v>0</v>
      </c>
    </row>
    <row r="1228" spans="1:64" s="2" customFormat="1" ht="38.25" customHeight="1" outlineLevel="1" x14ac:dyDescent="0.2">
      <c r="A1228" s="593" t="s">
        <v>630</v>
      </c>
      <c r="B1228" s="600" t="s">
        <v>619</v>
      </c>
      <c r="C1228" s="7" t="s">
        <v>2369</v>
      </c>
      <c r="D1228" s="8" t="s">
        <v>145</v>
      </c>
      <c r="E1228" s="23" t="s">
        <v>335</v>
      </c>
      <c r="F1228" s="8">
        <v>2013</v>
      </c>
      <c r="G1228" s="8">
        <v>2015</v>
      </c>
      <c r="H1228" s="5">
        <v>1.13133593220339</v>
      </c>
      <c r="I1228" s="5">
        <v>1.13133593220339</v>
      </c>
      <c r="J1228" s="5">
        <f>R1228</f>
        <v>0.01</v>
      </c>
      <c r="K1228" s="8"/>
      <c r="L1228" s="23" t="s">
        <v>335</v>
      </c>
      <c r="M1228" s="8"/>
      <c r="N1228" s="8"/>
      <c r="O1228" s="8"/>
      <c r="P1228" s="8"/>
      <c r="Q1228" s="23" t="s">
        <v>335</v>
      </c>
      <c r="R1228" s="113">
        <v>0.01</v>
      </c>
      <c r="S1228" s="113"/>
      <c r="T1228" s="113"/>
      <c r="U1228" s="113"/>
      <c r="V1228" s="113"/>
      <c r="W1228" s="113"/>
      <c r="X1228" s="5">
        <f t="shared" si="191"/>
        <v>0.01</v>
      </c>
      <c r="Y1228" s="302">
        <f>H1228-H1229-H1230</f>
        <v>0</v>
      </c>
      <c r="Z1228" s="5">
        <f>I1228-I1229-I1230</f>
        <v>0</v>
      </c>
      <c r="AA1228" s="94">
        <f>J1228-J1229-J1230</f>
        <v>0</v>
      </c>
      <c r="AB1228" s="311">
        <f t="shared" si="190"/>
        <v>1.12133593220339</v>
      </c>
      <c r="AC1228" s="296"/>
      <c r="AD1228" s="113"/>
      <c r="AE1228" s="5"/>
      <c r="AF1228" s="5"/>
      <c r="AG1228" s="5">
        <f>H1228</f>
        <v>1.13133593220339</v>
      </c>
      <c r="AH1228" s="5"/>
      <c r="AI1228" s="5"/>
      <c r="AJ1228" s="5"/>
      <c r="AK1228" s="141"/>
      <c r="AL1228" s="94">
        <f>SUM(AF1228:AK1228)</f>
        <v>1.13133593220339</v>
      </c>
      <c r="AM1228" s="128"/>
      <c r="AN1228" s="180"/>
      <c r="AO1228" s="128">
        <v>0.1</v>
      </c>
      <c r="AP1228" s="184">
        <v>0</v>
      </c>
      <c r="AQ1228" s="128"/>
      <c r="AR1228" s="184"/>
      <c r="AS1228" s="128"/>
      <c r="AT1228" s="184"/>
      <c r="AU1228" s="128"/>
      <c r="AV1228" s="184"/>
      <c r="AW1228" s="128"/>
      <c r="AX1228" s="184"/>
      <c r="AY1228" s="111">
        <f>AM1228+AO1228+AQ1228+AS1228+AU1228+AW1228</f>
        <v>0.1</v>
      </c>
      <c r="AZ1228" s="178">
        <f>AN1228+AP1228+AR1228+AT1228+AV1228+AX1228</f>
        <v>0</v>
      </c>
      <c r="BC1228" s="47"/>
      <c r="BD1228" s="47"/>
      <c r="BF1228" s="113">
        <v>0.01</v>
      </c>
      <c r="BG1228" s="113"/>
      <c r="BH1228" s="113"/>
      <c r="BI1228" s="113"/>
      <c r="BJ1228" s="113"/>
      <c r="BK1228" s="113"/>
      <c r="BL1228" s="5">
        <f t="shared" si="192"/>
        <v>0.01</v>
      </c>
    </row>
    <row r="1229" spans="1:64" s="2" customFormat="1" ht="14.1" customHeight="1" outlineLevel="1" x14ac:dyDescent="0.2">
      <c r="A1229" s="594"/>
      <c r="B1229" s="601"/>
      <c r="C1229" s="7" t="s">
        <v>1553</v>
      </c>
      <c r="D1229" s="8"/>
      <c r="E1229" s="23"/>
      <c r="F1229" s="8"/>
      <c r="G1229" s="8"/>
      <c r="H1229" s="5">
        <v>1.13133593220339</v>
      </c>
      <c r="I1229" s="5">
        <v>1.13133593220339</v>
      </c>
      <c r="J1229" s="5">
        <f>R1228</f>
        <v>0.01</v>
      </c>
      <c r="K1229" s="8"/>
      <c r="L1229" s="23"/>
      <c r="M1229" s="8"/>
      <c r="N1229" s="8"/>
      <c r="O1229" s="8"/>
      <c r="P1229" s="8"/>
      <c r="Q1229" s="23"/>
      <c r="R1229" s="113"/>
      <c r="S1229" s="113"/>
      <c r="T1229" s="113"/>
      <c r="U1229" s="113"/>
      <c r="V1229" s="113"/>
      <c r="W1229" s="113"/>
      <c r="X1229" s="5">
        <f t="shared" si="191"/>
        <v>0</v>
      </c>
      <c r="Y1229" s="302"/>
      <c r="Z1229" s="5"/>
      <c r="AA1229" s="94"/>
      <c r="AB1229" s="311">
        <f t="shared" si="190"/>
        <v>1.13133593220339</v>
      </c>
      <c r="AC1229" s="296"/>
      <c r="AD1229" s="113"/>
      <c r="AE1229" s="5"/>
      <c r="AF1229" s="5"/>
      <c r="AG1229" s="5"/>
      <c r="AH1229" s="5"/>
      <c r="AI1229" s="5"/>
      <c r="AJ1229" s="5"/>
      <c r="AK1229" s="141"/>
      <c r="AL1229" s="94"/>
      <c r="AM1229" s="128"/>
      <c r="AN1229" s="180"/>
      <c r="AO1229" s="128"/>
      <c r="AP1229" s="184"/>
      <c r="AQ1229" s="128"/>
      <c r="AR1229" s="184"/>
      <c r="AS1229" s="128"/>
      <c r="AT1229" s="184"/>
      <c r="AU1229" s="128"/>
      <c r="AV1229" s="184"/>
      <c r="AW1229" s="128"/>
      <c r="AX1229" s="184"/>
      <c r="AY1229" s="111"/>
      <c r="AZ1229" s="178"/>
      <c r="BC1229" s="47"/>
      <c r="BD1229" s="47"/>
      <c r="BF1229" s="113"/>
      <c r="BG1229" s="113"/>
      <c r="BH1229" s="113"/>
      <c r="BI1229" s="113"/>
      <c r="BJ1229" s="113"/>
      <c r="BK1229" s="113"/>
      <c r="BL1229" s="5">
        <f t="shared" si="192"/>
        <v>0</v>
      </c>
    </row>
    <row r="1230" spans="1:64" s="2" customFormat="1" ht="14.1" customHeight="1" outlineLevel="1" x14ac:dyDescent="0.2">
      <c r="A1230" s="595"/>
      <c r="B1230" s="602"/>
      <c r="C1230" s="7" t="s">
        <v>1554</v>
      </c>
      <c r="D1230" s="8"/>
      <c r="E1230" s="23"/>
      <c r="F1230" s="8"/>
      <c r="G1230" s="8"/>
      <c r="H1230" s="5"/>
      <c r="I1230" s="5"/>
      <c r="J1230" s="5"/>
      <c r="K1230" s="23"/>
      <c r="L1230" s="8"/>
      <c r="M1230" s="8"/>
      <c r="N1230" s="8"/>
      <c r="O1230" s="8"/>
      <c r="P1230" s="8"/>
      <c r="Q1230" s="23"/>
      <c r="R1230" s="113"/>
      <c r="S1230" s="113"/>
      <c r="T1230" s="113"/>
      <c r="U1230" s="113"/>
      <c r="V1230" s="113"/>
      <c r="W1230" s="113"/>
      <c r="X1230" s="5">
        <f t="shared" si="191"/>
        <v>0</v>
      </c>
      <c r="Y1230" s="302"/>
      <c r="Z1230" s="5"/>
      <c r="AA1230" s="94"/>
      <c r="AB1230" s="311">
        <f t="shared" si="190"/>
        <v>0</v>
      </c>
      <c r="AC1230" s="296"/>
      <c r="AD1230" s="113"/>
      <c r="AE1230" s="5"/>
      <c r="AF1230" s="5"/>
      <c r="AG1230" s="5"/>
      <c r="AH1230" s="5"/>
      <c r="AI1230" s="5"/>
      <c r="AJ1230" s="5"/>
      <c r="AK1230" s="141"/>
      <c r="AL1230" s="94"/>
      <c r="AM1230" s="128"/>
      <c r="AN1230" s="180"/>
      <c r="AO1230" s="128"/>
      <c r="AP1230" s="184"/>
      <c r="AQ1230" s="128"/>
      <c r="AR1230" s="184"/>
      <c r="AS1230" s="128"/>
      <c r="AT1230" s="184"/>
      <c r="AU1230" s="128"/>
      <c r="AV1230" s="184"/>
      <c r="AW1230" s="128"/>
      <c r="AX1230" s="184"/>
      <c r="AY1230" s="111"/>
      <c r="AZ1230" s="178"/>
      <c r="BC1230" s="47"/>
      <c r="BD1230" s="47"/>
      <c r="BF1230" s="113"/>
      <c r="BG1230" s="113"/>
      <c r="BH1230" s="113"/>
      <c r="BI1230" s="113"/>
      <c r="BJ1230" s="113"/>
      <c r="BK1230" s="113"/>
      <c r="BL1230" s="5">
        <f t="shared" si="192"/>
        <v>0</v>
      </c>
    </row>
    <row r="1231" spans="1:64" s="2" customFormat="1" ht="38.25" outlineLevel="1" x14ac:dyDescent="0.2">
      <c r="A1231" s="593" t="s">
        <v>632</v>
      </c>
      <c r="B1231" s="600" t="s">
        <v>622</v>
      </c>
      <c r="C1231" s="7" t="s">
        <v>2370</v>
      </c>
      <c r="D1231" s="8" t="s">
        <v>145</v>
      </c>
      <c r="E1231" s="23" t="s">
        <v>1241</v>
      </c>
      <c r="F1231" s="8">
        <v>2013</v>
      </c>
      <c r="G1231" s="8">
        <v>2014</v>
      </c>
      <c r="H1231" s="5">
        <v>0.15548000000000001</v>
      </c>
      <c r="I1231" s="5">
        <v>0.01</v>
      </c>
      <c r="J1231" s="5">
        <f>R1231</f>
        <v>0.01</v>
      </c>
      <c r="K1231" s="23" t="s">
        <v>1241</v>
      </c>
      <c r="L1231" s="8"/>
      <c r="M1231" s="8"/>
      <c r="N1231" s="8"/>
      <c r="O1231" s="8"/>
      <c r="P1231" s="8"/>
      <c r="Q1231" s="23" t="s">
        <v>1241</v>
      </c>
      <c r="R1231" s="113">
        <v>0.01</v>
      </c>
      <c r="S1231" s="113"/>
      <c r="T1231" s="113"/>
      <c r="U1231" s="113"/>
      <c r="V1231" s="113"/>
      <c r="W1231" s="113"/>
      <c r="X1231" s="5">
        <f t="shared" si="191"/>
        <v>0.01</v>
      </c>
      <c r="Y1231" s="302">
        <f>H1231-H1232-H1233</f>
        <v>0</v>
      </c>
      <c r="Z1231" s="5">
        <f>I1231-I1232-I1233</f>
        <v>0</v>
      </c>
      <c r="AA1231" s="94">
        <f>J1231-J1232-J1233</f>
        <v>0</v>
      </c>
      <c r="AB1231" s="311">
        <f t="shared" si="190"/>
        <v>0</v>
      </c>
      <c r="AC1231" s="296"/>
      <c r="AD1231" s="113"/>
      <c r="AE1231" s="5"/>
      <c r="AF1231" s="5">
        <f>H1231</f>
        <v>0.15548000000000001</v>
      </c>
      <c r="AG1231" s="5"/>
      <c r="AH1231" s="5"/>
      <c r="AI1231" s="5"/>
      <c r="AJ1231" s="5"/>
      <c r="AK1231" s="141"/>
      <c r="AL1231" s="94">
        <f>SUM(AF1231:AK1231)</f>
        <v>0.15548000000000001</v>
      </c>
      <c r="AM1231" s="128">
        <v>0</v>
      </c>
      <c r="AN1231" s="180">
        <v>0</v>
      </c>
      <c r="AO1231" s="128"/>
      <c r="AP1231" s="184"/>
      <c r="AQ1231" s="128"/>
      <c r="AR1231" s="184"/>
      <c r="AS1231" s="128"/>
      <c r="AT1231" s="184"/>
      <c r="AU1231" s="128"/>
      <c r="AV1231" s="184"/>
      <c r="AW1231" s="128"/>
      <c r="AX1231" s="184"/>
      <c r="AY1231" s="111">
        <f>AM1231+AO1231+AQ1231+AS1231+AU1231+AW1231</f>
        <v>0</v>
      </c>
      <c r="AZ1231" s="178">
        <f>AN1231+AP1231+AR1231+AT1231+AV1231+AX1231</f>
        <v>0</v>
      </c>
      <c r="BC1231" s="47"/>
      <c r="BD1231" s="47"/>
      <c r="BF1231" s="113">
        <v>0.01</v>
      </c>
      <c r="BG1231" s="113"/>
      <c r="BH1231" s="113"/>
      <c r="BI1231" s="113"/>
      <c r="BJ1231" s="113"/>
      <c r="BK1231" s="113"/>
      <c r="BL1231" s="5">
        <f t="shared" si="192"/>
        <v>0.01</v>
      </c>
    </row>
    <row r="1232" spans="1:64" s="2" customFormat="1" ht="14.1" customHeight="1" outlineLevel="1" x14ac:dyDescent="0.2">
      <c r="A1232" s="594"/>
      <c r="B1232" s="601"/>
      <c r="C1232" s="7" t="s">
        <v>1553</v>
      </c>
      <c r="D1232" s="8"/>
      <c r="E1232" s="23"/>
      <c r="F1232" s="8"/>
      <c r="G1232" s="8"/>
      <c r="H1232" s="5"/>
      <c r="I1232" s="5"/>
      <c r="J1232" s="5"/>
      <c r="K1232" s="8"/>
      <c r="L1232" s="23"/>
      <c r="M1232" s="8"/>
      <c r="N1232" s="8"/>
      <c r="O1232" s="8"/>
      <c r="P1232" s="8"/>
      <c r="Q1232" s="23"/>
      <c r="R1232" s="113"/>
      <c r="S1232" s="113"/>
      <c r="T1232" s="113"/>
      <c r="U1232" s="113"/>
      <c r="V1232" s="113"/>
      <c r="W1232" s="113"/>
      <c r="X1232" s="5">
        <f>SUM(R1232:W1232)</f>
        <v>0</v>
      </c>
      <c r="Y1232" s="302"/>
      <c r="Z1232" s="5"/>
      <c r="AA1232" s="94"/>
      <c r="AB1232" s="311">
        <f t="shared" si="190"/>
        <v>0</v>
      </c>
      <c r="AC1232" s="296"/>
      <c r="AD1232" s="113"/>
      <c r="AE1232" s="5"/>
      <c r="AF1232" s="5"/>
      <c r="AG1232" s="5"/>
      <c r="AH1232" s="5"/>
      <c r="AI1232" s="5"/>
      <c r="AJ1232" s="5"/>
      <c r="AK1232" s="141"/>
      <c r="AL1232" s="94"/>
      <c r="AM1232" s="128"/>
      <c r="AN1232" s="180"/>
      <c r="AO1232" s="128"/>
      <c r="AP1232" s="184"/>
      <c r="AQ1232" s="128"/>
      <c r="AR1232" s="184"/>
      <c r="AS1232" s="128"/>
      <c r="AT1232" s="184"/>
      <c r="AU1232" s="128"/>
      <c r="AV1232" s="184"/>
      <c r="AW1232" s="128"/>
      <c r="AX1232" s="184"/>
      <c r="AY1232" s="111"/>
      <c r="AZ1232" s="178"/>
      <c r="BC1232" s="47"/>
      <c r="BD1232" s="47"/>
      <c r="BF1232" s="113"/>
      <c r="BG1232" s="113"/>
      <c r="BH1232" s="113"/>
      <c r="BI1232" s="113"/>
      <c r="BJ1232" s="113"/>
      <c r="BK1232" s="113"/>
      <c r="BL1232" s="5">
        <f t="shared" si="192"/>
        <v>0</v>
      </c>
    </row>
    <row r="1233" spans="1:64" s="2" customFormat="1" ht="14.1" customHeight="1" outlineLevel="1" x14ac:dyDescent="0.2">
      <c r="A1233" s="595"/>
      <c r="B1233" s="602"/>
      <c r="C1233" s="7" t="s">
        <v>1554</v>
      </c>
      <c r="D1233" s="8"/>
      <c r="E1233" s="23"/>
      <c r="F1233" s="8"/>
      <c r="G1233" s="8"/>
      <c r="H1233" s="5">
        <v>0.15548000000000001</v>
      </c>
      <c r="I1233" s="5">
        <f>I1231</f>
        <v>0.01</v>
      </c>
      <c r="J1233" s="5">
        <v>0.01</v>
      </c>
      <c r="K1233" s="23"/>
      <c r="L1233" s="8"/>
      <c r="M1233" s="8"/>
      <c r="N1233" s="8"/>
      <c r="O1233" s="8"/>
      <c r="P1233" s="8"/>
      <c r="Q1233" s="23"/>
      <c r="R1233" s="113"/>
      <c r="S1233" s="113"/>
      <c r="T1233" s="113"/>
      <c r="U1233" s="113"/>
      <c r="V1233" s="113"/>
      <c r="W1233" s="113"/>
      <c r="X1233" s="5">
        <f>SUM(R1233:W1233)</f>
        <v>0</v>
      </c>
      <c r="Y1233" s="302"/>
      <c r="Z1233" s="5"/>
      <c r="AA1233" s="94"/>
      <c r="AB1233" s="311">
        <f t="shared" si="190"/>
        <v>0.01</v>
      </c>
      <c r="AC1233" s="296"/>
      <c r="AD1233" s="113"/>
      <c r="AE1233" s="5"/>
      <c r="AF1233" s="5"/>
      <c r="AG1233" s="5"/>
      <c r="AH1233" s="5"/>
      <c r="AI1233" s="5"/>
      <c r="AJ1233" s="5"/>
      <c r="AK1233" s="141"/>
      <c r="AL1233" s="94"/>
      <c r="AM1233" s="128"/>
      <c r="AN1233" s="180"/>
      <c r="AO1233" s="128"/>
      <c r="AP1233" s="184"/>
      <c r="AQ1233" s="128"/>
      <c r="AR1233" s="184"/>
      <c r="AS1233" s="128"/>
      <c r="AT1233" s="184"/>
      <c r="AU1233" s="128"/>
      <c r="AV1233" s="184"/>
      <c r="AW1233" s="128"/>
      <c r="AX1233" s="184"/>
      <c r="AY1233" s="111"/>
      <c r="AZ1233" s="178"/>
      <c r="BC1233" s="47"/>
      <c r="BD1233" s="47"/>
      <c r="BF1233" s="113"/>
      <c r="BG1233" s="113"/>
      <c r="BH1233" s="113"/>
      <c r="BI1233" s="113"/>
      <c r="BJ1233" s="113"/>
      <c r="BK1233" s="113"/>
      <c r="BL1233" s="5">
        <f t="shared" si="192"/>
        <v>0</v>
      </c>
    </row>
    <row r="1234" spans="1:64" s="2" customFormat="1" ht="27" customHeight="1" outlineLevel="1" x14ac:dyDescent="0.2">
      <c r="A1234" s="593" t="s">
        <v>636</v>
      </c>
      <c r="B1234" s="600" t="s">
        <v>624</v>
      </c>
      <c r="C1234" s="7" t="s">
        <v>638</v>
      </c>
      <c r="D1234" s="8" t="s">
        <v>145</v>
      </c>
      <c r="E1234" s="23" t="s">
        <v>361</v>
      </c>
      <c r="F1234" s="8">
        <v>2013</v>
      </c>
      <c r="G1234" s="8">
        <v>2014</v>
      </c>
      <c r="H1234" s="5">
        <v>0.15548000000000001</v>
      </c>
      <c r="I1234" s="5">
        <v>0.01</v>
      </c>
      <c r="J1234" s="5">
        <f>R1234</f>
        <v>0.01</v>
      </c>
      <c r="K1234" s="23" t="s">
        <v>361</v>
      </c>
      <c r="L1234" s="8"/>
      <c r="M1234" s="8"/>
      <c r="N1234" s="8"/>
      <c r="O1234" s="8"/>
      <c r="P1234" s="8"/>
      <c r="Q1234" s="23" t="s">
        <v>361</v>
      </c>
      <c r="R1234" s="113">
        <v>0.01</v>
      </c>
      <c r="S1234" s="113"/>
      <c r="T1234" s="113"/>
      <c r="U1234" s="113"/>
      <c r="V1234" s="113"/>
      <c r="W1234" s="113"/>
      <c r="X1234" s="5">
        <f t="shared" si="191"/>
        <v>0.01</v>
      </c>
      <c r="Y1234" s="302">
        <f>H1234-H1235-H1236</f>
        <v>0</v>
      </c>
      <c r="Z1234" s="5">
        <f>I1234-I1235-I1236</f>
        <v>0</v>
      </c>
      <c r="AA1234" s="94">
        <f>J1234-J1235-J1236</f>
        <v>0</v>
      </c>
      <c r="AB1234" s="311">
        <f t="shared" si="190"/>
        <v>0</v>
      </c>
      <c r="AC1234" s="296"/>
      <c r="AD1234" s="113"/>
      <c r="AE1234" s="5"/>
      <c r="AF1234" s="5">
        <f>H1234</f>
        <v>0.15548000000000001</v>
      </c>
      <c r="AG1234" s="5"/>
      <c r="AH1234" s="5"/>
      <c r="AI1234" s="5"/>
      <c r="AJ1234" s="5"/>
      <c r="AK1234" s="141"/>
      <c r="AL1234" s="94">
        <f>SUM(AF1234:AK1234)</f>
        <v>0.15548000000000001</v>
      </c>
      <c r="AM1234" s="128">
        <v>0.12</v>
      </c>
      <c r="AN1234" s="180">
        <v>0</v>
      </c>
      <c r="AO1234" s="128"/>
      <c r="AP1234" s="184"/>
      <c r="AQ1234" s="128"/>
      <c r="AR1234" s="184"/>
      <c r="AS1234" s="128"/>
      <c r="AT1234" s="184"/>
      <c r="AU1234" s="128"/>
      <c r="AV1234" s="184"/>
      <c r="AW1234" s="128"/>
      <c r="AX1234" s="184"/>
      <c r="AY1234" s="111">
        <f>AM1234+AO1234+AQ1234+AS1234+AU1234+AW1234</f>
        <v>0.12</v>
      </c>
      <c r="AZ1234" s="178">
        <f>AN1234+AP1234+AR1234+AT1234+AV1234+AX1234</f>
        <v>0</v>
      </c>
      <c r="BC1234" s="47"/>
      <c r="BD1234" s="47"/>
      <c r="BF1234" s="113">
        <v>0.01</v>
      </c>
      <c r="BG1234" s="113"/>
      <c r="BH1234" s="113"/>
      <c r="BI1234" s="113"/>
      <c r="BJ1234" s="113"/>
      <c r="BK1234" s="113"/>
      <c r="BL1234" s="5">
        <f t="shared" si="192"/>
        <v>0.01</v>
      </c>
    </row>
    <row r="1235" spans="1:64" s="2" customFormat="1" ht="14.1" customHeight="1" outlineLevel="1" x14ac:dyDescent="0.2">
      <c r="A1235" s="594"/>
      <c r="B1235" s="601"/>
      <c r="C1235" s="7" t="s">
        <v>1553</v>
      </c>
      <c r="D1235" s="8"/>
      <c r="E1235" s="23"/>
      <c r="F1235" s="8"/>
      <c r="G1235" s="8"/>
      <c r="H1235" s="5">
        <v>0.15548000000000001</v>
      </c>
      <c r="I1235" s="5">
        <f>I1234</f>
        <v>0.01</v>
      </c>
      <c r="J1235" s="5">
        <f>R1234</f>
        <v>0.01</v>
      </c>
      <c r="K1235" s="8"/>
      <c r="L1235" s="23"/>
      <c r="M1235" s="8"/>
      <c r="N1235" s="8"/>
      <c r="O1235" s="8"/>
      <c r="P1235" s="8"/>
      <c r="Q1235" s="23"/>
      <c r="R1235" s="113"/>
      <c r="S1235" s="113"/>
      <c r="T1235" s="113"/>
      <c r="U1235" s="113"/>
      <c r="V1235" s="113"/>
      <c r="W1235" s="113"/>
      <c r="X1235" s="5">
        <f t="shared" si="191"/>
        <v>0</v>
      </c>
      <c r="Y1235" s="302"/>
      <c r="Z1235" s="5"/>
      <c r="AA1235" s="94"/>
      <c r="AB1235" s="311">
        <f t="shared" si="190"/>
        <v>0.01</v>
      </c>
      <c r="AC1235" s="296"/>
      <c r="AD1235" s="113"/>
      <c r="AE1235" s="5"/>
      <c r="AF1235" s="5"/>
      <c r="AG1235" s="5"/>
      <c r="AH1235" s="5"/>
      <c r="AI1235" s="5"/>
      <c r="AJ1235" s="5"/>
      <c r="AK1235" s="141"/>
      <c r="AL1235" s="94"/>
      <c r="AM1235" s="128"/>
      <c r="AN1235" s="180"/>
      <c r="AO1235" s="128"/>
      <c r="AP1235" s="184"/>
      <c r="AQ1235" s="128"/>
      <c r="AR1235" s="184"/>
      <c r="AS1235" s="128"/>
      <c r="AT1235" s="184"/>
      <c r="AU1235" s="128"/>
      <c r="AV1235" s="184"/>
      <c r="AW1235" s="128"/>
      <c r="AX1235" s="184"/>
      <c r="AY1235" s="111"/>
      <c r="AZ1235" s="178"/>
      <c r="BC1235" s="47"/>
      <c r="BD1235" s="47"/>
      <c r="BF1235" s="113"/>
      <c r="BG1235" s="113"/>
      <c r="BH1235" s="113"/>
      <c r="BI1235" s="113"/>
      <c r="BJ1235" s="113"/>
      <c r="BK1235" s="113"/>
      <c r="BL1235" s="5">
        <f t="shared" ref="BL1235:BL1266" si="193">SUM(BF1235:BK1235)</f>
        <v>0</v>
      </c>
    </row>
    <row r="1236" spans="1:64" s="2" customFormat="1" ht="14.1" customHeight="1" outlineLevel="1" x14ac:dyDescent="0.2">
      <c r="A1236" s="595"/>
      <c r="B1236" s="602"/>
      <c r="C1236" s="7" t="s">
        <v>1554</v>
      </c>
      <c r="D1236" s="8"/>
      <c r="E1236" s="23"/>
      <c r="F1236" s="8"/>
      <c r="G1236" s="8"/>
      <c r="H1236" s="5"/>
      <c r="I1236" s="5"/>
      <c r="J1236" s="5"/>
      <c r="K1236" s="23"/>
      <c r="L1236" s="8"/>
      <c r="M1236" s="8"/>
      <c r="N1236" s="8"/>
      <c r="O1236" s="8"/>
      <c r="P1236" s="8"/>
      <c r="Q1236" s="23"/>
      <c r="R1236" s="113"/>
      <c r="S1236" s="113"/>
      <c r="T1236" s="113"/>
      <c r="U1236" s="113"/>
      <c r="V1236" s="113"/>
      <c r="W1236" s="113"/>
      <c r="X1236" s="5">
        <f t="shared" si="191"/>
        <v>0</v>
      </c>
      <c r="Y1236" s="302"/>
      <c r="Z1236" s="5"/>
      <c r="AA1236" s="94"/>
      <c r="AB1236" s="311">
        <f t="shared" si="190"/>
        <v>0</v>
      </c>
      <c r="AC1236" s="296"/>
      <c r="AD1236" s="113"/>
      <c r="AE1236" s="5"/>
      <c r="AF1236" s="5"/>
      <c r="AG1236" s="5"/>
      <c r="AH1236" s="5"/>
      <c r="AI1236" s="5"/>
      <c r="AJ1236" s="5"/>
      <c r="AK1236" s="141"/>
      <c r="AL1236" s="94"/>
      <c r="AM1236" s="128"/>
      <c r="AN1236" s="180"/>
      <c r="AO1236" s="128"/>
      <c r="AP1236" s="184"/>
      <c r="AQ1236" s="128"/>
      <c r="AR1236" s="184"/>
      <c r="AS1236" s="128"/>
      <c r="AT1236" s="184"/>
      <c r="AU1236" s="128"/>
      <c r="AV1236" s="184"/>
      <c r="AW1236" s="128"/>
      <c r="AX1236" s="184"/>
      <c r="AY1236" s="111"/>
      <c r="AZ1236" s="178"/>
      <c r="BC1236" s="47"/>
      <c r="BD1236" s="47"/>
      <c r="BF1236" s="113"/>
      <c r="BG1236" s="113"/>
      <c r="BH1236" s="113"/>
      <c r="BI1236" s="113"/>
      <c r="BJ1236" s="113"/>
      <c r="BK1236" s="113"/>
      <c r="BL1236" s="5">
        <f t="shared" si="193"/>
        <v>0</v>
      </c>
    </row>
    <row r="1237" spans="1:64" s="2" customFormat="1" ht="38.25" customHeight="1" outlineLevel="1" x14ac:dyDescent="0.2">
      <c r="A1237" s="593" t="s">
        <v>639</v>
      </c>
      <c r="B1237" s="600" t="s">
        <v>626</v>
      </c>
      <c r="C1237" s="7" t="s">
        <v>2557</v>
      </c>
      <c r="D1237" s="8" t="s">
        <v>145</v>
      </c>
      <c r="E1237" s="23" t="s">
        <v>1241</v>
      </c>
      <c r="F1237" s="8">
        <v>2013</v>
      </c>
      <c r="G1237" s="8">
        <v>2015</v>
      </c>
      <c r="H1237" s="5">
        <v>0.2677766101694915</v>
      </c>
      <c r="I1237" s="5">
        <v>0.01</v>
      </c>
      <c r="J1237" s="5">
        <f>R1237</f>
        <v>0.01</v>
      </c>
      <c r="K1237" s="8"/>
      <c r="L1237" s="23" t="s">
        <v>1241</v>
      </c>
      <c r="M1237" s="8"/>
      <c r="N1237" s="8"/>
      <c r="O1237" s="8"/>
      <c r="P1237" s="8"/>
      <c r="Q1237" s="23" t="s">
        <v>1241</v>
      </c>
      <c r="R1237" s="113">
        <v>0.01</v>
      </c>
      <c r="S1237" s="113"/>
      <c r="T1237" s="113"/>
      <c r="U1237" s="113"/>
      <c r="V1237" s="113"/>
      <c r="W1237" s="113"/>
      <c r="X1237" s="5">
        <f t="shared" si="191"/>
        <v>0.01</v>
      </c>
      <c r="Y1237" s="302">
        <f>H1237-H1238-H1239</f>
        <v>0</v>
      </c>
      <c r="Z1237" s="5">
        <f>I1237-I1238-I1239</f>
        <v>0</v>
      </c>
      <c r="AA1237" s="94">
        <f>J1237-J1238-J1239</f>
        <v>0</v>
      </c>
      <c r="AB1237" s="311">
        <f t="shared" ref="AB1237:AB1300" si="194">I1237-X1237</f>
        <v>0</v>
      </c>
      <c r="AC1237" s="296"/>
      <c r="AD1237" s="113"/>
      <c r="AE1237" s="5"/>
      <c r="AF1237" s="5"/>
      <c r="AG1237" s="5">
        <f>H1237</f>
        <v>0.2677766101694915</v>
      </c>
      <c r="AH1237" s="5"/>
      <c r="AI1237" s="5"/>
      <c r="AJ1237" s="5"/>
      <c r="AK1237" s="141"/>
      <c r="AL1237" s="94">
        <f>SUM(AF1237:AK1237)</f>
        <v>0.2677766101694915</v>
      </c>
      <c r="AM1237" s="128"/>
      <c r="AN1237" s="180"/>
      <c r="AO1237" s="128">
        <v>0</v>
      </c>
      <c r="AP1237" s="184">
        <v>0</v>
      </c>
      <c r="AQ1237" s="128"/>
      <c r="AR1237" s="184"/>
      <c r="AS1237" s="128"/>
      <c r="AT1237" s="184"/>
      <c r="AU1237" s="128"/>
      <c r="AV1237" s="184"/>
      <c r="AW1237" s="128"/>
      <c r="AX1237" s="184"/>
      <c r="AY1237" s="111">
        <f>AM1237+AO1237+AQ1237+AS1237+AU1237+AW1237</f>
        <v>0</v>
      </c>
      <c r="AZ1237" s="178">
        <f>AN1237+AP1237+AR1237+AT1237+AV1237+AX1237</f>
        <v>0</v>
      </c>
      <c r="BC1237" s="47"/>
      <c r="BD1237" s="47"/>
      <c r="BF1237" s="113">
        <v>0.01</v>
      </c>
      <c r="BG1237" s="113"/>
      <c r="BH1237" s="113"/>
      <c r="BI1237" s="113"/>
      <c r="BJ1237" s="113"/>
      <c r="BK1237" s="113"/>
      <c r="BL1237" s="5">
        <f t="shared" si="193"/>
        <v>0.01</v>
      </c>
    </row>
    <row r="1238" spans="1:64" s="2" customFormat="1" ht="14.1" customHeight="1" outlineLevel="1" x14ac:dyDescent="0.2">
      <c r="A1238" s="594"/>
      <c r="B1238" s="601"/>
      <c r="C1238" s="7" t="s">
        <v>1553</v>
      </c>
      <c r="D1238" s="8"/>
      <c r="E1238" s="23"/>
      <c r="F1238" s="8"/>
      <c r="G1238" s="8"/>
      <c r="H1238" s="5"/>
      <c r="I1238" s="5"/>
      <c r="J1238" s="5"/>
      <c r="K1238" s="8"/>
      <c r="L1238" s="23"/>
      <c r="M1238" s="8"/>
      <c r="N1238" s="8"/>
      <c r="O1238" s="8"/>
      <c r="P1238" s="8"/>
      <c r="Q1238" s="23"/>
      <c r="R1238" s="113"/>
      <c r="S1238" s="113"/>
      <c r="T1238" s="113"/>
      <c r="U1238" s="113"/>
      <c r="V1238" s="113"/>
      <c r="W1238" s="113"/>
      <c r="X1238" s="5">
        <f>SUM(R1238:W1238)</f>
        <v>0</v>
      </c>
      <c r="Y1238" s="302"/>
      <c r="Z1238" s="5"/>
      <c r="AA1238" s="94"/>
      <c r="AB1238" s="311">
        <f t="shared" si="194"/>
        <v>0</v>
      </c>
      <c r="AC1238" s="296"/>
      <c r="AD1238" s="113"/>
      <c r="AE1238" s="5"/>
      <c r="AF1238" s="5"/>
      <c r="AG1238" s="5"/>
      <c r="AH1238" s="5"/>
      <c r="AI1238" s="5"/>
      <c r="AJ1238" s="5"/>
      <c r="AK1238" s="141"/>
      <c r="AL1238" s="94"/>
      <c r="AM1238" s="128"/>
      <c r="AN1238" s="180"/>
      <c r="AO1238" s="128"/>
      <c r="AP1238" s="184"/>
      <c r="AQ1238" s="128"/>
      <c r="AR1238" s="184"/>
      <c r="AS1238" s="128"/>
      <c r="AT1238" s="184"/>
      <c r="AU1238" s="128"/>
      <c r="AV1238" s="184"/>
      <c r="AW1238" s="128"/>
      <c r="AX1238" s="184"/>
      <c r="AY1238" s="111"/>
      <c r="AZ1238" s="178"/>
      <c r="BC1238" s="47"/>
      <c r="BD1238" s="47"/>
      <c r="BF1238" s="113"/>
      <c r="BG1238" s="113"/>
      <c r="BH1238" s="113"/>
      <c r="BI1238" s="113"/>
      <c r="BJ1238" s="113"/>
      <c r="BK1238" s="113"/>
      <c r="BL1238" s="5">
        <f t="shared" si="193"/>
        <v>0</v>
      </c>
    </row>
    <row r="1239" spans="1:64" s="2" customFormat="1" ht="14.1" customHeight="1" outlineLevel="1" x14ac:dyDescent="0.2">
      <c r="A1239" s="595"/>
      <c r="B1239" s="602"/>
      <c r="C1239" s="7" t="s">
        <v>1554</v>
      </c>
      <c r="D1239" s="8"/>
      <c r="E1239" s="23"/>
      <c r="F1239" s="8"/>
      <c r="G1239" s="8"/>
      <c r="H1239" s="5">
        <v>0.2677766101694915</v>
      </c>
      <c r="I1239" s="5">
        <f>I1237</f>
        <v>0.01</v>
      </c>
      <c r="J1239" s="5">
        <v>0.01</v>
      </c>
      <c r="K1239" s="23"/>
      <c r="L1239" s="8"/>
      <c r="M1239" s="8"/>
      <c r="N1239" s="8"/>
      <c r="O1239" s="8"/>
      <c r="P1239" s="8"/>
      <c r="Q1239" s="23"/>
      <c r="R1239" s="113"/>
      <c r="S1239" s="113"/>
      <c r="T1239" s="113"/>
      <c r="U1239" s="113"/>
      <c r="V1239" s="113"/>
      <c r="W1239" s="113"/>
      <c r="X1239" s="5">
        <f>SUM(R1239:W1239)</f>
        <v>0</v>
      </c>
      <c r="Y1239" s="302"/>
      <c r="Z1239" s="5"/>
      <c r="AA1239" s="94"/>
      <c r="AB1239" s="311">
        <f t="shared" si="194"/>
        <v>0.01</v>
      </c>
      <c r="AC1239" s="296"/>
      <c r="AD1239" s="113"/>
      <c r="AE1239" s="5"/>
      <c r="AF1239" s="5"/>
      <c r="AG1239" s="5"/>
      <c r="AH1239" s="5"/>
      <c r="AI1239" s="5"/>
      <c r="AJ1239" s="5"/>
      <c r="AK1239" s="141"/>
      <c r="AL1239" s="94"/>
      <c r="AM1239" s="128"/>
      <c r="AN1239" s="180"/>
      <c r="AO1239" s="128"/>
      <c r="AP1239" s="184"/>
      <c r="AQ1239" s="128"/>
      <c r="AR1239" s="184"/>
      <c r="AS1239" s="128"/>
      <c r="AT1239" s="184"/>
      <c r="AU1239" s="128"/>
      <c r="AV1239" s="184"/>
      <c r="AW1239" s="128"/>
      <c r="AX1239" s="184"/>
      <c r="AY1239" s="111"/>
      <c r="AZ1239" s="178"/>
      <c r="BC1239" s="47"/>
      <c r="BD1239" s="47"/>
      <c r="BF1239" s="113"/>
      <c r="BG1239" s="113"/>
      <c r="BH1239" s="113"/>
      <c r="BI1239" s="113"/>
      <c r="BJ1239" s="113"/>
      <c r="BK1239" s="113"/>
      <c r="BL1239" s="5">
        <f t="shared" si="193"/>
        <v>0</v>
      </c>
    </row>
    <row r="1240" spans="1:64" s="2" customFormat="1" ht="38.25" outlineLevel="1" x14ac:dyDescent="0.2">
      <c r="A1240" s="593" t="s">
        <v>641</v>
      </c>
      <c r="B1240" s="600" t="s">
        <v>628</v>
      </c>
      <c r="C1240" s="7" t="s">
        <v>2371</v>
      </c>
      <c r="D1240" s="8" t="s">
        <v>145</v>
      </c>
      <c r="E1240" s="23" t="s">
        <v>1387</v>
      </c>
      <c r="F1240" s="8">
        <v>2013</v>
      </c>
      <c r="G1240" s="8">
        <v>2014</v>
      </c>
      <c r="H1240" s="5">
        <v>0.15548000000000001</v>
      </c>
      <c r="I1240" s="5">
        <v>0.01</v>
      </c>
      <c r="J1240" s="5">
        <f>R1240</f>
        <v>0.01</v>
      </c>
      <c r="K1240" s="23" t="s">
        <v>1387</v>
      </c>
      <c r="L1240" s="8"/>
      <c r="M1240" s="8"/>
      <c r="N1240" s="8"/>
      <c r="O1240" s="8"/>
      <c r="P1240" s="8"/>
      <c r="Q1240" s="23" t="s">
        <v>1387</v>
      </c>
      <c r="R1240" s="113">
        <v>0.01</v>
      </c>
      <c r="S1240" s="113"/>
      <c r="T1240" s="113"/>
      <c r="U1240" s="113"/>
      <c r="V1240" s="113"/>
      <c r="W1240" s="113"/>
      <c r="X1240" s="5">
        <f t="shared" si="191"/>
        <v>0.01</v>
      </c>
      <c r="Y1240" s="302">
        <f>H1240-H1241-H1242</f>
        <v>0</v>
      </c>
      <c r="Z1240" s="5">
        <f>I1240-I1241-I1242</f>
        <v>0</v>
      </c>
      <c r="AA1240" s="94">
        <f>J1240-J1241-J1242</f>
        <v>0</v>
      </c>
      <c r="AB1240" s="311">
        <f t="shared" si="194"/>
        <v>0</v>
      </c>
      <c r="AC1240" s="296"/>
      <c r="AD1240" s="113"/>
      <c r="AE1240" s="5"/>
      <c r="AF1240" s="5">
        <f>H1240</f>
        <v>0.15548000000000001</v>
      </c>
      <c r="AG1240" s="5"/>
      <c r="AH1240" s="5"/>
      <c r="AI1240" s="5"/>
      <c r="AJ1240" s="5"/>
      <c r="AK1240" s="141"/>
      <c r="AL1240" s="94">
        <f>SUM(AF1240:AK1240)</f>
        <v>0.15548000000000001</v>
      </c>
      <c r="AM1240" s="128">
        <v>0.5</v>
      </c>
      <c r="AN1240" s="180">
        <v>0</v>
      </c>
      <c r="AO1240" s="128"/>
      <c r="AP1240" s="184"/>
      <c r="AQ1240" s="128"/>
      <c r="AR1240" s="184"/>
      <c r="AS1240" s="128"/>
      <c r="AT1240" s="184"/>
      <c r="AU1240" s="128"/>
      <c r="AV1240" s="184"/>
      <c r="AW1240" s="128"/>
      <c r="AX1240" s="184"/>
      <c r="AY1240" s="111">
        <f>AM1240+AO1240+AQ1240+AS1240+AU1240+AW1240</f>
        <v>0.5</v>
      </c>
      <c r="AZ1240" s="178">
        <f>AN1240+AP1240+AR1240+AT1240+AV1240+AX1240</f>
        <v>0</v>
      </c>
      <c r="BC1240" s="47"/>
      <c r="BD1240" s="47"/>
      <c r="BF1240" s="113">
        <v>0.01</v>
      </c>
      <c r="BG1240" s="113"/>
      <c r="BH1240" s="113"/>
      <c r="BI1240" s="113"/>
      <c r="BJ1240" s="113"/>
      <c r="BK1240" s="113"/>
      <c r="BL1240" s="5">
        <f t="shared" si="193"/>
        <v>0.01</v>
      </c>
    </row>
    <row r="1241" spans="1:64" s="2" customFormat="1" ht="14.1" customHeight="1" outlineLevel="1" x14ac:dyDescent="0.2">
      <c r="A1241" s="594"/>
      <c r="B1241" s="601"/>
      <c r="C1241" s="7" t="s">
        <v>1553</v>
      </c>
      <c r="D1241" s="8"/>
      <c r="E1241" s="23"/>
      <c r="F1241" s="8"/>
      <c r="G1241" s="8"/>
      <c r="H1241" s="5"/>
      <c r="I1241" s="5"/>
      <c r="J1241" s="5"/>
      <c r="K1241" s="8"/>
      <c r="L1241" s="23"/>
      <c r="M1241" s="8"/>
      <c r="N1241" s="8"/>
      <c r="O1241" s="8"/>
      <c r="P1241" s="8"/>
      <c r="Q1241" s="23"/>
      <c r="R1241" s="113"/>
      <c r="S1241" s="113"/>
      <c r="T1241" s="113"/>
      <c r="U1241" s="113"/>
      <c r="V1241" s="113"/>
      <c r="W1241" s="113"/>
      <c r="X1241" s="5">
        <f t="shared" si="191"/>
        <v>0</v>
      </c>
      <c r="Y1241" s="302"/>
      <c r="Z1241" s="5"/>
      <c r="AA1241" s="94"/>
      <c r="AB1241" s="311">
        <f t="shared" si="194"/>
        <v>0</v>
      </c>
      <c r="AC1241" s="296"/>
      <c r="AD1241" s="113"/>
      <c r="AE1241" s="5"/>
      <c r="AF1241" s="5"/>
      <c r="AG1241" s="5"/>
      <c r="AH1241" s="5"/>
      <c r="AI1241" s="5"/>
      <c r="AJ1241" s="5"/>
      <c r="AK1241" s="141"/>
      <c r="AL1241" s="94"/>
      <c r="AM1241" s="128"/>
      <c r="AN1241" s="180"/>
      <c r="AO1241" s="128"/>
      <c r="AP1241" s="184"/>
      <c r="AQ1241" s="128"/>
      <c r="AR1241" s="184"/>
      <c r="AS1241" s="128"/>
      <c r="AT1241" s="184"/>
      <c r="AU1241" s="128"/>
      <c r="AV1241" s="184"/>
      <c r="AW1241" s="128"/>
      <c r="AX1241" s="184"/>
      <c r="AY1241" s="111"/>
      <c r="AZ1241" s="178"/>
      <c r="BC1241" s="47"/>
      <c r="BD1241" s="47"/>
      <c r="BF1241" s="113"/>
      <c r="BG1241" s="113"/>
      <c r="BH1241" s="113"/>
      <c r="BI1241" s="113"/>
      <c r="BJ1241" s="113"/>
      <c r="BK1241" s="113"/>
      <c r="BL1241" s="5">
        <f t="shared" si="193"/>
        <v>0</v>
      </c>
    </row>
    <row r="1242" spans="1:64" s="2" customFormat="1" ht="14.1" customHeight="1" outlineLevel="1" x14ac:dyDescent="0.2">
      <c r="A1242" s="595"/>
      <c r="B1242" s="602"/>
      <c r="C1242" s="7" t="s">
        <v>1554</v>
      </c>
      <c r="D1242" s="8"/>
      <c r="E1242" s="23"/>
      <c r="F1242" s="8"/>
      <c r="G1242" s="8"/>
      <c r="H1242" s="5">
        <v>0.15548000000000001</v>
      </c>
      <c r="I1242" s="5">
        <f>I1240</f>
        <v>0.01</v>
      </c>
      <c r="J1242" s="5">
        <v>0.01</v>
      </c>
      <c r="K1242" s="23"/>
      <c r="L1242" s="8"/>
      <c r="M1242" s="8"/>
      <c r="N1242" s="8"/>
      <c r="O1242" s="8"/>
      <c r="P1242" s="8"/>
      <c r="Q1242" s="23"/>
      <c r="R1242" s="113"/>
      <c r="S1242" s="113"/>
      <c r="T1242" s="113"/>
      <c r="U1242" s="113"/>
      <c r="V1242" s="113"/>
      <c r="W1242" s="113"/>
      <c r="X1242" s="5">
        <f t="shared" si="191"/>
        <v>0</v>
      </c>
      <c r="Y1242" s="302"/>
      <c r="Z1242" s="5"/>
      <c r="AA1242" s="94"/>
      <c r="AB1242" s="311">
        <f t="shared" si="194"/>
        <v>0.01</v>
      </c>
      <c r="AC1242" s="296"/>
      <c r="AD1242" s="113"/>
      <c r="AE1242" s="5"/>
      <c r="AF1242" s="5"/>
      <c r="AG1242" s="5"/>
      <c r="AH1242" s="5"/>
      <c r="AI1242" s="5"/>
      <c r="AJ1242" s="5"/>
      <c r="AK1242" s="141"/>
      <c r="AL1242" s="94"/>
      <c r="AM1242" s="128"/>
      <c r="AN1242" s="180"/>
      <c r="AO1242" s="128"/>
      <c r="AP1242" s="184"/>
      <c r="AQ1242" s="128"/>
      <c r="AR1242" s="184"/>
      <c r="AS1242" s="128"/>
      <c r="AT1242" s="184"/>
      <c r="AU1242" s="128"/>
      <c r="AV1242" s="184"/>
      <c r="AW1242" s="128"/>
      <c r="AX1242" s="184"/>
      <c r="AY1242" s="111"/>
      <c r="AZ1242" s="178"/>
      <c r="BC1242" s="47"/>
      <c r="BD1242" s="47"/>
      <c r="BF1242" s="113"/>
      <c r="BG1242" s="113"/>
      <c r="BH1242" s="113"/>
      <c r="BI1242" s="113"/>
      <c r="BJ1242" s="113"/>
      <c r="BK1242" s="113"/>
      <c r="BL1242" s="5">
        <f t="shared" si="193"/>
        <v>0</v>
      </c>
    </row>
    <row r="1243" spans="1:64" s="2" customFormat="1" ht="38.25" outlineLevel="1" x14ac:dyDescent="0.2">
      <c r="A1243" s="593" t="s">
        <v>643</v>
      </c>
      <c r="B1243" s="600" t="s">
        <v>631</v>
      </c>
      <c r="C1243" s="7" t="s">
        <v>645</v>
      </c>
      <c r="D1243" s="8" t="s">
        <v>145</v>
      </c>
      <c r="E1243" s="23" t="s">
        <v>1241</v>
      </c>
      <c r="F1243" s="8">
        <v>2013</v>
      </c>
      <c r="G1243" s="8">
        <v>2014</v>
      </c>
      <c r="H1243" s="5">
        <v>0.15548000000000001</v>
      </c>
      <c r="I1243" s="5">
        <v>0.01</v>
      </c>
      <c r="J1243" s="5">
        <f>R1243</f>
        <v>0.01</v>
      </c>
      <c r="K1243" s="23" t="s">
        <v>1241</v>
      </c>
      <c r="L1243" s="8"/>
      <c r="M1243" s="8"/>
      <c r="N1243" s="8"/>
      <c r="O1243" s="8"/>
      <c r="P1243" s="8"/>
      <c r="Q1243" s="23" t="s">
        <v>1241</v>
      </c>
      <c r="R1243" s="113">
        <v>0.01</v>
      </c>
      <c r="S1243" s="113"/>
      <c r="T1243" s="113"/>
      <c r="U1243" s="113"/>
      <c r="V1243" s="113"/>
      <c r="W1243" s="113"/>
      <c r="X1243" s="5">
        <f t="shared" si="191"/>
        <v>0.01</v>
      </c>
      <c r="Y1243" s="302">
        <f>H1243-H1244-H1245</f>
        <v>0</v>
      </c>
      <c r="Z1243" s="5">
        <f>I1243-I1244-I1245</f>
        <v>0</v>
      </c>
      <c r="AA1243" s="94">
        <f>J1243-J1244-J1245</f>
        <v>0</v>
      </c>
      <c r="AB1243" s="311">
        <f t="shared" si="194"/>
        <v>0</v>
      </c>
      <c r="AC1243" s="296"/>
      <c r="AD1243" s="113"/>
      <c r="AE1243" s="5"/>
      <c r="AF1243" s="5">
        <f>H1243</f>
        <v>0.15548000000000001</v>
      </c>
      <c r="AG1243" s="5"/>
      <c r="AH1243" s="5"/>
      <c r="AI1243" s="5"/>
      <c r="AJ1243" s="5"/>
      <c r="AK1243" s="141"/>
      <c r="AL1243" s="94">
        <f>SUM(AF1243:AK1243)</f>
        <v>0.15548000000000001</v>
      </c>
      <c r="AM1243" s="128">
        <v>0</v>
      </c>
      <c r="AN1243" s="180">
        <v>0</v>
      </c>
      <c r="AO1243" s="128"/>
      <c r="AP1243" s="184"/>
      <c r="AQ1243" s="128"/>
      <c r="AR1243" s="184"/>
      <c r="AS1243" s="128"/>
      <c r="AT1243" s="184"/>
      <c r="AU1243" s="128"/>
      <c r="AV1243" s="184"/>
      <c r="AW1243" s="128"/>
      <c r="AX1243" s="184"/>
      <c r="AY1243" s="111">
        <f>AM1243+AO1243+AQ1243+AS1243+AU1243+AW1243</f>
        <v>0</v>
      </c>
      <c r="AZ1243" s="178">
        <f>AN1243+AP1243+AR1243+AT1243+AV1243+AX1243</f>
        <v>0</v>
      </c>
      <c r="BC1243" s="47"/>
      <c r="BD1243" s="47"/>
      <c r="BF1243" s="113">
        <v>0.01</v>
      </c>
      <c r="BG1243" s="113"/>
      <c r="BH1243" s="113"/>
      <c r="BI1243" s="113"/>
      <c r="BJ1243" s="113"/>
      <c r="BK1243" s="113"/>
      <c r="BL1243" s="5">
        <f t="shared" si="193"/>
        <v>0.01</v>
      </c>
    </row>
    <row r="1244" spans="1:64" s="2" customFormat="1" ht="14.1" customHeight="1" outlineLevel="1" x14ac:dyDescent="0.2">
      <c r="A1244" s="594"/>
      <c r="B1244" s="601"/>
      <c r="C1244" s="7" t="s">
        <v>1553</v>
      </c>
      <c r="D1244" s="8"/>
      <c r="E1244" s="23"/>
      <c r="F1244" s="8"/>
      <c r="G1244" s="8"/>
      <c r="H1244" s="5">
        <v>0.15548000000000001</v>
      </c>
      <c r="I1244" s="5">
        <f>I1243</f>
        <v>0.01</v>
      </c>
      <c r="J1244" s="5">
        <v>0.01</v>
      </c>
      <c r="K1244" s="8"/>
      <c r="L1244" s="23"/>
      <c r="M1244" s="8"/>
      <c r="N1244" s="8"/>
      <c r="O1244" s="8"/>
      <c r="P1244" s="8"/>
      <c r="Q1244" s="23"/>
      <c r="R1244" s="113"/>
      <c r="S1244" s="113"/>
      <c r="T1244" s="113"/>
      <c r="U1244" s="113"/>
      <c r="V1244" s="113"/>
      <c r="W1244" s="113"/>
      <c r="X1244" s="5">
        <f>SUM(R1244:W1244)</f>
        <v>0</v>
      </c>
      <c r="Y1244" s="302"/>
      <c r="Z1244" s="5"/>
      <c r="AA1244" s="94"/>
      <c r="AB1244" s="311">
        <f t="shared" si="194"/>
        <v>0.01</v>
      </c>
      <c r="AC1244" s="296"/>
      <c r="AD1244" s="113"/>
      <c r="AE1244" s="5"/>
      <c r="AF1244" s="5"/>
      <c r="AG1244" s="5"/>
      <c r="AH1244" s="5"/>
      <c r="AI1244" s="5"/>
      <c r="AJ1244" s="5"/>
      <c r="AK1244" s="141"/>
      <c r="AL1244" s="94"/>
      <c r="AM1244" s="128"/>
      <c r="AN1244" s="180"/>
      <c r="AO1244" s="128"/>
      <c r="AP1244" s="184"/>
      <c r="AQ1244" s="128"/>
      <c r="AR1244" s="184"/>
      <c r="AS1244" s="128"/>
      <c r="AT1244" s="184"/>
      <c r="AU1244" s="128"/>
      <c r="AV1244" s="184"/>
      <c r="AW1244" s="128"/>
      <c r="AX1244" s="184"/>
      <c r="AY1244" s="111"/>
      <c r="AZ1244" s="178"/>
      <c r="BC1244" s="47"/>
      <c r="BD1244" s="47"/>
      <c r="BF1244" s="113"/>
      <c r="BG1244" s="113"/>
      <c r="BH1244" s="113"/>
      <c r="BI1244" s="113"/>
      <c r="BJ1244" s="113"/>
      <c r="BK1244" s="113"/>
      <c r="BL1244" s="5">
        <f t="shared" si="193"/>
        <v>0</v>
      </c>
    </row>
    <row r="1245" spans="1:64" s="2" customFormat="1" ht="14.1" customHeight="1" outlineLevel="1" x14ac:dyDescent="0.2">
      <c r="A1245" s="595"/>
      <c r="B1245" s="602"/>
      <c r="C1245" s="7" t="s">
        <v>1554</v>
      </c>
      <c r="D1245" s="8"/>
      <c r="E1245" s="23"/>
      <c r="F1245" s="8"/>
      <c r="G1245" s="8"/>
      <c r="H1245" s="5"/>
      <c r="I1245" s="5"/>
      <c r="J1245" s="5"/>
      <c r="K1245" s="23"/>
      <c r="L1245" s="8"/>
      <c r="M1245" s="8"/>
      <c r="N1245" s="8"/>
      <c r="O1245" s="8"/>
      <c r="P1245" s="8"/>
      <c r="Q1245" s="23"/>
      <c r="R1245" s="113"/>
      <c r="S1245" s="113"/>
      <c r="T1245" s="113"/>
      <c r="U1245" s="113"/>
      <c r="V1245" s="113"/>
      <c r="W1245" s="113"/>
      <c r="X1245" s="5">
        <f>SUM(R1245:W1245)</f>
        <v>0</v>
      </c>
      <c r="Y1245" s="302"/>
      <c r="Z1245" s="5"/>
      <c r="AA1245" s="94"/>
      <c r="AB1245" s="311">
        <f t="shared" si="194"/>
        <v>0</v>
      </c>
      <c r="AC1245" s="296"/>
      <c r="AD1245" s="113"/>
      <c r="AE1245" s="5"/>
      <c r="AF1245" s="5"/>
      <c r="AG1245" s="5"/>
      <c r="AH1245" s="5"/>
      <c r="AI1245" s="5"/>
      <c r="AJ1245" s="5"/>
      <c r="AK1245" s="141"/>
      <c r="AL1245" s="94"/>
      <c r="AM1245" s="128"/>
      <c r="AN1245" s="180"/>
      <c r="AO1245" s="128"/>
      <c r="AP1245" s="184"/>
      <c r="AQ1245" s="128"/>
      <c r="AR1245" s="184"/>
      <c r="AS1245" s="128"/>
      <c r="AT1245" s="184"/>
      <c r="AU1245" s="128"/>
      <c r="AV1245" s="184"/>
      <c r="AW1245" s="128"/>
      <c r="AX1245" s="184"/>
      <c r="AY1245" s="111"/>
      <c r="AZ1245" s="178"/>
      <c r="BC1245" s="47"/>
      <c r="BD1245" s="47"/>
      <c r="BF1245" s="113"/>
      <c r="BG1245" s="113"/>
      <c r="BH1245" s="113"/>
      <c r="BI1245" s="113"/>
      <c r="BJ1245" s="113"/>
      <c r="BK1245" s="113"/>
      <c r="BL1245" s="5">
        <f t="shared" si="193"/>
        <v>0</v>
      </c>
    </row>
    <row r="1246" spans="1:64" s="2" customFormat="1" ht="25.5" customHeight="1" outlineLevel="1" x14ac:dyDescent="0.2">
      <c r="A1246" s="593" t="s">
        <v>646</v>
      </c>
      <c r="B1246" s="600" t="s">
        <v>633</v>
      </c>
      <c r="C1246" s="7" t="s">
        <v>648</v>
      </c>
      <c r="D1246" s="8" t="s">
        <v>145</v>
      </c>
      <c r="E1246" s="23" t="s">
        <v>1241</v>
      </c>
      <c r="F1246" s="8">
        <v>2013</v>
      </c>
      <c r="G1246" s="8">
        <v>2015</v>
      </c>
      <c r="H1246" s="5">
        <v>1.9915054237288139</v>
      </c>
      <c r="I1246" s="5">
        <v>0.01</v>
      </c>
      <c r="J1246" s="5">
        <f>R1246</f>
        <v>0.01</v>
      </c>
      <c r="K1246" s="8"/>
      <c r="L1246" s="23" t="s">
        <v>1241</v>
      </c>
      <c r="M1246" s="8"/>
      <c r="N1246" s="8"/>
      <c r="O1246" s="8"/>
      <c r="P1246" s="8"/>
      <c r="Q1246" s="23" t="s">
        <v>1241</v>
      </c>
      <c r="R1246" s="113">
        <v>0.01</v>
      </c>
      <c r="S1246" s="113"/>
      <c r="T1246" s="113"/>
      <c r="U1246" s="113"/>
      <c r="V1246" s="113"/>
      <c r="W1246" s="113"/>
      <c r="X1246" s="5">
        <f t="shared" si="191"/>
        <v>0.01</v>
      </c>
      <c r="Y1246" s="302">
        <f>H1246-H1247-H1248</f>
        <v>0</v>
      </c>
      <c r="Z1246" s="5">
        <f>I1246-I1247-I1248</f>
        <v>0</v>
      </c>
      <c r="AA1246" s="94">
        <f>J1246-J1247-J1248</f>
        <v>0</v>
      </c>
      <c r="AB1246" s="311">
        <f t="shared" si="194"/>
        <v>0</v>
      </c>
      <c r="AC1246" s="296"/>
      <c r="AD1246" s="113"/>
      <c r="AE1246" s="5"/>
      <c r="AF1246" s="5"/>
      <c r="AG1246" s="5">
        <f>H1246</f>
        <v>1.9915054237288139</v>
      </c>
      <c r="AH1246" s="5"/>
      <c r="AI1246" s="5"/>
      <c r="AJ1246" s="5"/>
      <c r="AK1246" s="141"/>
      <c r="AL1246" s="94">
        <f>SUM(AF1246:AK1246)</f>
        <v>1.9915054237288139</v>
      </c>
      <c r="AM1246" s="128"/>
      <c r="AN1246" s="180"/>
      <c r="AO1246" s="128">
        <v>0</v>
      </c>
      <c r="AP1246" s="184">
        <v>0</v>
      </c>
      <c r="AQ1246" s="128"/>
      <c r="AR1246" s="184"/>
      <c r="AS1246" s="128"/>
      <c r="AT1246" s="184"/>
      <c r="AU1246" s="128"/>
      <c r="AV1246" s="184"/>
      <c r="AW1246" s="128"/>
      <c r="AX1246" s="184"/>
      <c r="AY1246" s="111">
        <f>AM1246+AO1246+AQ1246+AS1246+AU1246+AW1246</f>
        <v>0</v>
      </c>
      <c r="AZ1246" s="178">
        <f>AN1246+AP1246+AR1246+AT1246+AV1246+AX1246</f>
        <v>0</v>
      </c>
      <c r="BC1246" s="47"/>
      <c r="BD1246" s="47"/>
      <c r="BF1246" s="113">
        <v>0.01</v>
      </c>
      <c r="BG1246" s="113"/>
      <c r="BH1246" s="113"/>
      <c r="BI1246" s="113"/>
      <c r="BJ1246" s="113"/>
      <c r="BK1246" s="113"/>
      <c r="BL1246" s="5">
        <f t="shared" si="193"/>
        <v>0.01</v>
      </c>
    </row>
    <row r="1247" spans="1:64" s="2" customFormat="1" ht="14.1" customHeight="1" outlineLevel="1" x14ac:dyDescent="0.2">
      <c r="A1247" s="594"/>
      <c r="B1247" s="601"/>
      <c r="C1247" s="7" t="s">
        <v>1553</v>
      </c>
      <c r="D1247" s="8"/>
      <c r="E1247" s="23"/>
      <c r="F1247" s="8"/>
      <c r="G1247" s="8"/>
      <c r="H1247" s="5"/>
      <c r="I1247" s="5"/>
      <c r="J1247" s="5"/>
      <c r="K1247" s="8"/>
      <c r="L1247" s="23"/>
      <c r="M1247" s="8"/>
      <c r="N1247" s="8"/>
      <c r="O1247" s="8"/>
      <c r="P1247" s="8"/>
      <c r="Q1247" s="23"/>
      <c r="R1247" s="113"/>
      <c r="S1247" s="113"/>
      <c r="T1247" s="113"/>
      <c r="U1247" s="113"/>
      <c r="V1247" s="113"/>
      <c r="W1247" s="113"/>
      <c r="X1247" s="5">
        <f t="shared" si="191"/>
        <v>0</v>
      </c>
      <c r="Y1247" s="302"/>
      <c r="Z1247" s="5"/>
      <c r="AA1247" s="94"/>
      <c r="AB1247" s="311">
        <f t="shared" si="194"/>
        <v>0</v>
      </c>
      <c r="AC1247" s="296"/>
      <c r="AD1247" s="113"/>
      <c r="AE1247" s="5"/>
      <c r="AF1247" s="5"/>
      <c r="AG1247" s="5"/>
      <c r="AH1247" s="5"/>
      <c r="AI1247" s="5"/>
      <c r="AJ1247" s="5"/>
      <c r="AK1247" s="141"/>
      <c r="AL1247" s="94"/>
      <c r="AM1247" s="128"/>
      <c r="AN1247" s="180"/>
      <c r="AO1247" s="128"/>
      <c r="AP1247" s="184"/>
      <c r="AQ1247" s="128"/>
      <c r="AR1247" s="184"/>
      <c r="AS1247" s="128"/>
      <c r="AT1247" s="184"/>
      <c r="AU1247" s="128"/>
      <c r="AV1247" s="184"/>
      <c r="AW1247" s="128"/>
      <c r="AX1247" s="184"/>
      <c r="AY1247" s="111"/>
      <c r="AZ1247" s="178"/>
      <c r="BC1247" s="47"/>
      <c r="BD1247" s="47"/>
      <c r="BF1247" s="113"/>
      <c r="BG1247" s="113"/>
      <c r="BH1247" s="113"/>
      <c r="BI1247" s="113"/>
      <c r="BJ1247" s="113"/>
      <c r="BK1247" s="113"/>
      <c r="BL1247" s="5">
        <f t="shared" si="193"/>
        <v>0</v>
      </c>
    </row>
    <row r="1248" spans="1:64" s="2" customFormat="1" ht="14.1" customHeight="1" outlineLevel="1" x14ac:dyDescent="0.2">
      <c r="A1248" s="595"/>
      <c r="B1248" s="602"/>
      <c r="C1248" s="7" t="s">
        <v>1554</v>
      </c>
      <c r="D1248" s="8"/>
      <c r="E1248" s="23"/>
      <c r="F1248" s="8"/>
      <c r="G1248" s="8"/>
      <c r="H1248" s="5">
        <v>1.9915054237288139</v>
      </c>
      <c r="I1248" s="5">
        <f>I1246</f>
        <v>0.01</v>
      </c>
      <c r="J1248" s="5">
        <v>0.01</v>
      </c>
      <c r="K1248" s="23"/>
      <c r="L1248" s="8"/>
      <c r="M1248" s="8"/>
      <c r="N1248" s="8"/>
      <c r="O1248" s="8"/>
      <c r="P1248" s="8"/>
      <c r="Q1248" s="23"/>
      <c r="R1248" s="113"/>
      <c r="S1248" s="113"/>
      <c r="T1248" s="113"/>
      <c r="U1248" s="113"/>
      <c r="V1248" s="113"/>
      <c r="W1248" s="113"/>
      <c r="X1248" s="5">
        <f t="shared" si="191"/>
        <v>0</v>
      </c>
      <c r="Y1248" s="302"/>
      <c r="Z1248" s="5"/>
      <c r="AA1248" s="94"/>
      <c r="AB1248" s="311">
        <f t="shared" si="194"/>
        <v>0.01</v>
      </c>
      <c r="AC1248" s="296"/>
      <c r="AD1248" s="113"/>
      <c r="AE1248" s="5"/>
      <c r="AF1248" s="5"/>
      <c r="AG1248" s="5"/>
      <c r="AH1248" s="5"/>
      <c r="AI1248" s="5"/>
      <c r="AJ1248" s="5"/>
      <c r="AK1248" s="141"/>
      <c r="AL1248" s="94"/>
      <c r="AM1248" s="128"/>
      <c r="AN1248" s="180"/>
      <c r="AO1248" s="128"/>
      <c r="AP1248" s="184"/>
      <c r="AQ1248" s="128"/>
      <c r="AR1248" s="184"/>
      <c r="AS1248" s="128"/>
      <c r="AT1248" s="184"/>
      <c r="AU1248" s="128"/>
      <c r="AV1248" s="184"/>
      <c r="AW1248" s="128"/>
      <c r="AX1248" s="184"/>
      <c r="AY1248" s="111"/>
      <c r="AZ1248" s="178"/>
      <c r="BC1248" s="47"/>
      <c r="BD1248" s="47"/>
      <c r="BF1248" s="113"/>
      <c r="BG1248" s="113"/>
      <c r="BH1248" s="113"/>
      <c r="BI1248" s="113"/>
      <c r="BJ1248" s="113"/>
      <c r="BK1248" s="113"/>
      <c r="BL1248" s="5">
        <f t="shared" si="193"/>
        <v>0</v>
      </c>
    </row>
    <row r="1249" spans="1:64" s="2" customFormat="1" ht="25.5" customHeight="1" outlineLevel="1" x14ac:dyDescent="0.2">
      <c r="A1249" s="593" t="s">
        <v>649</v>
      </c>
      <c r="B1249" s="600" t="s">
        <v>634</v>
      </c>
      <c r="C1249" s="7" t="s">
        <v>651</v>
      </c>
      <c r="D1249" s="8" t="s">
        <v>145</v>
      </c>
      <c r="E1249" s="23" t="s">
        <v>1241</v>
      </c>
      <c r="F1249" s="8">
        <v>2013</v>
      </c>
      <c r="G1249" s="8">
        <v>2015</v>
      </c>
      <c r="H1249" s="5">
        <v>1.0169291525423729</v>
      </c>
      <c r="I1249" s="5">
        <v>0.01</v>
      </c>
      <c r="J1249" s="5">
        <f>R1249</f>
        <v>0.01</v>
      </c>
      <c r="K1249" s="8"/>
      <c r="L1249" s="23" t="s">
        <v>1241</v>
      </c>
      <c r="M1249" s="8"/>
      <c r="N1249" s="8"/>
      <c r="O1249" s="8"/>
      <c r="P1249" s="8"/>
      <c r="Q1249" s="23" t="s">
        <v>1241</v>
      </c>
      <c r="R1249" s="113">
        <v>0.01</v>
      </c>
      <c r="S1249" s="113"/>
      <c r="T1249" s="113"/>
      <c r="U1249" s="113"/>
      <c r="V1249" s="113"/>
      <c r="W1249" s="113"/>
      <c r="X1249" s="5">
        <f t="shared" si="191"/>
        <v>0.01</v>
      </c>
      <c r="Y1249" s="302">
        <f>H1249-H1250-H1251</f>
        <v>0</v>
      </c>
      <c r="Z1249" s="5">
        <f>I1249-I1250-I1251</f>
        <v>0</v>
      </c>
      <c r="AA1249" s="94">
        <f>J1249-J1250-J1251</f>
        <v>0</v>
      </c>
      <c r="AB1249" s="311">
        <f t="shared" si="194"/>
        <v>0</v>
      </c>
      <c r="AC1249" s="296"/>
      <c r="AD1249" s="113"/>
      <c r="AE1249" s="5"/>
      <c r="AF1249" s="5"/>
      <c r="AG1249" s="5">
        <f>H1249</f>
        <v>1.0169291525423729</v>
      </c>
      <c r="AH1249" s="5"/>
      <c r="AI1249" s="5"/>
      <c r="AJ1249" s="5"/>
      <c r="AK1249" s="141"/>
      <c r="AL1249" s="94">
        <f>SUM(AF1249:AK1249)</f>
        <v>1.0169291525423729</v>
      </c>
      <c r="AM1249" s="128"/>
      <c r="AN1249" s="180"/>
      <c r="AO1249" s="128">
        <v>0</v>
      </c>
      <c r="AP1249" s="184">
        <v>0</v>
      </c>
      <c r="AQ1249" s="128"/>
      <c r="AR1249" s="184"/>
      <c r="AS1249" s="128"/>
      <c r="AT1249" s="184"/>
      <c r="AU1249" s="128"/>
      <c r="AV1249" s="184"/>
      <c r="AW1249" s="128"/>
      <c r="AX1249" s="184"/>
      <c r="AY1249" s="111">
        <f>AM1249+AO1249+AQ1249+AS1249+AU1249+AW1249</f>
        <v>0</v>
      </c>
      <c r="AZ1249" s="178">
        <f>AN1249+AP1249+AR1249+AT1249+AV1249+AX1249</f>
        <v>0</v>
      </c>
      <c r="BC1249" s="47"/>
      <c r="BD1249" s="47"/>
      <c r="BF1249" s="113">
        <v>0.01</v>
      </c>
      <c r="BG1249" s="113"/>
      <c r="BH1249" s="113"/>
      <c r="BI1249" s="113"/>
      <c r="BJ1249" s="113"/>
      <c r="BK1249" s="113"/>
      <c r="BL1249" s="5">
        <f t="shared" si="193"/>
        <v>0.01</v>
      </c>
    </row>
    <row r="1250" spans="1:64" s="2" customFormat="1" ht="14.1" customHeight="1" outlineLevel="1" x14ac:dyDescent="0.2">
      <c r="A1250" s="594"/>
      <c r="B1250" s="601"/>
      <c r="C1250" s="7" t="s">
        <v>1553</v>
      </c>
      <c r="D1250" s="8"/>
      <c r="E1250" s="23"/>
      <c r="F1250" s="8"/>
      <c r="G1250" s="8"/>
      <c r="H1250" s="5"/>
      <c r="I1250" s="5"/>
      <c r="J1250" s="5"/>
      <c r="K1250" s="8"/>
      <c r="L1250" s="23"/>
      <c r="M1250" s="8"/>
      <c r="N1250" s="8"/>
      <c r="O1250" s="8"/>
      <c r="P1250" s="8"/>
      <c r="Q1250" s="23"/>
      <c r="R1250" s="113"/>
      <c r="S1250" s="113"/>
      <c r="T1250" s="113"/>
      <c r="U1250" s="113"/>
      <c r="V1250" s="113"/>
      <c r="W1250" s="113"/>
      <c r="X1250" s="5">
        <f>SUM(R1250:W1250)</f>
        <v>0</v>
      </c>
      <c r="Y1250" s="302"/>
      <c r="Z1250" s="5"/>
      <c r="AA1250" s="94"/>
      <c r="AB1250" s="311">
        <f t="shared" si="194"/>
        <v>0</v>
      </c>
      <c r="AC1250" s="296"/>
      <c r="AD1250" s="113"/>
      <c r="AE1250" s="5"/>
      <c r="AF1250" s="5"/>
      <c r="AG1250" s="5"/>
      <c r="AH1250" s="5"/>
      <c r="AI1250" s="5"/>
      <c r="AJ1250" s="5"/>
      <c r="AK1250" s="141"/>
      <c r="AL1250" s="94"/>
      <c r="AM1250" s="128"/>
      <c r="AN1250" s="180"/>
      <c r="AO1250" s="128"/>
      <c r="AP1250" s="184"/>
      <c r="AQ1250" s="128"/>
      <c r="AR1250" s="184"/>
      <c r="AS1250" s="128"/>
      <c r="AT1250" s="184"/>
      <c r="AU1250" s="128"/>
      <c r="AV1250" s="184"/>
      <c r="AW1250" s="128"/>
      <c r="AX1250" s="184"/>
      <c r="AY1250" s="111"/>
      <c r="AZ1250" s="178"/>
      <c r="BC1250" s="47"/>
      <c r="BD1250" s="47"/>
      <c r="BF1250" s="113"/>
      <c r="BG1250" s="113"/>
      <c r="BH1250" s="113"/>
      <c r="BI1250" s="113"/>
      <c r="BJ1250" s="113"/>
      <c r="BK1250" s="113"/>
      <c r="BL1250" s="5">
        <f t="shared" si="193"/>
        <v>0</v>
      </c>
    </row>
    <row r="1251" spans="1:64" s="2" customFormat="1" ht="14.1" customHeight="1" outlineLevel="1" x14ac:dyDescent="0.2">
      <c r="A1251" s="595"/>
      <c r="B1251" s="602"/>
      <c r="C1251" s="7" t="s">
        <v>1554</v>
      </c>
      <c r="D1251" s="8"/>
      <c r="E1251" s="23"/>
      <c r="F1251" s="8"/>
      <c r="G1251" s="8"/>
      <c r="H1251" s="5">
        <v>1.0169291525423729</v>
      </c>
      <c r="I1251" s="5">
        <f>I1249</f>
        <v>0.01</v>
      </c>
      <c r="J1251" s="5">
        <v>0.01</v>
      </c>
      <c r="K1251" s="23"/>
      <c r="L1251" s="8"/>
      <c r="M1251" s="8"/>
      <c r="N1251" s="8"/>
      <c r="O1251" s="8"/>
      <c r="P1251" s="8"/>
      <c r="Q1251" s="23"/>
      <c r="R1251" s="113"/>
      <c r="S1251" s="113"/>
      <c r="T1251" s="113"/>
      <c r="U1251" s="113"/>
      <c r="V1251" s="113"/>
      <c r="W1251" s="113"/>
      <c r="X1251" s="5">
        <f>SUM(R1251:W1251)</f>
        <v>0</v>
      </c>
      <c r="Y1251" s="302"/>
      <c r="Z1251" s="5"/>
      <c r="AA1251" s="94"/>
      <c r="AB1251" s="311">
        <f t="shared" si="194"/>
        <v>0.01</v>
      </c>
      <c r="AC1251" s="296"/>
      <c r="AD1251" s="113"/>
      <c r="AE1251" s="5"/>
      <c r="AF1251" s="5"/>
      <c r="AG1251" s="5"/>
      <c r="AH1251" s="5"/>
      <c r="AI1251" s="5"/>
      <c r="AJ1251" s="5"/>
      <c r="AK1251" s="141"/>
      <c r="AL1251" s="94"/>
      <c r="AM1251" s="128"/>
      <c r="AN1251" s="180"/>
      <c r="AO1251" s="128"/>
      <c r="AP1251" s="184"/>
      <c r="AQ1251" s="128"/>
      <c r="AR1251" s="184"/>
      <c r="AS1251" s="128"/>
      <c r="AT1251" s="184"/>
      <c r="AU1251" s="128"/>
      <c r="AV1251" s="184"/>
      <c r="AW1251" s="128"/>
      <c r="AX1251" s="184"/>
      <c r="AY1251" s="111"/>
      <c r="AZ1251" s="178"/>
      <c r="BC1251" s="47"/>
      <c r="BD1251" s="47"/>
      <c r="BF1251" s="113"/>
      <c r="BG1251" s="113"/>
      <c r="BH1251" s="113"/>
      <c r="BI1251" s="113"/>
      <c r="BJ1251" s="113"/>
      <c r="BK1251" s="113"/>
      <c r="BL1251" s="5">
        <f t="shared" si="193"/>
        <v>0</v>
      </c>
    </row>
    <row r="1252" spans="1:64" s="2" customFormat="1" ht="51" outlineLevel="1" x14ac:dyDescent="0.2">
      <c r="A1252" s="593" t="s">
        <v>652</v>
      </c>
      <c r="B1252" s="600" t="s">
        <v>635</v>
      </c>
      <c r="C1252" s="7" t="s">
        <v>1401</v>
      </c>
      <c r="D1252" s="8" t="s">
        <v>145</v>
      </c>
      <c r="E1252" s="23" t="s">
        <v>361</v>
      </c>
      <c r="F1252" s="8">
        <v>2013</v>
      </c>
      <c r="G1252" s="8">
        <v>2014</v>
      </c>
      <c r="H1252" s="5">
        <v>0.15548000000000001</v>
      </c>
      <c r="I1252" s="5">
        <v>0.01</v>
      </c>
      <c r="J1252" s="5">
        <f>R1252</f>
        <v>0.01</v>
      </c>
      <c r="K1252" s="23" t="s">
        <v>361</v>
      </c>
      <c r="L1252" s="8"/>
      <c r="M1252" s="8"/>
      <c r="N1252" s="8"/>
      <c r="O1252" s="8"/>
      <c r="P1252" s="8"/>
      <c r="Q1252" s="23" t="s">
        <v>361</v>
      </c>
      <c r="R1252" s="113">
        <v>0.01</v>
      </c>
      <c r="S1252" s="113"/>
      <c r="T1252" s="113"/>
      <c r="U1252" s="113"/>
      <c r="V1252" s="113"/>
      <c r="W1252" s="113"/>
      <c r="X1252" s="5">
        <f t="shared" si="191"/>
        <v>0.01</v>
      </c>
      <c r="Y1252" s="302">
        <f>H1252-H1253-H1254</f>
        <v>0</v>
      </c>
      <c r="Z1252" s="5">
        <f>I1252-I1253-I1254</f>
        <v>0</v>
      </c>
      <c r="AA1252" s="94">
        <f>J1252-J1253-J1254</f>
        <v>0</v>
      </c>
      <c r="AB1252" s="311">
        <f t="shared" si="194"/>
        <v>0</v>
      </c>
      <c r="AC1252" s="296"/>
      <c r="AD1252" s="113"/>
      <c r="AE1252" s="5"/>
      <c r="AF1252" s="5">
        <f>H1252</f>
        <v>0.15548000000000001</v>
      </c>
      <c r="AG1252" s="5"/>
      <c r="AH1252" s="5"/>
      <c r="AI1252" s="5"/>
      <c r="AJ1252" s="5"/>
      <c r="AK1252" s="141"/>
      <c r="AL1252" s="94">
        <f>SUM(AF1252:AK1252)</f>
        <v>0.15548000000000001</v>
      </c>
      <c r="AM1252" s="128">
        <v>0.12</v>
      </c>
      <c r="AN1252" s="180">
        <v>0</v>
      </c>
      <c r="AO1252" s="128"/>
      <c r="AP1252" s="184"/>
      <c r="AQ1252" s="128"/>
      <c r="AR1252" s="184"/>
      <c r="AS1252" s="128"/>
      <c r="AT1252" s="184"/>
      <c r="AU1252" s="128"/>
      <c r="AV1252" s="184"/>
      <c r="AW1252" s="128"/>
      <c r="AX1252" s="184"/>
      <c r="AY1252" s="111">
        <f>AM1252+AO1252+AQ1252+AS1252+AU1252+AW1252</f>
        <v>0.12</v>
      </c>
      <c r="AZ1252" s="178">
        <f>AN1252+AP1252+AR1252+AT1252+AV1252+AX1252</f>
        <v>0</v>
      </c>
      <c r="BC1252" s="47"/>
      <c r="BD1252" s="47"/>
      <c r="BF1252" s="113">
        <v>0.01</v>
      </c>
      <c r="BG1252" s="113"/>
      <c r="BH1252" s="113"/>
      <c r="BI1252" s="113"/>
      <c r="BJ1252" s="113"/>
      <c r="BK1252" s="113"/>
      <c r="BL1252" s="5">
        <f t="shared" si="193"/>
        <v>0.01</v>
      </c>
    </row>
    <row r="1253" spans="1:64" s="2" customFormat="1" ht="15.75" customHeight="1" outlineLevel="1" x14ac:dyDescent="0.2">
      <c r="A1253" s="594"/>
      <c r="B1253" s="601"/>
      <c r="C1253" s="7" t="s">
        <v>1553</v>
      </c>
      <c r="D1253" s="8"/>
      <c r="E1253" s="23"/>
      <c r="F1253" s="8"/>
      <c r="G1253" s="8"/>
      <c r="H1253" s="5">
        <v>0.15548000000000001</v>
      </c>
      <c r="I1253" s="5">
        <f>I1252</f>
        <v>0.01</v>
      </c>
      <c r="J1253" s="5">
        <v>0.01</v>
      </c>
      <c r="K1253" s="8"/>
      <c r="L1253" s="23"/>
      <c r="M1253" s="8"/>
      <c r="N1253" s="8"/>
      <c r="O1253" s="8"/>
      <c r="P1253" s="8"/>
      <c r="Q1253" s="23"/>
      <c r="R1253" s="113"/>
      <c r="S1253" s="113"/>
      <c r="T1253" s="113"/>
      <c r="U1253" s="113"/>
      <c r="V1253" s="113"/>
      <c r="W1253" s="113"/>
      <c r="X1253" s="5">
        <f t="shared" si="191"/>
        <v>0</v>
      </c>
      <c r="Y1253" s="302"/>
      <c r="Z1253" s="5"/>
      <c r="AA1253" s="94"/>
      <c r="AB1253" s="311">
        <f t="shared" si="194"/>
        <v>0.01</v>
      </c>
      <c r="AC1253" s="296"/>
      <c r="AD1253" s="113"/>
      <c r="AE1253" s="5"/>
      <c r="AF1253" s="5"/>
      <c r="AG1253" s="5"/>
      <c r="AH1253" s="5"/>
      <c r="AI1253" s="5"/>
      <c r="AJ1253" s="5"/>
      <c r="AK1253" s="141"/>
      <c r="AL1253" s="94"/>
      <c r="AM1253" s="128"/>
      <c r="AN1253" s="180"/>
      <c r="AO1253" s="128"/>
      <c r="AP1253" s="184"/>
      <c r="AQ1253" s="128"/>
      <c r="AR1253" s="184"/>
      <c r="AS1253" s="128"/>
      <c r="AT1253" s="184"/>
      <c r="AU1253" s="128"/>
      <c r="AV1253" s="184"/>
      <c r="AW1253" s="128"/>
      <c r="AX1253" s="184"/>
      <c r="AY1253" s="111"/>
      <c r="AZ1253" s="178"/>
      <c r="BC1253" s="47"/>
      <c r="BD1253" s="47"/>
      <c r="BF1253" s="113"/>
      <c r="BG1253" s="113"/>
      <c r="BH1253" s="113"/>
      <c r="BI1253" s="113"/>
      <c r="BJ1253" s="113"/>
      <c r="BK1253" s="113"/>
      <c r="BL1253" s="5">
        <f t="shared" si="193"/>
        <v>0</v>
      </c>
    </row>
    <row r="1254" spans="1:64" s="2" customFormat="1" ht="15.75" customHeight="1" outlineLevel="1" x14ac:dyDescent="0.2">
      <c r="A1254" s="595"/>
      <c r="B1254" s="602"/>
      <c r="C1254" s="7" t="s">
        <v>1554</v>
      </c>
      <c r="D1254" s="8"/>
      <c r="E1254" s="23"/>
      <c r="F1254" s="8"/>
      <c r="G1254" s="8"/>
      <c r="H1254" s="5"/>
      <c r="I1254" s="5"/>
      <c r="J1254" s="5"/>
      <c r="K1254" s="23"/>
      <c r="L1254" s="8"/>
      <c r="M1254" s="8"/>
      <c r="N1254" s="8"/>
      <c r="O1254" s="8"/>
      <c r="P1254" s="8"/>
      <c r="Q1254" s="23"/>
      <c r="R1254" s="113"/>
      <c r="S1254" s="113"/>
      <c r="T1254" s="113"/>
      <c r="U1254" s="113"/>
      <c r="V1254" s="113"/>
      <c r="W1254" s="113"/>
      <c r="X1254" s="5">
        <f t="shared" si="191"/>
        <v>0</v>
      </c>
      <c r="Y1254" s="302"/>
      <c r="Z1254" s="5"/>
      <c r="AA1254" s="94"/>
      <c r="AB1254" s="311">
        <f t="shared" si="194"/>
        <v>0</v>
      </c>
      <c r="AC1254" s="296"/>
      <c r="AD1254" s="113"/>
      <c r="AE1254" s="5"/>
      <c r="AF1254" s="5"/>
      <c r="AG1254" s="5"/>
      <c r="AH1254" s="5"/>
      <c r="AI1254" s="5"/>
      <c r="AJ1254" s="5"/>
      <c r="AK1254" s="141"/>
      <c r="AL1254" s="94"/>
      <c r="AM1254" s="128"/>
      <c r="AN1254" s="180"/>
      <c r="AO1254" s="128"/>
      <c r="AP1254" s="184"/>
      <c r="AQ1254" s="128"/>
      <c r="AR1254" s="184"/>
      <c r="AS1254" s="128"/>
      <c r="AT1254" s="184"/>
      <c r="AU1254" s="128"/>
      <c r="AV1254" s="184"/>
      <c r="AW1254" s="128"/>
      <c r="AX1254" s="184"/>
      <c r="AY1254" s="111"/>
      <c r="AZ1254" s="178"/>
      <c r="BC1254" s="47"/>
      <c r="BD1254" s="47"/>
      <c r="BF1254" s="113"/>
      <c r="BG1254" s="113"/>
      <c r="BH1254" s="113"/>
      <c r="BI1254" s="113"/>
      <c r="BJ1254" s="113"/>
      <c r="BK1254" s="113"/>
      <c r="BL1254" s="5">
        <f t="shared" si="193"/>
        <v>0</v>
      </c>
    </row>
    <row r="1255" spans="1:64" s="2" customFormat="1" ht="38.25" outlineLevel="1" x14ac:dyDescent="0.2">
      <c r="A1255" s="593" t="s">
        <v>654</v>
      </c>
      <c r="B1255" s="600" t="s">
        <v>637</v>
      </c>
      <c r="C1255" s="7" t="s">
        <v>656</v>
      </c>
      <c r="D1255" s="8" t="s">
        <v>145</v>
      </c>
      <c r="E1255" s="23" t="s">
        <v>1241</v>
      </c>
      <c r="F1255" s="8">
        <v>2013</v>
      </c>
      <c r="G1255" s="8">
        <v>2014</v>
      </c>
      <c r="H1255" s="5">
        <v>0.15548000000000001</v>
      </c>
      <c r="I1255" s="5">
        <v>0.01</v>
      </c>
      <c r="J1255" s="5">
        <f>R1255</f>
        <v>0.01</v>
      </c>
      <c r="K1255" s="23" t="s">
        <v>1241</v>
      </c>
      <c r="L1255" s="8"/>
      <c r="M1255" s="8"/>
      <c r="N1255" s="8"/>
      <c r="O1255" s="8"/>
      <c r="P1255" s="8"/>
      <c r="Q1255" s="23" t="s">
        <v>1241</v>
      </c>
      <c r="R1255" s="113">
        <v>0.01</v>
      </c>
      <c r="S1255" s="113"/>
      <c r="T1255" s="113"/>
      <c r="U1255" s="113"/>
      <c r="V1255" s="113"/>
      <c r="W1255" s="113"/>
      <c r="X1255" s="5">
        <f t="shared" si="191"/>
        <v>0.01</v>
      </c>
      <c r="Y1255" s="302">
        <f>H1255-H1256-H1257</f>
        <v>0</v>
      </c>
      <c r="Z1255" s="5">
        <f>I1255-I1256-I1257</f>
        <v>0</v>
      </c>
      <c r="AA1255" s="94">
        <f>J1255-J1256-J1257</f>
        <v>0</v>
      </c>
      <c r="AB1255" s="311">
        <f t="shared" si="194"/>
        <v>0</v>
      </c>
      <c r="AC1255" s="296"/>
      <c r="AD1255" s="113"/>
      <c r="AE1255" s="5"/>
      <c r="AF1255" s="5">
        <f>H1255</f>
        <v>0.15548000000000001</v>
      </c>
      <c r="AG1255" s="5"/>
      <c r="AH1255" s="5"/>
      <c r="AI1255" s="5"/>
      <c r="AJ1255" s="5"/>
      <c r="AK1255" s="141"/>
      <c r="AL1255" s="94">
        <f>SUM(AF1255:AK1255)</f>
        <v>0.15548000000000001</v>
      </c>
      <c r="AM1255" s="128">
        <v>0</v>
      </c>
      <c r="AN1255" s="180">
        <v>0</v>
      </c>
      <c r="AO1255" s="128"/>
      <c r="AP1255" s="184"/>
      <c r="AQ1255" s="128"/>
      <c r="AR1255" s="184"/>
      <c r="AS1255" s="128"/>
      <c r="AT1255" s="184"/>
      <c r="AU1255" s="128"/>
      <c r="AV1255" s="184"/>
      <c r="AW1255" s="128"/>
      <c r="AX1255" s="184"/>
      <c r="AY1255" s="111">
        <f>AM1255+AO1255+AQ1255+AS1255+AU1255+AW1255</f>
        <v>0</v>
      </c>
      <c r="AZ1255" s="178">
        <f>AN1255+AP1255+AR1255+AT1255+AV1255+AX1255</f>
        <v>0</v>
      </c>
      <c r="BC1255" s="47"/>
      <c r="BD1255" s="47"/>
      <c r="BF1255" s="113">
        <v>0.01</v>
      </c>
      <c r="BG1255" s="113"/>
      <c r="BH1255" s="113"/>
      <c r="BI1255" s="113"/>
      <c r="BJ1255" s="113"/>
      <c r="BK1255" s="113"/>
      <c r="BL1255" s="5">
        <f t="shared" si="193"/>
        <v>0.01</v>
      </c>
    </row>
    <row r="1256" spans="1:64" s="2" customFormat="1" ht="15.75" customHeight="1" outlineLevel="1" x14ac:dyDescent="0.2">
      <c r="A1256" s="594"/>
      <c r="B1256" s="601"/>
      <c r="C1256" s="7" t="s">
        <v>1553</v>
      </c>
      <c r="D1256" s="8"/>
      <c r="E1256" s="23"/>
      <c r="F1256" s="8"/>
      <c r="G1256" s="8"/>
      <c r="H1256" s="5"/>
      <c r="I1256" s="5"/>
      <c r="J1256" s="5"/>
      <c r="K1256" s="8"/>
      <c r="L1256" s="23"/>
      <c r="M1256" s="8"/>
      <c r="N1256" s="8"/>
      <c r="O1256" s="8"/>
      <c r="P1256" s="8"/>
      <c r="Q1256" s="23"/>
      <c r="R1256" s="113"/>
      <c r="S1256" s="113"/>
      <c r="T1256" s="113"/>
      <c r="U1256" s="113"/>
      <c r="V1256" s="113"/>
      <c r="W1256" s="113"/>
      <c r="X1256" s="5">
        <f>SUM(R1256:W1256)</f>
        <v>0</v>
      </c>
      <c r="Y1256" s="302"/>
      <c r="Z1256" s="5"/>
      <c r="AA1256" s="94"/>
      <c r="AB1256" s="311">
        <f t="shared" si="194"/>
        <v>0</v>
      </c>
      <c r="AC1256" s="296"/>
      <c r="AD1256" s="113"/>
      <c r="AE1256" s="5"/>
      <c r="AF1256" s="5"/>
      <c r="AG1256" s="5"/>
      <c r="AH1256" s="5"/>
      <c r="AI1256" s="5"/>
      <c r="AJ1256" s="5"/>
      <c r="AK1256" s="141"/>
      <c r="AL1256" s="94"/>
      <c r="AM1256" s="128"/>
      <c r="AN1256" s="180"/>
      <c r="AO1256" s="128"/>
      <c r="AP1256" s="184"/>
      <c r="AQ1256" s="128"/>
      <c r="AR1256" s="184"/>
      <c r="AS1256" s="128"/>
      <c r="AT1256" s="184"/>
      <c r="AU1256" s="128"/>
      <c r="AV1256" s="184"/>
      <c r="AW1256" s="128"/>
      <c r="AX1256" s="184"/>
      <c r="AY1256" s="111"/>
      <c r="AZ1256" s="178"/>
      <c r="BC1256" s="47"/>
      <c r="BD1256" s="47"/>
      <c r="BF1256" s="113"/>
      <c r="BG1256" s="113"/>
      <c r="BH1256" s="113"/>
      <c r="BI1256" s="113"/>
      <c r="BJ1256" s="113"/>
      <c r="BK1256" s="113"/>
      <c r="BL1256" s="5">
        <f t="shared" si="193"/>
        <v>0</v>
      </c>
    </row>
    <row r="1257" spans="1:64" s="2" customFormat="1" ht="15.75" customHeight="1" outlineLevel="1" x14ac:dyDescent="0.2">
      <c r="A1257" s="595"/>
      <c r="B1257" s="602"/>
      <c r="C1257" s="7" t="s">
        <v>1554</v>
      </c>
      <c r="D1257" s="8"/>
      <c r="E1257" s="23"/>
      <c r="F1257" s="8"/>
      <c r="G1257" s="8"/>
      <c r="H1257" s="5">
        <v>0.15548000000000001</v>
      </c>
      <c r="I1257" s="5">
        <f>I1255</f>
        <v>0.01</v>
      </c>
      <c r="J1257" s="5">
        <v>0.01</v>
      </c>
      <c r="K1257" s="23"/>
      <c r="L1257" s="8"/>
      <c r="M1257" s="8"/>
      <c r="N1257" s="8"/>
      <c r="O1257" s="8"/>
      <c r="P1257" s="8"/>
      <c r="Q1257" s="23"/>
      <c r="R1257" s="113"/>
      <c r="S1257" s="113"/>
      <c r="T1257" s="113"/>
      <c r="U1257" s="113"/>
      <c r="V1257" s="113"/>
      <c r="W1257" s="113"/>
      <c r="X1257" s="5">
        <f>SUM(R1257:W1257)</f>
        <v>0</v>
      </c>
      <c r="Y1257" s="302"/>
      <c r="Z1257" s="5"/>
      <c r="AA1257" s="94"/>
      <c r="AB1257" s="311">
        <f t="shared" si="194"/>
        <v>0.01</v>
      </c>
      <c r="AC1257" s="296"/>
      <c r="AD1257" s="113"/>
      <c r="AE1257" s="5"/>
      <c r="AF1257" s="5"/>
      <c r="AG1257" s="5"/>
      <c r="AH1257" s="5"/>
      <c r="AI1257" s="5"/>
      <c r="AJ1257" s="5"/>
      <c r="AK1257" s="141"/>
      <c r="AL1257" s="94"/>
      <c r="AM1257" s="128"/>
      <c r="AN1257" s="180"/>
      <c r="AO1257" s="128"/>
      <c r="AP1257" s="184"/>
      <c r="AQ1257" s="128"/>
      <c r="AR1257" s="184"/>
      <c r="AS1257" s="128"/>
      <c r="AT1257" s="184"/>
      <c r="AU1257" s="128"/>
      <c r="AV1257" s="184"/>
      <c r="AW1257" s="128"/>
      <c r="AX1257" s="184"/>
      <c r="AY1257" s="111"/>
      <c r="AZ1257" s="178"/>
      <c r="BC1257" s="47"/>
      <c r="BD1257" s="47"/>
      <c r="BF1257" s="113"/>
      <c r="BG1257" s="113"/>
      <c r="BH1257" s="113"/>
      <c r="BI1257" s="113"/>
      <c r="BJ1257" s="113"/>
      <c r="BK1257" s="113"/>
      <c r="BL1257" s="5">
        <f t="shared" si="193"/>
        <v>0</v>
      </c>
    </row>
    <row r="1258" spans="1:64" s="2" customFormat="1" ht="38.25" outlineLevel="1" x14ac:dyDescent="0.2">
      <c r="A1258" s="593" t="s">
        <v>657</v>
      </c>
      <c r="B1258" s="600" t="s">
        <v>640</v>
      </c>
      <c r="C1258" s="7" t="s">
        <v>659</v>
      </c>
      <c r="D1258" s="8" t="s">
        <v>145</v>
      </c>
      <c r="E1258" s="23" t="s">
        <v>1387</v>
      </c>
      <c r="F1258" s="8">
        <v>2013</v>
      </c>
      <c r="G1258" s="8">
        <v>2014</v>
      </c>
      <c r="H1258" s="5">
        <v>0.15548000000000001</v>
      </c>
      <c r="I1258" s="5">
        <v>0.03</v>
      </c>
      <c r="J1258" s="5">
        <f>R1258</f>
        <v>0.03</v>
      </c>
      <c r="K1258" s="23" t="s">
        <v>1387</v>
      </c>
      <c r="L1258" s="8"/>
      <c r="M1258" s="8"/>
      <c r="N1258" s="8"/>
      <c r="O1258" s="8"/>
      <c r="P1258" s="8"/>
      <c r="Q1258" s="23" t="s">
        <v>1387</v>
      </c>
      <c r="R1258" s="113">
        <v>0.03</v>
      </c>
      <c r="S1258" s="113"/>
      <c r="T1258" s="113"/>
      <c r="U1258" s="113"/>
      <c r="V1258" s="113"/>
      <c r="W1258" s="113"/>
      <c r="X1258" s="5">
        <f t="shared" si="191"/>
        <v>0.03</v>
      </c>
      <c r="Y1258" s="302">
        <f>H1258-H1259-H1260</f>
        <v>0</v>
      </c>
      <c r="Z1258" s="5">
        <f>I1258-I1259-I1260</f>
        <v>0</v>
      </c>
      <c r="AA1258" s="94">
        <f>J1258-J1259-J1260</f>
        <v>0</v>
      </c>
      <c r="AB1258" s="311">
        <f t="shared" si="194"/>
        <v>0</v>
      </c>
      <c r="AC1258" s="296"/>
      <c r="AD1258" s="113"/>
      <c r="AE1258" s="5"/>
      <c r="AF1258" s="5">
        <f>H1258</f>
        <v>0.15548000000000001</v>
      </c>
      <c r="AG1258" s="5"/>
      <c r="AH1258" s="5"/>
      <c r="AI1258" s="5"/>
      <c r="AJ1258" s="5"/>
      <c r="AK1258" s="141"/>
      <c r="AL1258" s="94">
        <f>SUM(AF1258:AK1258)</f>
        <v>0.15548000000000001</v>
      </c>
      <c r="AM1258" s="128">
        <v>0.5</v>
      </c>
      <c r="AN1258" s="180">
        <v>0</v>
      </c>
      <c r="AO1258" s="128"/>
      <c r="AP1258" s="184"/>
      <c r="AQ1258" s="128"/>
      <c r="AR1258" s="184"/>
      <c r="AS1258" s="128"/>
      <c r="AT1258" s="184"/>
      <c r="AU1258" s="128"/>
      <c r="AV1258" s="184"/>
      <c r="AW1258" s="128"/>
      <c r="AX1258" s="184"/>
      <c r="AY1258" s="111">
        <f>AM1258+AO1258+AQ1258+AS1258+AU1258+AW1258</f>
        <v>0.5</v>
      </c>
      <c r="AZ1258" s="178">
        <f>AN1258+AP1258+AR1258+AT1258+AV1258+AX1258</f>
        <v>0</v>
      </c>
      <c r="BC1258" s="47"/>
      <c r="BD1258" s="47"/>
      <c r="BF1258" s="113">
        <v>0.03</v>
      </c>
      <c r="BG1258" s="113"/>
      <c r="BH1258" s="113"/>
      <c r="BI1258" s="113"/>
      <c r="BJ1258" s="113"/>
      <c r="BK1258" s="113"/>
      <c r="BL1258" s="5">
        <f t="shared" si="193"/>
        <v>0.03</v>
      </c>
    </row>
    <row r="1259" spans="1:64" s="2" customFormat="1" ht="15.75" customHeight="1" outlineLevel="1" x14ac:dyDescent="0.2">
      <c r="A1259" s="594"/>
      <c r="B1259" s="601"/>
      <c r="C1259" s="7" t="s">
        <v>1553</v>
      </c>
      <c r="D1259" s="8"/>
      <c r="E1259" s="23"/>
      <c r="F1259" s="8"/>
      <c r="G1259" s="8"/>
      <c r="H1259" s="5"/>
      <c r="I1259" s="5"/>
      <c r="J1259" s="5"/>
      <c r="K1259" s="8"/>
      <c r="L1259" s="23"/>
      <c r="M1259" s="8"/>
      <c r="N1259" s="8"/>
      <c r="O1259" s="8"/>
      <c r="P1259" s="8"/>
      <c r="Q1259" s="23"/>
      <c r="R1259" s="113"/>
      <c r="S1259" s="113"/>
      <c r="T1259" s="113"/>
      <c r="U1259" s="113"/>
      <c r="V1259" s="113"/>
      <c r="W1259" s="113"/>
      <c r="X1259" s="5">
        <f t="shared" si="191"/>
        <v>0</v>
      </c>
      <c r="Y1259" s="302"/>
      <c r="Z1259" s="5"/>
      <c r="AA1259" s="94"/>
      <c r="AB1259" s="311">
        <f t="shared" si="194"/>
        <v>0</v>
      </c>
      <c r="AC1259" s="296"/>
      <c r="AD1259" s="113"/>
      <c r="AE1259" s="5"/>
      <c r="AF1259" s="5"/>
      <c r="AG1259" s="5"/>
      <c r="AH1259" s="5"/>
      <c r="AI1259" s="5"/>
      <c r="AJ1259" s="5"/>
      <c r="AK1259" s="141"/>
      <c r="AL1259" s="94"/>
      <c r="AM1259" s="128"/>
      <c r="AN1259" s="180"/>
      <c r="AO1259" s="128"/>
      <c r="AP1259" s="184"/>
      <c r="AQ1259" s="128"/>
      <c r="AR1259" s="184"/>
      <c r="AS1259" s="128"/>
      <c r="AT1259" s="184"/>
      <c r="AU1259" s="128"/>
      <c r="AV1259" s="184"/>
      <c r="AW1259" s="128"/>
      <c r="AX1259" s="184"/>
      <c r="AY1259" s="111"/>
      <c r="AZ1259" s="178"/>
      <c r="BC1259" s="47"/>
      <c r="BD1259" s="47"/>
      <c r="BF1259" s="113"/>
      <c r="BG1259" s="113"/>
      <c r="BH1259" s="113"/>
      <c r="BI1259" s="113"/>
      <c r="BJ1259" s="113"/>
      <c r="BK1259" s="113"/>
      <c r="BL1259" s="5">
        <f t="shared" si="193"/>
        <v>0</v>
      </c>
    </row>
    <row r="1260" spans="1:64" s="2" customFormat="1" ht="15.75" customHeight="1" outlineLevel="1" x14ac:dyDescent="0.2">
      <c r="A1260" s="595"/>
      <c r="B1260" s="602"/>
      <c r="C1260" s="7" t="s">
        <v>1554</v>
      </c>
      <c r="D1260" s="8"/>
      <c r="E1260" s="23"/>
      <c r="F1260" s="8"/>
      <c r="G1260" s="8"/>
      <c r="H1260" s="5">
        <v>0.15548000000000001</v>
      </c>
      <c r="I1260" s="5">
        <f>I1258</f>
        <v>0.03</v>
      </c>
      <c r="J1260" s="5">
        <v>0.03</v>
      </c>
      <c r="K1260" s="23"/>
      <c r="L1260" s="8"/>
      <c r="M1260" s="8"/>
      <c r="N1260" s="8"/>
      <c r="O1260" s="8"/>
      <c r="P1260" s="8"/>
      <c r="Q1260" s="23"/>
      <c r="R1260" s="113"/>
      <c r="S1260" s="113"/>
      <c r="T1260" s="113"/>
      <c r="U1260" s="113"/>
      <c r="V1260" s="113"/>
      <c r="W1260" s="113"/>
      <c r="X1260" s="5">
        <f t="shared" si="191"/>
        <v>0</v>
      </c>
      <c r="Y1260" s="302"/>
      <c r="Z1260" s="5"/>
      <c r="AA1260" s="94"/>
      <c r="AB1260" s="311">
        <f t="shared" si="194"/>
        <v>0.03</v>
      </c>
      <c r="AC1260" s="296"/>
      <c r="AD1260" s="113"/>
      <c r="AE1260" s="5"/>
      <c r="AF1260" s="5"/>
      <c r="AG1260" s="5"/>
      <c r="AH1260" s="5"/>
      <c r="AI1260" s="5"/>
      <c r="AJ1260" s="5"/>
      <c r="AK1260" s="141"/>
      <c r="AL1260" s="94"/>
      <c r="AM1260" s="128"/>
      <c r="AN1260" s="180"/>
      <c r="AO1260" s="128"/>
      <c r="AP1260" s="184"/>
      <c r="AQ1260" s="128"/>
      <c r="AR1260" s="184"/>
      <c r="AS1260" s="128"/>
      <c r="AT1260" s="184"/>
      <c r="AU1260" s="128"/>
      <c r="AV1260" s="184"/>
      <c r="AW1260" s="128"/>
      <c r="AX1260" s="184"/>
      <c r="AY1260" s="111"/>
      <c r="AZ1260" s="178"/>
      <c r="BC1260" s="47"/>
      <c r="BD1260" s="47"/>
      <c r="BF1260" s="113"/>
      <c r="BG1260" s="113"/>
      <c r="BH1260" s="113"/>
      <c r="BI1260" s="113"/>
      <c r="BJ1260" s="113"/>
      <c r="BK1260" s="113"/>
      <c r="BL1260" s="5">
        <f t="shared" si="193"/>
        <v>0</v>
      </c>
    </row>
    <row r="1261" spans="1:64" s="2" customFormat="1" ht="38.25" customHeight="1" outlineLevel="1" x14ac:dyDescent="0.2">
      <c r="A1261" s="593" t="s">
        <v>660</v>
      </c>
      <c r="B1261" s="600" t="s">
        <v>642</v>
      </c>
      <c r="C1261" s="7" t="s">
        <v>478</v>
      </c>
      <c r="D1261" s="8" t="s">
        <v>145</v>
      </c>
      <c r="E1261" s="23" t="s">
        <v>343</v>
      </c>
      <c r="F1261" s="8">
        <v>2013</v>
      </c>
      <c r="G1261" s="8">
        <v>2015</v>
      </c>
      <c r="H1261" s="5">
        <v>1.4885393220338985</v>
      </c>
      <c r="I1261" s="5">
        <v>0.01</v>
      </c>
      <c r="J1261" s="5">
        <f>R1264</f>
        <v>0.01</v>
      </c>
      <c r="K1261" s="8"/>
      <c r="L1261" s="23" t="s">
        <v>343</v>
      </c>
      <c r="M1261" s="8"/>
      <c r="N1261" s="8"/>
      <c r="O1261" s="8"/>
      <c r="P1261" s="8"/>
      <c r="Q1261" s="23" t="s">
        <v>343</v>
      </c>
      <c r="R1261" s="113">
        <v>0.01</v>
      </c>
      <c r="S1261" s="113"/>
      <c r="T1261" s="113"/>
      <c r="U1261" s="113"/>
      <c r="V1261" s="113"/>
      <c r="W1261" s="113"/>
      <c r="X1261" s="5">
        <f t="shared" si="191"/>
        <v>0.01</v>
      </c>
      <c r="Y1261" s="302">
        <f>H1261-H1262-H1263</f>
        <v>0</v>
      </c>
      <c r="Z1261" s="5">
        <f>I1261-I1262-I1263</f>
        <v>0</v>
      </c>
      <c r="AA1261" s="94">
        <f>J1261-J1262-J1263</f>
        <v>0</v>
      </c>
      <c r="AB1261" s="311">
        <f t="shared" si="194"/>
        <v>0</v>
      </c>
      <c r="AC1261" s="296"/>
      <c r="AD1261" s="113"/>
      <c r="AE1261" s="5"/>
      <c r="AF1261" s="5"/>
      <c r="AG1261" s="5">
        <f>H1261</f>
        <v>1.4885393220338985</v>
      </c>
      <c r="AH1261" s="5"/>
      <c r="AI1261" s="5"/>
      <c r="AJ1261" s="5"/>
      <c r="AK1261" s="141"/>
      <c r="AL1261" s="94">
        <f>SUM(AF1261:AK1261)</f>
        <v>1.4885393220338985</v>
      </c>
      <c r="AM1261" s="128"/>
      <c r="AN1261" s="180"/>
      <c r="AO1261" s="128">
        <v>0.4</v>
      </c>
      <c r="AP1261" s="184">
        <v>0</v>
      </c>
      <c r="AQ1261" s="128"/>
      <c r="AR1261" s="184"/>
      <c r="AS1261" s="128"/>
      <c r="AT1261" s="184"/>
      <c r="AU1261" s="128"/>
      <c r="AV1261" s="184"/>
      <c r="AW1261" s="128"/>
      <c r="AX1261" s="184"/>
      <c r="AY1261" s="111">
        <f>AM1261+AO1261+AQ1261+AS1261+AU1261+AW1261</f>
        <v>0.4</v>
      </c>
      <c r="AZ1261" s="178">
        <f>AN1261+AP1261+AR1261+AT1261+AV1261+AX1261</f>
        <v>0</v>
      </c>
      <c r="BC1261" s="47"/>
      <c r="BD1261" s="47"/>
      <c r="BF1261" s="113">
        <v>0.01</v>
      </c>
      <c r="BG1261" s="113"/>
      <c r="BH1261" s="113"/>
      <c r="BI1261" s="113"/>
      <c r="BJ1261" s="113"/>
      <c r="BK1261" s="113"/>
      <c r="BL1261" s="5">
        <f t="shared" si="193"/>
        <v>0.01</v>
      </c>
    </row>
    <row r="1262" spans="1:64" s="2" customFormat="1" ht="15.75" customHeight="1" outlineLevel="1" x14ac:dyDescent="0.2">
      <c r="A1262" s="594"/>
      <c r="B1262" s="601"/>
      <c r="C1262" s="7" t="s">
        <v>1553</v>
      </c>
      <c r="D1262" s="8"/>
      <c r="E1262" s="23"/>
      <c r="F1262" s="8"/>
      <c r="G1262" s="8"/>
      <c r="H1262" s="5"/>
      <c r="I1262" s="5"/>
      <c r="J1262" s="5"/>
      <c r="K1262" s="8"/>
      <c r="L1262" s="23"/>
      <c r="M1262" s="8"/>
      <c r="N1262" s="8"/>
      <c r="O1262" s="8"/>
      <c r="P1262" s="8"/>
      <c r="Q1262" s="23"/>
      <c r="R1262" s="113"/>
      <c r="S1262" s="113"/>
      <c r="T1262" s="113"/>
      <c r="U1262" s="113"/>
      <c r="V1262" s="113"/>
      <c r="W1262" s="113"/>
      <c r="X1262" s="5">
        <f>SUM(R1262:W1262)</f>
        <v>0</v>
      </c>
      <c r="Y1262" s="302"/>
      <c r="Z1262" s="5"/>
      <c r="AA1262" s="94"/>
      <c r="AB1262" s="311">
        <f t="shared" si="194"/>
        <v>0</v>
      </c>
      <c r="AC1262" s="296"/>
      <c r="AD1262" s="113"/>
      <c r="AE1262" s="5"/>
      <c r="AF1262" s="5"/>
      <c r="AG1262" s="5"/>
      <c r="AH1262" s="5"/>
      <c r="AI1262" s="5"/>
      <c r="AJ1262" s="5"/>
      <c r="AK1262" s="141"/>
      <c r="AL1262" s="94"/>
      <c r="AM1262" s="128"/>
      <c r="AN1262" s="180"/>
      <c r="AO1262" s="128"/>
      <c r="AP1262" s="184"/>
      <c r="AQ1262" s="128"/>
      <c r="AR1262" s="184"/>
      <c r="AS1262" s="128"/>
      <c r="AT1262" s="184"/>
      <c r="AU1262" s="128"/>
      <c r="AV1262" s="184"/>
      <c r="AW1262" s="128"/>
      <c r="AX1262" s="184"/>
      <c r="AY1262" s="111"/>
      <c r="AZ1262" s="178"/>
      <c r="BC1262" s="47"/>
      <c r="BD1262" s="47"/>
      <c r="BF1262" s="113"/>
      <c r="BG1262" s="113"/>
      <c r="BH1262" s="113"/>
      <c r="BI1262" s="113"/>
      <c r="BJ1262" s="113"/>
      <c r="BK1262" s="113"/>
      <c r="BL1262" s="5">
        <f t="shared" si="193"/>
        <v>0</v>
      </c>
    </row>
    <row r="1263" spans="1:64" s="2" customFormat="1" ht="15.75" customHeight="1" outlineLevel="1" x14ac:dyDescent="0.2">
      <c r="A1263" s="595"/>
      <c r="B1263" s="602"/>
      <c r="C1263" s="7" t="s">
        <v>1554</v>
      </c>
      <c r="D1263" s="8"/>
      <c r="E1263" s="23"/>
      <c r="F1263" s="8"/>
      <c r="G1263" s="8"/>
      <c r="H1263" s="5">
        <v>1.4885393220338985</v>
      </c>
      <c r="I1263" s="5">
        <f>I1261</f>
        <v>0.01</v>
      </c>
      <c r="J1263" s="5">
        <v>0.01</v>
      </c>
      <c r="K1263" s="23"/>
      <c r="L1263" s="8"/>
      <c r="M1263" s="8"/>
      <c r="N1263" s="8"/>
      <c r="O1263" s="8"/>
      <c r="P1263" s="8"/>
      <c r="Q1263" s="23"/>
      <c r="R1263" s="113"/>
      <c r="S1263" s="113"/>
      <c r="T1263" s="113"/>
      <c r="U1263" s="113"/>
      <c r="V1263" s="113"/>
      <c r="W1263" s="113"/>
      <c r="X1263" s="5">
        <f>SUM(R1263:W1263)</f>
        <v>0</v>
      </c>
      <c r="Y1263" s="302"/>
      <c r="Z1263" s="5"/>
      <c r="AA1263" s="94"/>
      <c r="AB1263" s="311">
        <f t="shared" si="194"/>
        <v>0.01</v>
      </c>
      <c r="AC1263" s="296"/>
      <c r="AD1263" s="113"/>
      <c r="AE1263" s="5"/>
      <c r="AF1263" s="5"/>
      <c r="AG1263" s="5"/>
      <c r="AH1263" s="5"/>
      <c r="AI1263" s="5"/>
      <c r="AJ1263" s="5"/>
      <c r="AK1263" s="141"/>
      <c r="AL1263" s="94"/>
      <c r="AM1263" s="128"/>
      <c r="AN1263" s="180"/>
      <c r="AO1263" s="128"/>
      <c r="AP1263" s="184"/>
      <c r="AQ1263" s="128"/>
      <c r="AR1263" s="184"/>
      <c r="AS1263" s="128"/>
      <c r="AT1263" s="184"/>
      <c r="AU1263" s="128"/>
      <c r="AV1263" s="184"/>
      <c r="AW1263" s="128"/>
      <c r="AX1263" s="184"/>
      <c r="AY1263" s="111"/>
      <c r="AZ1263" s="178"/>
      <c r="BC1263" s="47"/>
      <c r="BD1263" s="47"/>
      <c r="BF1263" s="113"/>
      <c r="BG1263" s="113"/>
      <c r="BH1263" s="113"/>
      <c r="BI1263" s="113"/>
      <c r="BJ1263" s="113"/>
      <c r="BK1263" s="113"/>
      <c r="BL1263" s="5">
        <f t="shared" si="193"/>
        <v>0</v>
      </c>
    </row>
    <row r="1264" spans="1:64" s="2" customFormat="1" ht="51" outlineLevel="1" x14ac:dyDescent="0.2">
      <c r="A1264" s="593" t="s">
        <v>662</v>
      </c>
      <c r="B1264" s="600" t="s">
        <v>644</v>
      </c>
      <c r="C1264" s="7" t="s">
        <v>664</v>
      </c>
      <c r="D1264" s="8" t="s">
        <v>145</v>
      </c>
      <c r="E1264" s="23" t="s">
        <v>335</v>
      </c>
      <c r="F1264" s="8">
        <v>2013</v>
      </c>
      <c r="G1264" s="8">
        <v>2014</v>
      </c>
      <c r="H1264" s="5">
        <v>0.15548000000000001</v>
      </c>
      <c r="I1264" s="5">
        <v>0.01</v>
      </c>
      <c r="J1264" s="5">
        <f>R1264</f>
        <v>0.01</v>
      </c>
      <c r="K1264" s="23" t="s">
        <v>335</v>
      </c>
      <c r="L1264" s="8"/>
      <c r="M1264" s="8"/>
      <c r="N1264" s="8"/>
      <c r="O1264" s="8"/>
      <c r="P1264" s="8"/>
      <c r="Q1264" s="23" t="s">
        <v>335</v>
      </c>
      <c r="R1264" s="113">
        <v>0.01</v>
      </c>
      <c r="S1264" s="113"/>
      <c r="T1264" s="113"/>
      <c r="U1264" s="113"/>
      <c r="V1264" s="113"/>
      <c r="W1264" s="113"/>
      <c r="X1264" s="5">
        <f>SUM(R1264:W1264)</f>
        <v>0.01</v>
      </c>
      <c r="Y1264" s="302">
        <f>H1264-H1265-H1266</f>
        <v>0</v>
      </c>
      <c r="Z1264" s="5">
        <f>I1264-I1265-I1266</f>
        <v>0</v>
      </c>
      <c r="AA1264" s="94">
        <f>J1264-J1265-J1266</f>
        <v>0</v>
      </c>
      <c r="AB1264" s="311">
        <f t="shared" si="194"/>
        <v>0</v>
      </c>
      <c r="AC1264" s="296"/>
      <c r="AD1264" s="113"/>
      <c r="AE1264" s="5"/>
      <c r="AF1264" s="5">
        <f>H1264</f>
        <v>0.15548000000000001</v>
      </c>
      <c r="AG1264" s="5"/>
      <c r="AH1264" s="5"/>
      <c r="AI1264" s="5"/>
      <c r="AJ1264" s="5"/>
      <c r="AK1264" s="141"/>
      <c r="AL1264" s="94">
        <f>SUM(AF1264:AK1264)</f>
        <v>0.15548000000000001</v>
      </c>
      <c r="AM1264" s="128">
        <v>0.1</v>
      </c>
      <c r="AN1264" s="180">
        <v>0</v>
      </c>
      <c r="AO1264" s="128"/>
      <c r="AP1264" s="184"/>
      <c r="AQ1264" s="128"/>
      <c r="AR1264" s="184"/>
      <c r="AS1264" s="128"/>
      <c r="AT1264" s="184"/>
      <c r="AU1264" s="128"/>
      <c r="AV1264" s="184"/>
      <c r="AW1264" s="128"/>
      <c r="AX1264" s="184"/>
      <c r="AY1264" s="111">
        <f>AM1264+AO1264+AQ1264+AS1264+AU1264+AW1264</f>
        <v>0.1</v>
      </c>
      <c r="AZ1264" s="178">
        <f>AN1264+AP1264+AR1264+AT1264+AV1264+AX1264</f>
        <v>0</v>
      </c>
      <c r="BC1264" s="47"/>
      <c r="BD1264" s="47"/>
      <c r="BF1264" s="113">
        <v>0.01</v>
      </c>
      <c r="BG1264" s="113"/>
      <c r="BH1264" s="113"/>
      <c r="BI1264" s="113"/>
      <c r="BJ1264" s="113"/>
      <c r="BK1264" s="113"/>
      <c r="BL1264" s="5">
        <f t="shared" si="193"/>
        <v>0.01</v>
      </c>
    </row>
    <row r="1265" spans="1:64" s="2" customFormat="1" ht="15.75" customHeight="1" outlineLevel="1" x14ac:dyDescent="0.2">
      <c r="A1265" s="594"/>
      <c r="B1265" s="601"/>
      <c r="C1265" s="7" t="s">
        <v>1553</v>
      </c>
      <c r="D1265" s="8"/>
      <c r="E1265" s="23"/>
      <c r="F1265" s="8"/>
      <c r="G1265" s="8"/>
      <c r="H1265" s="5"/>
      <c r="I1265" s="5"/>
      <c r="J1265" s="5"/>
      <c r="K1265" s="8"/>
      <c r="L1265" s="23"/>
      <c r="M1265" s="8"/>
      <c r="N1265" s="8"/>
      <c r="O1265" s="8"/>
      <c r="P1265" s="8"/>
      <c r="Q1265" s="23"/>
      <c r="R1265" s="113"/>
      <c r="S1265" s="113"/>
      <c r="T1265" s="113"/>
      <c r="U1265" s="113"/>
      <c r="V1265" s="113"/>
      <c r="W1265" s="113"/>
      <c r="X1265" s="5">
        <f>SUM(R1265:W1265)</f>
        <v>0</v>
      </c>
      <c r="Y1265" s="302"/>
      <c r="Z1265" s="5"/>
      <c r="AA1265" s="94"/>
      <c r="AB1265" s="311">
        <f t="shared" si="194"/>
        <v>0</v>
      </c>
      <c r="AC1265" s="296"/>
      <c r="AD1265" s="113"/>
      <c r="AE1265" s="5"/>
      <c r="AF1265" s="5"/>
      <c r="AG1265" s="5"/>
      <c r="AH1265" s="5"/>
      <c r="AI1265" s="5"/>
      <c r="AJ1265" s="5"/>
      <c r="AK1265" s="141"/>
      <c r="AL1265" s="94"/>
      <c r="AM1265" s="128"/>
      <c r="AN1265" s="180"/>
      <c r="AO1265" s="128"/>
      <c r="AP1265" s="184"/>
      <c r="AQ1265" s="128"/>
      <c r="AR1265" s="184"/>
      <c r="AS1265" s="128"/>
      <c r="AT1265" s="184"/>
      <c r="AU1265" s="128"/>
      <c r="AV1265" s="184"/>
      <c r="AW1265" s="128"/>
      <c r="AX1265" s="184"/>
      <c r="AY1265" s="111"/>
      <c r="AZ1265" s="178"/>
      <c r="BC1265" s="47"/>
      <c r="BD1265" s="47"/>
      <c r="BF1265" s="113"/>
      <c r="BG1265" s="113"/>
      <c r="BH1265" s="113"/>
      <c r="BI1265" s="113"/>
      <c r="BJ1265" s="113"/>
      <c r="BK1265" s="113"/>
      <c r="BL1265" s="5">
        <f t="shared" si="193"/>
        <v>0</v>
      </c>
    </row>
    <row r="1266" spans="1:64" s="2" customFormat="1" ht="15.75" customHeight="1" outlineLevel="1" x14ac:dyDescent="0.2">
      <c r="A1266" s="595"/>
      <c r="B1266" s="602"/>
      <c r="C1266" s="7" t="s">
        <v>1554</v>
      </c>
      <c r="D1266" s="8"/>
      <c r="E1266" s="23"/>
      <c r="F1266" s="8"/>
      <c r="G1266" s="8"/>
      <c r="H1266" s="5">
        <v>0.15548000000000001</v>
      </c>
      <c r="I1266" s="5">
        <f>I1264</f>
        <v>0.01</v>
      </c>
      <c r="J1266" s="5">
        <v>0.01</v>
      </c>
      <c r="K1266" s="23"/>
      <c r="L1266" s="8"/>
      <c r="M1266" s="8"/>
      <c r="N1266" s="8"/>
      <c r="O1266" s="8"/>
      <c r="P1266" s="8"/>
      <c r="Q1266" s="23"/>
      <c r="R1266" s="113"/>
      <c r="S1266" s="113"/>
      <c r="T1266" s="113"/>
      <c r="U1266" s="113"/>
      <c r="V1266" s="113"/>
      <c r="W1266" s="113"/>
      <c r="X1266" s="5">
        <f>SUM(R1266:W1266)</f>
        <v>0</v>
      </c>
      <c r="Y1266" s="302"/>
      <c r="Z1266" s="5"/>
      <c r="AA1266" s="94"/>
      <c r="AB1266" s="311">
        <f t="shared" si="194"/>
        <v>0.01</v>
      </c>
      <c r="AC1266" s="296"/>
      <c r="AD1266" s="113"/>
      <c r="AE1266" s="5"/>
      <c r="AF1266" s="5"/>
      <c r="AG1266" s="5"/>
      <c r="AH1266" s="5"/>
      <c r="AI1266" s="5"/>
      <c r="AJ1266" s="5"/>
      <c r="AK1266" s="141"/>
      <c r="AL1266" s="94"/>
      <c r="AM1266" s="128"/>
      <c r="AN1266" s="180"/>
      <c r="AO1266" s="128"/>
      <c r="AP1266" s="184"/>
      <c r="AQ1266" s="128"/>
      <c r="AR1266" s="184"/>
      <c r="AS1266" s="128"/>
      <c r="AT1266" s="184"/>
      <c r="AU1266" s="128"/>
      <c r="AV1266" s="184"/>
      <c r="AW1266" s="128"/>
      <c r="AX1266" s="184"/>
      <c r="AY1266" s="111"/>
      <c r="AZ1266" s="178"/>
      <c r="BC1266" s="47"/>
      <c r="BD1266" s="47"/>
      <c r="BF1266" s="113"/>
      <c r="BG1266" s="113"/>
      <c r="BH1266" s="113"/>
      <c r="BI1266" s="113"/>
      <c r="BJ1266" s="113"/>
      <c r="BK1266" s="113"/>
      <c r="BL1266" s="5">
        <f t="shared" si="193"/>
        <v>0</v>
      </c>
    </row>
    <row r="1267" spans="1:64" s="2" customFormat="1" ht="38.25" customHeight="1" outlineLevel="1" x14ac:dyDescent="0.2">
      <c r="A1267" s="593" t="s">
        <v>665</v>
      </c>
      <c r="B1267" s="600" t="s">
        <v>647</v>
      </c>
      <c r="C1267" s="7" t="s">
        <v>667</v>
      </c>
      <c r="D1267" s="8" t="s">
        <v>145</v>
      </c>
      <c r="E1267" s="23" t="s">
        <v>335</v>
      </c>
      <c r="F1267" s="8">
        <v>2013</v>
      </c>
      <c r="G1267" s="8">
        <v>2015</v>
      </c>
      <c r="H1267" s="5">
        <v>0.57675118644067802</v>
      </c>
      <c r="I1267" s="5">
        <v>0.57675118644067802</v>
      </c>
      <c r="J1267" s="5">
        <f>R1267</f>
        <v>0.01</v>
      </c>
      <c r="K1267" s="8"/>
      <c r="L1267" s="23" t="s">
        <v>335</v>
      </c>
      <c r="M1267" s="8"/>
      <c r="N1267" s="8"/>
      <c r="O1267" s="8"/>
      <c r="P1267" s="8"/>
      <c r="Q1267" s="23" t="s">
        <v>335</v>
      </c>
      <c r="R1267" s="113">
        <v>0.01</v>
      </c>
      <c r="S1267" s="113"/>
      <c r="T1267" s="113"/>
      <c r="U1267" s="113"/>
      <c r="V1267" s="113"/>
      <c r="W1267" s="113"/>
      <c r="X1267" s="5">
        <f t="shared" si="191"/>
        <v>0.01</v>
      </c>
      <c r="Y1267" s="302">
        <f>H1267-H1268-H1269</f>
        <v>0</v>
      </c>
      <c r="Z1267" s="5">
        <f>I1267-I1268-I1269</f>
        <v>0</v>
      </c>
      <c r="AA1267" s="94">
        <f>J1267-J1268-J1269</f>
        <v>0</v>
      </c>
      <c r="AB1267" s="311">
        <f t="shared" si="194"/>
        <v>0.56675118644067801</v>
      </c>
      <c r="AC1267" s="296"/>
      <c r="AD1267" s="113"/>
      <c r="AE1267" s="5"/>
      <c r="AF1267" s="5"/>
      <c r="AG1267" s="5">
        <f>H1267</f>
        <v>0.57675118644067802</v>
      </c>
      <c r="AH1267" s="5"/>
      <c r="AI1267" s="5"/>
      <c r="AJ1267" s="5"/>
      <c r="AK1267" s="141"/>
      <c r="AL1267" s="94">
        <f>SUM(AF1267:AK1267)</f>
        <v>0.57675118644067802</v>
      </c>
      <c r="AM1267" s="128"/>
      <c r="AN1267" s="180"/>
      <c r="AO1267" s="128">
        <v>0.1</v>
      </c>
      <c r="AP1267" s="184">
        <v>0</v>
      </c>
      <c r="AQ1267" s="128"/>
      <c r="AR1267" s="184"/>
      <c r="AS1267" s="128"/>
      <c r="AT1267" s="184"/>
      <c r="AU1267" s="128"/>
      <c r="AV1267" s="184"/>
      <c r="AW1267" s="128"/>
      <c r="AX1267" s="184"/>
      <c r="AY1267" s="111">
        <f>AM1267+AO1267+AQ1267+AS1267+AU1267+AW1267</f>
        <v>0.1</v>
      </c>
      <c r="AZ1267" s="178">
        <f>AN1267+AP1267+AR1267+AT1267+AV1267+AX1267</f>
        <v>0</v>
      </c>
      <c r="BC1267" s="47"/>
      <c r="BD1267" s="47"/>
      <c r="BF1267" s="113">
        <v>0.01</v>
      </c>
      <c r="BG1267" s="113"/>
      <c r="BH1267" s="113"/>
      <c r="BI1267" s="113"/>
      <c r="BJ1267" s="113"/>
      <c r="BK1267" s="113"/>
      <c r="BL1267" s="5">
        <f t="shared" ref="BL1267:BL1298" si="195">SUM(BF1267:BK1267)</f>
        <v>0.01</v>
      </c>
    </row>
    <row r="1268" spans="1:64" s="2" customFormat="1" ht="15.75" customHeight="1" outlineLevel="1" x14ac:dyDescent="0.2">
      <c r="A1268" s="594"/>
      <c r="B1268" s="601"/>
      <c r="C1268" s="7" t="s">
        <v>1553</v>
      </c>
      <c r="D1268" s="8"/>
      <c r="E1268" s="23"/>
      <c r="F1268" s="8"/>
      <c r="G1268" s="8"/>
      <c r="H1268" s="5"/>
      <c r="I1268" s="5"/>
      <c r="J1268" s="5"/>
      <c r="K1268" s="8"/>
      <c r="L1268" s="23"/>
      <c r="M1268" s="8"/>
      <c r="N1268" s="8"/>
      <c r="O1268" s="8"/>
      <c r="P1268" s="8"/>
      <c r="Q1268" s="23"/>
      <c r="R1268" s="113"/>
      <c r="S1268" s="113"/>
      <c r="T1268" s="113"/>
      <c r="U1268" s="113"/>
      <c r="V1268" s="113"/>
      <c r="W1268" s="113"/>
      <c r="X1268" s="5">
        <f t="shared" si="191"/>
        <v>0</v>
      </c>
      <c r="Y1268" s="302"/>
      <c r="Z1268" s="5"/>
      <c r="AA1268" s="94"/>
      <c r="AB1268" s="311">
        <f t="shared" si="194"/>
        <v>0</v>
      </c>
      <c r="AC1268" s="296"/>
      <c r="AD1268" s="113"/>
      <c r="AE1268" s="5"/>
      <c r="AF1268" s="5"/>
      <c r="AG1268" s="5"/>
      <c r="AH1268" s="5"/>
      <c r="AI1268" s="5"/>
      <c r="AJ1268" s="5"/>
      <c r="AK1268" s="141"/>
      <c r="AL1268" s="94"/>
      <c r="AM1268" s="128"/>
      <c r="AN1268" s="180"/>
      <c r="AO1268" s="128"/>
      <c r="AP1268" s="184"/>
      <c r="AQ1268" s="128"/>
      <c r="AR1268" s="184"/>
      <c r="AS1268" s="128"/>
      <c r="AT1268" s="184"/>
      <c r="AU1268" s="128"/>
      <c r="AV1268" s="184"/>
      <c r="AW1268" s="128"/>
      <c r="AX1268" s="184"/>
      <c r="AY1268" s="111"/>
      <c r="AZ1268" s="178"/>
      <c r="BC1268" s="47"/>
      <c r="BD1268" s="47"/>
      <c r="BF1268" s="113"/>
      <c r="BG1268" s="113"/>
      <c r="BH1268" s="113"/>
      <c r="BI1268" s="113"/>
      <c r="BJ1268" s="113"/>
      <c r="BK1268" s="113"/>
      <c r="BL1268" s="5">
        <f t="shared" si="195"/>
        <v>0</v>
      </c>
    </row>
    <row r="1269" spans="1:64" s="2" customFormat="1" ht="15.75" customHeight="1" outlineLevel="1" x14ac:dyDescent="0.2">
      <c r="A1269" s="595"/>
      <c r="B1269" s="602"/>
      <c r="C1269" s="7" t="s">
        <v>1554</v>
      </c>
      <c r="D1269" s="8"/>
      <c r="E1269" s="23"/>
      <c r="F1269" s="8"/>
      <c r="G1269" s="8"/>
      <c r="H1269" s="5">
        <v>0.57675118644067802</v>
      </c>
      <c r="I1269" s="5">
        <v>0.57675118644067802</v>
      </c>
      <c r="J1269" s="5">
        <v>0.01</v>
      </c>
      <c r="K1269" s="23"/>
      <c r="L1269" s="8"/>
      <c r="M1269" s="8"/>
      <c r="N1269" s="8"/>
      <c r="O1269" s="8"/>
      <c r="P1269" s="8"/>
      <c r="Q1269" s="23"/>
      <c r="R1269" s="113"/>
      <c r="S1269" s="113"/>
      <c r="T1269" s="113"/>
      <c r="U1269" s="113"/>
      <c r="V1269" s="113"/>
      <c r="W1269" s="113"/>
      <c r="X1269" s="5">
        <f t="shared" si="191"/>
        <v>0</v>
      </c>
      <c r="Y1269" s="302"/>
      <c r="Z1269" s="5"/>
      <c r="AA1269" s="94"/>
      <c r="AB1269" s="311">
        <f t="shared" si="194"/>
        <v>0.57675118644067802</v>
      </c>
      <c r="AC1269" s="296"/>
      <c r="AD1269" s="113"/>
      <c r="AE1269" s="5"/>
      <c r="AF1269" s="5"/>
      <c r="AG1269" s="5"/>
      <c r="AH1269" s="5"/>
      <c r="AI1269" s="5"/>
      <c r="AJ1269" s="5"/>
      <c r="AK1269" s="141"/>
      <c r="AL1269" s="94"/>
      <c r="AM1269" s="128"/>
      <c r="AN1269" s="180"/>
      <c r="AO1269" s="128"/>
      <c r="AP1269" s="184"/>
      <c r="AQ1269" s="128"/>
      <c r="AR1269" s="184"/>
      <c r="AS1269" s="128"/>
      <c r="AT1269" s="184"/>
      <c r="AU1269" s="128"/>
      <c r="AV1269" s="184"/>
      <c r="AW1269" s="128"/>
      <c r="AX1269" s="184"/>
      <c r="AY1269" s="111"/>
      <c r="AZ1269" s="178"/>
      <c r="BC1269" s="47"/>
      <c r="BD1269" s="47"/>
      <c r="BF1269" s="113"/>
      <c r="BG1269" s="113"/>
      <c r="BH1269" s="113"/>
      <c r="BI1269" s="113"/>
      <c r="BJ1269" s="113"/>
      <c r="BK1269" s="113"/>
      <c r="BL1269" s="5">
        <f t="shared" si="195"/>
        <v>0</v>
      </c>
    </row>
    <row r="1270" spans="1:64" s="2" customFormat="1" ht="38.25" customHeight="1" outlineLevel="1" x14ac:dyDescent="0.2">
      <c r="A1270" s="593" t="s">
        <v>668</v>
      </c>
      <c r="B1270" s="600" t="s">
        <v>650</v>
      </c>
      <c r="C1270" s="7" t="s">
        <v>670</v>
      </c>
      <c r="D1270" s="8" t="s">
        <v>145</v>
      </c>
      <c r="E1270" s="23" t="s">
        <v>335</v>
      </c>
      <c r="F1270" s="8">
        <v>2013</v>
      </c>
      <c r="G1270" s="8">
        <v>2015</v>
      </c>
      <c r="H1270" s="5">
        <v>0.44963254237288136</v>
      </c>
      <c r="I1270" s="5">
        <v>0.44963254237288136</v>
      </c>
      <c r="J1270" s="5">
        <f>R1270</f>
        <v>0.01</v>
      </c>
      <c r="K1270" s="8"/>
      <c r="L1270" s="23" t="s">
        <v>335</v>
      </c>
      <c r="M1270" s="8"/>
      <c r="N1270" s="8"/>
      <c r="O1270" s="8"/>
      <c r="P1270" s="8"/>
      <c r="Q1270" s="23" t="s">
        <v>335</v>
      </c>
      <c r="R1270" s="113">
        <v>0.01</v>
      </c>
      <c r="S1270" s="113"/>
      <c r="T1270" s="113"/>
      <c r="U1270" s="113"/>
      <c r="V1270" s="113"/>
      <c r="W1270" s="113"/>
      <c r="X1270" s="5">
        <f t="shared" si="191"/>
        <v>0.01</v>
      </c>
      <c r="Y1270" s="302">
        <f>H1270-H1271-H1272</f>
        <v>0</v>
      </c>
      <c r="Z1270" s="5">
        <f>I1270-I1271-I1272</f>
        <v>0</v>
      </c>
      <c r="AA1270" s="94">
        <f>J1270-J1271-J1272</f>
        <v>0</v>
      </c>
      <c r="AB1270" s="311">
        <f t="shared" si="194"/>
        <v>0.43963254237288135</v>
      </c>
      <c r="AC1270" s="296"/>
      <c r="AD1270" s="113"/>
      <c r="AE1270" s="5"/>
      <c r="AF1270" s="5"/>
      <c r="AG1270" s="5">
        <f>H1270</f>
        <v>0.44963254237288136</v>
      </c>
      <c r="AH1270" s="5"/>
      <c r="AI1270" s="5"/>
      <c r="AJ1270" s="5"/>
      <c r="AK1270" s="141"/>
      <c r="AL1270" s="94">
        <f>SUM(AF1270:AK1270)</f>
        <v>0.44963254237288136</v>
      </c>
      <c r="AM1270" s="128"/>
      <c r="AN1270" s="180"/>
      <c r="AO1270" s="128">
        <v>0.1</v>
      </c>
      <c r="AP1270" s="184">
        <v>0</v>
      </c>
      <c r="AQ1270" s="128"/>
      <c r="AR1270" s="184"/>
      <c r="AS1270" s="128"/>
      <c r="AT1270" s="184"/>
      <c r="AU1270" s="128"/>
      <c r="AV1270" s="184"/>
      <c r="AW1270" s="128"/>
      <c r="AX1270" s="184"/>
      <c r="AY1270" s="111">
        <f>AM1270+AO1270+AQ1270+AS1270+AU1270+AW1270</f>
        <v>0.1</v>
      </c>
      <c r="AZ1270" s="178">
        <f>AN1270+AP1270+AR1270+AT1270+AV1270+AX1270</f>
        <v>0</v>
      </c>
      <c r="BC1270" s="47"/>
      <c r="BD1270" s="47"/>
      <c r="BF1270" s="113">
        <v>0.01</v>
      </c>
      <c r="BG1270" s="113"/>
      <c r="BH1270" s="113"/>
      <c r="BI1270" s="113"/>
      <c r="BJ1270" s="113"/>
      <c r="BK1270" s="113"/>
      <c r="BL1270" s="5">
        <f t="shared" si="195"/>
        <v>0.01</v>
      </c>
    </row>
    <row r="1271" spans="1:64" s="2" customFormat="1" ht="15.75" customHeight="1" outlineLevel="1" x14ac:dyDescent="0.2">
      <c r="A1271" s="594"/>
      <c r="B1271" s="601"/>
      <c r="C1271" s="7" t="s">
        <v>1553</v>
      </c>
      <c r="D1271" s="8"/>
      <c r="E1271" s="23"/>
      <c r="F1271" s="8"/>
      <c r="G1271" s="8"/>
      <c r="H1271" s="5"/>
      <c r="I1271" s="5"/>
      <c r="J1271" s="5"/>
      <c r="K1271" s="8"/>
      <c r="L1271" s="23"/>
      <c r="M1271" s="8"/>
      <c r="N1271" s="8"/>
      <c r="O1271" s="8"/>
      <c r="P1271" s="8"/>
      <c r="Q1271" s="23"/>
      <c r="R1271" s="113"/>
      <c r="S1271" s="113"/>
      <c r="T1271" s="113"/>
      <c r="U1271" s="113"/>
      <c r="V1271" s="113"/>
      <c r="W1271" s="113"/>
      <c r="X1271" s="5">
        <f>SUM(R1271:W1271)</f>
        <v>0</v>
      </c>
      <c r="Y1271" s="302"/>
      <c r="Z1271" s="5"/>
      <c r="AA1271" s="94"/>
      <c r="AB1271" s="311">
        <f t="shared" si="194"/>
        <v>0</v>
      </c>
      <c r="AC1271" s="296"/>
      <c r="AD1271" s="113"/>
      <c r="AE1271" s="5"/>
      <c r="AF1271" s="5"/>
      <c r="AG1271" s="5"/>
      <c r="AH1271" s="5"/>
      <c r="AI1271" s="5"/>
      <c r="AJ1271" s="5"/>
      <c r="AK1271" s="141"/>
      <c r="AL1271" s="94"/>
      <c r="AM1271" s="128"/>
      <c r="AN1271" s="180"/>
      <c r="AO1271" s="128"/>
      <c r="AP1271" s="184"/>
      <c r="AQ1271" s="128"/>
      <c r="AR1271" s="184"/>
      <c r="AS1271" s="128"/>
      <c r="AT1271" s="184"/>
      <c r="AU1271" s="128"/>
      <c r="AV1271" s="184"/>
      <c r="AW1271" s="128"/>
      <c r="AX1271" s="184"/>
      <c r="AY1271" s="111"/>
      <c r="AZ1271" s="178"/>
      <c r="BC1271" s="47"/>
      <c r="BD1271" s="47"/>
      <c r="BF1271" s="113"/>
      <c r="BG1271" s="113"/>
      <c r="BH1271" s="113"/>
      <c r="BI1271" s="113"/>
      <c r="BJ1271" s="113"/>
      <c r="BK1271" s="113"/>
      <c r="BL1271" s="5">
        <f t="shared" si="195"/>
        <v>0</v>
      </c>
    </row>
    <row r="1272" spans="1:64" s="2" customFormat="1" ht="15.75" customHeight="1" outlineLevel="1" x14ac:dyDescent="0.2">
      <c r="A1272" s="595"/>
      <c r="B1272" s="602"/>
      <c r="C1272" s="7" t="s">
        <v>1554</v>
      </c>
      <c r="D1272" s="8"/>
      <c r="E1272" s="23"/>
      <c r="F1272" s="8"/>
      <c r="G1272" s="8"/>
      <c r="H1272" s="5">
        <v>0.44963254237288136</v>
      </c>
      <c r="I1272" s="5">
        <v>0.44963254237288136</v>
      </c>
      <c r="J1272" s="5">
        <v>0.01</v>
      </c>
      <c r="K1272" s="23"/>
      <c r="L1272" s="8"/>
      <c r="M1272" s="8"/>
      <c r="N1272" s="8"/>
      <c r="O1272" s="8"/>
      <c r="P1272" s="8"/>
      <c r="Q1272" s="23"/>
      <c r="R1272" s="113"/>
      <c r="S1272" s="113"/>
      <c r="T1272" s="113"/>
      <c r="U1272" s="113"/>
      <c r="V1272" s="113"/>
      <c r="W1272" s="113"/>
      <c r="X1272" s="5">
        <f>SUM(R1272:W1272)</f>
        <v>0</v>
      </c>
      <c r="Y1272" s="302"/>
      <c r="Z1272" s="5"/>
      <c r="AA1272" s="94"/>
      <c r="AB1272" s="311">
        <f t="shared" si="194"/>
        <v>0.44963254237288136</v>
      </c>
      <c r="AC1272" s="296"/>
      <c r="AD1272" s="113"/>
      <c r="AE1272" s="5"/>
      <c r="AF1272" s="5"/>
      <c r="AG1272" s="5"/>
      <c r="AH1272" s="5"/>
      <c r="AI1272" s="5"/>
      <c r="AJ1272" s="5"/>
      <c r="AK1272" s="141"/>
      <c r="AL1272" s="94"/>
      <c r="AM1272" s="128"/>
      <c r="AN1272" s="180"/>
      <c r="AO1272" s="128"/>
      <c r="AP1272" s="184"/>
      <c r="AQ1272" s="128"/>
      <c r="AR1272" s="184"/>
      <c r="AS1272" s="128"/>
      <c r="AT1272" s="184"/>
      <c r="AU1272" s="128"/>
      <c r="AV1272" s="184"/>
      <c r="AW1272" s="128"/>
      <c r="AX1272" s="184"/>
      <c r="AY1272" s="111"/>
      <c r="AZ1272" s="178"/>
      <c r="BC1272" s="47"/>
      <c r="BD1272" s="47"/>
      <c r="BF1272" s="113"/>
      <c r="BG1272" s="113"/>
      <c r="BH1272" s="113"/>
      <c r="BI1272" s="113"/>
      <c r="BJ1272" s="113"/>
      <c r="BK1272" s="113"/>
      <c r="BL1272" s="5">
        <f t="shared" si="195"/>
        <v>0</v>
      </c>
    </row>
    <row r="1273" spans="1:64" s="2" customFormat="1" ht="51" customHeight="1" outlineLevel="1" x14ac:dyDescent="0.2">
      <c r="A1273" s="593" t="s">
        <v>671</v>
      </c>
      <c r="B1273" s="600" t="s">
        <v>653</v>
      </c>
      <c r="C1273" s="7" t="s">
        <v>2569</v>
      </c>
      <c r="D1273" s="8" t="s">
        <v>145</v>
      </c>
      <c r="E1273" s="23" t="s">
        <v>343</v>
      </c>
      <c r="F1273" s="8">
        <v>2014</v>
      </c>
      <c r="G1273" s="8">
        <v>2015</v>
      </c>
      <c r="H1273" s="5">
        <v>0.25471728813559319</v>
      </c>
      <c r="I1273" s="5">
        <v>0.25471728813559319</v>
      </c>
      <c r="J1273" s="5">
        <f>R1273</f>
        <v>0.01</v>
      </c>
      <c r="K1273" s="8"/>
      <c r="L1273" s="23" t="s">
        <v>343</v>
      </c>
      <c r="M1273" s="8"/>
      <c r="N1273" s="8"/>
      <c r="O1273" s="8"/>
      <c r="P1273" s="8"/>
      <c r="Q1273" s="23" t="s">
        <v>343</v>
      </c>
      <c r="R1273" s="113">
        <v>0.01</v>
      </c>
      <c r="S1273" s="113"/>
      <c r="T1273" s="113"/>
      <c r="U1273" s="113"/>
      <c r="V1273" s="113"/>
      <c r="W1273" s="113"/>
      <c r="X1273" s="5">
        <f t="shared" si="191"/>
        <v>0.01</v>
      </c>
      <c r="Y1273" s="302">
        <f>H1273-H1274-H1275</f>
        <v>0</v>
      </c>
      <c r="Z1273" s="5">
        <f>I1273-I1274-I1275</f>
        <v>0</v>
      </c>
      <c r="AA1273" s="94">
        <f>J1273-J1274-J1275</f>
        <v>0</v>
      </c>
      <c r="AB1273" s="311">
        <f t="shared" si="194"/>
        <v>0.24471728813559318</v>
      </c>
      <c r="AC1273" s="296"/>
      <c r="AD1273" s="113"/>
      <c r="AE1273" s="5"/>
      <c r="AF1273" s="5"/>
      <c r="AG1273" s="5">
        <f>H1273</f>
        <v>0.25471728813559319</v>
      </c>
      <c r="AH1273" s="5"/>
      <c r="AI1273" s="5"/>
      <c r="AJ1273" s="5"/>
      <c r="AK1273" s="141"/>
      <c r="AL1273" s="94">
        <f>SUM(AF1273:AK1273)</f>
        <v>0.25471728813559319</v>
      </c>
      <c r="AM1273" s="128"/>
      <c r="AN1273" s="180"/>
      <c r="AO1273" s="128">
        <v>0.4</v>
      </c>
      <c r="AP1273" s="184">
        <v>0</v>
      </c>
      <c r="AQ1273" s="128"/>
      <c r="AR1273" s="184"/>
      <c r="AS1273" s="128"/>
      <c r="AT1273" s="184"/>
      <c r="AU1273" s="128"/>
      <c r="AV1273" s="184"/>
      <c r="AW1273" s="128"/>
      <c r="AX1273" s="184"/>
      <c r="AY1273" s="111">
        <f>AM1273+AO1273+AQ1273+AS1273+AU1273+AW1273</f>
        <v>0.4</v>
      </c>
      <c r="AZ1273" s="178">
        <f>AN1273+AP1273+AR1273+AT1273+AV1273+AX1273</f>
        <v>0</v>
      </c>
      <c r="BC1273" s="47"/>
      <c r="BD1273" s="47"/>
      <c r="BF1273" s="113">
        <v>0.01</v>
      </c>
      <c r="BG1273" s="113"/>
      <c r="BH1273" s="113"/>
      <c r="BI1273" s="113"/>
      <c r="BJ1273" s="113"/>
      <c r="BK1273" s="113"/>
      <c r="BL1273" s="5">
        <f t="shared" si="195"/>
        <v>0.01</v>
      </c>
    </row>
    <row r="1274" spans="1:64" s="2" customFormat="1" ht="15.75" customHeight="1" outlineLevel="1" x14ac:dyDescent="0.2">
      <c r="A1274" s="594"/>
      <c r="B1274" s="601"/>
      <c r="C1274" s="7" t="s">
        <v>1553</v>
      </c>
      <c r="D1274" s="8"/>
      <c r="E1274" s="23"/>
      <c r="F1274" s="8"/>
      <c r="G1274" s="8"/>
      <c r="H1274" s="5"/>
      <c r="I1274" s="5"/>
      <c r="J1274" s="5"/>
      <c r="K1274" s="8"/>
      <c r="L1274" s="23"/>
      <c r="M1274" s="8"/>
      <c r="N1274" s="8"/>
      <c r="O1274" s="8"/>
      <c r="P1274" s="8"/>
      <c r="Q1274" s="23"/>
      <c r="R1274" s="113"/>
      <c r="S1274" s="113"/>
      <c r="T1274" s="113"/>
      <c r="U1274" s="113"/>
      <c r="V1274" s="113"/>
      <c r="W1274" s="113"/>
      <c r="X1274" s="5">
        <f t="shared" si="191"/>
        <v>0</v>
      </c>
      <c r="Y1274" s="302"/>
      <c r="Z1274" s="5"/>
      <c r="AA1274" s="94"/>
      <c r="AB1274" s="311">
        <f t="shared" si="194"/>
        <v>0</v>
      </c>
      <c r="AC1274" s="296"/>
      <c r="AD1274" s="113"/>
      <c r="AE1274" s="5"/>
      <c r="AF1274" s="5"/>
      <c r="AG1274" s="5"/>
      <c r="AH1274" s="5"/>
      <c r="AI1274" s="5"/>
      <c r="AJ1274" s="5"/>
      <c r="AK1274" s="141"/>
      <c r="AL1274" s="94"/>
      <c r="AM1274" s="128"/>
      <c r="AN1274" s="180"/>
      <c r="AO1274" s="128"/>
      <c r="AP1274" s="184"/>
      <c r="AQ1274" s="128"/>
      <c r="AR1274" s="184"/>
      <c r="AS1274" s="128"/>
      <c r="AT1274" s="184"/>
      <c r="AU1274" s="128"/>
      <c r="AV1274" s="184"/>
      <c r="AW1274" s="128"/>
      <c r="AX1274" s="184"/>
      <c r="AY1274" s="111"/>
      <c r="AZ1274" s="178"/>
      <c r="BC1274" s="47"/>
      <c r="BD1274" s="47"/>
      <c r="BF1274" s="113"/>
      <c r="BG1274" s="113"/>
      <c r="BH1274" s="113"/>
      <c r="BI1274" s="113"/>
      <c r="BJ1274" s="113"/>
      <c r="BK1274" s="113"/>
      <c r="BL1274" s="5">
        <f t="shared" si="195"/>
        <v>0</v>
      </c>
    </row>
    <row r="1275" spans="1:64" s="2" customFormat="1" ht="15.75" customHeight="1" outlineLevel="1" x14ac:dyDescent="0.2">
      <c r="A1275" s="595"/>
      <c r="B1275" s="602"/>
      <c r="C1275" s="7" t="s">
        <v>1554</v>
      </c>
      <c r="D1275" s="8"/>
      <c r="E1275" s="23"/>
      <c r="F1275" s="8"/>
      <c r="G1275" s="8"/>
      <c r="H1275" s="5">
        <v>0.25471728813559319</v>
      </c>
      <c r="I1275" s="5">
        <v>0.25471728813559319</v>
      </c>
      <c r="J1275" s="5">
        <v>0.01</v>
      </c>
      <c r="K1275" s="23"/>
      <c r="L1275" s="8"/>
      <c r="M1275" s="8"/>
      <c r="N1275" s="8"/>
      <c r="O1275" s="8"/>
      <c r="P1275" s="8"/>
      <c r="Q1275" s="23"/>
      <c r="R1275" s="113"/>
      <c r="S1275" s="113"/>
      <c r="T1275" s="113"/>
      <c r="U1275" s="113"/>
      <c r="V1275" s="113"/>
      <c r="W1275" s="113"/>
      <c r="X1275" s="5">
        <f t="shared" si="191"/>
        <v>0</v>
      </c>
      <c r="Y1275" s="302"/>
      <c r="Z1275" s="5"/>
      <c r="AA1275" s="94"/>
      <c r="AB1275" s="311">
        <f t="shared" si="194"/>
        <v>0.25471728813559319</v>
      </c>
      <c r="AC1275" s="296"/>
      <c r="AD1275" s="113"/>
      <c r="AE1275" s="5"/>
      <c r="AF1275" s="5"/>
      <c r="AG1275" s="5"/>
      <c r="AH1275" s="5"/>
      <c r="AI1275" s="5"/>
      <c r="AJ1275" s="5"/>
      <c r="AK1275" s="141"/>
      <c r="AL1275" s="94"/>
      <c r="AM1275" s="128"/>
      <c r="AN1275" s="180"/>
      <c r="AO1275" s="128"/>
      <c r="AP1275" s="184"/>
      <c r="AQ1275" s="128"/>
      <c r="AR1275" s="184"/>
      <c r="AS1275" s="128"/>
      <c r="AT1275" s="184"/>
      <c r="AU1275" s="128"/>
      <c r="AV1275" s="184"/>
      <c r="AW1275" s="128"/>
      <c r="AX1275" s="184"/>
      <c r="AY1275" s="111"/>
      <c r="AZ1275" s="178"/>
      <c r="BC1275" s="47"/>
      <c r="BD1275" s="47"/>
      <c r="BF1275" s="113"/>
      <c r="BG1275" s="113"/>
      <c r="BH1275" s="113"/>
      <c r="BI1275" s="113"/>
      <c r="BJ1275" s="113"/>
      <c r="BK1275" s="113"/>
      <c r="BL1275" s="5">
        <f t="shared" si="195"/>
        <v>0</v>
      </c>
    </row>
    <row r="1276" spans="1:64" s="2" customFormat="1" ht="25.5" customHeight="1" outlineLevel="1" x14ac:dyDescent="0.2">
      <c r="A1276" s="593" t="s">
        <v>673</v>
      </c>
      <c r="B1276" s="600" t="s">
        <v>655</v>
      </c>
      <c r="C1276" s="7" t="s">
        <v>1527</v>
      </c>
      <c r="D1276" s="8" t="s">
        <v>145</v>
      </c>
      <c r="E1276" s="23" t="s">
        <v>1241</v>
      </c>
      <c r="F1276" s="8">
        <v>2013</v>
      </c>
      <c r="G1276" s="8">
        <v>2015</v>
      </c>
      <c r="H1276" s="5">
        <v>0.88817800000000002</v>
      </c>
      <c r="I1276" s="5">
        <v>0.88817800000000002</v>
      </c>
      <c r="J1276" s="5">
        <f>R1276</f>
        <v>0.88817800000000002</v>
      </c>
      <c r="K1276" s="8"/>
      <c r="L1276" s="23" t="s">
        <v>1241</v>
      </c>
      <c r="M1276" s="8"/>
      <c r="N1276" s="8"/>
      <c r="O1276" s="8"/>
      <c r="P1276" s="8"/>
      <c r="Q1276" s="23" t="s">
        <v>1241</v>
      </c>
      <c r="R1276" s="113">
        <v>0.88817800000000002</v>
      </c>
      <c r="S1276" s="113"/>
      <c r="T1276" s="113"/>
      <c r="U1276" s="113"/>
      <c r="V1276" s="113"/>
      <c r="W1276" s="113"/>
      <c r="X1276" s="5">
        <f t="shared" si="191"/>
        <v>0.88817800000000002</v>
      </c>
      <c r="Y1276" s="302">
        <f>H1276-H1277-H1278</f>
        <v>0</v>
      </c>
      <c r="Z1276" s="5">
        <f>I1276-I1277-I1278</f>
        <v>0</v>
      </c>
      <c r="AA1276" s="94">
        <f>J1276-J1277-J1278</f>
        <v>0</v>
      </c>
      <c r="AB1276" s="311">
        <f t="shared" si="194"/>
        <v>0</v>
      </c>
      <c r="AC1276" s="296"/>
      <c r="AD1276" s="113"/>
      <c r="AE1276" s="5"/>
      <c r="AF1276" s="5"/>
      <c r="AG1276" s="5">
        <f>H1276</f>
        <v>0.88817800000000002</v>
      </c>
      <c r="AH1276" s="5"/>
      <c r="AI1276" s="5"/>
      <c r="AJ1276" s="5"/>
      <c r="AK1276" s="141"/>
      <c r="AL1276" s="94">
        <f>SUM(AF1276:AK1276)</f>
        <v>0.88817800000000002</v>
      </c>
      <c r="AM1276" s="128"/>
      <c r="AN1276" s="180"/>
      <c r="AO1276" s="128">
        <v>0</v>
      </c>
      <c r="AP1276" s="184">
        <v>0</v>
      </c>
      <c r="AQ1276" s="128"/>
      <c r="AR1276" s="184"/>
      <c r="AS1276" s="128"/>
      <c r="AT1276" s="184"/>
      <c r="AU1276" s="128"/>
      <c r="AV1276" s="184"/>
      <c r="AW1276" s="128"/>
      <c r="AX1276" s="184"/>
      <c r="AY1276" s="111">
        <f>AM1276+AO1276+AQ1276+AS1276+AU1276+AW1276</f>
        <v>0</v>
      </c>
      <c r="AZ1276" s="178">
        <f>AN1276+AP1276+AR1276+AT1276+AV1276+AX1276</f>
        <v>0</v>
      </c>
      <c r="BC1276" s="47"/>
      <c r="BD1276" s="47"/>
      <c r="BF1276" s="113">
        <v>0.88817800000000002</v>
      </c>
      <c r="BG1276" s="113"/>
      <c r="BH1276" s="113"/>
      <c r="BI1276" s="113"/>
      <c r="BJ1276" s="113"/>
      <c r="BK1276" s="113"/>
      <c r="BL1276" s="5">
        <f t="shared" si="195"/>
        <v>0.88817800000000002</v>
      </c>
    </row>
    <row r="1277" spans="1:64" s="2" customFormat="1" ht="15.75" customHeight="1" outlineLevel="1" x14ac:dyDescent="0.2">
      <c r="A1277" s="594"/>
      <c r="B1277" s="601"/>
      <c r="C1277" s="7" t="s">
        <v>1553</v>
      </c>
      <c r="D1277" s="8"/>
      <c r="E1277" s="23"/>
      <c r="F1277" s="8"/>
      <c r="G1277" s="8"/>
      <c r="H1277" s="5"/>
      <c r="I1277" s="5"/>
      <c r="J1277" s="5"/>
      <c r="K1277" s="8"/>
      <c r="L1277" s="23"/>
      <c r="M1277" s="8"/>
      <c r="N1277" s="8"/>
      <c r="O1277" s="8"/>
      <c r="P1277" s="8"/>
      <c r="Q1277" s="23"/>
      <c r="R1277" s="113"/>
      <c r="S1277" s="113"/>
      <c r="T1277" s="113"/>
      <c r="U1277" s="113"/>
      <c r="V1277" s="113"/>
      <c r="W1277" s="113"/>
      <c r="X1277" s="5">
        <f>SUM(R1277:W1277)</f>
        <v>0</v>
      </c>
      <c r="Y1277" s="302"/>
      <c r="Z1277" s="5"/>
      <c r="AA1277" s="94"/>
      <c r="AB1277" s="311">
        <f t="shared" si="194"/>
        <v>0</v>
      </c>
      <c r="AC1277" s="296"/>
      <c r="AD1277" s="113"/>
      <c r="AE1277" s="5"/>
      <c r="AF1277" s="5"/>
      <c r="AG1277" s="5"/>
      <c r="AH1277" s="5"/>
      <c r="AI1277" s="5"/>
      <c r="AJ1277" s="5"/>
      <c r="AK1277" s="141"/>
      <c r="AL1277" s="94"/>
      <c r="AM1277" s="128"/>
      <c r="AN1277" s="180"/>
      <c r="AO1277" s="128"/>
      <c r="AP1277" s="184"/>
      <c r="AQ1277" s="128"/>
      <c r="AR1277" s="184"/>
      <c r="AS1277" s="128"/>
      <c r="AT1277" s="184"/>
      <c r="AU1277" s="128"/>
      <c r="AV1277" s="184"/>
      <c r="AW1277" s="128"/>
      <c r="AX1277" s="184"/>
      <c r="AY1277" s="111"/>
      <c r="AZ1277" s="178"/>
      <c r="BC1277" s="47"/>
      <c r="BD1277" s="47"/>
      <c r="BF1277" s="113"/>
      <c r="BG1277" s="113"/>
      <c r="BH1277" s="113"/>
      <c r="BI1277" s="113"/>
      <c r="BJ1277" s="113"/>
      <c r="BK1277" s="113"/>
      <c r="BL1277" s="5">
        <f t="shared" si="195"/>
        <v>0</v>
      </c>
    </row>
    <row r="1278" spans="1:64" s="2" customFormat="1" ht="15.75" customHeight="1" outlineLevel="1" x14ac:dyDescent="0.2">
      <c r="A1278" s="595"/>
      <c r="B1278" s="602"/>
      <c r="C1278" s="7" t="s">
        <v>1554</v>
      </c>
      <c r="D1278" s="8"/>
      <c r="E1278" s="23"/>
      <c r="F1278" s="8"/>
      <c r="G1278" s="8"/>
      <c r="H1278" s="5">
        <f>H1276</f>
        <v>0.88817800000000002</v>
      </c>
      <c r="I1278" s="5">
        <f>I1276</f>
        <v>0.88817800000000002</v>
      </c>
      <c r="J1278" s="5">
        <f>J1276</f>
        <v>0.88817800000000002</v>
      </c>
      <c r="K1278" s="23"/>
      <c r="L1278" s="8"/>
      <c r="M1278" s="8"/>
      <c r="N1278" s="8"/>
      <c r="O1278" s="8"/>
      <c r="P1278" s="8"/>
      <c r="Q1278" s="23"/>
      <c r="R1278" s="113"/>
      <c r="S1278" s="113"/>
      <c r="T1278" s="113"/>
      <c r="U1278" s="113"/>
      <c r="V1278" s="113"/>
      <c r="W1278" s="113"/>
      <c r="X1278" s="5">
        <f>SUM(R1278:W1278)</f>
        <v>0</v>
      </c>
      <c r="Y1278" s="302"/>
      <c r="Z1278" s="5"/>
      <c r="AA1278" s="94"/>
      <c r="AB1278" s="311">
        <f t="shared" si="194"/>
        <v>0.88817800000000002</v>
      </c>
      <c r="AC1278" s="296"/>
      <c r="AD1278" s="113"/>
      <c r="AE1278" s="5"/>
      <c r="AF1278" s="5"/>
      <c r="AG1278" s="5"/>
      <c r="AH1278" s="5"/>
      <c r="AI1278" s="5"/>
      <c r="AJ1278" s="5"/>
      <c r="AK1278" s="141"/>
      <c r="AL1278" s="94"/>
      <c r="AM1278" s="128"/>
      <c r="AN1278" s="180"/>
      <c r="AO1278" s="128"/>
      <c r="AP1278" s="184"/>
      <c r="AQ1278" s="128"/>
      <c r="AR1278" s="184"/>
      <c r="AS1278" s="128"/>
      <c r="AT1278" s="184"/>
      <c r="AU1278" s="128"/>
      <c r="AV1278" s="184"/>
      <c r="AW1278" s="128"/>
      <c r="AX1278" s="184"/>
      <c r="AY1278" s="111"/>
      <c r="AZ1278" s="178"/>
      <c r="BC1278" s="47"/>
      <c r="BD1278" s="47"/>
      <c r="BF1278" s="113"/>
      <c r="BG1278" s="113"/>
      <c r="BH1278" s="113"/>
      <c r="BI1278" s="113"/>
      <c r="BJ1278" s="113"/>
      <c r="BK1278" s="113"/>
      <c r="BL1278" s="5">
        <f t="shared" si="195"/>
        <v>0</v>
      </c>
    </row>
    <row r="1279" spans="1:64" s="2" customFormat="1" ht="25.5" customHeight="1" outlineLevel="1" x14ac:dyDescent="0.2">
      <c r="A1279" s="593" t="s">
        <v>675</v>
      </c>
      <c r="B1279" s="600" t="s">
        <v>658</v>
      </c>
      <c r="C1279" s="7" t="s">
        <v>677</v>
      </c>
      <c r="D1279" s="8" t="s">
        <v>145</v>
      </c>
      <c r="E1279" s="23" t="s">
        <v>361</v>
      </c>
      <c r="F1279" s="8">
        <v>2013</v>
      </c>
      <c r="G1279" s="8">
        <v>2015</v>
      </c>
      <c r="H1279" s="5">
        <v>0.184195</v>
      </c>
      <c r="I1279" s="5">
        <v>0.184195</v>
      </c>
      <c r="J1279" s="5">
        <f>R1279</f>
        <v>0.184195</v>
      </c>
      <c r="K1279" s="8"/>
      <c r="L1279" s="23" t="s">
        <v>361</v>
      </c>
      <c r="M1279" s="8"/>
      <c r="N1279" s="8"/>
      <c r="O1279" s="8"/>
      <c r="P1279" s="8"/>
      <c r="Q1279" s="23" t="s">
        <v>361</v>
      </c>
      <c r="R1279" s="113">
        <v>0.184195</v>
      </c>
      <c r="S1279" s="113"/>
      <c r="T1279" s="113"/>
      <c r="U1279" s="113"/>
      <c r="V1279" s="113"/>
      <c r="W1279" s="113"/>
      <c r="X1279" s="5">
        <f>SUM(R1279:W1279)</f>
        <v>0.184195</v>
      </c>
      <c r="Y1279" s="302">
        <f>H1279-H1280-H1281</f>
        <v>0</v>
      </c>
      <c r="Z1279" s="5">
        <f>I1279-I1280-I1281</f>
        <v>0</v>
      </c>
      <c r="AA1279" s="94">
        <f>J1279-J1280-J1281</f>
        <v>0</v>
      </c>
      <c r="AB1279" s="311">
        <f t="shared" si="194"/>
        <v>0</v>
      </c>
      <c r="AC1279" s="296"/>
      <c r="AD1279" s="113"/>
      <c r="AE1279" s="5"/>
      <c r="AF1279" s="5"/>
      <c r="AG1279" s="5">
        <f>H1279</f>
        <v>0.184195</v>
      </c>
      <c r="AH1279" s="5"/>
      <c r="AI1279" s="5"/>
      <c r="AJ1279" s="5"/>
      <c r="AK1279" s="141"/>
      <c r="AL1279" s="94">
        <f>SUM(AF1279:AK1279)</f>
        <v>0.184195</v>
      </c>
      <c r="AM1279" s="128"/>
      <c r="AN1279" s="180"/>
      <c r="AO1279" s="128">
        <v>0.12</v>
      </c>
      <c r="AP1279" s="184">
        <v>0</v>
      </c>
      <c r="AQ1279" s="128"/>
      <c r="AR1279" s="184"/>
      <c r="AS1279" s="128"/>
      <c r="AT1279" s="184"/>
      <c r="AU1279" s="128"/>
      <c r="AV1279" s="184"/>
      <c r="AW1279" s="128"/>
      <c r="AX1279" s="184"/>
      <c r="AY1279" s="111">
        <f>AM1279+AO1279+AQ1279+AS1279+AU1279+AW1279</f>
        <v>0.12</v>
      </c>
      <c r="AZ1279" s="178">
        <f>AN1279+AP1279+AR1279+AT1279+AV1279+AX1279</f>
        <v>0</v>
      </c>
      <c r="BC1279" s="47"/>
      <c r="BD1279" s="47"/>
      <c r="BF1279" s="113">
        <v>0.184195</v>
      </c>
      <c r="BG1279" s="113"/>
      <c r="BH1279" s="113"/>
      <c r="BI1279" s="113"/>
      <c r="BJ1279" s="113"/>
      <c r="BK1279" s="113"/>
      <c r="BL1279" s="5">
        <f t="shared" si="195"/>
        <v>0.184195</v>
      </c>
    </row>
    <row r="1280" spans="1:64" s="2" customFormat="1" ht="15.75" customHeight="1" outlineLevel="1" x14ac:dyDescent="0.2">
      <c r="A1280" s="594"/>
      <c r="B1280" s="601"/>
      <c r="C1280" s="7" t="s">
        <v>1553</v>
      </c>
      <c r="D1280" s="8"/>
      <c r="E1280" s="23"/>
      <c r="F1280" s="8"/>
      <c r="G1280" s="8"/>
      <c r="H1280" s="5">
        <f>H1279</f>
        <v>0.184195</v>
      </c>
      <c r="I1280" s="5">
        <f>I1279</f>
        <v>0.184195</v>
      </c>
      <c r="J1280" s="5">
        <f>J1279</f>
        <v>0.184195</v>
      </c>
      <c r="K1280" s="8"/>
      <c r="L1280" s="23"/>
      <c r="M1280" s="8"/>
      <c r="N1280" s="8"/>
      <c r="O1280" s="8"/>
      <c r="P1280" s="8"/>
      <c r="Q1280" s="23"/>
      <c r="R1280" s="113"/>
      <c r="S1280" s="113"/>
      <c r="T1280" s="113"/>
      <c r="U1280" s="113"/>
      <c r="V1280" s="113"/>
      <c r="W1280" s="113"/>
      <c r="X1280" s="5">
        <f>SUM(R1280:W1280)</f>
        <v>0</v>
      </c>
      <c r="Y1280" s="302"/>
      <c r="Z1280" s="5"/>
      <c r="AA1280" s="94"/>
      <c r="AB1280" s="311">
        <f t="shared" si="194"/>
        <v>0.184195</v>
      </c>
      <c r="AC1280" s="296"/>
      <c r="AD1280" s="113"/>
      <c r="AE1280" s="5"/>
      <c r="AF1280" s="5"/>
      <c r="AG1280" s="5"/>
      <c r="AH1280" s="5"/>
      <c r="AI1280" s="5"/>
      <c r="AJ1280" s="5"/>
      <c r="AK1280" s="141"/>
      <c r="AL1280" s="94"/>
      <c r="AM1280" s="128"/>
      <c r="AN1280" s="180"/>
      <c r="AO1280" s="128"/>
      <c r="AP1280" s="184"/>
      <c r="AQ1280" s="128"/>
      <c r="AR1280" s="184"/>
      <c r="AS1280" s="128"/>
      <c r="AT1280" s="184"/>
      <c r="AU1280" s="128"/>
      <c r="AV1280" s="184"/>
      <c r="AW1280" s="128"/>
      <c r="AX1280" s="184"/>
      <c r="AY1280" s="111"/>
      <c r="AZ1280" s="178"/>
      <c r="BC1280" s="47"/>
      <c r="BD1280" s="47"/>
      <c r="BF1280" s="113"/>
      <c r="BG1280" s="113"/>
      <c r="BH1280" s="113"/>
      <c r="BI1280" s="113"/>
      <c r="BJ1280" s="113"/>
      <c r="BK1280" s="113"/>
      <c r="BL1280" s="5">
        <f t="shared" si="195"/>
        <v>0</v>
      </c>
    </row>
    <row r="1281" spans="1:64" s="2" customFormat="1" ht="15.75" customHeight="1" outlineLevel="1" x14ac:dyDescent="0.2">
      <c r="A1281" s="595"/>
      <c r="B1281" s="602"/>
      <c r="C1281" s="7" t="s">
        <v>1554</v>
      </c>
      <c r="D1281" s="8"/>
      <c r="E1281" s="23"/>
      <c r="F1281" s="8"/>
      <c r="G1281" s="8"/>
      <c r="H1281" s="5"/>
      <c r="I1281" s="5"/>
      <c r="J1281" s="5"/>
      <c r="K1281" s="23"/>
      <c r="L1281" s="8"/>
      <c r="M1281" s="8"/>
      <c r="N1281" s="8"/>
      <c r="O1281" s="8"/>
      <c r="P1281" s="8"/>
      <c r="Q1281" s="23"/>
      <c r="R1281" s="113"/>
      <c r="S1281" s="113"/>
      <c r="T1281" s="113"/>
      <c r="U1281" s="113"/>
      <c r="V1281" s="113"/>
      <c r="W1281" s="113"/>
      <c r="X1281" s="5">
        <f>SUM(R1281:W1281)</f>
        <v>0</v>
      </c>
      <c r="Y1281" s="302"/>
      <c r="Z1281" s="5"/>
      <c r="AA1281" s="94"/>
      <c r="AB1281" s="311">
        <f t="shared" si="194"/>
        <v>0</v>
      </c>
      <c r="AC1281" s="296"/>
      <c r="AD1281" s="113"/>
      <c r="AE1281" s="5"/>
      <c r="AF1281" s="5"/>
      <c r="AG1281" s="5"/>
      <c r="AH1281" s="5"/>
      <c r="AI1281" s="5"/>
      <c r="AJ1281" s="5"/>
      <c r="AK1281" s="141"/>
      <c r="AL1281" s="94"/>
      <c r="AM1281" s="128"/>
      <c r="AN1281" s="180"/>
      <c r="AO1281" s="128"/>
      <c r="AP1281" s="184"/>
      <c r="AQ1281" s="128"/>
      <c r="AR1281" s="184"/>
      <c r="AS1281" s="128"/>
      <c r="AT1281" s="184"/>
      <c r="AU1281" s="128"/>
      <c r="AV1281" s="184"/>
      <c r="AW1281" s="128"/>
      <c r="AX1281" s="184"/>
      <c r="AY1281" s="111"/>
      <c r="AZ1281" s="178"/>
      <c r="BC1281" s="47"/>
      <c r="BD1281" s="47"/>
      <c r="BF1281" s="113"/>
      <c r="BG1281" s="113"/>
      <c r="BH1281" s="113"/>
      <c r="BI1281" s="113"/>
      <c r="BJ1281" s="113"/>
      <c r="BK1281" s="113"/>
      <c r="BL1281" s="5">
        <f t="shared" si="195"/>
        <v>0</v>
      </c>
    </row>
    <row r="1282" spans="1:64" s="2" customFormat="1" ht="39.950000000000003" customHeight="1" outlineLevel="1" x14ac:dyDescent="0.2">
      <c r="A1282" s="593" t="s">
        <v>678</v>
      </c>
      <c r="B1282" s="600" t="s">
        <v>661</v>
      </c>
      <c r="C1282" s="7" t="s">
        <v>680</v>
      </c>
      <c r="D1282" s="8" t="s">
        <v>136</v>
      </c>
      <c r="E1282" s="23" t="s">
        <v>1241</v>
      </c>
      <c r="F1282" s="8">
        <v>2011</v>
      </c>
      <c r="G1282" s="8">
        <v>2015</v>
      </c>
      <c r="H1282" s="5">
        <v>0.33583969000000002</v>
      </c>
      <c r="I1282" s="5">
        <v>0.31610169491525425</v>
      </c>
      <c r="J1282" s="5">
        <f>R1282</f>
        <v>0.01</v>
      </c>
      <c r="K1282" s="8"/>
      <c r="L1282" s="23" t="s">
        <v>1241</v>
      </c>
      <c r="M1282" s="8"/>
      <c r="N1282" s="8"/>
      <c r="O1282" s="8"/>
      <c r="P1282" s="8"/>
      <c r="Q1282" s="23" t="s">
        <v>1241</v>
      </c>
      <c r="R1282" s="113">
        <v>0.01</v>
      </c>
      <c r="S1282" s="113"/>
      <c r="T1282" s="113"/>
      <c r="U1282" s="113"/>
      <c r="V1282" s="113"/>
      <c r="W1282" s="113"/>
      <c r="X1282" s="5">
        <f t="shared" si="191"/>
        <v>0.01</v>
      </c>
      <c r="Y1282" s="302">
        <f>H1282-H1283-H1284</f>
        <v>0</v>
      </c>
      <c r="Z1282" s="5">
        <f>I1282-I1283-I1284</f>
        <v>0</v>
      </c>
      <c r="AA1282" s="94">
        <f>J1282-J1283-J1284</f>
        <v>0</v>
      </c>
      <c r="AB1282" s="311">
        <f t="shared" si="194"/>
        <v>0.30610169491525424</v>
      </c>
      <c r="AC1282" s="296"/>
      <c r="AD1282" s="113"/>
      <c r="AE1282" s="5"/>
      <c r="AF1282" s="5"/>
      <c r="AG1282" s="5">
        <f>H1282</f>
        <v>0.33583969000000002</v>
      </c>
      <c r="AH1282" s="5"/>
      <c r="AI1282" s="5"/>
      <c r="AJ1282" s="5"/>
      <c r="AK1282" s="141"/>
      <c r="AL1282" s="94">
        <f>SUM(AF1282:AK1282)</f>
        <v>0.33583969000000002</v>
      </c>
      <c r="AM1282" s="128"/>
      <c r="AN1282" s="180"/>
      <c r="AO1282" s="128">
        <v>0</v>
      </c>
      <c r="AP1282" s="184">
        <v>0</v>
      </c>
      <c r="AQ1282" s="128"/>
      <c r="AR1282" s="184"/>
      <c r="AS1282" s="128"/>
      <c r="AT1282" s="184"/>
      <c r="AU1282" s="128"/>
      <c r="AV1282" s="184"/>
      <c r="AW1282" s="128"/>
      <c r="AX1282" s="184"/>
      <c r="AY1282" s="111">
        <f>AM1282+AO1282+AQ1282+AS1282+AU1282+AW1282</f>
        <v>0</v>
      </c>
      <c r="AZ1282" s="178">
        <f>AN1282+AP1282+AR1282+AT1282+AV1282+AX1282</f>
        <v>0</v>
      </c>
      <c r="BC1282" s="47"/>
      <c r="BD1282" s="47"/>
      <c r="BF1282" s="113">
        <v>0.01</v>
      </c>
      <c r="BG1282" s="113"/>
      <c r="BH1282" s="113"/>
      <c r="BI1282" s="113"/>
      <c r="BJ1282" s="113"/>
      <c r="BK1282" s="113"/>
      <c r="BL1282" s="5">
        <f t="shared" si="195"/>
        <v>0.01</v>
      </c>
    </row>
    <row r="1283" spans="1:64" s="2" customFormat="1" ht="15.75" customHeight="1" outlineLevel="1" x14ac:dyDescent="0.2">
      <c r="A1283" s="594"/>
      <c r="B1283" s="601"/>
      <c r="C1283" s="7" t="s">
        <v>1553</v>
      </c>
      <c r="D1283" s="8"/>
      <c r="E1283" s="23"/>
      <c r="F1283" s="8"/>
      <c r="G1283" s="8"/>
      <c r="H1283" s="5">
        <f>H1282</f>
        <v>0.33583969000000002</v>
      </c>
      <c r="I1283" s="5">
        <f>I1282</f>
        <v>0.31610169491525425</v>
      </c>
      <c r="J1283" s="5">
        <f>J1282</f>
        <v>0.01</v>
      </c>
      <c r="K1283" s="8"/>
      <c r="L1283" s="23"/>
      <c r="M1283" s="8"/>
      <c r="N1283" s="8"/>
      <c r="O1283" s="8"/>
      <c r="P1283" s="8"/>
      <c r="Q1283" s="23"/>
      <c r="R1283" s="113"/>
      <c r="S1283" s="113"/>
      <c r="T1283" s="113"/>
      <c r="U1283" s="113"/>
      <c r="V1283" s="113"/>
      <c r="W1283" s="113"/>
      <c r="X1283" s="5">
        <f t="shared" si="191"/>
        <v>0</v>
      </c>
      <c r="Y1283" s="302"/>
      <c r="Z1283" s="5"/>
      <c r="AA1283" s="94"/>
      <c r="AB1283" s="311">
        <f t="shared" si="194"/>
        <v>0.31610169491525425</v>
      </c>
      <c r="AC1283" s="296"/>
      <c r="AD1283" s="113"/>
      <c r="AE1283" s="5"/>
      <c r="AF1283" s="5"/>
      <c r="AG1283" s="5"/>
      <c r="AH1283" s="5"/>
      <c r="AI1283" s="5"/>
      <c r="AJ1283" s="5"/>
      <c r="AK1283" s="141"/>
      <c r="AL1283" s="94"/>
      <c r="AM1283" s="128"/>
      <c r="AN1283" s="180"/>
      <c r="AO1283" s="128"/>
      <c r="AP1283" s="184"/>
      <c r="AQ1283" s="128"/>
      <c r="AR1283" s="184"/>
      <c r="AS1283" s="128"/>
      <c r="AT1283" s="184"/>
      <c r="AU1283" s="128"/>
      <c r="AV1283" s="184"/>
      <c r="AW1283" s="128"/>
      <c r="AX1283" s="184"/>
      <c r="AY1283" s="111"/>
      <c r="AZ1283" s="178"/>
      <c r="BC1283" s="47"/>
      <c r="BD1283" s="47"/>
      <c r="BF1283" s="113"/>
      <c r="BG1283" s="113"/>
      <c r="BH1283" s="113"/>
      <c r="BI1283" s="113"/>
      <c r="BJ1283" s="113"/>
      <c r="BK1283" s="113"/>
      <c r="BL1283" s="5">
        <f t="shared" si="195"/>
        <v>0</v>
      </c>
    </row>
    <row r="1284" spans="1:64" s="2" customFormat="1" ht="15.75" customHeight="1" outlineLevel="1" x14ac:dyDescent="0.2">
      <c r="A1284" s="595"/>
      <c r="B1284" s="602"/>
      <c r="C1284" s="7" t="s">
        <v>1554</v>
      </c>
      <c r="D1284" s="8"/>
      <c r="E1284" s="23"/>
      <c r="F1284" s="8"/>
      <c r="G1284" s="8"/>
      <c r="H1284" s="5"/>
      <c r="I1284" s="5"/>
      <c r="J1284" s="5"/>
      <c r="K1284" s="23"/>
      <c r="L1284" s="8"/>
      <c r="M1284" s="8"/>
      <c r="N1284" s="8"/>
      <c r="O1284" s="8"/>
      <c r="P1284" s="8"/>
      <c r="Q1284" s="23"/>
      <c r="R1284" s="113"/>
      <c r="S1284" s="113"/>
      <c r="T1284" s="113"/>
      <c r="U1284" s="113"/>
      <c r="V1284" s="113"/>
      <c r="W1284" s="113"/>
      <c r="X1284" s="5">
        <f t="shared" si="191"/>
        <v>0</v>
      </c>
      <c r="Y1284" s="302"/>
      <c r="Z1284" s="5"/>
      <c r="AA1284" s="94"/>
      <c r="AB1284" s="311">
        <f t="shared" si="194"/>
        <v>0</v>
      </c>
      <c r="AC1284" s="296"/>
      <c r="AD1284" s="113"/>
      <c r="AE1284" s="5"/>
      <c r="AF1284" s="5"/>
      <c r="AG1284" s="5"/>
      <c r="AH1284" s="5"/>
      <c r="AI1284" s="5"/>
      <c r="AJ1284" s="5"/>
      <c r="AK1284" s="141"/>
      <c r="AL1284" s="94"/>
      <c r="AM1284" s="128"/>
      <c r="AN1284" s="180"/>
      <c r="AO1284" s="128"/>
      <c r="AP1284" s="184"/>
      <c r="AQ1284" s="128"/>
      <c r="AR1284" s="184"/>
      <c r="AS1284" s="128"/>
      <c r="AT1284" s="184"/>
      <c r="AU1284" s="128"/>
      <c r="AV1284" s="184"/>
      <c r="AW1284" s="128"/>
      <c r="AX1284" s="184"/>
      <c r="AY1284" s="111"/>
      <c r="AZ1284" s="178"/>
      <c r="BC1284" s="47"/>
      <c r="BD1284" s="47"/>
      <c r="BF1284" s="113"/>
      <c r="BG1284" s="113"/>
      <c r="BH1284" s="113"/>
      <c r="BI1284" s="113"/>
      <c r="BJ1284" s="113"/>
      <c r="BK1284" s="113"/>
      <c r="BL1284" s="5">
        <f t="shared" si="195"/>
        <v>0</v>
      </c>
    </row>
    <row r="1285" spans="1:64" s="2" customFormat="1" ht="38.25" customHeight="1" outlineLevel="1" x14ac:dyDescent="0.2">
      <c r="A1285" s="593" t="s">
        <v>681</v>
      </c>
      <c r="B1285" s="600" t="s">
        <v>663</v>
      </c>
      <c r="C1285" s="7" t="s">
        <v>683</v>
      </c>
      <c r="D1285" s="8" t="s">
        <v>145</v>
      </c>
      <c r="E1285" s="23" t="s">
        <v>1387</v>
      </c>
      <c r="F1285" s="8">
        <v>2013</v>
      </c>
      <c r="G1285" s="8">
        <v>2015</v>
      </c>
      <c r="H1285" s="5">
        <v>3.6440677966101696E-2</v>
      </c>
      <c r="I1285" s="5">
        <v>3.6440677966101696E-2</v>
      </c>
      <c r="J1285" s="5">
        <f>R1285</f>
        <v>0.03</v>
      </c>
      <c r="K1285" s="8"/>
      <c r="L1285" s="23" t="s">
        <v>1387</v>
      </c>
      <c r="M1285" s="8"/>
      <c r="N1285" s="8"/>
      <c r="O1285" s="8"/>
      <c r="P1285" s="8"/>
      <c r="Q1285" s="23" t="s">
        <v>1387</v>
      </c>
      <c r="R1285" s="113">
        <v>0.03</v>
      </c>
      <c r="S1285" s="113"/>
      <c r="T1285" s="113"/>
      <c r="U1285" s="113"/>
      <c r="V1285" s="113"/>
      <c r="W1285" s="113"/>
      <c r="X1285" s="5">
        <f t="shared" si="191"/>
        <v>0.03</v>
      </c>
      <c r="Y1285" s="302">
        <f>H1285-H1286-H1287</f>
        <v>0</v>
      </c>
      <c r="Z1285" s="5">
        <f>I1285-I1286-I1287</f>
        <v>0</v>
      </c>
      <c r="AA1285" s="94">
        <f>J1285-J1286-J1287</f>
        <v>0</v>
      </c>
      <c r="AB1285" s="311">
        <f t="shared" si="194"/>
        <v>6.4406779661016975E-3</v>
      </c>
      <c r="AC1285" s="296"/>
      <c r="AD1285" s="113"/>
      <c r="AE1285" s="5"/>
      <c r="AF1285" s="5"/>
      <c r="AG1285" s="5">
        <f>H1285</f>
        <v>3.6440677966101696E-2</v>
      </c>
      <c r="AH1285" s="5"/>
      <c r="AI1285" s="5"/>
      <c r="AJ1285" s="5"/>
      <c r="AK1285" s="141"/>
      <c r="AL1285" s="94">
        <f>SUM(AF1285:AK1285)</f>
        <v>3.6440677966101696E-2</v>
      </c>
      <c r="AM1285" s="128"/>
      <c r="AN1285" s="180"/>
      <c r="AO1285" s="128">
        <v>0.5</v>
      </c>
      <c r="AP1285" s="184">
        <v>0</v>
      </c>
      <c r="AQ1285" s="128"/>
      <c r="AR1285" s="184"/>
      <c r="AS1285" s="128"/>
      <c r="AT1285" s="184"/>
      <c r="AU1285" s="128"/>
      <c r="AV1285" s="184"/>
      <c r="AW1285" s="128"/>
      <c r="AX1285" s="184"/>
      <c r="AY1285" s="111">
        <f>AM1285+AO1285+AQ1285+AS1285+AU1285+AW1285</f>
        <v>0.5</v>
      </c>
      <c r="AZ1285" s="178">
        <f>AN1285+AP1285+AR1285+AT1285+AV1285+AX1285</f>
        <v>0</v>
      </c>
      <c r="BC1285" s="47"/>
      <c r="BD1285" s="47"/>
      <c r="BF1285" s="113">
        <v>0.03</v>
      </c>
      <c r="BG1285" s="113"/>
      <c r="BH1285" s="113"/>
      <c r="BI1285" s="113"/>
      <c r="BJ1285" s="113"/>
      <c r="BK1285" s="113"/>
      <c r="BL1285" s="5">
        <f t="shared" si="195"/>
        <v>0.03</v>
      </c>
    </row>
    <row r="1286" spans="1:64" s="2" customFormat="1" ht="14.1" customHeight="1" outlineLevel="1" x14ac:dyDescent="0.2">
      <c r="A1286" s="594"/>
      <c r="B1286" s="601"/>
      <c r="C1286" s="7" t="s">
        <v>1553</v>
      </c>
      <c r="D1286" s="8"/>
      <c r="E1286" s="23"/>
      <c r="F1286" s="8"/>
      <c r="G1286" s="8"/>
      <c r="H1286" s="5"/>
      <c r="I1286" s="5"/>
      <c r="J1286" s="5"/>
      <c r="K1286" s="8"/>
      <c r="L1286" s="23"/>
      <c r="M1286" s="8"/>
      <c r="N1286" s="8"/>
      <c r="O1286" s="8"/>
      <c r="P1286" s="8"/>
      <c r="Q1286" s="23"/>
      <c r="R1286" s="113"/>
      <c r="S1286" s="113"/>
      <c r="T1286" s="113"/>
      <c r="U1286" s="113"/>
      <c r="V1286" s="113"/>
      <c r="W1286" s="113"/>
      <c r="X1286" s="5">
        <f>SUM(R1286:W1286)</f>
        <v>0</v>
      </c>
      <c r="Y1286" s="302"/>
      <c r="Z1286" s="5"/>
      <c r="AA1286" s="94"/>
      <c r="AB1286" s="311">
        <f t="shared" si="194"/>
        <v>0</v>
      </c>
      <c r="AC1286" s="296"/>
      <c r="AD1286" s="113"/>
      <c r="AE1286" s="5"/>
      <c r="AF1286" s="5"/>
      <c r="AG1286" s="5"/>
      <c r="AH1286" s="5"/>
      <c r="AI1286" s="5"/>
      <c r="AJ1286" s="5"/>
      <c r="AK1286" s="141"/>
      <c r="AL1286" s="94"/>
      <c r="AM1286" s="128"/>
      <c r="AN1286" s="180"/>
      <c r="AO1286" s="128"/>
      <c r="AP1286" s="184"/>
      <c r="AQ1286" s="128"/>
      <c r="AR1286" s="184"/>
      <c r="AS1286" s="128"/>
      <c r="AT1286" s="184"/>
      <c r="AU1286" s="128"/>
      <c r="AV1286" s="184"/>
      <c r="AW1286" s="128"/>
      <c r="AX1286" s="184"/>
      <c r="AY1286" s="111"/>
      <c r="AZ1286" s="178"/>
      <c r="BC1286" s="47"/>
      <c r="BD1286" s="47"/>
      <c r="BF1286" s="113"/>
      <c r="BG1286" s="113"/>
      <c r="BH1286" s="113"/>
      <c r="BI1286" s="113"/>
      <c r="BJ1286" s="113"/>
      <c r="BK1286" s="113"/>
      <c r="BL1286" s="5">
        <f t="shared" si="195"/>
        <v>0</v>
      </c>
    </row>
    <row r="1287" spans="1:64" s="2" customFormat="1" ht="14.1" customHeight="1" outlineLevel="1" x14ac:dyDescent="0.2">
      <c r="A1287" s="595"/>
      <c r="B1287" s="602"/>
      <c r="C1287" s="7" t="s">
        <v>1554</v>
      </c>
      <c r="D1287" s="8"/>
      <c r="E1287" s="23"/>
      <c r="F1287" s="8"/>
      <c r="G1287" s="8"/>
      <c r="H1287" s="5">
        <v>3.6440677966101696E-2</v>
      </c>
      <c r="I1287" s="5">
        <v>3.6440677966101696E-2</v>
      </c>
      <c r="J1287" s="5">
        <v>0.03</v>
      </c>
      <c r="K1287" s="23"/>
      <c r="L1287" s="8"/>
      <c r="M1287" s="8"/>
      <c r="N1287" s="8"/>
      <c r="O1287" s="8"/>
      <c r="P1287" s="8"/>
      <c r="Q1287" s="23"/>
      <c r="R1287" s="113"/>
      <c r="S1287" s="113"/>
      <c r="T1287" s="113"/>
      <c r="U1287" s="113"/>
      <c r="V1287" s="113"/>
      <c r="W1287" s="113"/>
      <c r="X1287" s="5">
        <f>SUM(R1287:W1287)</f>
        <v>0</v>
      </c>
      <c r="Y1287" s="302"/>
      <c r="Z1287" s="5"/>
      <c r="AA1287" s="94"/>
      <c r="AB1287" s="311">
        <f t="shared" si="194"/>
        <v>3.6440677966101696E-2</v>
      </c>
      <c r="AC1287" s="296"/>
      <c r="AD1287" s="113"/>
      <c r="AE1287" s="5"/>
      <c r="AF1287" s="5"/>
      <c r="AG1287" s="5"/>
      <c r="AH1287" s="5"/>
      <c r="AI1287" s="5"/>
      <c r="AJ1287" s="5"/>
      <c r="AK1287" s="141"/>
      <c r="AL1287" s="94"/>
      <c r="AM1287" s="128"/>
      <c r="AN1287" s="180"/>
      <c r="AO1287" s="128"/>
      <c r="AP1287" s="184"/>
      <c r="AQ1287" s="128"/>
      <c r="AR1287" s="184"/>
      <c r="AS1287" s="128"/>
      <c r="AT1287" s="184"/>
      <c r="AU1287" s="128"/>
      <c r="AV1287" s="184"/>
      <c r="AW1287" s="128"/>
      <c r="AX1287" s="184"/>
      <c r="AY1287" s="111"/>
      <c r="AZ1287" s="178"/>
      <c r="BC1287" s="47"/>
      <c r="BD1287" s="47"/>
      <c r="BF1287" s="113"/>
      <c r="BG1287" s="113"/>
      <c r="BH1287" s="113"/>
      <c r="BI1287" s="113"/>
      <c r="BJ1287" s="113"/>
      <c r="BK1287" s="113"/>
      <c r="BL1287" s="5">
        <f t="shared" si="195"/>
        <v>0</v>
      </c>
    </row>
    <row r="1288" spans="1:64" s="2" customFormat="1" ht="25.5" customHeight="1" outlineLevel="1" x14ac:dyDescent="0.2">
      <c r="A1288" s="593" t="s">
        <v>684</v>
      </c>
      <c r="B1288" s="600" t="s">
        <v>666</v>
      </c>
      <c r="C1288" s="7" t="s">
        <v>686</v>
      </c>
      <c r="D1288" s="8" t="s">
        <v>145</v>
      </c>
      <c r="E1288" s="23" t="s">
        <v>1241</v>
      </c>
      <c r="F1288" s="8">
        <v>2013</v>
      </c>
      <c r="G1288" s="8">
        <v>2015</v>
      </c>
      <c r="H1288" s="5">
        <v>0.122797</v>
      </c>
      <c r="I1288" s="5">
        <v>0.122797</v>
      </c>
      <c r="J1288" s="5">
        <f>R1288</f>
        <v>0.122797</v>
      </c>
      <c r="K1288" s="8"/>
      <c r="L1288" s="23" t="s">
        <v>1241</v>
      </c>
      <c r="M1288" s="8"/>
      <c r="N1288" s="8"/>
      <c r="O1288" s="8"/>
      <c r="P1288" s="8"/>
      <c r="Q1288" s="23" t="s">
        <v>1241</v>
      </c>
      <c r="R1288" s="113">
        <v>0.122797</v>
      </c>
      <c r="S1288" s="113"/>
      <c r="T1288" s="113"/>
      <c r="U1288" s="113"/>
      <c r="V1288" s="113"/>
      <c r="W1288" s="113"/>
      <c r="X1288" s="5">
        <f t="shared" si="191"/>
        <v>0.122797</v>
      </c>
      <c r="Y1288" s="302">
        <f>H1288-H1289-H1290</f>
        <v>0</v>
      </c>
      <c r="Z1288" s="5">
        <f>I1288-I1289-I1290</f>
        <v>0</v>
      </c>
      <c r="AA1288" s="94">
        <f>J1288-J1289-J1290</f>
        <v>0</v>
      </c>
      <c r="AB1288" s="311">
        <f t="shared" si="194"/>
        <v>0</v>
      </c>
      <c r="AC1288" s="296"/>
      <c r="AD1288" s="113"/>
      <c r="AE1288" s="5"/>
      <c r="AF1288" s="5"/>
      <c r="AG1288" s="5">
        <f>H1288</f>
        <v>0.122797</v>
      </c>
      <c r="AH1288" s="5"/>
      <c r="AI1288" s="5"/>
      <c r="AJ1288" s="5"/>
      <c r="AK1288" s="141"/>
      <c r="AL1288" s="94">
        <f>SUM(AF1288:AK1288)</f>
        <v>0.122797</v>
      </c>
      <c r="AM1288" s="128"/>
      <c r="AN1288" s="180"/>
      <c r="AO1288" s="128">
        <v>0</v>
      </c>
      <c r="AP1288" s="184">
        <v>0</v>
      </c>
      <c r="AQ1288" s="128"/>
      <c r="AR1288" s="184"/>
      <c r="AS1288" s="128"/>
      <c r="AT1288" s="184"/>
      <c r="AU1288" s="128"/>
      <c r="AV1288" s="184"/>
      <c r="AW1288" s="128"/>
      <c r="AX1288" s="184"/>
      <c r="AY1288" s="111">
        <f>AM1288+AO1288+AQ1288+AS1288+AU1288+AW1288</f>
        <v>0</v>
      </c>
      <c r="AZ1288" s="178">
        <f>AN1288+AP1288+AR1288+AT1288+AV1288+AX1288</f>
        <v>0</v>
      </c>
      <c r="BC1288" s="47"/>
      <c r="BD1288" s="47"/>
      <c r="BF1288" s="113">
        <v>0.122797</v>
      </c>
      <c r="BG1288" s="113"/>
      <c r="BH1288" s="113"/>
      <c r="BI1288" s="113"/>
      <c r="BJ1288" s="113"/>
      <c r="BK1288" s="113"/>
      <c r="BL1288" s="5">
        <f t="shared" si="195"/>
        <v>0.122797</v>
      </c>
    </row>
    <row r="1289" spans="1:64" s="2" customFormat="1" ht="14.1" customHeight="1" outlineLevel="1" x14ac:dyDescent="0.2">
      <c r="A1289" s="594"/>
      <c r="B1289" s="601"/>
      <c r="C1289" s="7" t="s">
        <v>1553</v>
      </c>
      <c r="D1289" s="8"/>
      <c r="E1289" s="23"/>
      <c r="F1289" s="8"/>
      <c r="G1289" s="8"/>
      <c r="H1289" s="5"/>
      <c r="I1289" s="5"/>
      <c r="J1289" s="5"/>
      <c r="K1289" s="8"/>
      <c r="L1289" s="23"/>
      <c r="M1289" s="8"/>
      <c r="N1289" s="8"/>
      <c r="O1289" s="8"/>
      <c r="P1289" s="8"/>
      <c r="Q1289" s="23"/>
      <c r="R1289" s="113"/>
      <c r="S1289" s="113"/>
      <c r="T1289" s="113"/>
      <c r="U1289" s="113"/>
      <c r="V1289" s="113"/>
      <c r="W1289" s="113"/>
      <c r="X1289" s="5">
        <f t="shared" si="191"/>
        <v>0</v>
      </c>
      <c r="Y1289" s="302"/>
      <c r="Z1289" s="5"/>
      <c r="AA1289" s="94"/>
      <c r="AB1289" s="311">
        <f t="shared" si="194"/>
        <v>0</v>
      </c>
      <c r="AC1289" s="296"/>
      <c r="AD1289" s="113"/>
      <c r="AE1289" s="5"/>
      <c r="AF1289" s="5"/>
      <c r="AG1289" s="5"/>
      <c r="AH1289" s="5"/>
      <c r="AI1289" s="5"/>
      <c r="AJ1289" s="5"/>
      <c r="AK1289" s="141"/>
      <c r="AL1289" s="94"/>
      <c r="AM1289" s="128"/>
      <c r="AN1289" s="180"/>
      <c r="AO1289" s="128"/>
      <c r="AP1289" s="184"/>
      <c r="AQ1289" s="128"/>
      <c r="AR1289" s="184"/>
      <c r="AS1289" s="128"/>
      <c r="AT1289" s="184"/>
      <c r="AU1289" s="128"/>
      <c r="AV1289" s="184"/>
      <c r="AW1289" s="128"/>
      <c r="AX1289" s="184"/>
      <c r="AY1289" s="111"/>
      <c r="AZ1289" s="178"/>
      <c r="BC1289" s="47"/>
      <c r="BD1289" s="47"/>
      <c r="BF1289" s="113"/>
      <c r="BG1289" s="113"/>
      <c r="BH1289" s="113"/>
      <c r="BI1289" s="113"/>
      <c r="BJ1289" s="113"/>
      <c r="BK1289" s="113"/>
      <c r="BL1289" s="5">
        <f t="shared" si="195"/>
        <v>0</v>
      </c>
    </row>
    <row r="1290" spans="1:64" s="2" customFormat="1" ht="14.1" customHeight="1" outlineLevel="1" x14ac:dyDescent="0.2">
      <c r="A1290" s="595"/>
      <c r="B1290" s="602"/>
      <c r="C1290" s="7" t="s">
        <v>1554</v>
      </c>
      <c r="D1290" s="8"/>
      <c r="E1290" s="23"/>
      <c r="F1290" s="8"/>
      <c r="G1290" s="8"/>
      <c r="H1290" s="5">
        <f>H1288</f>
        <v>0.122797</v>
      </c>
      <c r="I1290" s="5">
        <f>I1288</f>
        <v>0.122797</v>
      </c>
      <c r="J1290" s="5">
        <f>J1288</f>
        <v>0.122797</v>
      </c>
      <c r="K1290" s="23"/>
      <c r="L1290" s="8"/>
      <c r="M1290" s="8"/>
      <c r="N1290" s="8"/>
      <c r="O1290" s="8"/>
      <c r="P1290" s="8"/>
      <c r="Q1290" s="23"/>
      <c r="R1290" s="113"/>
      <c r="S1290" s="113"/>
      <c r="T1290" s="113"/>
      <c r="U1290" s="113"/>
      <c r="V1290" s="113"/>
      <c r="W1290" s="113"/>
      <c r="X1290" s="5">
        <f t="shared" si="191"/>
        <v>0</v>
      </c>
      <c r="Y1290" s="302"/>
      <c r="Z1290" s="5"/>
      <c r="AA1290" s="94"/>
      <c r="AB1290" s="311">
        <f t="shared" si="194"/>
        <v>0.122797</v>
      </c>
      <c r="AC1290" s="296"/>
      <c r="AD1290" s="113"/>
      <c r="AE1290" s="5"/>
      <c r="AF1290" s="5"/>
      <c r="AG1290" s="5"/>
      <c r="AH1290" s="5"/>
      <c r="AI1290" s="5"/>
      <c r="AJ1290" s="5"/>
      <c r="AK1290" s="141"/>
      <c r="AL1290" s="94"/>
      <c r="AM1290" s="128"/>
      <c r="AN1290" s="180"/>
      <c r="AO1290" s="128"/>
      <c r="AP1290" s="184"/>
      <c r="AQ1290" s="128"/>
      <c r="AR1290" s="184"/>
      <c r="AS1290" s="128"/>
      <c r="AT1290" s="184"/>
      <c r="AU1290" s="128"/>
      <c r="AV1290" s="184"/>
      <c r="AW1290" s="128"/>
      <c r="AX1290" s="184"/>
      <c r="AY1290" s="111"/>
      <c r="AZ1290" s="178"/>
      <c r="BC1290" s="47"/>
      <c r="BD1290" s="47"/>
      <c r="BF1290" s="113"/>
      <c r="BG1290" s="113"/>
      <c r="BH1290" s="113"/>
      <c r="BI1290" s="113"/>
      <c r="BJ1290" s="113"/>
      <c r="BK1290" s="113"/>
      <c r="BL1290" s="5">
        <f t="shared" si="195"/>
        <v>0</v>
      </c>
    </row>
    <row r="1291" spans="1:64" s="2" customFormat="1" ht="25.5" customHeight="1" outlineLevel="1" x14ac:dyDescent="0.2">
      <c r="A1291" s="593" t="s">
        <v>689</v>
      </c>
      <c r="B1291" s="600" t="s">
        <v>669</v>
      </c>
      <c r="C1291" s="7" t="s">
        <v>691</v>
      </c>
      <c r="D1291" s="8" t="s">
        <v>145</v>
      </c>
      <c r="E1291" s="23" t="s">
        <v>361</v>
      </c>
      <c r="F1291" s="8">
        <v>2013</v>
      </c>
      <c r="G1291" s="8">
        <v>2015</v>
      </c>
      <c r="H1291" s="5">
        <v>0.55258499999999999</v>
      </c>
      <c r="I1291" s="5">
        <v>0.55258499999999999</v>
      </c>
      <c r="J1291" s="5">
        <f>R1291</f>
        <v>0.55258499999999999</v>
      </c>
      <c r="K1291" s="8"/>
      <c r="L1291" s="23" t="s">
        <v>361</v>
      </c>
      <c r="M1291" s="8"/>
      <c r="N1291" s="8"/>
      <c r="O1291" s="8"/>
      <c r="P1291" s="8"/>
      <c r="Q1291" s="23" t="s">
        <v>361</v>
      </c>
      <c r="R1291" s="113">
        <v>0.55258499999999999</v>
      </c>
      <c r="S1291" s="113"/>
      <c r="T1291" s="113"/>
      <c r="U1291" s="113"/>
      <c r="V1291" s="113"/>
      <c r="W1291" s="113"/>
      <c r="X1291" s="5">
        <f t="shared" si="191"/>
        <v>0.55258499999999999</v>
      </c>
      <c r="Y1291" s="302">
        <f>H1291-H1292-H1293</f>
        <v>0</v>
      </c>
      <c r="Z1291" s="5">
        <f>I1291-I1292-I1293</f>
        <v>0</v>
      </c>
      <c r="AA1291" s="94">
        <f>J1291-J1292-J1293</f>
        <v>0</v>
      </c>
      <c r="AB1291" s="311">
        <f t="shared" si="194"/>
        <v>0</v>
      </c>
      <c r="AC1291" s="296"/>
      <c r="AD1291" s="113"/>
      <c r="AE1291" s="5"/>
      <c r="AF1291" s="5"/>
      <c r="AG1291" s="5">
        <f>H1291</f>
        <v>0.55258499999999999</v>
      </c>
      <c r="AH1291" s="5"/>
      <c r="AI1291" s="5"/>
      <c r="AJ1291" s="5"/>
      <c r="AK1291" s="141"/>
      <c r="AL1291" s="94">
        <f>SUM(AF1291:AK1291)</f>
        <v>0.55258499999999999</v>
      </c>
      <c r="AM1291" s="128"/>
      <c r="AN1291" s="180"/>
      <c r="AO1291" s="128">
        <v>0.12</v>
      </c>
      <c r="AP1291" s="184">
        <v>0</v>
      </c>
      <c r="AQ1291" s="128"/>
      <c r="AR1291" s="184"/>
      <c r="AS1291" s="128"/>
      <c r="AT1291" s="184"/>
      <c r="AU1291" s="128"/>
      <c r="AV1291" s="184"/>
      <c r="AW1291" s="128"/>
      <c r="AX1291" s="184"/>
      <c r="AY1291" s="111">
        <f>AM1291+AO1291+AQ1291+AS1291+AU1291+AW1291</f>
        <v>0.12</v>
      </c>
      <c r="AZ1291" s="178">
        <f>AN1291+AP1291+AR1291+AT1291+AV1291+AX1291</f>
        <v>0</v>
      </c>
      <c r="BC1291" s="47"/>
      <c r="BD1291" s="47"/>
      <c r="BF1291" s="113">
        <v>0.55258499999999999</v>
      </c>
      <c r="BG1291" s="113"/>
      <c r="BH1291" s="113"/>
      <c r="BI1291" s="113"/>
      <c r="BJ1291" s="113"/>
      <c r="BK1291" s="113"/>
      <c r="BL1291" s="5">
        <f t="shared" si="195"/>
        <v>0.55258499999999999</v>
      </c>
    </row>
    <row r="1292" spans="1:64" s="2" customFormat="1" ht="14.1" customHeight="1" outlineLevel="1" x14ac:dyDescent="0.2">
      <c r="A1292" s="594"/>
      <c r="B1292" s="601"/>
      <c r="C1292" s="7" t="s">
        <v>1553</v>
      </c>
      <c r="D1292" s="8"/>
      <c r="E1292" s="23"/>
      <c r="F1292" s="8"/>
      <c r="G1292" s="8"/>
      <c r="H1292" s="5"/>
      <c r="I1292" s="5"/>
      <c r="J1292" s="5"/>
      <c r="K1292" s="8"/>
      <c r="L1292" s="23"/>
      <c r="M1292" s="8"/>
      <c r="N1292" s="8"/>
      <c r="O1292" s="8"/>
      <c r="P1292" s="8"/>
      <c r="Q1292" s="23"/>
      <c r="R1292" s="113"/>
      <c r="S1292" s="113"/>
      <c r="T1292" s="113"/>
      <c r="U1292" s="113"/>
      <c r="V1292" s="113"/>
      <c r="W1292" s="113"/>
      <c r="X1292" s="5">
        <f>SUM(R1292:W1292)</f>
        <v>0</v>
      </c>
      <c r="Y1292" s="302"/>
      <c r="Z1292" s="5"/>
      <c r="AA1292" s="94"/>
      <c r="AB1292" s="311">
        <f t="shared" si="194"/>
        <v>0</v>
      </c>
      <c r="AC1292" s="296"/>
      <c r="AD1292" s="113"/>
      <c r="AE1292" s="5"/>
      <c r="AF1292" s="5"/>
      <c r="AG1292" s="5"/>
      <c r="AH1292" s="5"/>
      <c r="AI1292" s="5"/>
      <c r="AJ1292" s="5"/>
      <c r="AK1292" s="141"/>
      <c r="AL1292" s="94"/>
      <c r="AM1292" s="128"/>
      <c r="AN1292" s="180"/>
      <c r="AO1292" s="128"/>
      <c r="AP1292" s="184"/>
      <c r="AQ1292" s="128"/>
      <c r="AR1292" s="184"/>
      <c r="AS1292" s="128"/>
      <c r="AT1292" s="184"/>
      <c r="AU1292" s="128"/>
      <c r="AV1292" s="184"/>
      <c r="AW1292" s="128"/>
      <c r="AX1292" s="184"/>
      <c r="AY1292" s="111"/>
      <c r="AZ1292" s="178"/>
      <c r="BC1292" s="47"/>
      <c r="BD1292" s="47"/>
      <c r="BF1292" s="113"/>
      <c r="BG1292" s="113"/>
      <c r="BH1292" s="113"/>
      <c r="BI1292" s="113"/>
      <c r="BJ1292" s="113"/>
      <c r="BK1292" s="113"/>
      <c r="BL1292" s="5">
        <f t="shared" si="195"/>
        <v>0</v>
      </c>
    </row>
    <row r="1293" spans="1:64" s="2" customFormat="1" ht="14.1" customHeight="1" outlineLevel="1" x14ac:dyDescent="0.2">
      <c r="A1293" s="595"/>
      <c r="B1293" s="602"/>
      <c r="C1293" s="7" t="s">
        <v>1554</v>
      </c>
      <c r="D1293" s="8"/>
      <c r="E1293" s="23"/>
      <c r="F1293" s="8"/>
      <c r="G1293" s="8"/>
      <c r="H1293" s="5">
        <f>H1291</f>
        <v>0.55258499999999999</v>
      </c>
      <c r="I1293" s="5">
        <f>I1291</f>
        <v>0.55258499999999999</v>
      </c>
      <c r="J1293" s="5">
        <f>J1291</f>
        <v>0.55258499999999999</v>
      </c>
      <c r="K1293" s="23"/>
      <c r="L1293" s="8"/>
      <c r="M1293" s="8"/>
      <c r="N1293" s="8"/>
      <c r="O1293" s="8"/>
      <c r="P1293" s="8"/>
      <c r="Q1293" s="23"/>
      <c r="R1293" s="113"/>
      <c r="S1293" s="113"/>
      <c r="T1293" s="113"/>
      <c r="U1293" s="113"/>
      <c r="V1293" s="113"/>
      <c r="W1293" s="113"/>
      <c r="X1293" s="5">
        <f>SUM(R1293:W1293)</f>
        <v>0</v>
      </c>
      <c r="Y1293" s="302"/>
      <c r="Z1293" s="5"/>
      <c r="AA1293" s="94"/>
      <c r="AB1293" s="311">
        <f t="shared" si="194"/>
        <v>0.55258499999999999</v>
      </c>
      <c r="AC1293" s="296"/>
      <c r="AD1293" s="113"/>
      <c r="AE1293" s="5"/>
      <c r="AF1293" s="5"/>
      <c r="AG1293" s="5"/>
      <c r="AH1293" s="5"/>
      <c r="AI1293" s="5"/>
      <c r="AJ1293" s="5"/>
      <c r="AK1293" s="141"/>
      <c r="AL1293" s="94"/>
      <c r="AM1293" s="128"/>
      <c r="AN1293" s="180"/>
      <c r="AO1293" s="128"/>
      <c r="AP1293" s="184"/>
      <c r="AQ1293" s="128"/>
      <c r="AR1293" s="184"/>
      <c r="AS1293" s="128"/>
      <c r="AT1293" s="184"/>
      <c r="AU1293" s="128"/>
      <c r="AV1293" s="184"/>
      <c r="AW1293" s="128"/>
      <c r="AX1293" s="184"/>
      <c r="AY1293" s="111"/>
      <c r="AZ1293" s="178"/>
      <c r="BC1293" s="47"/>
      <c r="BD1293" s="47"/>
      <c r="BF1293" s="113"/>
      <c r="BG1293" s="113"/>
      <c r="BH1293" s="113"/>
      <c r="BI1293" s="113"/>
      <c r="BJ1293" s="113"/>
      <c r="BK1293" s="113"/>
      <c r="BL1293" s="5">
        <f t="shared" si="195"/>
        <v>0</v>
      </c>
    </row>
    <row r="1294" spans="1:64" s="2" customFormat="1" ht="51" customHeight="1" outlineLevel="1" x14ac:dyDescent="0.2">
      <c r="A1294" s="593" t="s">
        <v>692</v>
      </c>
      <c r="B1294" s="600" t="s">
        <v>672</v>
      </c>
      <c r="C1294" s="7" t="s">
        <v>694</v>
      </c>
      <c r="D1294" s="8" t="s">
        <v>145</v>
      </c>
      <c r="E1294" s="23" t="s">
        <v>1241</v>
      </c>
      <c r="F1294" s="8">
        <v>2013</v>
      </c>
      <c r="G1294" s="8">
        <v>2015</v>
      </c>
      <c r="H1294" s="5">
        <v>0.11016949152542374</v>
      </c>
      <c r="I1294" s="5">
        <v>0.11016949152542374</v>
      </c>
      <c r="J1294" s="5">
        <f>R1294</f>
        <v>0.01</v>
      </c>
      <c r="K1294" s="8"/>
      <c r="L1294" s="23" t="s">
        <v>1241</v>
      </c>
      <c r="M1294" s="8"/>
      <c r="N1294" s="8"/>
      <c r="O1294" s="8"/>
      <c r="P1294" s="8"/>
      <c r="Q1294" s="23" t="s">
        <v>1241</v>
      </c>
      <c r="R1294" s="113">
        <v>0.01</v>
      </c>
      <c r="S1294" s="113"/>
      <c r="T1294" s="113"/>
      <c r="U1294" s="113"/>
      <c r="V1294" s="113"/>
      <c r="W1294" s="113"/>
      <c r="X1294" s="5">
        <f t="shared" si="191"/>
        <v>0.01</v>
      </c>
      <c r="Y1294" s="302">
        <f>H1294-H1295-H1296</f>
        <v>0</v>
      </c>
      <c r="Z1294" s="5">
        <f>I1294-I1295-I1296</f>
        <v>0</v>
      </c>
      <c r="AA1294" s="94">
        <f>J1294-J1295-J1296</f>
        <v>0</v>
      </c>
      <c r="AB1294" s="311">
        <f t="shared" si="194"/>
        <v>0.10016949152542375</v>
      </c>
      <c r="AC1294" s="296"/>
      <c r="AD1294" s="113"/>
      <c r="AE1294" s="5"/>
      <c r="AF1294" s="5"/>
      <c r="AG1294" s="5">
        <f>H1294</f>
        <v>0.11016949152542374</v>
      </c>
      <c r="AH1294" s="5"/>
      <c r="AI1294" s="5"/>
      <c r="AJ1294" s="5"/>
      <c r="AK1294" s="141"/>
      <c r="AL1294" s="94">
        <f>SUM(AF1294:AK1294)</f>
        <v>0.11016949152542374</v>
      </c>
      <c r="AM1294" s="128"/>
      <c r="AN1294" s="180"/>
      <c r="AO1294" s="128">
        <v>0</v>
      </c>
      <c r="AP1294" s="184">
        <v>0</v>
      </c>
      <c r="AQ1294" s="128"/>
      <c r="AR1294" s="184"/>
      <c r="AS1294" s="128"/>
      <c r="AT1294" s="184"/>
      <c r="AU1294" s="128"/>
      <c r="AV1294" s="184"/>
      <c r="AW1294" s="128"/>
      <c r="AX1294" s="184"/>
      <c r="AY1294" s="111">
        <f>AM1294+AO1294+AQ1294+AS1294+AU1294+AW1294</f>
        <v>0</v>
      </c>
      <c r="AZ1294" s="178">
        <f>AN1294+AP1294+AR1294+AT1294+AV1294+AX1294</f>
        <v>0</v>
      </c>
      <c r="BC1294" s="47"/>
      <c r="BD1294" s="47"/>
      <c r="BF1294" s="113">
        <v>0.01</v>
      </c>
      <c r="BG1294" s="113"/>
      <c r="BH1294" s="113"/>
      <c r="BI1294" s="113"/>
      <c r="BJ1294" s="113"/>
      <c r="BK1294" s="113"/>
      <c r="BL1294" s="5">
        <f t="shared" si="195"/>
        <v>0.01</v>
      </c>
    </row>
    <row r="1295" spans="1:64" s="2" customFormat="1" ht="14.1" customHeight="1" outlineLevel="1" x14ac:dyDescent="0.2">
      <c r="A1295" s="594"/>
      <c r="B1295" s="601"/>
      <c r="C1295" s="7" t="s">
        <v>1553</v>
      </c>
      <c r="D1295" s="8"/>
      <c r="E1295" s="23"/>
      <c r="F1295" s="8"/>
      <c r="G1295" s="8"/>
      <c r="H1295" s="5"/>
      <c r="I1295" s="5"/>
      <c r="J1295" s="5"/>
      <c r="K1295" s="8"/>
      <c r="L1295" s="23"/>
      <c r="M1295" s="8"/>
      <c r="N1295" s="8"/>
      <c r="O1295" s="8"/>
      <c r="P1295" s="8"/>
      <c r="Q1295" s="23"/>
      <c r="R1295" s="113"/>
      <c r="S1295" s="113"/>
      <c r="T1295" s="113"/>
      <c r="U1295" s="113"/>
      <c r="V1295" s="113"/>
      <c r="W1295" s="113"/>
      <c r="X1295" s="5">
        <f t="shared" si="191"/>
        <v>0</v>
      </c>
      <c r="Y1295" s="302"/>
      <c r="Z1295" s="5"/>
      <c r="AA1295" s="94"/>
      <c r="AB1295" s="311">
        <f t="shared" si="194"/>
        <v>0</v>
      </c>
      <c r="AC1295" s="296"/>
      <c r="AD1295" s="113"/>
      <c r="AE1295" s="5"/>
      <c r="AF1295" s="5"/>
      <c r="AG1295" s="5"/>
      <c r="AH1295" s="5"/>
      <c r="AI1295" s="5"/>
      <c r="AJ1295" s="5"/>
      <c r="AK1295" s="141"/>
      <c r="AL1295" s="94"/>
      <c r="AM1295" s="128"/>
      <c r="AN1295" s="180"/>
      <c r="AO1295" s="128"/>
      <c r="AP1295" s="184"/>
      <c r="AQ1295" s="128"/>
      <c r="AR1295" s="184"/>
      <c r="AS1295" s="128"/>
      <c r="AT1295" s="184"/>
      <c r="AU1295" s="128"/>
      <c r="AV1295" s="184"/>
      <c r="AW1295" s="128"/>
      <c r="AX1295" s="184"/>
      <c r="AY1295" s="111"/>
      <c r="AZ1295" s="178"/>
      <c r="BC1295" s="47"/>
      <c r="BD1295" s="47"/>
      <c r="BF1295" s="113"/>
      <c r="BG1295" s="113"/>
      <c r="BH1295" s="113"/>
      <c r="BI1295" s="113"/>
      <c r="BJ1295" s="113"/>
      <c r="BK1295" s="113"/>
      <c r="BL1295" s="5">
        <f t="shared" si="195"/>
        <v>0</v>
      </c>
    </row>
    <row r="1296" spans="1:64" s="2" customFormat="1" ht="14.1" customHeight="1" outlineLevel="1" x14ac:dyDescent="0.2">
      <c r="A1296" s="595"/>
      <c r="B1296" s="602"/>
      <c r="C1296" s="7" t="s">
        <v>1554</v>
      </c>
      <c r="D1296" s="8"/>
      <c r="E1296" s="23"/>
      <c r="F1296" s="8"/>
      <c r="G1296" s="8"/>
      <c r="H1296" s="5">
        <v>0.11016949152542374</v>
      </c>
      <c r="I1296" s="5">
        <v>0.11016949152542374</v>
      </c>
      <c r="J1296" s="5">
        <v>0.01</v>
      </c>
      <c r="K1296" s="23"/>
      <c r="L1296" s="8"/>
      <c r="M1296" s="8"/>
      <c r="N1296" s="8"/>
      <c r="O1296" s="8"/>
      <c r="P1296" s="8"/>
      <c r="Q1296" s="23"/>
      <c r="R1296" s="113"/>
      <c r="S1296" s="113"/>
      <c r="T1296" s="113"/>
      <c r="U1296" s="113"/>
      <c r="V1296" s="113"/>
      <c r="W1296" s="113"/>
      <c r="X1296" s="5">
        <f t="shared" si="191"/>
        <v>0</v>
      </c>
      <c r="Y1296" s="302"/>
      <c r="Z1296" s="5"/>
      <c r="AA1296" s="94"/>
      <c r="AB1296" s="311">
        <f t="shared" si="194"/>
        <v>0.11016949152542374</v>
      </c>
      <c r="AC1296" s="296"/>
      <c r="AD1296" s="113"/>
      <c r="AE1296" s="5"/>
      <c r="AF1296" s="5"/>
      <c r="AG1296" s="5"/>
      <c r="AH1296" s="5"/>
      <c r="AI1296" s="5"/>
      <c r="AJ1296" s="5"/>
      <c r="AK1296" s="141"/>
      <c r="AL1296" s="94"/>
      <c r="AM1296" s="128"/>
      <c r="AN1296" s="180"/>
      <c r="AO1296" s="128"/>
      <c r="AP1296" s="184"/>
      <c r="AQ1296" s="128"/>
      <c r="AR1296" s="184"/>
      <c r="AS1296" s="128"/>
      <c r="AT1296" s="184"/>
      <c r="AU1296" s="128"/>
      <c r="AV1296" s="184"/>
      <c r="AW1296" s="128"/>
      <c r="AX1296" s="184"/>
      <c r="AY1296" s="111"/>
      <c r="AZ1296" s="178"/>
      <c r="BC1296" s="47"/>
      <c r="BD1296" s="47"/>
      <c r="BF1296" s="113"/>
      <c r="BG1296" s="113"/>
      <c r="BH1296" s="113"/>
      <c r="BI1296" s="113"/>
      <c r="BJ1296" s="113"/>
      <c r="BK1296" s="113"/>
      <c r="BL1296" s="5">
        <f t="shared" si="195"/>
        <v>0</v>
      </c>
    </row>
    <row r="1297" spans="1:64" s="2" customFormat="1" ht="25.5" customHeight="1" outlineLevel="1" x14ac:dyDescent="0.2">
      <c r="A1297" s="593" t="s">
        <v>695</v>
      </c>
      <c r="B1297" s="600" t="s">
        <v>674</v>
      </c>
      <c r="C1297" s="7" t="s">
        <v>2573</v>
      </c>
      <c r="D1297" s="8" t="s">
        <v>145</v>
      </c>
      <c r="E1297" s="23" t="s">
        <v>1387</v>
      </c>
      <c r="F1297" s="8">
        <v>2013</v>
      </c>
      <c r="G1297" s="8">
        <v>2015</v>
      </c>
      <c r="H1297" s="5">
        <v>0.24559299999999998</v>
      </c>
      <c r="I1297" s="5">
        <v>0.24559299999999998</v>
      </c>
      <c r="J1297" s="5">
        <f>R1297</f>
        <v>0.24559299999999998</v>
      </c>
      <c r="K1297" s="8"/>
      <c r="L1297" s="23" t="s">
        <v>1387</v>
      </c>
      <c r="M1297" s="8"/>
      <c r="N1297" s="8"/>
      <c r="O1297" s="8"/>
      <c r="P1297" s="8"/>
      <c r="Q1297" s="23" t="s">
        <v>1387</v>
      </c>
      <c r="R1297" s="113">
        <v>0.24559299999999998</v>
      </c>
      <c r="S1297" s="113"/>
      <c r="T1297" s="113"/>
      <c r="U1297" s="113"/>
      <c r="V1297" s="113"/>
      <c r="W1297" s="113"/>
      <c r="X1297" s="5">
        <f t="shared" si="191"/>
        <v>0.24559299999999998</v>
      </c>
      <c r="Y1297" s="302">
        <f>H1297-H1298-H1299</f>
        <v>0</v>
      </c>
      <c r="Z1297" s="5">
        <f>I1297-I1298-I1299</f>
        <v>0</v>
      </c>
      <c r="AA1297" s="94">
        <f>J1297-J1298-J1299</f>
        <v>0</v>
      </c>
      <c r="AB1297" s="311">
        <f t="shared" si="194"/>
        <v>0</v>
      </c>
      <c r="AC1297" s="296"/>
      <c r="AD1297" s="113"/>
      <c r="AE1297" s="5"/>
      <c r="AF1297" s="5"/>
      <c r="AG1297" s="5">
        <f>H1297</f>
        <v>0.24559299999999998</v>
      </c>
      <c r="AH1297" s="5"/>
      <c r="AI1297" s="5"/>
      <c r="AJ1297" s="5"/>
      <c r="AK1297" s="141"/>
      <c r="AL1297" s="94">
        <f>SUM(AF1297:AK1297)</f>
        <v>0.24559299999999998</v>
      </c>
      <c r="AM1297" s="128"/>
      <c r="AN1297" s="180"/>
      <c r="AO1297" s="128">
        <v>0.5</v>
      </c>
      <c r="AP1297" s="184">
        <v>0</v>
      </c>
      <c r="AQ1297" s="128"/>
      <c r="AR1297" s="184"/>
      <c r="AS1297" s="128"/>
      <c r="AT1297" s="184"/>
      <c r="AU1297" s="128"/>
      <c r="AV1297" s="184"/>
      <c r="AW1297" s="128"/>
      <c r="AX1297" s="184"/>
      <c r="AY1297" s="111">
        <f>AM1297+AO1297+AQ1297+AS1297+AU1297+AW1297</f>
        <v>0.5</v>
      </c>
      <c r="AZ1297" s="178">
        <f>AN1297+AP1297+AR1297+AT1297+AV1297+AX1297</f>
        <v>0</v>
      </c>
      <c r="BC1297" s="47"/>
      <c r="BD1297" s="47"/>
      <c r="BF1297" s="113">
        <v>0.24559299999999998</v>
      </c>
      <c r="BG1297" s="113"/>
      <c r="BH1297" s="113"/>
      <c r="BI1297" s="113"/>
      <c r="BJ1297" s="113"/>
      <c r="BK1297" s="113"/>
      <c r="BL1297" s="5">
        <f t="shared" si="195"/>
        <v>0.24559299999999998</v>
      </c>
    </row>
    <row r="1298" spans="1:64" s="2" customFormat="1" ht="14.1" customHeight="1" outlineLevel="1" x14ac:dyDescent="0.2">
      <c r="A1298" s="594"/>
      <c r="B1298" s="601"/>
      <c r="C1298" s="7" t="s">
        <v>1553</v>
      </c>
      <c r="D1298" s="8"/>
      <c r="E1298" s="23"/>
      <c r="F1298" s="8"/>
      <c r="G1298" s="8"/>
      <c r="H1298" s="5"/>
      <c r="I1298" s="5"/>
      <c r="J1298" s="5"/>
      <c r="K1298" s="8"/>
      <c r="L1298" s="23"/>
      <c r="M1298" s="8"/>
      <c r="N1298" s="8"/>
      <c r="O1298" s="8"/>
      <c r="P1298" s="8"/>
      <c r="Q1298" s="23"/>
      <c r="R1298" s="113"/>
      <c r="S1298" s="113"/>
      <c r="T1298" s="113"/>
      <c r="U1298" s="113"/>
      <c r="V1298" s="113"/>
      <c r="W1298" s="113"/>
      <c r="X1298" s="5">
        <f>SUM(R1298:W1298)</f>
        <v>0</v>
      </c>
      <c r="Y1298" s="302"/>
      <c r="Z1298" s="5"/>
      <c r="AA1298" s="94"/>
      <c r="AB1298" s="311">
        <f t="shared" si="194"/>
        <v>0</v>
      </c>
      <c r="AC1298" s="296"/>
      <c r="AD1298" s="113"/>
      <c r="AE1298" s="5"/>
      <c r="AF1298" s="5"/>
      <c r="AG1298" s="5"/>
      <c r="AH1298" s="5"/>
      <c r="AI1298" s="5"/>
      <c r="AJ1298" s="5"/>
      <c r="AK1298" s="141"/>
      <c r="AL1298" s="94"/>
      <c r="AM1298" s="128"/>
      <c r="AN1298" s="180"/>
      <c r="AO1298" s="128"/>
      <c r="AP1298" s="184"/>
      <c r="AQ1298" s="128"/>
      <c r="AR1298" s="184"/>
      <c r="AS1298" s="128"/>
      <c r="AT1298" s="184"/>
      <c r="AU1298" s="128"/>
      <c r="AV1298" s="184"/>
      <c r="AW1298" s="128"/>
      <c r="AX1298" s="184"/>
      <c r="AY1298" s="111"/>
      <c r="AZ1298" s="178"/>
      <c r="BC1298" s="47"/>
      <c r="BD1298" s="47"/>
      <c r="BF1298" s="113"/>
      <c r="BG1298" s="113"/>
      <c r="BH1298" s="113"/>
      <c r="BI1298" s="113"/>
      <c r="BJ1298" s="113"/>
      <c r="BK1298" s="113"/>
      <c r="BL1298" s="5">
        <f t="shared" si="195"/>
        <v>0</v>
      </c>
    </row>
    <row r="1299" spans="1:64" s="2" customFormat="1" ht="14.1" customHeight="1" outlineLevel="1" x14ac:dyDescent="0.2">
      <c r="A1299" s="595"/>
      <c r="B1299" s="602"/>
      <c r="C1299" s="7" t="s">
        <v>1554</v>
      </c>
      <c r="D1299" s="8"/>
      <c r="E1299" s="23"/>
      <c r="F1299" s="8"/>
      <c r="G1299" s="8"/>
      <c r="H1299" s="5">
        <f>H1297</f>
        <v>0.24559299999999998</v>
      </c>
      <c r="I1299" s="5">
        <f>I1297</f>
        <v>0.24559299999999998</v>
      </c>
      <c r="J1299" s="5">
        <f>J1297</f>
        <v>0.24559299999999998</v>
      </c>
      <c r="K1299" s="23"/>
      <c r="L1299" s="8"/>
      <c r="M1299" s="8"/>
      <c r="N1299" s="8"/>
      <c r="O1299" s="8"/>
      <c r="P1299" s="8"/>
      <c r="Q1299" s="23"/>
      <c r="R1299" s="113"/>
      <c r="S1299" s="113"/>
      <c r="T1299" s="113"/>
      <c r="U1299" s="113"/>
      <c r="V1299" s="113"/>
      <c r="W1299" s="113"/>
      <c r="X1299" s="5">
        <f>SUM(R1299:W1299)</f>
        <v>0</v>
      </c>
      <c r="Y1299" s="302"/>
      <c r="Z1299" s="5"/>
      <c r="AA1299" s="94"/>
      <c r="AB1299" s="311">
        <f t="shared" si="194"/>
        <v>0.24559299999999998</v>
      </c>
      <c r="AC1299" s="296"/>
      <c r="AD1299" s="113"/>
      <c r="AE1299" s="5"/>
      <c r="AF1299" s="5"/>
      <c r="AG1299" s="5"/>
      <c r="AH1299" s="5"/>
      <c r="AI1299" s="5"/>
      <c r="AJ1299" s="5"/>
      <c r="AK1299" s="141"/>
      <c r="AL1299" s="94"/>
      <c r="AM1299" s="128"/>
      <c r="AN1299" s="180"/>
      <c r="AO1299" s="128"/>
      <c r="AP1299" s="184"/>
      <c r="AQ1299" s="128"/>
      <c r="AR1299" s="184"/>
      <c r="AS1299" s="128"/>
      <c r="AT1299" s="184"/>
      <c r="AU1299" s="128"/>
      <c r="AV1299" s="184"/>
      <c r="AW1299" s="128"/>
      <c r="AX1299" s="184"/>
      <c r="AY1299" s="111"/>
      <c r="AZ1299" s="178"/>
      <c r="BC1299" s="47"/>
      <c r="BD1299" s="47"/>
      <c r="BF1299" s="113"/>
      <c r="BG1299" s="113"/>
      <c r="BH1299" s="113"/>
      <c r="BI1299" s="113"/>
      <c r="BJ1299" s="113"/>
      <c r="BK1299" s="113"/>
      <c r="BL1299" s="5">
        <f t="shared" ref="BL1299:BL1330" si="196">SUM(BF1299:BK1299)</f>
        <v>0</v>
      </c>
    </row>
    <row r="1300" spans="1:64" s="2" customFormat="1" ht="38.25" customHeight="1" outlineLevel="1" x14ac:dyDescent="0.2">
      <c r="A1300" s="593" t="s">
        <v>697</v>
      </c>
      <c r="B1300" s="600" t="s">
        <v>676</v>
      </c>
      <c r="C1300" s="7" t="s">
        <v>699</v>
      </c>
      <c r="D1300" s="8" t="s">
        <v>145</v>
      </c>
      <c r="E1300" s="23" t="s">
        <v>1241</v>
      </c>
      <c r="F1300" s="8">
        <v>2013</v>
      </c>
      <c r="G1300" s="8">
        <v>2015</v>
      </c>
      <c r="H1300" s="5">
        <v>36</v>
      </c>
      <c r="I1300" s="5">
        <v>3.6440677966101696E-2</v>
      </c>
      <c r="J1300" s="5">
        <f>R1300</f>
        <v>0.03</v>
      </c>
      <c r="K1300" s="8"/>
      <c r="L1300" s="23" t="s">
        <v>1241</v>
      </c>
      <c r="M1300" s="8"/>
      <c r="N1300" s="8"/>
      <c r="O1300" s="8"/>
      <c r="P1300" s="8"/>
      <c r="Q1300" s="23" t="s">
        <v>1241</v>
      </c>
      <c r="R1300" s="113">
        <v>0.03</v>
      </c>
      <c r="S1300" s="113"/>
      <c r="T1300" s="113"/>
      <c r="U1300" s="113"/>
      <c r="V1300" s="113"/>
      <c r="W1300" s="113"/>
      <c r="X1300" s="5">
        <f t="shared" si="191"/>
        <v>0.03</v>
      </c>
      <c r="Y1300" s="302">
        <f>H1300-H1301-H1302</f>
        <v>0</v>
      </c>
      <c r="Z1300" s="5">
        <f>I1300-I1301-I1302</f>
        <v>0</v>
      </c>
      <c r="AA1300" s="94">
        <f>J1300-J1301-J1302</f>
        <v>0</v>
      </c>
      <c r="AB1300" s="311">
        <f t="shared" si="194"/>
        <v>6.4406779661016975E-3</v>
      </c>
      <c r="AC1300" s="296"/>
      <c r="AD1300" s="113"/>
      <c r="AE1300" s="5"/>
      <c r="AF1300" s="5"/>
      <c r="AG1300" s="5">
        <f>H1300</f>
        <v>36</v>
      </c>
      <c r="AH1300" s="5"/>
      <c r="AI1300" s="5"/>
      <c r="AJ1300" s="5"/>
      <c r="AK1300" s="141"/>
      <c r="AL1300" s="94">
        <f>SUM(AF1300:AK1300)</f>
        <v>36</v>
      </c>
      <c r="AM1300" s="128"/>
      <c r="AN1300" s="180"/>
      <c r="AO1300" s="128">
        <v>0</v>
      </c>
      <c r="AP1300" s="184">
        <v>0</v>
      </c>
      <c r="AQ1300" s="128"/>
      <c r="AR1300" s="184"/>
      <c r="AS1300" s="128"/>
      <c r="AT1300" s="184"/>
      <c r="AU1300" s="128"/>
      <c r="AV1300" s="184"/>
      <c r="AW1300" s="128"/>
      <c r="AX1300" s="184"/>
      <c r="AY1300" s="111">
        <f>AM1300+AO1300+AQ1300+AS1300+AU1300+AW1300</f>
        <v>0</v>
      </c>
      <c r="AZ1300" s="178">
        <f>AN1300+AP1300+AR1300+AT1300+AV1300+AX1300</f>
        <v>0</v>
      </c>
      <c r="BC1300" s="47"/>
      <c r="BD1300" s="47"/>
      <c r="BF1300" s="113">
        <v>0.03</v>
      </c>
      <c r="BG1300" s="113"/>
      <c r="BH1300" s="113"/>
      <c r="BI1300" s="113"/>
      <c r="BJ1300" s="113"/>
      <c r="BK1300" s="113"/>
      <c r="BL1300" s="5">
        <f t="shared" si="196"/>
        <v>0.03</v>
      </c>
    </row>
    <row r="1301" spans="1:64" s="2" customFormat="1" ht="14.1" customHeight="1" outlineLevel="1" x14ac:dyDescent="0.2">
      <c r="A1301" s="594"/>
      <c r="B1301" s="601"/>
      <c r="C1301" s="7" t="s">
        <v>1553</v>
      </c>
      <c r="D1301" s="8"/>
      <c r="E1301" s="23"/>
      <c r="F1301" s="8"/>
      <c r="G1301" s="8"/>
      <c r="H1301" s="5">
        <v>36</v>
      </c>
      <c r="I1301" s="5">
        <v>3.6440677966101696E-2</v>
      </c>
      <c r="J1301" s="5">
        <f>R1300</f>
        <v>0.03</v>
      </c>
      <c r="K1301" s="8"/>
      <c r="L1301" s="23"/>
      <c r="M1301" s="8"/>
      <c r="N1301" s="8"/>
      <c r="O1301" s="8"/>
      <c r="P1301" s="8"/>
      <c r="Q1301" s="23"/>
      <c r="R1301" s="113"/>
      <c r="S1301" s="113"/>
      <c r="T1301" s="113"/>
      <c r="U1301" s="113"/>
      <c r="V1301" s="113"/>
      <c r="W1301" s="113"/>
      <c r="X1301" s="5">
        <f t="shared" si="191"/>
        <v>0</v>
      </c>
      <c r="Y1301" s="302"/>
      <c r="Z1301" s="5"/>
      <c r="AA1301" s="94"/>
      <c r="AB1301" s="311">
        <f t="shared" ref="AB1301:AB1364" si="197">I1301-X1301</f>
        <v>3.6440677966101696E-2</v>
      </c>
      <c r="AC1301" s="296"/>
      <c r="AD1301" s="113"/>
      <c r="AE1301" s="5"/>
      <c r="AF1301" s="5"/>
      <c r="AG1301" s="5"/>
      <c r="AH1301" s="5"/>
      <c r="AI1301" s="5"/>
      <c r="AJ1301" s="5"/>
      <c r="AK1301" s="141"/>
      <c r="AL1301" s="94"/>
      <c r="AM1301" s="128"/>
      <c r="AN1301" s="180"/>
      <c r="AO1301" s="128"/>
      <c r="AP1301" s="184"/>
      <c r="AQ1301" s="128"/>
      <c r="AR1301" s="184"/>
      <c r="AS1301" s="128"/>
      <c r="AT1301" s="184"/>
      <c r="AU1301" s="128"/>
      <c r="AV1301" s="184"/>
      <c r="AW1301" s="128"/>
      <c r="AX1301" s="184"/>
      <c r="AY1301" s="111"/>
      <c r="AZ1301" s="178"/>
      <c r="BC1301" s="47"/>
      <c r="BD1301" s="47"/>
      <c r="BF1301" s="113"/>
      <c r="BG1301" s="113"/>
      <c r="BH1301" s="113"/>
      <c r="BI1301" s="113"/>
      <c r="BJ1301" s="113"/>
      <c r="BK1301" s="113"/>
      <c r="BL1301" s="5">
        <f t="shared" si="196"/>
        <v>0</v>
      </c>
    </row>
    <row r="1302" spans="1:64" s="2" customFormat="1" ht="14.1" customHeight="1" outlineLevel="1" x14ac:dyDescent="0.2">
      <c r="A1302" s="595"/>
      <c r="B1302" s="602"/>
      <c r="C1302" s="7" t="s">
        <v>1554</v>
      </c>
      <c r="D1302" s="8"/>
      <c r="E1302" s="23"/>
      <c r="F1302" s="8"/>
      <c r="G1302" s="8"/>
      <c r="H1302" s="5"/>
      <c r="I1302" s="5"/>
      <c r="J1302" s="5"/>
      <c r="K1302" s="23"/>
      <c r="L1302" s="8"/>
      <c r="M1302" s="8"/>
      <c r="N1302" s="8"/>
      <c r="O1302" s="8"/>
      <c r="P1302" s="8"/>
      <c r="Q1302" s="23"/>
      <c r="R1302" s="113"/>
      <c r="S1302" s="113"/>
      <c r="T1302" s="113"/>
      <c r="U1302" s="113"/>
      <c r="V1302" s="113"/>
      <c r="W1302" s="113"/>
      <c r="X1302" s="5">
        <f t="shared" si="191"/>
        <v>0</v>
      </c>
      <c r="Y1302" s="302"/>
      <c r="Z1302" s="5"/>
      <c r="AA1302" s="94"/>
      <c r="AB1302" s="311">
        <f t="shared" si="197"/>
        <v>0</v>
      </c>
      <c r="AC1302" s="296"/>
      <c r="AD1302" s="113"/>
      <c r="AE1302" s="5"/>
      <c r="AF1302" s="5"/>
      <c r="AG1302" s="5"/>
      <c r="AH1302" s="5"/>
      <c r="AI1302" s="5"/>
      <c r="AJ1302" s="5"/>
      <c r="AK1302" s="141"/>
      <c r="AL1302" s="94"/>
      <c r="AM1302" s="128"/>
      <c r="AN1302" s="180"/>
      <c r="AO1302" s="128"/>
      <c r="AP1302" s="184"/>
      <c r="AQ1302" s="128"/>
      <c r="AR1302" s="184"/>
      <c r="AS1302" s="128"/>
      <c r="AT1302" s="184"/>
      <c r="AU1302" s="128"/>
      <c r="AV1302" s="184"/>
      <c r="AW1302" s="128"/>
      <c r="AX1302" s="184"/>
      <c r="AY1302" s="111"/>
      <c r="AZ1302" s="178"/>
      <c r="BC1302" s="47"/>
      <c r="BD1302" s="47"/>
      <c r="BF1302" s="113"/>
      <c r="BG1302" s="113"/>
      <c r="BH1302" s="113"/>
      <c r="BI1302" s="113"/>
      <c r="BJ1302" s="113"/>
      <c r="BK1302" s="113"/>
      <c r="BL1302" s="5">
        <f t="shared" si="196"/>
        <v>0</v>
      </c>
    </row>
    <row r="1303" spans="1:64" s="2" customFormat="1" ht="51" customHeight="1" outlineLevel="1" x14ac:dyDescent="0.2">
      <c r="A1303" s="593" t="s">
        <v>700</v>
      </c>
      <c r="B1303" s="600" t="s">
        <v>679</v>
      </c>
      <c r="C1303" s="7" t="s">
        <v>702</v>
      </c>
      <c r="D1303" s="8" t="s">
        <v>145</v>
      </c>
      <c r="E1303" s="23" t="s">
        <v>1387</v>
      </c>
      <c r="F1303" s="8">
        <v>2013</v>
      </c>
      <c r="G1303" s="8">
        <v>2015</v>
      </c>
      <c r="H1303" s="5">
        <v>5.8474576271186449E-2</v>
      </c>
      <c r="I1303" s="5">
        <v>5.8474576271186449E-2</v>
      </c>
      <c r="J1303" s="5">
        <f>R1303</f>
        <v>0.03</v>
      </c>
      <c r="K1303" s="8"/>
      <c r="L1303" s="23" t="s">
        <v>1387</v>
      </c>
      <c r="M1303" s="8"/>
      <c r="N1303" s="8"/>
      <c r="O1303" s="8"/>
      <c r="P1303" s="8"/>
      <c r="Q1303" s="23" t="s">
        <v>1387</v>
      </c>
      <c r="R1303" s="113">
        <v>0.03</v>
      </c>
      <c r="S1303" s="113"/>
      <c r="T1303" s="113"/>
      <c r="U1303" s="113"/>
      <c r="V1303" s="113"/>
      <c r="W1303" s="113"/>
      <c r="X1303" s="5">
        <f t="shared" si="191"/>
        <v>0.03</v>
      </c>
      <c r="Y1303" s="302">
        <f>H1303-H1304-H1305</f>
        <v>0</v>
      </c>
      <c r="Z1303" s="5">
        <f>I1303-I1304-I1305</f>
        <v>0</v>
      </c>
      <c r="AA1303" s="94">
        <f>J1303-J1304-J1305</f>
        <v>0</v>
      </c>
      <c r="AB1303" s="311">
        <f t="shared" si="197"/>
        <v>2.847457627118645E-2</v>
      </c>
      <c r="AC1303" s="296"/>
      <c r="AD1303" s="113"/>
      <c r="AE1303" s="5"/>
      <c r="AF1303" s="5"/>
      <c r="AG1303" s="5">
        <f>H1303</f>
        <v>5.8474576271186449E-2</v>
      </c>
      <c r="AH1303" s="5"/>
      <c r="AI1303" s="5"/>
      <c r="AJ1303" s="5"/>
      <c r="AK1303" s="141"/>
      <c r="AL1303" s="94">
        <f>SUM(AF1303:AK1303)</f>
        <v>5.8474576271186449E-2</v>
      </c>
      <c r="AM1303" s="128"/>
      <c r="AN1303" s="180"/>
      <c r="AO1303" s="128">
        <v>0.5</v>
      </c>
      <c r="AP1303" s="184">
        <v>0</v>
      </c>
      <c r="AQ1303" s="128"/>
      <c r="AR1303" s="184"/>
      <c r="AS1303" s="128"/>
      <c r="AT1303" s="184"/>
      <c r="AU1303" s="128"/>
      <c r="AV1303" s="184"/>
      <c r="AW1303" s="128"/>
      <c r="AX1303" s="184"/>
      <c r="AY1303" s="111">
        <f>AM1303+AO1303+AQ1303+AS1303+AU1303+AW1303</f>
        <v>0.5</v>
      </c>
      <c r="AZ1303" s="178">
        <f>AN1303+AP1303+AR1303+AT1303+AV1303+AX1303</f>
        <v>0</v>
      </c>
      <c r="BC1303" s="47"/>
      <c r="BD1303" s="47"/>
      <c r="BF1303" s="113">
        <v>0.03</v>
      </c>
      <c r="BG1303" s="113"/>
      <c r="BH1303" s="113"/>
      <c r="BI1303" s="113"/>
      <c r="BJ1303" s="113"/>
      <c r="BK1303" s="113"/>
      <c r="BL1303" s="5">
        <f t="shared" si="196"/>
        <v>0.03</v>
      </c>
    </row>
    <row r="1304" spans="1:64" s="2" customFormat="1" ht="14.1" customHeight="1" outlineLevel="1" x14ac:dyDescent="0.2">
      <c r="A1304" s="594"/>
      <c r="B1304" s="601"/>
      <c r="C1304" s="7" t="s">
        <v>1553</v>
      </c>
      <c r="D1304" s="8"/>
      <c r="E1304" s="23"/>
      <c r="F1304" s="8"/>
      <c r="G1304" s="8"/>
      <c r="H1304" s="5"/>
      <c r="I1304" s="5"/>
      <c r="J1304" s="5"/>
      <c r="K1304" s="8"/>
      <c r="L1304" s="23"/>
      <c r="M1304" s="8"/>
      <c r="N1304" s="8"/>
      <c r="O1304" s="8"/>
      <c r="P1304" s="8"/>
      <c r="Q1304" s="23"/>
      <c r="R1304" s="113"/>
      <c r="S1304" s="113"/>
      <c r="T1304" s="113"/>
      <c r="U1304" s="113"/>
      <c r="V1304" s="113"/>
      <c r="W1304" s="113"/>
      <c r="X1304" s="5">
        <f>SUM(R1304:W1304)</f>
        <v>0</v>
      </c>
      <c r="Y1304" s="302"/>
      <c r="Z1304" s="5"/>
      <c r="AA1304" s="94"/>
      <c r="AB1304" s="311">
        <f t="shared" si="197"/>
        <v>0</v>
      </c>
      <c r="AC1304" s="296"/>
      <c r="AD1304" s="113"/>
      <c r="AE1304" s="5"/>
      <c r="AF1304" s="5"/>
      <c r="AG1304" s="5"/>
      <c r="AH1304" s="5"/>
      <c r="AI1304" s="5"/>
      <c r="AJ1304" s="5"/>
      <c r="AK1304" s="141"/>
      <c r="AL1304" s="94"/>
      <c r="AM1304" s="128"/>
      <c r="AN1304" s="180"/>
      <c r="AO1304" s="128"/>
      <c r="AP1304" s="184"/>
      <c r="AQ1304" s="128"/>
      <c r="AR1304" s="184"/>
      <c r="AS1304" s="128"/>
      <c r="AT1304" s="184"/>
      <c r="AU1304" s="128"/>
      <c r="AV1304" s="184"/>
      <c r="AW1304" s="128"/>
      <c r="AX1304" s="184"/>
      <c r="AY1304" s="111"/>
      <c r="AZ1304" s="178"/>
      <c r="BC1304" s="47"/>
      <c r="BD1304" s="47"/>
      <c r="BF1304" s="113"/>
      <c r="BG1304" s="113"/>
      <c r="BH1304" s="113"/>
      <c r="BI1304" s="113"/>
      <c r="BJ1304" s="113"/>
      <c r="BK1304" s="113"/>
      <c r="BL1304" s="5">
        <f t="shared" si="196"/>
        <v>0</v>
      </c>
    </row>
    <row r="1305" spans="1:64" s="2" customFormat="1" ht="14.1" customHeight="1" outlineLevel="1" x14ac:dyDescent="0.2">
      <c r="A1305" s="595"/>
      <c r="B1305" s="602"/>
      <c r="C1305" s="7" t="s">
        <v>1554</v>
      </c>
      <c r="D1305" s="8"/>
      <c r="E1305" s="23"/>
      <c r="F1305" s="8"/>
      <c r="G1305" s="8"/>
      <c r="H1305" s="5">
        <f>H1303</f>
        <v>5.8474576271186449E-2</v>
      </c>
      <c r="I1305" s="5">
        <f>I1303</f>
        <v>5.8474576271186449E-2</v>
      </c>
      <c r="J1305" s="5">
        <f>J1303</f>
        <v>0.03</v>
      </c>
      <c r="K1305" s="23"/>
      <c r="L1305" s="8"/>
      <c r="M1305" s="8"/>
      <c r="N1305" s="8"/>
      <c r="O1305" s="8"/>
      <c r="P1305" s="8"/>
      <c r="Q1305" s="23"/>
      <c r="R1305" s="113"/>
      <c r="S1305" s="113"/>
      <c r="T1305" s="113"/>
      <c r="U1305" s="113"/>
      <c r="V1305" s="113"/>
      <c r="W1305" s="113"/>
      <c r="X1305" s="5">
        <f>SUM(R1305:W1305)</f>
        <v>0</v>
      </c>
      <c r="Y1305" s="302"/>
      <c r="Z1305" s="5"/>
      <c r="AA1305" s="94"/>
      <c r="AB1305" s="311">
        <f t="shared" si="197"/>
        <v>5.8474576271186449E-2</v>
      </c>
      <c r="AC1305" s="296"/>
      <c r="AD1305" s="113"/>
      <c r="AE1305" s="5"/>
      <c r="AF1305" s="5"/>
      <c r="AG1305" s="5"/>
      <c r="AH1305" s="5"/>
      <c r="AI1305" s="5"/>
      <c r="AJ1305" s="5"/>
      <c r="AK1305" s="141"/>
      <c r="AL1305" s="94"/>
      <c r="AM1305" s="128"/>
      <c r="AN1305" s="180"/>
      <c r="AO1305" s="128"/>
      <c r="AP1305" s="184"/>
      <c r="AQ1305" s="128"/>
      <c r="AR1305" s="184"/>
      <c r="AS1305" s="128"/>
      <c r="AT1305" s="184"/>
      <c r="AU1305" s="128"/>
      <c r="AV1305" s="184"/>
      <c r="AW1305" s="128"/>
      <c r="AX1305" s="184"/>
      <c r="AY1305" s="111"/>
      <c r="AZ1305" s="178"/>
      <c r="BC1305" s="47"/>
      <c r="BD1305" s="47"/>
      <c r="BF1305" s="113"/>
      <c r="BG1305" s="113"/>
      <c r="BH1305" s="113"/>
      <c r="BI1305" s="113"/>
      <c r="BJ1305" s="113"/>
      <c r="BK1305" s="113"/>
      <c r="BL1305" s="5">
        <f t="shared" si="196"/>
        <v>0</v>
      </c>
    </row>
    <row r="1306" spans="1:64" s="2" customFormat="1" ht="38.25" customHeight="1" outlineLevel="1" x14ac:dyDescent="0.2">
      <c r="A1306" s="593" t="s">
        <v>703</v>
      </c>
      <c r="B1306" s="600" t="s">
        <v>682</v>
      </c>
      <c r="C1306" s="7" t="s">
        <v>704</v>
      </c>
      <c r="D1306" s="8" t="s">
        <v>145</v>
      </c>
      <c r="E1306" s="23" t="s">
        <v>1241</v>
      </c>
      <c r="F1306" s="8">
        <v>2013</v>
      </c>
      <c r="G1306" s="8">
        <v>2015</v>
      </c>
      <c r="H1306" s="5">
        <v>0.15279699999999999</v>
      </c>
      <c r="I1306" s="5">
        <v>0.15279699999999999</v>
      </c>
      <c r="J1306" s="5">
        <f>R1306</f>
        <v>0.15279699999999999</v>
      </c>
      <c r="K1306" s="8"/>
      <c r="L1306" s="23" t="s">
        <v>1241</v>
      </c>
      <c r="M1306" s="8"/>
      <c r="N1306" s="8"/>
      <c r="O1306" s="8"/>
      <c r="P1306" s="8"/>
      <c r="Q1306" s="23" t="s">
        <v>1241</v>
      </c>
      <c r="R1306" s="113">
        <v>0.15279699999999999</v>
      </c>
      <c r="S1306" s="113"/>
      <c r="T1306" s="113"/>
      <c r="U1306" s="113"/>
      <c r="V1306" s="113"/>
      <c r="W1306" s="113"/>
      <c r="X1306" s="5">
        <f t="shared" si="191"/>
        <v>0.15279699999999999</v>
      </c>
      <c r="Y1306" s="302">
        <f>H1306-H1307-H1308</f>
        <v>0</v>
      </c>
      <c r="Z1306" s="5">
        <f>I1306-I1307-I1308</f>
        <v>0</v>
      </c>
      <c r="AA1306" s="94">
        <f>J1306-J1307-J1308</f>
        <v>0</v>
      </c>
      <c r="AB1306" s="311">
        <f t="shared" si="197"/>
        <v>0</v>
      </c>
      <c r="AC1306" s="296"/>
      <c r="AD1306" s="113"/>
      <c r="AE1306" s="5"/>
      <c r="AF1306" s="5"/>
      <c r="AG1306" s="5">
        <f>H1306</f>
        <v>0.15279699999999999</v>
      </c>
      <c r="AH1306" s="5"/>
      <c r="AI1306" s="5"/>
      <c r="AJ1306" s="5"/>
      <c r="AK1306" s="141"/>
      <c r="AL1306" s="94">
        <f>SUM(AF1306:AK1306)</f>
        <v>0.15279699999999999</v>
      </c>
      <c r="AM1306" s="128"/>
      <c r="AN1306" s="180"/>
      <c r="AO1306" s="128">
        <v>0</v>
      </c>
      <c r="AP1306" s="184">
        <v>0</v>
      </c>
      <c r="AQ1306" s="128"/>
      <c r="AR1306" s="184"/>
      <c r="AS1306" s="128"/>
      <c r="AT1306" s="184"/>
      <c r="AU1306" s="128"/>
      <c r="AV1306" s="184"/>
      <c r="AW1306" s="128"/>
      <c r="AX1306" s="184"/>
      <c r="AY1306" s="111">
        <f>AM1306+AO1306+AQ1306+AS1306+AU1306+AW1306</f>
        <v>0</v>
      </c>
      <c r="AZ1306" s="178">
        <f>AN1306+AP1306+AR1306+AT1306+AV1306+AX1306</f>
        <v>0</v>
      </c>
      <c r="BC1306" s="47"/>
      <c r="BD1306" s="47"/>
      <c r="BF1306" s="113">
        <v>0.15279699999999999</v>
      </c>
      <c r="BG1306" s="113"/>
      <c r="BH1306" s="113"/>
      <c r="BI1306" s="113"/>
      <c r="BJ1306" s="113"/>
      <c r="BK1306" s="113"/>
      <c r="BL1306" s="5">
        <f t="shared" si="196"/>
        <v>0.15279699999999999</v>
      </c>
    </row>
    <row r="1307" spans="1:64" s="2" customFormat="1" ht="14.1" customHeight="1" outlineLevel="1" x14ac:dyDescent="0.2">
      <c r="A1307" s="594"/>
      <c r="B1307" s="601"/>
      <c r="C1307" s="7" t="s">
        <v>1553</v>
      </c>
      <c r="D1307" s="8"/>
      <c r="E1307" s="23"/>
      <c r="F1307" s="8"/>
      <c r="G1307" s="8"/>
      <c r="H1307" s="5">
        <f>H1306</f>
        <v>0.15279699999999999</v>
      </c>
      <c r="I1307" s="5">
        <f>I1306</f>
        <v>0.15279699999999999</v>
      </c>
      <c r="J1307" s="5">
        <f>J1306</f>
        <v>0.15279699999999999</v>
      </c>
      <c r="K1307" s="8"/>
      <c r="L1307" s="23"/>
      <c r="M1307" s="8"/>
      <c r="N1307" s="8"/>
      <c r="O1307" s="8"/>
      <c r="P1307" s="8"/>
      <c r="Q1307" s="23"/>
      <c r="R1307" s="113"/>
      <c r="S1307" s="113"/>
      <c r="T1307" s="113"/>
      <c r="U1307" s="113"/>
      <c r="V1307" s="113"/>
      <c r="W1307" s="113"/>
      <c r="X1307" s="5">
        <f t="shared" si="191"/>
        <v>0</v>
      </c>
      <c r="Y1307" s="302"/>
      <c r="Z1307" s="5"/>
      <c r="AA1307" s="94"/>
      <c r="AB1307" s="311">
        <f t="shared" si="197"/>
        <v>0.15279699999999999</v>
      </c>
      <c r="AC1307" s="296"/>
      <c r="AD1307" s="113"/>
      <c r="AE1307" s="5"/>
      <c r="AF1307" s="5"/>
      <c r="AG1307" s="5"/>
      <c r="AH1307" s="5"/>
      <c r="AI1307" s="5"/>
      <c r="AJ1307" s="5"/>
      <c r="AK1307" s="141"/>
      <c r="AL1307" s="94"/>
      <c r="AM1307" s="128"/>
      <c r="AN1307" s="180"/>
      <c r="AO1307" s="128"/>
      <c r="AP1307" s="184"/>
      <c r="AQ1307" s="128"/>
      <c r="AR1307" s="184"/>
      <c r="AS1307" s="128"/>
      <c r="AT1307" s="184"/>
      <c r="AU1307" s="128"/>
      <c r="AV1307" s="184"/>
      <c r="AW1307" s="128"/>
      <c r="AX1307" s="184"/>
      <c r="AY1307" s="111"/>
      <c r="AZ1307" s="178"/>
      <c r="BC1307" s="47"/>
      <c r="BD1307" s="47"/>
      <c r="BF1307" s="113"/>
      <c r="BG1307" s="113"/>
      <c r="BH1307" s="113"/>
      <c r="BI1307" s="113"/>
      <c r="BJ1307" s="113"/>
      <c r="BK1307" s="113"/>
      <c r="BL1307" s="5">
        <f t="shared" si="196"/>
        <v>0</v>
      </c>
    </row>
    <row r="1308" spans="1:64" s="2" customFormat="1" ht="14.1" customHeight="1" outlineLevel="1" x14ac:dyDescent="0.2">
      <c r="A1308" s="595"/>
      <c r="B1308" s="602"/>
      <c r="C1308" s="7" t="s">
        <v>1554</v>
      </c>
      <c r="D1308" s="8"/>
      <c r="E1308" s="23"/>
      <c r="F1308" s="8"/>
      <c r="G1308" s="8"/>
      <c r="H1308" s="5"/>
      <c r="I1308" s="5"/>
      <c r="J1308" s="5"/>
      <c r="K1308" s="23"/>
      <c r="L1308" s="8"/>
      <c r="M1308" s="8"/>
      <c r="N1308" s="8"/>
      <c r="O1308" s="8"/>
      <c r="P1308" s="8"/>
      <c r="Q1308" s="23"/>
      <c r="R1308" s="113"/>
      <c r="S1308" s="113"/>
      <c r="T1308" s="113"/>
      <c r="U1308" s="113"/>
      <c r="V1308" s="113"/>
      <c r="W1308" s="113"/>
      <c r="X1308" s="5">
        <f t="shared" si="191"/>
        <v>0</v>
      </c>
      <c r="Y1308" s="302"/>
      <c r="Z1308" s="5"/>
      <c r="AA1308" s="94"/>
      <c r="AB1308" s="311">
        <f t="shared" si="197"/>
        <v>0</v>
      </c>
      <c r="AC1308" s="296"/>
      <c r="AD1308" s="113"/>
      <c r="AE1308" s="5"/>
      <c r="AF1308" s="5"/>
      <c r="AG1308" s="5"/>
      <c r="AH1308" s="5"/>
      <c r="AI1308" s="5"/>
      <c r="AJ1308" s="5"/>
      <c r="AK1308" s="141"/>
      <c r="AL1308" s="94"/>
      <c r="AM1308" s="128"/>
      <c r="AN1308" s="180"/>
      <c r="AO1308" s="128"/>
      <c r="AP1308" s="184"/>
      <c r="AQ1308" s="128"/>
      <c r="AR1308" s="184"/>
      <c r="AS1308" s="128"/>
      <c r="AT1308" s="184"/>
      <c r="AU1308" s="128"/>
      <c r="AV1308" s="184"/>
      <c r="AW1308" s="128"/>
      <c r="AX1308" s="184"/>
      <c r="AY1308" s="111"/>
      <c r="AZ1308" s="178"/>
      <c r="BC1308" s="47"/>
      <c r="BD1308" s="47"/>
      <c r="BF1308" s="113"/>
      <c r="BG1308" s="113"/>
      <c r="BH1308" s="113"/>
      <c r="BI1308" s="113"/>
      <c r="BJ1308" s="113"/>
      <c r="BK1308" s="113"/>
      <c r="BL1308" s="5">
        <f t="shared" si="196"/>
        <v>0</v>
      </c>
    </row>
    <row r="1309" spans="1:64" s="2" customFormat="1" ht="38.25" customHeight="1" outlineLevel="1" x14ac:dyDescent="0.2">
      <c r="A1309" s="593" t="s">
        <v>705</v>
      </c>
      <c r="B1309" s="600" t="s">
        <v>685</v>
      </c>
      <c r="C1309" s="7" t="s">
        <v>706</v>
      </c>
      <c r="D1309" s="8" t="s">
        <v>145</v>
      </c>
      <c r="E1309" s="23" t="s">
        <v>343</v>
      </c>
      <c r="F1309" s="8">
        <v>2013</v>
      </c>
      <c r="G1309" s="8">
        <v>2015</v>
      </c>
      <c r="H1309" s="5">
        <v>0.38798300000000002</v>
      </c>
      <c r="I1309" s="5">
        <v>0.38798300000000002</v>
      </c>
      <c r="J1309" s="5">
        <f>R1309</f>
        <v>0.38798300000000002</v>
      </c>
      <c r="K1309" s="8"/>
      <c r="L1309" s="23" t="s">
        <v>343</v>
      </c>
      <c r="M1309" s="8"/>
      <c r="N1309" s="8"/>
      <c r="O1309" s="8"/>
      <c r="P1309" s="8"/>
      <c r="Q1309" s="23" t="s">
        <v>343</v>
      </c>
      <c r="R1309" s="113">
        <v>0.38798300000000002</v>
      </c>
      <c r="S1309" s="113"/>
      <c r="T1309" s="113"/>
      <c r="U1309" s="113"/>
      <c r="V1309" s="113"/>
      <c r="W1309" s="113"/>
      <c r="X1309" s="5">
        <f t="shared" si="191"/>
        <v>0.38798300000000002</v>
      </c>
      <c r="Y1309" s="302">
        <f>H1309-H1310-H1311</f>
        <v>0</v>
      </c>
      <c r="Z1309" s="5">
        <f>I1309-I1310-I1311</f>
        <v>0</v>
      </c>
      <c r="AA1309" s="94">
        <f>J1309-J1310-J1311</f>
        <v>0</v>
      </c>
      <c r="AB1309" s="311">
        <f t="shared" si="197"/>
        <v>0</v>
      </c>
      <c r="AC1309" s="296"/>
      <c r="AD1309" s="113"/>
      <c r="AE1309" s="5"/>
      <c r="AF1309" s="5"/>
      <c r="AG1309" s="5">
        <f>H1309</f>
        <v>0.38798300000000002</v>
      </c>
      <c r="AH1309" s="5"/>
      <c r="AI1309" s="5"/>
      <c r="AJ1309" s="5"/>
      <c r="AK1309" s="141"/>
      <c r="AL1309" s="94">
        <f>SUM(AF1309:AK1309)</f>
        <v>0.38798300000000002</v>
      </c>
      <c r="AM1309" s="128"/>
      <c r="AN1309" s="180"/>
      <c r="AO1309" s="128">
        <v>0.4</v>
      </c>
      <c r="AP1309" s="184">
        <v>0</v>
      </c>
      <c r="AQ1309" s="128"/>
      <c r="AR1309" s="184"/>
      <c r="AS1309" s="128"/>
      <c r="AT1309" s="184"/>
      <c r="AU1309" s="128"/>
      <c r="AV1309" s="184"/>
      <c r="AW1309" s="128"/>
      <c r="AX1309" s="184"/>
      <c r="AY1309" s="111">
        <f>AM1309+AO1309+AQ1309+AS1309+AU1309+AW1309</f>
        <v>0.4</v>
      </c>
      <c r="AZ1309" s="178">
        <f>AN1309+AP1309+AR1309+AT1309+AV1309+AX1309</f>
        <v>0</v>
      </c>
      <c r="BC1309" s="47"/>
      <c r="BD1309" s="47"/>
      <c r="BF1309" s="113">
        <v>0.38798300000000002</v>
      </c>
      <c r="BG1309" s="113"/>
      <c r="BH1309" s="113"/>
      <c r="BI1309" s="113"/>
      <c r="BJ1309" s="113"/>
      <c r="BK1309" s="113"/>
      <c r="BL1309" s="5">
        <f t="shared" si="196"/>
        <v>0.38798300000000002</v>
      </c>
    </row>
    <row r="1310" spans="1:64" s="2" customFormat="1" ht="14.1" customHeight="1" outlineLevel="1" x14ac:dyDescent="0.2">
      <c r="A1310" s="594"/>
      <c r="B1310" s="601"/>
      <c r="C1310" s="7" t="s">
        <v>1553</v>
      </c>
      <c r="D1310" s="8"/>
      <c r="E1310" s="23"/>
      <c r="F1310" s="8"/>
      <c r="G1310" s="8"/>
      <c r="H1310" s="5"/>
      <c r="I1310" s="5"/>
      <c r="J1310" s="5"/>
      <c r="K1310" s="8"/>
      <c r="L1310" s="23"/>
      <c r="M1310" s="8"/>
      <c r="N1310" s="8"/>
      <c r="O1310" s="8"/>
      <c r="P1310" s="8"/>
      <c r="Q1310" s="23"/>
      <c r="R1310" s="113"/>
      <c r="S1310" s="113"/>
      <c r="T1310" s="113"/>
      <c r="U1310" s="113"/>
      <c r="V1310" s="113"/>
      <c r="W1310" s="113"/>
      <c r="X1310" s="5">
        <f>SUM(R1310:W1310)</f>
        <v>0</v>
      </c>
      <c r="Y1310" s="302"/>
      <c r="Z1310" s="5"/>
      <c r="AA1310" s="94"/>
      <c r="AB1310" s="311">
        <f t="shared" si="197"/>
        <v>0</v>
      </c>
      <c r="AC1310" s="296"/>
      <c r="AD1310" s="113"/>
      <c r="AE1310" s="5"/>
      <c r="AF1310" s="5"/>
      <c r="AG1310" s="5"/>
      <c r="AH1310" s="5"/>
      <c r="AI1310" s="5"/>
      <c r="AJ1310" s="5"/>
      <c r="AK1310" s="141"/>
      <c r="AL1310" s="94"/>
      <c r="AM1310" s="128"/>
      <c r="AN1310" s="180"/>
      <c r="AO1310" s="128"/>
      <c r="AP1310" s="184"/>
      <c r="AQ1310" s="128"/>
      <c r="AR1310" s="184"/>
      <c r="AS1310" s="128"/>
      <c r="AT1310" s="184"/>
      <c r="AU1310" s="128"/>
      <c r="AV1310" s="184"/>
      <c r="AW1310" s="128"/>
      <c r="AX1310" s="184"/>
      <c r="AY1310" s="111"/>
      <c r="AZ1310" s="178"/>
      <c r="BC1310" s="47"/>
      <c r="BD1310" s="47"/>
      <c r="BF1310" s="113"/>
      <c r="BG1310" s="113"/>
      <c r="BH1310" s="113"/>
      <c r="BI1310" s="113"/>
      <c r="BJ1310" s="113"/>
      <c r="BK1310" s="113"/>
      <c r="BL1310" s="5">
        <f t="shared" si="196"/>
        <v>0</v>
      </c>
    </row>
    <row r="1311" spans="1:64" s="2" customFormat="1" ht="14.1" customHeight="1" outlineLevel="1" x14ac:dyDescent="0.2">
      <c r="A1311" s="595"/>
      <c r="B1311" s="602"/>
      <c r="C1311" s="7" t="s">
        <v>1554</v>
      </c>
      <c r="D1311" s="8"/>
      <c r="E1311" s="23"/>
      <c r="F1311" s="8"/>
      <c r="G1311" s="8"/>
      <c r="H1311" s="5">
        <f>H1309</f>
        <v>0.38798300000000002</v>
      </c>
      <c r="I1311" s="5">
        <f>I1309</f>
        <v>0.38798300000000002</v>
      </c>
      <c r="J1311" s="5">
        <f>J1309</f>
        <v>0.38798300000000002</v>
      </c>
      <c r="K1311" s="23"/>
      <c r="L1311" s="8"/>
      <c r="M1311" s="8"/>
      <c r="N1311" s="8"/>
      <c r="O1311" s="8"/>
      <c r="P1311" s="8"/>
      <c r="Q1311" s="23"/>
      <c r="R1311" s="113"/>
      <c r="S1311" s="113"/>
      <c r="T1311" s="113"/>
      <c r="U1311" s="113"/>
      <c r="V1311" s="113"/>
      <c r="W1311" s="113"/>
      <c r="X1311" s="5">
        <f>SUM(R1311:W1311)</f>
        <v>0</v>
      </c>
      <c r="Y1311" s="302"/>
      <c r="Z1311" s="5"/>
      <c r="AA1311" s="94"/>
      <c r="AB1311" s="311">
        <f t="shared" si="197"/>
        <v>0.38798300000000002</v>
      </c>
      <c r="AC1311" s="296"/>
      <c r="AD1311" s="113"/>
      <c r="AE1311" s="5"/>
      <c r="AF1311" s="5"/>
      <c r="AG1311" s="5"/>
      <c r="AH1311" s="5"/>
      <c r="AI1311" s="5"/>
      <c r="AJ1311" s="5"/>
      <c r="AK1311" s="141"/>
      <c r="AL1311" s="94"/>
      <c r="AM1311" s="128"/>
      <c r="AN1311" s="180"/>
      <c r="AO1311" s="128"/>
      <c r="AP1311" s="184"/>
      <c r="AQ1311" s="128"/>
      <c r="AR1311" s="184"/>
      <c r="AS1311" s="128"/>
      <c r="AT1311" s="184"/>
      <c r="AU1311" s="128"/>
      <c r="AV1311" s="184"/>
      <c r="AW1311" s="128"/>
      <c r="AX1311" s="184"/>
      <c r="AY1311" s="111"/>
      <c r="AZ1311" s="178"/>
      <c r="BC1311" s="47"/>
      <c r="BD1311" s="47"/>
      <c r="BF1311" s="113"/>
      <c r="BG1311" s="113"/>
      <c r="BH1311" s="113"/>
      <c r="BI1311" s="113"/>
      <c r="BJ1311" s="113"/>
      <c r="BK1311" s="113"/>
      <c r="BL1311" s="5">
        <f t="shared" si="196"/>
        <v>0</v>
      </c>
    </row>
    <row r="1312" spans="1:64" s="2" customFormat="1" ht="38.25" customHeight="1" outlineLevel="1" x14ac:dyDescent="0.2">
      <c r="A1312" s="593" t="s">
        <v>707</v>
      </c>
      <c r="B1312" s="600" t="s">
        <v>687</v>
      </c>
      <c r="C1312" s="7" t="s">
        <v>2372</v>
      </c>
      <c r="D1312" s="8" t="s">
        <v>136</v>
      </c>
      <c r="E1312" s="23" t="s">
        <v>1241</v>
      </c>
      <c r="F1312" s="8">
        <v>2014</v>
      </c>
      <c r="G1312" s="8">
        <v>2015</v>
      </c>
      <c r="H1312" s="5">
        <v>0.85817911000000002</v>
      </c>
      <c r="I1312" s="5">
        <v>0.33220338983050851</v>
      </c>
      <c r="J1312" s="5">
        <f>R1312</f>
        <v>0.01</v>
      </c>
      <c r="K1312" s="8"/>
      <c r="L1312" s="23" t="s">
        <v>1241</v>
      </c>
      <c r="M1312" s="8"/>
      <c r="N1312" s="8"/>
      <c r="O1312" s="8"/>
      <c r="P1312" s="8"/>
      <c r="Q1312" s="23" t="s">
        <v>1241</v>
      </c>
      <c r="R1312" s="113">
        <v>0.01</v>
      </c>
      <c r="S1312" s="113"/>
      <c r="T1312" s="113"/>
      <c r="U1312" s="113"/>
      <c r="V1312" s="113"/>
      <c r="W1312" s="113"/>
      <c r="X1312" s="5">
        <f t="shared" si="191"/>
        <v>0.01</v>
      </c>
      <c r="Y1312" s="302">
        <f>H1312-H1313-H1314</f>
        <v>0</v>
      </c>
      <c r="Z1312" s="5">
        <f>I1312-I1313-I1314</f>
        <v>0</v>
      </c>
      <c r="AA1312" s="94">
        <f>J1312-J1313-J1314</f>
        <v>0</v>
      </c>
      <c r="AB1312" s="311">
        <f t="shared" si="197"/>
        <v>0.3222033898305085</v>
      </c>
      <c r="AC1312" s="296"/>
      <c r="AD1312" s="113"/>
      <c r="AE1312" s="5"/>
      <c r="AF1312" s="5"/>
      <c r="AG1312" s="5">
        <f>H1312</f>
        <v>0.85817911000000002</v>
      </c>
      <c r="AH1312" s="5"/>
      <c r="AI1312" s="5"/>
      <c r="AJ1312" s="5"/>
      <c r="AK1312" s="141"/>
      <c r="AL1312" s="94">
        <f>SUM(AF1312:AK1312)</f>
        <v>0.85817911000000002</v>
      </c>
      <c r="AM1312" s="128"/>
      <c r="AN1312" s="180"/>
      <c r="AO1312" s="128">
        <v>0</v>
      </c>
      <c r="AP1312" s="184">
        <v>0</v>
      </c>
      <c r="AQ1312" s="128"/>
      <c r="AR1312" s="184"/>
      <c r="AS1312" s="128"/>
      <c r="AT1312" s="184"/>
      <c r="AU1312" s="128"/>
      <c r="AV1312" s="184"/>
      <c r="AW1312" s="128"/>
      <c r="AX1312" s="184"/>
      <c r="AY1312" s="111">
        <f>AM1312+AO1312+AQ1312+AS1312+AU1312+AW1312</f>
        <v>0</v>
      </c>
      <c r="AZ1312" s="178">
        <f>AN1312+AP1312+AR1312+AT1312+AV1312+AX1312</f>
        <v>0</v>
      </c>
      <c r="BC1312" s="47"/>
      <c r="BD1312" s="47"/>
      <c r="BF1312" s="113">
        <v>0.01</v>
      </c>
      <c r="BG1312" s="113"/>
      <c r="BH1312" s="113"/>
      <c r="BI1312" s="113"/>
      <c r="BJ1312" s="113"/>
      <c r="BK1312" s="113"/>
      <c r="BL1312" s="5">
        <f t="shared" si="196"/>
        <v>0.01</v>
      </c>
    </row>
    <row r="1313" spans="1:64" s="2" customFormat="1" ht="14.1" customHeight="1" outlineLevel="1" x14ac:dyDescent="0.2">
      <c r="A1313" s="594"/>
      <c r="B1313" s="601"/>
      <c r="C1313" s="7" t="s">
        <v>1553</v>
      </c>
      <c r="D1313" s="8"/>
      <c r="E1313" s="23"/>
      <c r="F1313" s="8"/>
      <c r="G1313" s="8"/>
      <c r="H1313" s="5"/>
      <c r="I1313" s="5"/>
      <c r="J1313" s="5"/>
      <c r="K1313" s="8"/>
      <c r="L1313" s="23"/>
      <c r="M1313" s="8"/>
      <c r="N1313" s="8"/>
      <c r="O1313" s="8"/>
      <c r="P1313" s="8"/>
      <c r="Q1313" s="23"/>
      <c r="R1313" s="113"/>
      <c r="S1313" s="113"/>
      <c r="T1313" s="113"/>
      <c r="U1313" s="113"/>
      <c r="V1313" s="113"/>
      <c r="W1313" s="113"/>
      <c r="X1313" s="5">
        <f t="shared" si="191"/>
        <v>0</v>
      </c>
      <c r="Y1313" s="302"/>
      <c r="Z1313" s="5"/>
      <c r="AA1313" s="94"/>
      <c r="AB1313" s="311">
        <f t="shared" si="197"/>
        <v>0</v>
      </c>
      <c r="AC1313" s="296"/>
      <c r="AD1313" s="113"/>
      <c r="AE1313" s="5"/>
      <c r="AF1313" s="5"/>
      <c r="AG1313" s="5"/>
      <c r="AH1313" s="5"/>
      <c r="AI1313" s="5"/>
      <c r="AJ1313" s="5"/>
      <c r="AK1313" s="141"/>
      <c r="AL1313" s="94"/>
      <c r="AM1313" s="128"/>
      <c r="AN1313" s="180"/>
      <c r="AO1313" s="128"/>
      <c r="AP1313" s="184"/>
      <c r="AQ1313" s="128"/>
      <c r="AR1313" s="184"/>
      <c r="AS1313" s="128"/>
      <c r="AT1313" s="184"/>
      <c r="AU1313" s="128"/>
      <c r="AV1313" s="184"/>
      <c r="AW1313" s="128"/>
      <c r="AX1313" s="184"/>
      <c r="AY1313" s="111"/>
      <c r="AZ1313" s="178"/>
      <c r="BC1313" s="47"/>
      <c r="BD1313" s="47"/>
      <c r="BF1313" s="113"/>
      <c r="BG1313" s="113"/>
      <c r="BH1313" s="113"/>
      <c r="BI1313" s="113"/>
      <c r="BJ1313" s="113"/>
      <c r="BK1313" s="113"/>
      <c r="BL1313" s="5">
        <f t="shared" si="196"/>
        <v>0</v>
      </c>
    </row>
    <row r="1314" spans="1:64" s="2" customFormat="1" ht="14.1" customHeight="1" outlineLevel="1" x14ac:dyDescent="0.2">
      <c r="A1314" s="595"/>
      <c r="B1314" s="602"/>
      <c r="C1314" s="7" t="s">
        <v>1554</v>
      </c>
      <c r="D1314" s="8"/>
      <c r="E1314" s="23"/>
      <c r="F1314" s="8"/>
      <c r="G1314" s="8"/>
      <c r="H1314" s="5">
        <f>H1312</f>
        <v>0.85817911000000002</v>
      </c>
      <c r="I1314" s="5">
        <f>I1312</f>
        <v>0.33220338983050851</v>
      </c>
      <c r="J1314" s="5">
        <f>J1312</f>
        <v>0.01</v>
      </c>
      <c r="K1314" s="23"/>
      <c r="L1314" s="8"/>
      <c r="M1314" s="8"/>
      <c r="N1314" s="8"/>
      <c r="O1314" s="8"/>
      <c r="P1314" s="8"/>
      <c r="Q1314" s="23"/>
      <c r="R1314" s="113"/>
      <c r="S1314" s="113"/>
      <c r="T1314" s="113"/>
      <c r="U1314" s="113"/>
      <c r="V1314" s="113"/>
      <c r="W1314" s="113"/>
      <c r="X1314" s="5">
        <f t="shared" si="191"/>
        <v>0</v>
      </c>
      <c r="Y1314" s="302"/>
      <c r="Z1314" s="5"/>
      <c r="AA1314" s="94"/>
      <c r="AB1314" s="311">
        <f t="shared" si="197"/>
        <v>0.33220338983050851</v>
      </c>
      <c r="AC1314" s="296"/>
      <c r="AD1314" s="113"/>
      <c r="AE1314" s="5"/>
      <c r="AF1314" s="5"/>
      <c r="AG1314" s="5"/>
      <c r="AH1314" s="5"/>
      <c r="AI1314" s="5"/>
      <c r="AJ1314" s="5"/>
      <c r="AK1314" s="141"/>
      <c r="AL1314" s="94"/>
      <c r="AM1314" s="128"/>
      <c r="AN1314" s="180"/>
      <c r="AO1314" s="128"/>
      <c r="AP1314" s="184"/>
      <c r="AQ1314" s="128"/>
      <c r="AR1314" s="184"/>
      <c r="AS1314" s="128"/>
      <c r="AT1314" s="184"/>
      <c r="AU1314" s="128"/>
      <c r="AV1314" s="184"/>
      <c r="AW1314" s="128"/>
      <c r="AX1314" s="184"/>
      <c r="AY1314" s="111"/>
      <c r="AZ1314" s="178"/>
      <c r="BC1314" s="47"/>
      <c r="BD1314" s="47"/>
      <c r="BF1314" s="113"/>
      <c r="BG1314" s="113"/>
      <c r="BH1314" s="113"/>
      <c r="BI1314" s="113"/>
      <c r="BJ1314" s="113"/>
      <c r="BK1314" s="113"/>
      <c r="BL1314" s="5">
        <f t="shared" si="196"/>
        <v>0</v>
      </c>
    </row>
    <row r="1315" spans="1:64" s="2" customFormat="1" ht="39" customHeight="1" outlineLevel="1" x14ac:dyDescent="0.2">
      <c r="A1315" s="593" t="s">
        <v>708</v>
      </c>
      <c r="B1315" s="600" t="s">
        <v>688</v>
      </c>
      <c r="C1315" s="7" t="s">
        <v>709</v>
      </c>
      <c r="D1315" s="8" t="s">
        <v>145</v>
      </c>
      <c r="E1315" s="23" t="s">
        <v>361</v>
      </c>
      <c r="F1315" s="8">
        <v>2014</v>
      </c>
      <c r="G1315" s="8">
        <v>2015</v>
      </c>
      <c r="H1315" s="5">
        <v>4.8000000000000001E-2</v>
      </c>
      <c r="I1315" s="5">
        <v>4.8000000000000001E-2</v>
      </c>
      <c r="J1315" s="5">
        <f>R1315</f>
        <v>0.01</v>
      </c>
      <c r="K1315" s="8"/>
      <c r="L1315" s="23" t="s">
        <v>361</v>
      </c>
      <c r="M1315" s="8"/>
      <c r="N1315" s="8"/>
      <c r="O1315" s="8"/>
      <c r="P1315" s="8"/>
      <c r="Q1315" s="23" t="s">
        <v>361</v>
      </c>
      <c r="R1315" s="113">
        <v>0.01</v>
      </c>
      <c r="S1315" s="113"/>
      <c r="T1315" s="113"/>
      <c r="U1315" s="113"/>
      <c r="V1315" s="113"/>
      <c r="W1315" s="113"/>
      <c r="X1315" s="5">
        <f t="shared" si="191"/>
        <v>0.01</v>
      </c>
      <c r="Y1315" s="302">
        <f>H1315-H1316-H1317</f>
        <v>0</v>
      </c>
      <c r="Z1315" s="5">
        <f>I1315-I1316-I1317</f>
        <v>0</v>
      </c>
      <c r="AA1315" s="94">
        <f>J1315-J1316-J1317</f>
        <v>0</v>
      </c>
      <c r="AB1315" s="311">
        <f t="shared" si="197"/>
        <v>3.7999999999999999E-2</v>
      </c>
      <c r="AC1315" s="296"/>
      <c r="AD1315" s="113"/>
      <c r="AE1315" s="5"/>
      <c r="AF1315" s="5"/>
      <c r="AG1315" s="5">
        <f>H1315</f>
        <v>4.8000000000000001E-2</v>
      </c>
      <c r="AH1315" s="5"/>
      <c r="AI1315" s="5"/>
      <c r="AJ1315" s="5"/>
      <c r="AK1315" s="141"/>
      <c r="AL1315" s="94">
        <f>SUM(AF1315:AK1315)</f>
        <v>4.8000000000000001E-2</v>
      </c>
      <c r="AM1315" s="128"/>
      <c r="AN1315" s="180"/>
      <c r="AO1315" s="128">
        <v>0.12</v>
      </c>
      <c r="AP1315" s="184">
        <v>0</v>
      </c>
      <c r="AQ1315" s="128"/>
      <c r="AR1315" s="184"/>
      <c r="AS1315" s="128"/>
      <c r="AT1315" s="184"/>
      <c r="AU1315" s="128"/>
      <c r="AV1315" s="184"/>
      <c r="AW1315" s="128"/>
      <c r="AX1315" s="184"/>
      <c r="AY1315" s="111">
        <f>AM1315+AO1315+AQ1315+AS1315+AU1315+AW1315</f>
        <v>0.12</v>
      </c>
      <c r="AZ1315" s="178">
        <f>AN1315+AP1315+AR1315+AT1315+AV1315+AX1315</f>
        <v>0</v>
      </c>
      <c r="BC1315" s="47"/>
      <c r="BD1315" s="47"/>
      <c r="BF1315" s="113">
        <v>0.01</v>
      </c>
      <c r="BG1315" s="113"/>
      <c r="BH1315" s="113"/>
      <c r="BI1315" s="113"/>
      <c r="BJ1315" s="113"/>
      <c r="BK1315" s="113"/>
      <c r="BL1315" s="5">
        <f t="shared" si="196"/>
        <v>0.01</v>
      </c>
    </row>
    <row r="1316" spans="1:64" s="2" customFormat="1" ht="14.1" customHeight="1" outlineLevel="1" x14ac:dyDescent="0.2">
      <c r="A1316" s="594"/>
      <c r="B1316" s="601"/>
      <c r="C1316" s="7" t="s">
        <v>1553</v>
      </c>
      <c r="D1316" s="8"/>
      <c r="E1316" s="23"/>
      <c r="F1316" s="8"/>
      <c r="G1316" s="8"/>
      <c r="H1316" s="5"/>
      <c r="I1316" s="5"/>
      <c r="J1316" s="5"/>
      <c r="K1316" s="8"/>
      <c r="L1316" s="23"/>
      <c r="M1316" s="8"/>
      <c r="N1316" s="8"/>
      <c r="O1316" s="8"/>
      <c r="P1316" s="8"/>
      <c r="Q1316" s="23"/>
      <c r="R1316" s="113"/>
      <c r="S1316" s="113"/>
      <c r="T1316" s="113"/>
      <c r="U1316" s="113"/>
      <c r="V1316" s="113"/>
      <c r="W1316" s="113"/>
      <c r="X1316" s="5">
        <f>SUM(R1316:W1316)</f>
        <v>0</v>
      </c>
      <c r="Y1316" s="302"/>
      <c r="Z1316" s="5"/>
      <c r="AA1316" s="94"/>
      <c r="AB1316" s="311">
        <f t="shared" si="197"/>
        <v>0</v>
      </c>
      <c r="AC1316" s="296"/>
      <c r="AD1316" s="113"/>
      <c r="AE1316" s="5"/>
      <c r="AF1316" s="5"/>
      <c r="AG1316" s="5"/>
      <c r="AH1316" s="5"/>
      <c r="AI1316" s="5"/>
      <c r="AJ1316" s="5"/>
      <c r="AK1316" s="141"/>
      <c r="AL1316" s="94"/>
      <c r="AM1316" s="128"/>
      <c r="AN1316" s="180"/>
      <c r="AO1316" s="128"/>
      <c r="AP1316" s="184"/>
      <c r="AQ1316" s="128"/>
      <c r="AR1316" s="184"/>
      <c r="AS1316" s="128"/>
      <c r="AT1316" s="184"/>
      <c r="AU1316" s="128"/>
      <c r="AV1316" s="184"/>
      <c r="AW1316" s="128"/>
      <c r="AX1316" s="184"/>
      <c r="AY1316" s="111"/>
      <c r="AZ1316" s="178"/>
      <c r="BC1316" s="47"/>
      <c r="BD1316" s="47"/>
      <c r="BF1316" s="113"/>
      <c r="BG1316" s="113"/>
      <c r="BH1316" s="113"/>
      <c r="BI1316" s="113"/>
      <c r="BJ1316" s="113"/>
      <c r="BK1316" s="113"/>
      <c r="BL1316" s="5">
        <f t="shared" si="196"/>
        <v>0</v>
      </c>
    </row>
    <row r="1317" spans="1:64" s="2" customFormat="1" ht="14.1" customHeight="1" outlineLevel="1" x14ac:dyDescent="0.2">
      <c r="A1317" s="595"/>
      <c r="B1317" s="602"/>
      <c r="C1317" s="7" t="s">
        <v>1554</v>
      </c>
      <c r="D1317" s="8"/>
      <c r="E1317" s="23"/>
      <c r="F1317" s="8"/>
      <c r="G1317" s="8"/>
      <c r="H1317" s="5">
        <v>4.8000000000000001E-2</v>
      </c>
      <c r="I1317" s="5">
        <v>4.8000000000000001E-2</v>
      </c>
      <c r="J1317" s="5">
        <v>0.01</v>
      </c>
      <c r="K1317" s="23"/>
      <c r="L1317" s="8"/>
      <c r="M1317" s="8"/>
      <c r="N1317" s="8"/>
      <c r="O1317" s="8"/>
      <c r="P1317" s="8"/>
      <c r="Q1317" s="23"/>
      <c r="R1317" s="113"/>
      <c r="S1317" s="113"/>
      <c r="T1317" s="113"/>
      <c r="U1317" s="113"/>
      <c r="V1317" s="113"/>
      <c r="W1317" s="113"/>
      <c r="X1317" s="5">
        <f>SUM(R1317:W1317)</f>
        <v>0</v>
      </c>
      <c r="Y1317" s="302"/>
      <c r="Z1317" s="5"/>
      <c r="AA1317" s="94"/>
      <c r="AB1317" s="311">
        <f t="shared" si="197"/>
        <v>4.8000000000000001E-2</v>
      </c>
      <c r="AC1317" s="296"/>
      <c r="AD1317" s="113"/>
      <c r="AE1317" s="5"/>
      <c r="AF1317" s="5"/>
      <c r="AG1317" s="5"/>
      <c r="AH1317" s="5"/>
      <c r="AI1317" s="5"/>
      <c r="AJ1317" s="5"/>
      <c r="AK1317" s="141"/>
      <c r="AL1317" s="94"/>
      <c r="AM1317" s="128"/>
      <c r="AN1317" s="180"/>
      <c r="AO1317" s="128"/>
      <c r="AP1317" s="184"/>
      <c r="AQ1317" s="128"/>
      <c r="AR1317" s="184"/>
      <c r="AS1317" s="128"/>
      <c r="AT1317" s="184"/>
      <c r="AU1317" s="128"/>
      <c r="AV1317" s="184"/>
      <c r="AW1317" s="128"/>
      <c r="AX1317" s="184"/>
      <c r="AY1317" s="111"/>
      <c r="AZ1317" s="178"/>
      <c r="BC1317" s="47"/>
      <c r="BD1317" s="47"/>
      <c r="BF1317" s="113"/>
      <c r="BG1317" s="113"/>
      <c r="BH1317" s="113"/>
      <c r="BI1317" s="113"/>
      <c r="BJ1317" s="113"/>
      <c r="BK1317" s="113"/>
      <c r="BL1317" s="5">
        <f t="shared" si="196"/>
        <v>0</v>
      </c>
    </row>
    <row r="1318" spans="1:64" s="2" customFormat="1" ht="38.25" customHeight="1" outlineLevel="1" x14ac:dyDescent="0.2">
      <c r="A1318" s="593" t="s">
        <v>710</v>
      </c>
      <c r="B1318" s="600" t="s">
        <v>690</v>
      </c>
      <c r="C1318" s="7" t="s">
        <v>711</v>
      </c>
      <c r="D1318" s="8" t="s">
        <v>145</v>
      </c>
      <c r="E1318" s="23" t="s">
        <v>1241</v>
      </c>
      <c r="F1318" s="8">
        <v>2014</v>
      </c>
      <c r="G1318" s="8">
        <v>2015</v>
      </c>
      <c r="H1318" s="5">
        <v>4.8000000000000001E-2</v>
      </c>
      <c r="I1318" s="5">
        <v>4.8000000000000001E-2</v>
      </c>
      <c r="J1318" s="5">
        <f>R1318</f>
        <v>0.01</v>
      </c>
      <c r="K1318" s="8"/>
      <c r="L1318" s="23" t="s">
        <v>1241</v>
      </c>
      <c r="M1318" s="8"/>
      <c r="N1318" s="8"/>
      <c r="O1318" s="8"/>
      <c r="P1318" s="8"/>
      <c r="Q1318" s="23" t="s">
        <v>1241</v>
      </c>
      <c r="R1318" s="113">
        <v>0.01</v>
      </c>
      <c r="S1318" s="113"/>
      <c r="T1318" s="113"/>
      <c r="U1318" s="113"/>
      <c r="V1318" s="113"/>
      <c r="W1318" s="113"/>
      <c r="X1318" s="5">
        <f t="shared" si="191"/>
        <v>0.01</v>
      </c>
      <c r="Y1318" s="302">
        <f>H1318-H1319-H1320</f>
        <v>0</v>
      </c>
      <c r="Z1318" s="5">
        <f>I1318-I1319-I1320</f>
        <v>0</v>
      </c>
      <c r="AA1318" s="94">
        <f>J1318-J1319-J1320</f>
        <v>0</v>
      </c>
      <c r="AB1318" s="311">
        <f t="shared" si="197"/>
        <v>3.7999999999999999E-2</v>
      </c>
      <c r="AC1318" s="296"/>
      <c r="AD1318" s="113"/>
      <c r="AE1318" s="5"/>
      <c r="AF1318" s="5"/>
      <c r="AG1318" s="5">
        <f>H1318</f>
        <v>4.8000000000000001E-2</v>
      </c>
      <c r="AH1318" s="5"/>
      <c r="AI1318" s="5"/>
      <c r="AJ1318" s="5"/>
      <c r="AK1318" s="141"/>
      <c r="AL1318" s="94">
        <f>SUM(AF1318:AK1318)</f>
        <v>4.8000000000000001E-2</v>
      </c>
      <c r="AM1318" s="128"/>
      <c r="AN1318" s="180"/>
      <c r="AO1318" s="128">
        <v>0</v>
      </c>
      <c r="AP1318" s="184">
        <v>0</v>
      </c>
      <c r="AQ1318" s="128"/>
      <c r="AR1318" s="184"/>
      <c r="AS1318" s="128"/>
      <c r="AT1318" s="184"/>
      <c r="AU1318" s="128"/>
      <c r="AV1318" s="184"/>
      <c r="AW1318" s="128"/>
      <c r="AX1318" s="184"/>
      <c r="AY1318" s="111">
        <f>AM1318+AO1318+AQ1318+AS1318+AU1318+AW1318</f>
        <v>0</v>
      </c>
      <c r="AZ1318" s="178">
        <f>AN1318+AP1318+AR1318+AT1318+AV1318+AX1318</f>
        <v>0</v>
      </c>
      <c r="BC1318" s="47"/>
      <c r="BD1318" s="47"/>
      <c r="BF1318" s="113">
        <v>0.01</v>
      </c>
      <c r="BG1318" s="113"/>
      <c r="BH1318" s="113"/>
      <c r="BI1318" s="113"/>
      <c r="BJ1318" s="113"/>
      <c r="BK1318" s="113"/>
      <c r="BL1318" s="5">
        <f t="shared" si="196"/>
        <v>0.01</v>
      </c>
    </row>
    <row r="1319" spans="1:64" s="2" customFormat="1" ht="14.1" customHeight="1" outlineLevel="1" x14ac:dyDescent="0.2">
      <c r="A1319" s="594"/>
      <c r="B1319" s="601"/>
      <c r="C1319" s="7" t="s">
        <v>1553</v>
      </c>
      <c r="D1319" s="8"/>
      <c r="E1319" s="23"/>
      <c r="F1319" s="8"/>
      <c r="G1319" s="8"/>
      <c r="H1319" s="5"/>
      <c r="I1319" s="5"/>
      <c r="J1319" s="5"/>
      <c r="K1319" s="8"/>
      <c r="L1319" s="23"/>
      <c r="M1319" s="8"/>
      <c r="N1319" s="8"/>
      <c r="O1319" s="8"/>
      <c r="P1319" s="8"/>
      <c r="Q1319" s="23"/>
      <c r="R1319" s="113"/>
      <c r="S1319" s="113"/>
      <c r="T1319" s="113"/>
      <c r="U1319" s="113"/>
      <c r="V1319" s="113"/>
      <c r="W1319" s="113"/>
      <c r="X1319" s="5">
        <f t="shared" si="191"/>
        <v>0</v>
      </c>
      <c r="Y1319" s="302"/>
      <c r="Z1319" s="5"/>
      <c r="AA1319" s="94"/>
      <c r="AB1319" s="311">
        <f t="shared" si="197"/>
        <v>0</v>
      </c>
      <c r="AC1319" s="296"/>
      <c r="AD1319" s="113"/>
      <c r="AE1319" s="5"/>
      <c r="AF1319" s="5"/>
      <c r="AG1319" s="5"/>
      <c r="AH1319" s="5"/>
      <c r="AI1319" s="5"/>
      <c r="AJ1319" s="5"/>
      <c r="AK1319" s="141"/>
      <c r="AL1319" s="94"/>
      <c r="AM1319" s="128"/>
      <c r="AN1319" s="180"/>
      <c r="AO1319" s="128"/>
      <c r="AP1319" s="184"/>
      <c r="AQ1319" s="128"/>
      <c r="AR1319" s="184"/>
      <c r="AS1319" s="128"/>
      <c r="AT1319" s="184"/>
      <c r="AU1319" s="128"/>
      <c r="AV1319" s="184"/>
      <c r="AW1319" s="128"/>
      <c r="AX1319" s="184"/>
      <c r="AY1319" s="111"/>
      <c r="AZ1319" s="178"/>
      <c r="BC1319" s="47"/>
      <c r="BD1319" s="47"/>
      <c r="BF1319" s="113"/>
      <c r="BG1319" s="113"/>
      <c r="BH1319" s="113"/>
      <c r="BI1319" s="113"/>
      <c r="BJ1319" s="113"/>
      <c r="BK1319" s="113"/>
      <c r="BL1319" s="5">
        <f t="shared" si="196"/>
        <v>0</v>
      </c>
    </row>
    <row r="1320" spans="1:64" s="2" customFormat="1" ht="14.1" customHeight="1" outlineLevel="1" x14ac:dyDescent="0.2">
      <c r="A1320" s="595"/>
      <c r="B1320" s="602"/>
      <c r="C1320" s="7" t="s">
        <v>1554</v>
      </c>
      <c r="D1320" s="8"/>
      <c r="E1320" s="23"/>
      <c r="F1320" s="8"/>
      <c r="G1320" s="8"/>
      <c r="H1320" s="5">
        <v>4.8000000000000001E-2</v>
      </c>
      <c r="I1320" s="5">
        <v>4.8000000000000001E-2</v>
      </c>
      <c r="J1320" s="5">
        <v>0.01</v>
      </c>
      <c r="K1320" s="23"/>
      <c r="L1320" s="8"/>
      <c r="M1320" s="8"/>
      <c r="N1320" s="8"/>
      <c r="O1320" s="8"/>
      <c r="P1320" s="8"/>
      <c r="Q1320" s="23"/>
      <c r="R1320" s="113"/>
      <c r="S1320" s="113"/>
      <c r="T1320" s="113"/>
      <c r="U1320" s="113"/>
      <c r="V1320" s="113"/>
      <c r="W1320" s="113"/>
      <c r="X1320" s="5">
        <f t="shared" si="191"/>
        <v>0</v>
      </c>
      <c r="Y1320" s="302"/>
      <c r="Z1320" s="5"/>
      <c r="AA1320" s="94"/>
      <c r="AB1320" s="311">
        <f t="shared" si="197"/>
        <v>4.8000000000000001E-2</v>
      </c>
      <c r="AC1320" s="296"/>
      <c r="AD1320" s="113"/>
      <c r="AE1320" s="5"/>
      <c r="AF1320" s="5"/>
      <c r="AG1320" s="5"/>
      <c r="AH1320" s="5"/>
      <c r="AI1320" s="5"/>
      <c r="AJ1320" s="5"/>
      <c r="AK1320" s="141"/>
      <c r="AL1320" s="94"/>
      <c r="AM1320" s="128"/>
      <c r="AN1320" s="180"/>
      <c r="AO1320" s="128"/>
      <c r="AP1320" s="184"/>
      <c r="AQ1320" s="128"/>
      <c r="AR1320" s="184"/>
      <c r="AS1320" s="128"/>
      <c r="AT1320" s="184"/>
      <c r="AU1320" s="128"/>
      <c r="AV1320" s="184"/>
      <c r="AW1320" s="128"/>
      <c r="AX1320" s="184"/>
      <c r="AY1320" s="111"/>
      <c r="AZ1320" s="178"/>
      <c r="BC1320" s="47"/>
      <c r="BD1320" s="47"/>
      <c r="BF1320" s="113"/>
      <c r="BG1320" s="113"/>
      <c r="BH1320" s="113"/>
      <c r="BI1320" s="113"/>
      <c r="BJ1320" s="113"/>
      <c r="BK1320" s="113"/>
      <c r="BL1320" s="5">
        <f t="shared" si="196"/>
        <v>0</v>
      </c>
    </row>
    <row r="1321" spans="1:64" s="2" customFormat="1" ht="25.5" customHeight="1" outlineLevel="1" x14ac:dyDescent="0.2">
      <c r="A1321" s="593" t="s">
        <v>712</v>
      </c>
      <c r="B1321" s="600" t="s">
        <v>693</v>
      </c>
      <c r="C1321" s="7" t="s">
        <v>1988</v>
      </c>
      <c r="D1321" s="8" t="s">
        <v>145</v>
      </c>
      <c r="E1321" s="23" t="s">
        <v>1387</v>
      </c>
      <c r="F1321" s="8">
        <v>2014</v>
      </c>
      <c r="G1321" s="8">
        <v>2015</v>
      </c>
      <c r="H1321" s="5">
        <v>0.19491525423728814</v>
      </c>
      <c r="I1321" s="5">
        <v>0.19491525423728814</v>
      </c>
      <c r="J1321" s="5">
        <f>R1321</f>
        <v>0.01</v>
      </c>
      <c r="K1321" s="8"/>
      <c r="L1321" s="23" t="s">
        <v>1387</v>
      </c>
      <c r="M1321" s="8"/>
      <c r="N1321" s="8"/>
      <c r="O1321" s="8"/>
      <c r="P1321" s="8"/>
      <c r="Q1321" s="23" t="s">
        <v>1387</v>
      </c>
      <c r="R1321" s="113">
        <v>0.01</v>
      </c>
      <c r="S1321" s="113"/>
      <c r="T1321" s="113"/>
      <c r="U1321" s="113"/>
      <c r="V1321" s="113"/>
      <c r="W1321" s="113"/>
      <c r="X1321" s="5">
        <f t="shared" si="191"/>
        <v>0.01</v>
      </c>
      <c r="Y1321" s="302">
        <f>H1321-H1322-H1323</f>
        <v>0</v>
      </c>
      <c r="Z1321" s="5">
        <f>I1321-I1322-I1323</f>
        <v>0</v>
      </c>
      <c r="AA1321" s="94">
        <f>J1321-J1322-J1323</f>
        <v>0</v>
      </c>
      <c r="AB1321" s="311">
        <f t="shared" si="197"/>
        <v>0.18491525423728813</v>
      </c>
      <c r="AC1321" s="296"/>
      <c r="AD1321" s="113"/>
      <c r="AE1321" s="5"/>
      <c r="AF1321" s="5"/>
      <c r="AG1321" s="5">
        <f>H1321</f>
        <v>0.19491525423728814</v>
      </c>
      <c r="AH1321" s="5"/>
      <c r="AI1321" s="5"/>
      <c r="AJ1321" s="5"/>
      <c r="AK1321" s="141"/>
      <c r="AL1321" s="94">
        <f>SUM(AF1321:AK1321)</f>
        <v>0.19491525423728814</v>
      </c>
      <c r="AM1321" s="128"/>
      <c r="AN1321" s="180"/>
      <c r="AO1321" s="128">
        <v>0.5</v>
      </c>
      <c r="AP1321" s="184">
        <v>0</v>
      </c>
      <c r="AQ1321" s="128"/>
      <c r="AR1321" s="184"/>
      <c r="AS1321" s="128"/>
      <c r="AT1321" s="184"/>
      <c r="AU1321" s="128"/>
      <c r="AV1321" s="184"/>
      <c r="AW1321" s="128"/>
      <c r="AX1321" s="184"/>
      <c r="AY1321" s="111">
        <f>AM1321+AO1321+AQ1321+AS1321+AU1321+AW1321</f>
        <v>0.5</v>
      </c>
      <c r="AZ1321" s="178">
        <f>AN1321+AP1321+AR1321+AT1321+AV1321+AX1321</f>
        <v>0</v>
      </c>
      <c r="BC1321" s="47"/>
      <c r="BD1321" s="47"/>
      <c r="BF1321" s="113">
        <v>0.01</v>
      </c>
      <c r="BG1321" s="113"/>
      <c r="BH1321" s="113"/>
      <c r="BI1321" s="113"/>
      <c r="BJ1321" s="113"/>
      <c r="BK1321" s="113"/>
      <c r="BL1321" s="5">
        <f t="shared" si="196"/>
        <v>0.01</v>
      </c>
    </row>
    <row r="1322" spans="1:64" s="2" customFormat="1" ht="14.1" customHeight="1" outlineLevel="1" x14ac:dyDescent="0.2">
      <c r="A1322" s="594"/>
      <c r="B1322" s="601"/>
      <c r="C1322" s="7" t="s">
        <v>1553</v>
      </c>
      <c r="D1322" s="8"/>
      <c r="E1322" s="23"/>
      <c r="F1322" s="8"/>
      <c r="G1322" s="8"/>
      <c r="H1322" s="5"/>
      <c r="I1322" s="5"/>
      <c r="J1322" s="5"/>
      <c r="K1322" s="8"/>
      <c r="L1322" s="23"/>
      <c r="M1322" s="8"/>
      <c r="N1322" s="8"/>
      <c r="O1322" s="8"/>
      <c r="P1322" s="8"/>
      <c r="Q1322" s="23"/>
      <c r="R1322" s="113"/>
      <c r="S1322" s="113"/>
      <c r="T1322" s="113"/>
      <c r="U1322" s="113"/>
      <c r="V1322" s="113"/>
      <c r="W1322" s="113"/>
      <c r="X1322" s="5">
        <f>SUM(R1322:W1322)</f>
        <v>0</v>
      </c>
      <c r="Y1322" s="302"/>
      <c r="Z1322" s="5"/>
      <c r="AA1322" s="94"/>
      <c r="AB1322" s="311">
        <f t="shared" si="197"/>
        <v>0</v>
      </c>
      <c r="AC1322" s="296"/>
      <c r="AD1322" s="113"/>
      <c r="AE1322" s="5"/>
      <c r="AF1322" s="5"/>
      <c r="AG1322" s="5"/>
      <c r="AH1322" s="5"/>
      <c r="AI1322" s="5"/>
      <c r="AJ1322" s="5"/>
      <c r="AK1322" s="141"/>
      <c r="AL1322" s="94"/>
      <c r="AM1322" s="128"/>
      <c r="AN1322" s="180"/>
      <c r="AO1322" s="128"/>
      <c r="AP1322" s="184"/>
      <c r="AQ1322" s="128"/>
      <c r="AR1322" s="184"/>
      <c r="AS1322" s="128"/>
      <c r="AT1322" s="184"/>
      <c r="AU1322" s="128"/>
      <c r="AV1322" s="184"/>
      <c r="AW1322" s="128"/>
      <c r="AX1322" s="184"/>
      <c r="AY1322" s="111"/>
      <c r="AZ1322" s="178"/>
      <c r="BC1322" s="47"/>
      <c r="BD1322" s="47"/>
      <c r="BF1322" s="113"/>
      <c r="BG1322" s="113"/>
      <c r="BH1322" s="113"/>
      <c r="BI1322" s="113"/>
      <c r="BJ1322" s="113"/>
      <c r="BK1322" s="113"/>
      <c r="BL1322" s="5">
        <f t="shared" si="196"/>
        <v>0</v>
      </c>
    </row>
    <row r="1323" spans="1:64" s="2" customFormat="1" ht="14.1" customHeight="1" outlineLevel="1" x14ac:dyDescent="0.2">
      <c r="A1323" s="595"/>
      <c r="B1323" s="602"/>
      <c r="C1323" s="7" t="s">
        <v>1554</v>
      </c>
      <c r="D1323" s="8"/>
      <c r="E1323" s="23"/>
      <c r="F1323" s="8"/>
      <c r="G1323" s="8"/>
      <c r="H1323" s="5">
        <v>0.19491525423728814</v>
      </c>
      <c r="I1323" s="5">
        <v>0.19491525423728814</v>
      </c>
      <c r="J1323" s="5">
        <v>0.01</v>
      </c>
      <c r="K1323" s="23"/>
      <c r="L1323" s="8"/>
      <c r="M1323" s="8"/>
      <c r="N1323" s="8"/>
      <c r="O1323" s="8"/>
      <c r="P1323" s="8"/>
      <c r="Q1323" s="23"/>
      <c r="R1323" s="113"/>
      <c r="S1323" s="113"/>
      <c r="T1323" s="113"/>
      <c r="U1323" s="113"/>
      <c r="V1323" s="113"/>
      <c r="W1323" s="113"/>
      <c r="X1323" s="5">
        <f>SUM(R1323:W1323)</f>
        <v>0</v>
      </c>
      <c r="Y1323" s="302"/>
      <c r="Z1323" s="5"/>
      <c r="AA1323" s="94"/>
      <c r="AB1323" s="311">
        <f t="shared" si="197"/>
        <v>0.19491525423728814</v>
      </c>
      <c r="AC1323" s="296"/>
      <c r="AD1323" s="113"/>
      <c r="AE1323" s="5"/>
      <c r="AF1323" s="5"/>
      <c r="AG1323" s="5"/>
      <c r="AH1323" s="5"/>
      <c r="AI1323" s="5"/>
      <c r="AJ1323" s="5"/>
      <c r="AK1323" s="141"/>
      <c r="AL1323" s="94"/>
      <c r="AM1323" s="128"/>
      <c r="AN1323" s="180"/>
      <c r="AO1323" s="128"/>
      <c r="AP1323" s="184"/>
      <c r="AQ1323" s="128"/>
      <c r="AR1323" s="184"/>
      <c r="AS1323" s="128"/>
      <c r="AT1323" s="184"/>
      <c r="AU1323" s="128"/>
      <c r="AV1323" s="184"/>
      <c r="AW1323" s="128"/>
      <c r="AX1323" s="184"/>
      <c r="AY1323" s="111"/>
      <c r="AZ1323" s="178"/>
      <c r="BC1323" s="47"/>
      <c r="BD1323" s="47"/>
      <c r="BF1323" s="113"/>
      <c r="BG1323" s="113"/>
      <c r="BH1323" s="113"/>
      <c r="BI1323" s="113"/>
      <c r="BJ1323" s="113"/>
      <c r="BK1323" s="113"/>
      <c r="BL1323" s="5">
        <f t="shared" si="196"/>
        <v>0</v>
      </c>
    </row>
    <row r="1324" spans="1:64" s="2" customFormat="1" ht="38.25" customHeight="1" outlineLevel="1" x14ac:dyDescent="0.2">
      <c r="A1324" s="593" t="s">
        <v>713</v>
      </c>
      <c r="B1324" s="600" t="s">
        <v>696</v>
      </c>
      <c r="C1324" s="7" t="s">
        <v>2558</v>
      </c>
      <c r="D1324" s="8" t="s">
        <v>145</v>
      </c>
      <c r="E1324" s="23" t="s">
        <v>1241</v>
      </c>
      <c r="F1324" s="8">
        <v>2014</v>
      </c>
      <c r="G1324" s="8">
        <v>2015</v>
      </c>
      <c r="H1324" s="5">
        <v>6.5922120000000001E-2</v>
      </c>
      <c r="I1324" s="5">
        <v>4.8000000000000001E-2</v>
      </c>
      <c r="J1324" s="5">
        <f>R1324</f>
        <v>0.01</v>
      </c>
      <c r="K1324" s="8"/>
      <c r="L1324" s="23" t="s">
        <v>1241</v>
      </c>
      <c r="M1324" s="8"/>
      <c r="N1324" s="8"/>
      <c r="O1324" s="8"/>
      <c r="P1324" s="8"/>
      <c r="Q1324" s="23" t="s">
        <v>1241</v>
      </c>
      <c r="R1324" s="113">
        <v>0.01</v>
      </c>
      <c r="S1324" s="113"/>
      <c r="T1324" s="113"/>
      <c r="U1324" s="113"/>
      <c r="V1324" s="113"/>
      <c r="W1324" s="113"/>
      <c r="X1324" s="5">
        <f t="shared" si="191"/>
        <v>0.01</v>
      </c>
      <c r="Y1324" s="302">
        <f>H1324-H1325-H1326</f>
        <v>0</v>
      </c>
      <c r="Z1324" s="5">
        <f>I1324-I1325-I1326</f>
        <v>0</v>
      </c>
      <c r="AA1324" s="94">
        <f>J1324-J1325-J1326</f>
        <v>0</v>
      </c>
      <c r="AB1324" s="311">
        <f t="shared" si="197"/>
        <v>3.7999999999999999E-2</v>
      </c>
      <c r="AC1324" s="296"/>
      <c r="AD1324" s="113"/>
      <c r="AE1324" s="5"/>
      <c r="AF1324" s="5"/>
      <c r="AG1324" s="5">
        <f>H1324</f>
        <v>6.5922120000000001E-2</v>
      </c>
      <c r="AH1324" s="5"/>
      <c r="AI1324" s="5"/>
      <c r="AJ1324" s="5"/>
      <c r="AK1324" s="141"/>
      <c r="AL1324" s="94">
        <f>SUM(AF1324:AK1324)</f>
        <v>6.5922120000000001E-2</v>
      </c>
      <c r="AM1324" s="128"/>
      <c r="AN1324" s="180"/>
      <c r="AO1324" s="128">
        <v>0</v>
      </c>
      <c r="AP1324" s="184">
        <v>0</v>
      </c>
      <c r="AQ1324" s="128"/>
      <c r="AR1324" s="184"/>
      <c r="AS1324" s="128"/>
      <c r="AT1324" s="184"/>
      <c r="AU1324" s="128"/>
      <c r="AV1324" s="184"/>
      <c r="AW1324" s="128"/>
      <c r="AX1324" s="184"/>
      <c r="AY1324" s="111">
        <f>AM1324+AO1324+AQ1324+AS1324+AU1324+AW1324</f>
        <v>0</v>
      </c>
      <c r="AZ1324" s="178">
        <f>AN1324+AP1324+AR1324+AT1324+AV1324+AX1324</f>
        <v>0</v>
      </c>
      <c r="BC1324" s="47"/>
      <c r="BD1324" s="47"/>
      <c r="BF1324" s="113">
        <v>0.01</v>
      </c>
      <c r="BG1324" s="113"/>
      <c r="BH1324" s="113"/>
      <c r="BI1324" s="113"/>
      <c r="BJ1324" s="113"/>
      <c r="BK1324" s="113"/>
      <c r="BL1324" s="5">
        <f t="shared" si="196"/>
        <v>0.01</v>
      </c>
    </row>
    <row r="1325" spans="1:64" s="2" customFormat="1" ht="14.1" customHeight="1" outlineLevel="1" x14ac:dyDescent="0.2">
      <c r="A1325" s="594"/>
      <c r="B1325" s="601"/>
      <c r="C1325" s="7" t="s">
        <v>1553</v>
      </c>
      <c r="D1325" s="8"/>
      <c r="E1325" s="23"/>
      <c r="F1325" s="8"/>
      <c r="G1325" s="8"/>
      <c r="H1325" s="5"/>
      <c r="I1325" s="5"/>
      <c r="J1325" s="5"/>
      <c r="K1325" s="8"/>
      <c r="L1325" s="23"/>
      <c r="M1325" s="8"/>
      <c r="N1325" s="8"/>
      <c r="O1325" s="8"/>
      <c r="P1325" s="8"/>
      <c r="Q1325" s="23"/>
      <c r="R1325" s="113"/>
      <c r="S1325" s="113"/>
      <c r="T1325" s="113"/>
      <c r="U1325" s="113"/>
      <c r="V1325" s="113"/>
      <c r="W1325" s="113"/>
      <c r="X1325" s="5">
        <f t="shared" si="191"/>
        <v>0</v>
      </c>
      <c r="Y1325" s="302"/>
      <c r="Z1325" s="5"/>
      <c r="AA1325" s="94"/>
      <c r="AB1325" s="311">
        <f t="shared" si="197"/>
        <v>0</v>
      </c>
      <c r="AC1325" s="296"/>
      <c r="AD1325" s="113"/>
      <c r="AE1325" s="5"/>
      <c r="AF1325" s="5"/>
      <c r="AG1325" s="5"/>
      <c r="AH1325" s="5"/>
      <c r="AI1325" s="5"/>
      <c r="AJ1325" s="5"/>
      <c r="AK1325" s="141"/>
      <c r="AL1325" s="94"/>
      <c r="AM1325" s="128"/>
      <c r="AN1325" s="180"/>
      <c r="AO1325" s="128"/>
      <c r="AP1325" s="184"/>
      <c r="AQ1325" s="128"/>
      <c r="AR1325" s="184"/>
      <c r="AS1325" s="128"/>
      <c r="AT1325" s="184"/>
      <c r="AU1325" s="128"/>
      <c r="AV1325" s="184"/>
      <c r="AW1325" s="128"/>
      <c r="AX1325" s="184"/>
      <c r="AY1325" s="111"/>
      <c r="AZ1325" s="178"/>
      <c r="BC1325" s="47"/>
      <c r="BD1325" s="47"/>
      <c r="BF1325" s="113"/>
      <c r="BG1325" s="113"/>
      <c r="BH1325" s="113"/>
      <c r="BI1325" s="113"/>
      <c r="BJ1325" s="113"/>
      <c r="BK1325" s="113"/>
      <c r="BL1325" s="5">
        <f t="shared" si="196"/>
        <v>0</v>
      </c>
    </row>
    <row r="1326" spans="1:64" s="2" customFormat="1" ht="14.1" customHeight="1" outlineLevel="1" x14ac:dyDescent="0.2">
      <c r="A1326" s="595"/>
      <c r="B1326" s="602"/>
      <c r="C1326" s="7" t="s">
        <v>1554</v>
      </c>
      <c r="D1326" s="8"/>
      <c r="E1326" s="23"/>
      <c r="F1326" s="8"/>
      <c r="G1326" s="8"/>
      <c r="H1326" s="5">
        <f>H1324</f>
        <v>6.5922120000000001E-2</v>
      </c>
      <c r="I1326" s="5">
        <f>I1324</f>
        <v>4.8000000000000001E-2</v>
      </c>
      <c r="J1326" s="5">
        <f>J1324</f>
        <v>0.01</v>
      </c>
      <c r="K1326" s="23"/>
      <c r="L1326" s="8"/>
      <c r="M1326" s="8"/>
      <c r="N1326" s="8"/>
      <c r="O1326" s="8"/>
      <c r="P1326" s="8"/>
      <c r="Q1326" s="23"/>
      <c r="R1326" s="113"/>
      <c r="S1326" s="113"/>
      <c r="T1326" s="113"/>
      <c r="U1326" s="113"/>
      <c r="V1326" s="113"/>
      <c r="W1326" s="113"/>
      <c r="X1326" s="5">
        <f t="shared" si="191"/>
        <v>0</v>
      </c>
      <c r="Y1326" s="302"/>
      <c r="Z1326" s="5"/>
      <c r="AA1326" s="94"/>
      <c r="AB1326" s="311">
        <f t="shared" si="197"/>
        <v>4.8000000000000001E-2</v>
      </c>
      <c r="AC1326" s="296"/>
      <c r="AD1326" s="113"/>
      <c r="AE1326" s="5"/>
      <c r="AF1326" s="5"/>
      <c r="AG1326" s="5"/>
      <c r="AH1326" s="5"/>
      <c r="AI1326" s="5"/>
      <c r="AJ1326" s="5"/>
      <c r="AK1326" s="141"/>
      <c r="AL1326" s="94"/>
      <c r="AM1326" s="128"/>
      <c r="AN1326" s="180"/>
      <c r="AO1326" s="128"/>
      <c r="AP1326" s="184"/>
      <c r="AQ1326" s="128"/>
      <c r="AR1326" s="184"/>
      <c r="AS1326" s="128"/>
      <c r="AT1326" s="184"/>
      <c r="AU1326" s="128"/>
      <c r="AV1326" s="184"/>
      <c r="AW1326" s="128"/>
      <c r="AX1326" s="184"/>
      <c r="AY1326" s="111"/>
      <c r="AZ1326" s="178"/>
      <c r="BC1326" s="47"/>
      <c r="BD1326" s="47"/>
      <c r="BF1326" s="113"/>
      <c r="BG1326" s="113"/>
      <c r="BH1326" s="113"/>
      <c r="BI1326" s="113"/>
      <c r="BJ1326" s="113"/>
      <c r="BK1326" s="113"/>
      <c r="BL1326" s="5">
        <f t="shared" si="196"/>
        <v>0</v>
      </c>
    </row>
    <row r="1327" spans="1:64" s="2" customFormat="1" ht="38.25" outlineLevel="1" x14ac:dyDescent="0.2">
      <c r="A1327" s="593" t="s">
        <v>714</v>
      </c>
      <c r="B1327" s="600" t="s">
        <v>698</v>
      </c>
      <c r="C1327" s="7" t="s">
        <v>1426</v>
      </c>
      <c r="D1327" s="8" t="s">
        <v>145</v>
      </c>
      <c r="E1327" s="23" t="s">
        <v>343</v>
      </c>
      <c r="F1327" s="8">
        <v>2014</v>
      </c>
      <c r="G1327" s="8">
        <v>2014</v>
      </c>
      <c r="H1327" s="5">
        <v>0.10603298</v>
      </c>
      <c r="I1327" s="5">
        <v>0.01</v>
      </c>
      <c r="J1327" s="5">
        <f>R1327</f>
        <v>0.01</v>
      </c>
      <c r="K1327" s="23" t="s">
        <v>343</v>
      </c>
      <c r="L1327" s="8"/>
      <c r="M1327" s="8"/>
      <c r="N1327" s="8"/>
      <c r="O1327" s="8"/>
      <c r="P1327" s="8"/>
      <c r="Q1327" s="23" t="s">
        <v>343</v>
      </c>
      <c r="R1327" s="113">
        <v>0.01</v>
      </c>
      <c r="S1327" s="113"/>
      <c r="T1327" s="113"/>
      <c r="U1327" s="113"/>
      <c r="V1327" s="113"/>
      <c r="W1327" s="113"/>
      <c r="X1327" s="5">
        <f t="shared" si="191"/>
        <v>0.01</v>
      </c>
      <c r="Y1327" s="302">
        <f>H1327-H1328-H1329</f>
        <v>0</v>
      </c>
      <c r="Z1327" s="5">
        <f>I1327-I1328-I1329</f>
        <v>0</v>
      </c>
      <c r="AA1327" s="94">
        <f>J1327-J1328-J1329</f>
        <v>0</v>
      </c>
      <c r="AB1327" s="311">
        <f t="shared" si="197"/>
        <v>0</v>
      </c>
      <c r="AC1327" s="296"/>
      <c r="AD1327" s="113"/>
      <c r="AE1327" s="5"/>
      <c r="AF1327" s="5">
        <f>H1327</f>
        <v>0.10603298</v>
      </c>
      <c r="AG1327" s="5"/>
      <c r="AH1327" s="5"/>
      <c r="AI1327" s="5"/>
      <c r="AJ1327" s="5"/>
      <c r="AK1327" s="141"/>
      <c r="AL1327" s="94">
        <f>SUM(AF1327:AK1327)</f>
        <v>0.10603298</v>
      </c>
      <c r="AM1327" s="128">
        <v>0.4</v>
      </c>
      <c r="AN1327" s="180">
        <v>0</v>
      </c>
      <c r="AO1327" s="128"/>
      <c r="AP1327" s="184"/>
      <c r="AQ1327" s="128"/>
      <c r="AR1327" s="184"/>
      <c r="AS1327" s="128"/>
      <c r="AT1327" s="184"/>
      <c r="AU1327" s="128"/>
      <c r="AV1327" s="184"/>
      <c r="AW1327" s="128"/>
      <c r="AX1327" s="184"/>
      <c r="AY1327" s="111">
        <f>AM1327+AO1327+AQ1327+AS1327+AU1327+AW1327</f>
        <v>0.4</v>
      </c>
      <c r="AZ1327" s="178">
        <f>AN1327+AP1327+AR1327+AT1327+AV1327+AX1327</f>
        <v>0</v>
      </c>
      <c r="BC1327" s="47"/>
      <c r="BD1327" s="47"/>
      <c r="BF1327" s="113">
        <v>0.01</v>
      </c>
      <c r="BG1327" s="113"/>
      <c r="BH1327" s="113"/>
      <c r="BI1327" s="113"/>
      <c r="BJ1327" s="113"/>
      <c r="BK1327" s="113"/>
      <c r="BL1327" s="5">
        <f t="shared" si="196"/>
        <v>0.01</v>
      </c>
    </row>
    <row r="1328" spans="1:64" s="2" customFormat="1" ht="14.1" customHeight="1" outlineLevel="1" x14ac:dyDescent="0.2">
      <c r="A1328" s="594"/>
      <c r="B1328" s="601"/>
      <c r="C1328" s="7" t="s">
        <v>1553</v>
      </c>
      <c r="D1328" s="8"/>
      <c r="E1328" s="23"/>
      <c r="F1328" s="8"/>
      <c r="G1328" s="8"/>
      <c r="H1328" s="5"/>
      <c r="I1328" s="5"/>
      <c r="J1328" s="5"/>
      <c r="K1328" s="8"/>
      <c r="L1328" s="23"/>
      <c r="M1328" s="8"/>
      <c r="N1328" s="8"/>
      <c r="O1328" s="8"/>
      <c r="P1328" s="8"/>
      <c r="Q1328" s="23"/>
      <c r="R1328" s="113"/>
      <c r="S1328" s="113"/>
      <c r="T1328" s="113"/>
      <c r="U1328" s="113"/>
      <c r="V1328" s="113"/>
      <c r="W1328" s="113"/>
      <c r="X1328" s="5">
        <f t="shared" ref="X1328:X1333" si="198">SUM(R1328:W1328)</f>
        <v>0</v>
      </c>
      <c r="Y1328" s="302"/>
      <c r="Z1328" s="5"/>
      <c r="AA1328" s="94"/>
      <c r="AB1328" s="311">
        <f t="shared" si="197"/>
        <v>0</v>
      </c>
      <c r="AC1328" s="296"/>
      <c r="AD1328" s="113"/>
      <c r="AE1328" s="5"/>
      <c r="AF1328" s="5"/>
      <c r="AG1328" s="5"/>
      <c r="AH1328" s="5"/>
      <c r="AI1328" s="5"/>
      <c r="AJ1328" s="5"/>
      <c r="AK1328" s="141"/>
      <c r="AL1328" s="94"/>
      <c r="AM1328" s="128"/>
      <c r="AN1328" s="180"/>
      <c r="AO1328" s="128"/>
      <c r="AP1328" s="184"/>
      <c r="AQ1328" s="128"/>
      <c r="AR1328" s="184"/>
      <c r="AS1328" s="128"/>
      <c r="AT1328" s="184"/>
      <c r="AU1328" s="128"/>
      <c r="AV1328" s="184"/>
      <c r="AW1328" s="128"/>
      <c r="AX1328" s="184"/>
      <c r="AY1328" s="111"/>
      <c r="AZ1328" s="178"/>
      <c r="BC1328" s="47"/>
      <c r="BD1328" s="47"/>
      <c r="BF1328" s="113"/>
      <c r="BG1328" s="113"/>
      <c r="BH1328" s="113"/>
      <c r="BI1328" s="113"/>
      <c r="BJ1328" s="113"/>
      <c r="BK1328" s="113"/>
      <c r="BL1328" s="5">
        <f t="shared" si="196"/>
        <v>0</v>
      </c>
    </row>
    <row r="1329" spans="1:64" s="2" customFormat="1" ht="14.1" customHeight="1" outlineLevel="1" x14ac:dyDescent="0.2">
      <c r="A1329" s="595"/>
      <c r="B1329" s="602"/>
      <c r="C1329" s="7" t="s">
        <v>1554</v>
      </c>
      <c r="D1329" s="8"/>
      <c r="E1329" s="23"/>
      <c r="F1329" s="8"/>
      <c r="G1329" s="8"/>
      <c r="H1329" s="5">
        <f>H1327</f>
        <v>0.10603298</v>
      </c>
      <c r="I1329" s="5">
        <f>I1327</f>
        <v>0.01</v>
      </c>
      <c r="J1329" s="5">
        <f>J1327</f>
        <v>0.01</v>
      </c>
      <c r="K1329" s="23"/>
      <c r="L1329" s="8"/>
      <c r="M1329" s="8"/>
      <c r="N1329" s="8"/>
      <c r="O1329" s="8"/>
      <c r="P1329" s="8"/>
      <c r="Q1329" s="23"/>
      <c r="R1329" s="113"/>
      <c r="S1329" s="113"/>
      <c r="T1329" s="113"/>
      <c r="U1329" s="113"/>
      <c r="V1329" s="113"/>
      <c r="W1329" s="113"/>
      <c r="X1329" s="5">
        <f t="shared" si="198"/>
        <v>0</v>
      </c>
      <c r="Y1329" s="302"/>
      <c r="Z1329" s="5"/>
      <c r="AA1329" s="94"/>
      <c r="AB1329" s="311">
        <f t="shared" si="197"/>
        <v>0.01</v>
      </c>
      <c r="AC1329" s="296"/>
      <c r="AD1329" s="113"/>
      <c r="AE1329" s="5"/>
      <c r="AF1329" s="5"/>
      <c r="AG1329" s="5"/>
      <c r="AH1329" s="5"/>
      <c r="AI1329" s="5"/>
      <c r="AJ1329" s="5"/>
      <c r="AK1329" s="141"/>
      <c r="AL1329" s="94"/>
      <c r="AM1329" s="128"/>
      <c r="AN1329" s="180"/>
      <c r="AO1329" s="128"/>
      <c r="AP1329" s="184"/>
      <c r="AQ1329" s="128"/>
      <c r="AR1329" s="184"/>
      <c r="AS1329" s="128"/>
      <c r="AT1329" s="184"/>
      <c r="AU1329" s="128"/>
      <c r="AV1329" s="184"/>
      <c r="AW1329" s="128"/>
      <c r="AX1329" s="184"/>
      <c r="AY1329" s="111"/>
      <c r="AZ1329" s="178"/>
      <c r="BC1329" s="47"/>
      <c r="BD1329" s="47"/>
      <c r="BF1329" s="113"/>
      <c r="BG1329" s="113"/>
      <c r="BH1329" s="113"/>
      <c r="BI1329" s="113"/>
      <c r="BJ1329" s="113"/>
      <c r="BK1329" s="113"/>
      <c r="BL1329" s="5">
        <f t="shared" si="196"/>
        <v>0</v>
      </c>
    </row>
    <row r="1330" spans="1:64" s="2" customFormat="1" ht="25.5" outlineLevel="1" x14ac:dyDescent="0.2">
      <c r="A1330" s="593" t="s">
        <v>715</v>
      </c>
      <c r="B1330" s="600" t="s">
        <v>701</v>
      </c>
      <c r="C1330" s="7" t="s">
        <v>716</v>
      </c>
      <c r="D1330" s="8" t="s">
        <v>145</v>
      </c>
      <c r="E1330" s="23" t="s">
        <v>1241</v>
      </c>
      <c r="F1330" s="8">
        <v>2014</v>
      </c>
      <c r="G1330" s="8">
        <v>2014</v>
      </c>
      <c r="H1330" s="5">
        <v>4.0300000000000002E-2</v>
      </c>
      <c r="I1330" s="5">
        <v>0.01</v>
      </c>
      <c r="J1330" s="5">
        <f>R1330</f>
        <v>0.01</v>
      </c>
      <c r="K1330" s="23" t="s">
        <v>1241</v>
      </c>
      <c r="L1330" s="8"/>
      <c r="M1330" s="8"/>
      <c r="N1330" s="8"/>
      <c r="O1330" s="8"/>
      <c r="P1330" s="8"/>
      <c r="Q1330" s="23" t="s">
        <v>1241</v>
      </c>
      <c r="R1330" s="113">
        <v>0.01</v>
      </c>
      <c r="S1330" s="113"/>
      <c r="T1330" s="113"/>
      <c r="U1330" s="113"/>
      <c r="V1330" s="113"/>
      <c r="W1330" s="113"/>
      <c r="X1330" s="5">
        <f t="shared" si="198"/>
        <v>0.01</v>
      </c>
      <c r="Y1330" s="302">
        <f>H1330-H1331-H1332</f>
        <v>0</v>
      </c>
      <c r="Z1330" s="5">
        <f>I1330-I1331-I1332</f>
        <v>0</v>
      </c>
      <c r="AA1330" s="94">
        <f>J1330-J1331-J1332</f>
        <v>0</v>
      </c>
      <c r="AB1330" s="311">
        <f t="shared" si="197"/>
        <v>0</v>
      </c>
      <c r="AC1330" s="296"/>
      <c r="AD1330" s="113"/>
      <c r="AE1330" s="5"/>
      <c r="AF1330" s="5">
        <f>H1330</f>
        <v>4.0300000000000002E-2</v>
      </c>
      <c r="AG1330" s="5"/>
      <c r="AH1330" s="5"/>
      <c r="AI1330" s="5"/>
      <c r="AJ1330" s="5"/>
      <c r="AK1330" s="141"/>
      <c r="AL1330" s="94">
        <f>SUM(AF1330:AK1330)</f>
        <v>4.0300000000000002E-2</v>
      </c>
      <c r="AM1330" s="128">
        <v>0</v>
      </c>
      <c r="AN1330" s="180">
        <v>0</v>
      </c>
      <c r="AO1330" s="128"/>
      <c r="AP1330" s="184"/>
      <c r="AQ1330" s="128"/>
      <c r="AR1330" s="184"/>
      <c r="AS1330" s="128"/>
      <c r="AT1330" s="184"/>
      <c r="AU1330" s="128"/>
      <c r="AV1330" s="184"/>
      <c r="AW1330" s="128"/>
      <c r="AX1330" s="184"/>
      <c r="AY1330" s="111">
        <f>AM1330+AO1330+AQ1330+AS1330+AU1330+AW1330</f>
        <v>0</v>
      </c>
      <c r="AZ1330" s="178">
        <f>AN1330+AP1330+AR1330+AT1330+AV1330+AX1330</f>
        <v>0</v>
      </c>
      <c r="BC1330" s="47"/>
      <c r="BD1330" s="47"/>
      <c r="BF1330" s="113">
        <v>0.01</v>
      </c>
      <c r="BG1330" s="113"/>
      <c r="BH1330" s="113"/>
      <c r="BI1330" s="113"/>
      <c r="BJ1330" s="113"/>
      <c r="BK1330" s="113"/>
      <c r="BL1330" s="5">
        <f t="shared" si="196"/>
        <v>0.01</v>
      </c>
    </row>
    <row r="1331" spans="1:64" s="2" customFormat="1" ht="14.1" customHeight="1" outlineLevel="1" x14ac:dyDescent="0.2">
      <c r="A1331" s="594"/>
      <c r="B1331" s="601"/>
      <c r="C1331" s="7" t="s">
        <v>1553</v>
      </c>
      <c r="D1331" s="8"/>
      <c r="E1331" s="23"/>
      <c r="F1331" s="8"/>
      <c r="G1331" s="8"/>
      <c r="H1331" s="5"/>
      <c r="I1331" s="5"/>
      <c r="J1331" s="5"/>
      <c r="K1331" s="8"/>
      <c r="L1331" s="23"/>
      <c r="M1331" s="8"/>
      <c r="N1331" s="8"/>
      <c r="O1331" s="8"/>
      <c r="P1331" s="8"/>
      <c r="Q1331" s="23"/>
      <c r="R1331" s="113"/>
      <c r="S1331" s="113"/>
      <c r="T1331" s="113"/>
      <c r="U1331" s="113"/>
      <c r="V1331" s="113"/>
      <c r="W1331" s="113"/>
      <c r="X1331" s="5">
        <f t="shared" si="198"/>
        <v>0</v>
      </c>
      <c r="Y1331" s="302"/>
      <c r="Z1331" s="5"/>
      <c r="AA1331" s="94"/>
      <c r="AB1331" s="311">
        <f t="shared" si="197"/>
        <v>0</v>
      </c>
      <c r="AC1331" s="296"/>
      <c r="AD1331" s="113"/>
      <c r="AE1331" s="5"/>
      <c r="AF1331" s="5"/>
      <c r="AG1331" s="5"/>
      <c r="AH1331" s="5"/>
      <c r="AI1331" s="5"/>
      <c r="AJ1331" s="5"/>
      <c r="AK1331" s="141"/>
      <c r="AL1331" s="94"/>
      <c r="AM1331" s="128"/>
      <c r="AN1331" s="180"/>
      <c r="AO1331" s="128"/>
      <c r="AP1331" s="184"/>
      <c r="AQ1331" s="128"/>
      <c r="AR1331" s="184"/>
      <c r="AS1331" s="128"/>
      <c r="AT1331" s="184"/>
      <c r="AU1331" s="128"/>
      <c r="AV1331" s="184"/>
      <c r="AW1331" s="128"/>
      <c r="AX1331" s="184"/>
      <c r="AY1331" s="111"/>
      <c r="AZ1331" s="178"/>
      <c r="BC1331" s="47"/>
      <c r="BD1331" s="47"/>
      <c r="BF1331" s="113"/>
      <c r="BG1331" s="113"/>
      <c r="BH1331" s="113"/>
      <c r="BI1331" s="113"/>
      <c r="BJ1331" s="113"/>
      <c r="BK1331" s="113"/>
      <c r="BL1331" s="5">
        <f>SUM(BF1331:BK1331)</f>
        <v>0</v>
      </c>
    </row>
    <row r="1332" spans="1:64" s="2" customFormat="1" ht="14.1" customHeight="1" outlineLevel="1" x14ac:dyDescent="0.2">
      <c r="A1332" s="595"/>
      <c r="B1332" s="602"/>
      <c r="C1332" s="7" t="s">
        <v>1554</v>
      </c>
      <c r="D1332" s="8"/>
      <c r="E1332" s="23"/>
      <c r="F1332" s="8"/>
      <c r="G1332" s="8"/>
      <c r="H1332" s="5">
        <f>H1330</f>
        <v>4.0300000000000002E-2</v>
      </c>
      <c r="I1332" s="5">
        <f>I1330</f>
        <v>0.01</v>
      </c>
      <c r="J1332" s="5">
        <f>J1330</f>
        <v>0.01</v>
      </c>
      <c r="K1332" s="23"/>
      <c r="L1332" s="8"/>
      <c r="M1332" s="8"/>
      <c r="N1332" s="8"/>
      <c r="O1332" s="8"/>
      <c r="P1332" s="8"/>
      <c r="Q1332" s="23"/>
      <c r="R1332" s="113"/>
      <c r="S1332" s="113"/>
      <c r="T1332" s="113"/>
      <c r="U1332" s="113"/>
      <c r="V1332" s="113"/>
      <c r="W1332" s="113"/>
      <c r="X1332" s="5">
        <f t="shared" si="198"/>
        <v>0</v>
      </c>
      <c r="Y1332" s="302"/>
      <c r="Z1332" s="5"/>
      <c r="AA1332" s="94"/>
      <c r="AB1332" s="311">
        <f t="shared" si="197"/>
        <v>0.01</v>
      </c>
      <c r="AC1332" s="296"/>
      <c r="AD1332" s="113"/>
      <c r="AE1332" s="5"/>
      <c r="AF1332" s="5"/>
      <c r="AG1332" s="5"/>
      <c r="AH1332" s="5"/>
      <c r="AI1332" s="5"/>
      <c r="AJ1332" s="5"/>
      <c r="AK1332" s="141"/>
      <c r="AL1332" s="94"/>
      <c r="AM1332" s="128"/>
      <c r="AN1332" s="180"/>
      <c r="AO1332" s="128"/>
      <c r="AP1332" s="184"/>
      <c r="AQ1332" s="128"/>
      <c r="AR1332" s="184"/>
      <c r="AS1332" s="128"/>
      <c r="AT1332" s="184"/>
      <c r="AU1332" s="128"/>
      <c r="AV1332" s="184"/>
      <c r="AW1332" s="128"/>
      <c r="AX1332" s="184"/>
      <c r="AY1332" s="111"/>
      <c r="AZ1332" s="178"/>
      <c r="BC1332" s="47"/>
      <c r="BD1332" s="47"/>
      <c r="BF1332" s="113"/>
      <c r="BG1332" s="113"/>
      <c r="BH1332" s="113"/>
      <c r="BI1332" s="113"/>
      <c r="BJ1332" s="113"/>
      <c r="BK1332" s="113"/>
      <c r="BL1332" s="5">
        <f>SUM(BF1332:BK1332)</f>
        <v>0</v>
      </c>
    </row>
    <row r="1333" spans="1:64" s="2" customFormat="1" ht="25.5" customHeight="1" x14ac:dyDescent="0.2">
      <c r="A1333" s="156"/>
      <c r="B1333" s="28" t="s">
        <v>442</v>
      </c>
      <c r="C1333" s="29" t="s">
        <v>437</v>
      </c>
      <c r="D1333" s="34"/>
      <c r="E1333" s="34"/>
      <c r="F1333" s="30"/>
      <c r="G1333" s="30"/>
      <c r="H1333" s="31">
        <f>SUM(H1334:H1457)</f>
        <v>181.60920777800001</v>
      </c>
      <c r="I1333" s="31">
        <f>SUM(I1334:I1457)</f>
        <v>133.302567778</v>
      </c>
      <c r="J1333" s="31">
        <f>SUM(J1334:J1457)</f>
        <v>40.000029997999995</v>
      </c>
      <c r="K1333" s="31" t="s">
        <v>2436</v>
      </c>
      <c r="L1333" s="31" t="s">
        <v>1903</v>
      </c>
      <c r="M1333" s="30" t="s">
        <v>2449</v>
      </c>
      <c r="N1333" s="30" t="s">
        <v>2437</v>
      </c>
      <c r="O1333" s="30" t="s">
        <v>2437</v>
      </c>
      <c r="P1333" s="30" t="s">
        <v>2437</v>
      </c>
      <c r="Q1333" s="31" t="s">
        <v>1904</v>
      </c>
      <c r="R1333" s="159">
        <f>SUM(R1334:R1457)</f>
        <v>40.000029997999995</v>
      </c>
      <c r="S1333" s="159">
        <f>SUM(S1334:S1457)</f>
        <v>39.996445000000001</v>
      </c>
      <c r="T1333" s="159">
        <f>SUM(T1334:T1457)</f>
        <v>39.999272779999998</v>
      </c>
      <c r="U1333" s="159">
        <v>40</v>
      </c>
      <c r="V1333" s="159">
        <v>40</v>
      </c>
      <c r="W1333" s="159">
        <v>40</v>
      </c>
      <c r="X1333" s="159">
        <f t="shared" si="198"/>
        <v>239.99574777800001</v>
      </c>
      <c r="Y1333" s="315"/>
      <c r="Z1333" s="159"/>
      <c r="AA1333" s="295"/>
      <c r="AB1333" s="310">
        <f t="shared" si="197"/>
        <v>-106.69318000000001</v>
      </c>
      <c r="AC1333" s="300">
        <f>SUM(AC1334:AC1457)</f>
        <v>0</v>
      </c>
      <c r="AD1333" s="228">
        <f>SUM(AD1334:AD1457)</f>
        <v>0</v>
      </c>
      <c r="AE1333" s="31"/>
      <c r="AF1333" s="48">
        <f>SUM(AF1334:AF1457)</f>
        <v>69.284639998000017</v>
      </c>
      <c r="AG1333" s="48">
        <f>SUM(AG1334:AG1457)</f>
        <v>55.099674999999991</v>
      </c>
      <c r="AH1333" s="48">
        <f>SUM(AH1334:AH1457)</f>
        <v>38.143077780000006</v>
      </c>
      <c r="AI1333" s="48">
        <v>40</v>
      </c>
      <c r="AJ1333" s="48">
        <v>40</v>
      </c>
      <c r="AK1333" s="158">
        <v>40</v>
      </c>
      <c r="AL1333" s="158">
        <f>SUM(AF1333:AK1333)</f>
        <v>282.52739277800003</v>
      </c>
      <c r="AM1333" s="130">
        <f t="shared" ref="AM1333:AR1333" si="199">SUM(AM1334:AM1457)</f>
        <v>26.884999999999994</v>
      </c>
      <c r="AN1333" s="181">
        <f t="shared" si="199"/>
        <v>5.38</v>
      </c>
      <c r="AO1333" s="130">
        <f t="shared" si="199"/>
        <v>18.285000000000007</v>
      </c>
      <c r="AP1333" s="185">
        <f t="shared" si="199"/>
        <v>6.6</v>
      </c>
      <c r="AQ1333" s="130">
        <f t="shared" si="199"/>
        <v>12.96</v>
      </c>
      <c r="AR1333" s="185">
        <f t="shared" si="199"/>
        <v>0.5</v>
      </c>
      <c r="AS1333" s="130">
        <v>19.04</v>
      </c>
      <c r="AT1333" s="185">
        <v>4.16</v>
      </c>
      <c r="AU1333" s="130">
        <v>19.04</v>
      </c>
      <c r="AV1333" s="185">
        <v>4.16</v>
      </c>
      <c r="AW1333" s="130">
        <v>19.04</v>
      </c>
      <c r="AX1333" s="185">
        <v>4.16</v>
      </c>
      <c r="AY1333" s="111">
        <f>AM1333+AO1333+AQ1333+AS1333+AU1333+AW1333</f>
        <v>115.25</v>
      </c>
      <c r="AZ1333" s="178">
        <f t="shared" ref="AY1333:AZ1396" si="200">AN1333+AP1333+AR1333+AT1333+AV1333+AX1333</f>
        <v>24.96</v>
      </c>
      <c r="BC1333" s="47"/>
      <c r="BD1333" s="47"/>
      <c r="BF1333" s="159">
        <f>SUM(BF1334:BF1457)</f>
        <v>40.100029997999997</v>
      </c>
      <c r="BG1333" s="159">
        <f>SUM(BG1334:BG1457)</f>
        <v>42.496265000000008</v>
      </c>
      <c r="BH1333" s="159">
        <f>SUM(BH1334:BH1457)</f>
        <v>39.999452779999999</v>
      </c>
      <c r="BI1333" s="159">
        <v>40</v>
      </c>
      <c r="BJ1333" s="159">
        <v>40</v>
      </c>
      <c r="BK1333" s="159">
        <v>40</v>
      </c>
      <c r="BL1333" s="159">
        <f>SUM(BF1333:BK1333)</f>
        <v>242.595747778</v>
      </c>
    </row>
    <row r="1334" spans="1:64" s="2" customFormat="1" ht="63.75" customHeight="1" outlineLevel="1" x14ac:dyDescent="0.2">
      <c r="A1334" s="592" t="s">
        <v>1327</v>
      </c>
      <c r="B1334" s="603" t="s">
        <v>1292</v>
      </c>
      <c r="C1334" s="7" t="s">
        <v>1604</v>
      </c>
      <c r="D1334" s="8" t="s">
        <v>397</v>
      </c>
      <c r="E1334" s="23" t="s">
        <v>29</v>
      </c>
      <c r="F1334" s="8">
        <v>2013</v>
      </c>
      <c r="G1334" s="8">
        <v>2015</v>
      </c>
      <c r="H1334" s="5">
        <v>0.91800000000000004</v>
      </c>
      <c r="I1334" s="5">
        <v>0.87220000000000009</v>
      </c>
      <c r="J1334" s="5">
        <f>R1334</f>
        <v>0</v>
      </c>
      <c r="K1334" s="8"/>
      <c r="L1334" s="23" t="s">
        <v>29</v>
      </c>
      <c r="M1334" s="8"/>
      <c r="N1334" s="8"/>
      <c r="O1334" s="8"/>
      <c r="P1334" s="8"/>
      <c r="Q1334" s="23" t="s">
        <v>30</v>
      </c>
      <c r="R1334" s="113"/>
      <c r="S1334" s="113">
        <v>0.87220000000000009</v>
      </c>
      <c r="T1334" s="113"/>
      <c r="U1334" s="113"/>
      <c r="V1334" s="113"/>
      <c r="W1334" s="113"/>
      <c r="X1334" s="94">
        <f t="shared" ref="X1334:X1397" si="201">SUM(R1334:W1334)</f>
        <v>0.87220000000000009</v>
      </c>
      <c r="Y1334" s="303"/>
      <c r="Z1334" s="5"/>
      <c r="AA1334" s="94"/>
      <c r="AB1334" s="311">
        <f t="shared" si="197"/>
        <v>0</v>
      </c>
      <c r="AC1334" s="296"/>
      <c r="AD1334" s="113"/>
      <c r="AE1334" s="5"/>
      <c r="AF1334" s="5"/>
      <c r="AG1334" s="5">
        <f>H1334</f>
        <v>0.91800000000000004</v>
      </c>
      <c r="AH1334" s="5"/>
      <c r="AI1334" s="5"/>
      <c r="AJ1334" s="5"/>
      <c r="AK1334" s="141"/>
      <c r="AL1334" s="94">
        <f t="shared" ref="AL1334:AL1397" si="202">SUM(AF1334:AK1334)</f>
        <v>0.91800000000000004</v>
      </c>
      <c r="AM1334" s="128"/>
      <c r="AN1334" s="180"/>
      <c r="AO1334" s="128">
        <v>0.4</v>
      </c>
      <c r="AP1334" s="184">
        <v>2</v>
      </c>
      <c r="AQ1334" s="128"/>
      <c r="AR1334" s="184"/>
      <c r="AS1334" s="128"/>
      <c r="AT1334" s="184"/>
      <c r="AU1334" s="128"/>
      <c r="AV1334" s="184"/>
      <c r="AW1334" s="128"/>
      <c r="AX1334" s="184"/>
      <c r="AY1334" s="111">
        <f t="shared" si="200"/>
        <v>0.4</v>
      </c>
      <c r="AZ1334" s="178">
        <f t="shared" si="200"/>
        <v>2</v>
      </c>
      <c r="BC1334" s="47"/>
      <c r="BD1334" s="47"/>
      <c r="BF1334" s="113"/>
      <c r="BG1334" s="113">
        <v>0.87220000000000009</v>
      </c>
      <c r="BH1334" s="113"/>
      <c r="BI1334" s="113"/>
      <c r="BJ1334" s="113"/>
      <c r="BK1334" s="113"/>
      <c r="BL1334" s="5">
        <f t="shared" ref="BL1334:BL1397" si="203">SUM(BF1334:BK1334)</f>
        <v>0.87220000000000009</v>
      </c>
    </row>
    <row r="1335" spans="1:64" s="2" customFormat="1" ht="56.25" customHeight="1" outlineLevel="1" x14ac:dyDescent="0.2">
      <c r="A1335" s="592" t="s">
        <v>1358</v>
      </c>
      <c r="B1335" s="603" t="s">
        <v>1294</v>
      </c>
      <c r="C1335" s="7" t="s">
        <v>901</v>
      </c>
      <c r="D1335" s="8" t="s">
        <v>397</v>
      </c>
      <c r="E1335" s="23" t="s">
        <v>29</v>
      </c>
      <c r="F1335" s="8">
        <v>2013</v>
      </c>
      <c r="G1335" s="8">
        <v>2016</v>
      </c>
      <c r="H1335" s="5">
        <v>0.4</v>
      </c>
      <c r="I1335" s="5">
        <v>0.4</v>
      </c>
      <c r="J1335" s="5">
        <f t="shared" ref="J1335:J1398" si="204">R1335</f>
        <v>0</v>
      </c>
      <c r="K1335" s="8"/>
      <c r="L1335" s="8"/>
      <c r="M1335" s="8" t="s">
        <v>29</v>
      </c>
      <c r="N1335" s="8"/>
      <c r="O1335" s="8"/>
      <c r="P1335" s="8"/>
      <c r="Q1335" s="8" t="s">
        <v>29</v>
      </c>
      <c r="R1335" s="113"/>
      <c r="S1335" s="113"/>
      <c r="T1335" s="113">
        <v>0.4</v>
      </c>
      <c r="U1335" s="113"/>
      <c r="V1335" s="113"/>
      <c r="W1335" s="113"/>
      <c r="X1335" s="94">
        <f t="shared" si="201"/>
        <v>0.4</v>
      </c>
      <c r="Y1335" s="303"/>
      <c r="Z1335" s="5"/>
      <c r="AA1335" s="94"/>
      <c r="AB1335" s="311">
        <f t="shared" si="197"/>
        <v>0</v>
      </c>
      <c r="AC1335" s="296"/>
      <c r="AD1335" s="113"/>
      <c r="AE1335" s="5"/>
      <c r="AF1335" s="5"/>
      <c r="AG1335" s="5"/>
      <c r="AH1335" s="5">
        <f>H1335</f>
        <v>0.4</v>
      </c>
      <c r="AI1335" s="5"/>
      <c r="AJ1335" s="5"/>
      <c r="AK1335" s="141"/>
      <c r="AL1335" s="94">
        <f t="shared" si="202"/>
        <v>0.4</v>
      </c>
      <c r="AM1335" s="128"/>
      <c r="AN1335" s="180"/>
      <c r="AO1335" s="128"/>
      <c r="AP1335" s="184"/>
      <c r="AQ1335" s="128">
        <v>0.4</v>
      </c>
      <c r="AR1335" s="184">
        <v>0</v>
      </c>
      <c r="AS1335" s="128"/>
      <c r="AT1335" s="184"/>
      <c r="AU1335" s="128"/>
      <c r="AV1335" s="184"/>
      <c r="AW1335" s="128"/>
      <c r="AX1335" s="184"/>
      <c r="AY1335" s="111">
        <f>AM1335+AO1335+AQ1335+AS1335+AU1335+AW1335</f>
        <v>0.4</v>
      </c>
      <c r="AZ1335" s="178">
        <f t="shared" si="200"/>
        <v>0</v>
      </c>
      <c r="BC1335" s="47"/>
      <c r="BD1335" s="47"/>
      <c r="BF1335" s="113"/>
      <c r="BG1335" s="113"/>
      <c r="BH1335" s="113">
        <v>0.4</v>
      </c>
      <c r="BI1335" s="113"/>
      <c r="BJ1335" s="113"/>
      <c r="BK1335" s="113"/>
      <c r="BL1335" s="5">
        <f t="shared" si="203"/>
        <v>0.4</v>
      </c>
    </row>
    <row r="1336" spans="1:64" s="2" customFormat="1" ht="51" customHeight="1" outlineLevel="1" x14ac:dyDescent="0.2">
      <c r="A1336" s="592" t="s">
        <v>967</v>
      </c>
      <c r="B1336" s="603" t="s">
        <v>1296</v>
      </c>
      <c r="C1336" s="7" t="s">
        <v>1610</v>
      </c>
      <c r="D1336" s="8" t="s">
        <v>397</v>
      </c>
      <c r="E1336" s="23" t="s">
        <v>366</v>
      </c>
      <c r="F1336" s="8">
        <v>2013</v>
      </c>
      <c r="G1336" s="8">
        <v>2016</v>
      </c>
      <c r="H1336" s="5">
        <v>0.2</v>
      </c>
      <c r="I1336" s="5">
        <v>0.2</v>
      </c>
      <c r="J1336" s="5">
        <f t="shared" si="204"/>
        <v>0</v>
      </c>
      <c r="K1336" s="8"/>
      <c r="L1336" s="8"/>
      <c r="M1336" s="8" t="s">
        <v>366</v>
      </c>
      <c r="N1336" s="8"/>
      <c r="O1336" s="8"/>
      <c r="P1336" s="8"/>
      <c r="Q1336" s="8" t="s">
        <v>366</v>
      </c>
      <c r="R1336" s="113"/>
      <c r="S1336" s="113"/>
      <c r="T1336" s="113">
        <v>0.2</v>
      </c>
      <c r="U1336" s="113"/>
      <c r="V1336" s="113"/>
      <c r="W1336" s="113"/>
      <c r="X1336" s="94">
        <f t="shared" si="201"/>
        <v>0.2</v>
      </c>
      <c r="Y1336" s="303"/>
      <c r="Z1336" s="5"/>
      <c r="AA1336" s="94"/>
      <c r="AB1336" s="311">
        <f t="shared" si="197"/>
        <v>0</v>
      </c>
      <c r="AC1336" s="296"/>
      <c r="AD1336" s="113"/>
      <c r="AE1336" s="5"/>
      <c r="AF1336" s="5"/>
      <c r="AG1336" s="5"/>
      <c r="AH1336" s="5">
        <f>H1336</f>
        <v>0.2</v>
      </c>
      <c r="AI1336" s="5"/>
      <c r="AJ1336" s="5"/>
      <c r="AK1336" s="141"/>
      <c r="AL1336" s="94">
        <f t="shared" si="202"/>
        <v>0.2</v>
      </c>
      <c r="AM1336" s="128"/>
      <c r="AN1336" s="180"/>
      <c r="AO1336" s="128"/>
      <c r="AP1336" s="184"/>
      <c r="AQ1336" s="128">
        <v>0.1</v>
      </c>
      <c r="AR1336" s="184">
        <v>0</v>
      </c>
      <c r="AS1336" s="128"/>
      <c r="AT1336" s="184"/>
      <c r="AU1336" s="128"/>
      <c r="AV1336" s="184"/>
      <c r="AW1336" s="128"/>
      <c r="AX1336" s="184"/>
      <c r="AY1336" s="111">
        <f>AM1336+AO1336+AQ1336+AS1336+AU1336+AW1336</f>
        <v>0.1</v>
      </c>
      <c r="AZ1336" s="178">
        <f t="shared" si="200"/>
        <v>0</v>
      </c>
      <c r="BC1336" s="47"/>
      <c r="BD1336" s="47"/>
      <c r="BF1336" s="113"/>
      <c r="BG1336" s="113"/>
      <c r="BH1336" s="113">
        <v>0.2</v>
      </c>
      <c r="BI1336" s="113"/>
      <c r="BJ1336" s="113"/>
      <c r="BK1336" s="113"/>
      <c r="BL1336" s="5">
        <f t="shared" si="203"/>
        <v>0.2</v>
      </c>
    </row>
    <row r="1337" spans="1:64" s="2" customFormat="1" ht="102" customHeight="1" outlineLevel="1" x14ac:dyDescent="0.2">
      <c r="A1337" s="6" t="s">
        <v>983</v>
      </c>
      <c r="B1337" s="603" t="s">
        <v>1297</v>
      </c>
      <c r="C1337" s="7" t="s">
        <v>6</v>
      </c>
      <c r="D1337" s="8" t="s">
        <v>397</v>
      </c>
      <c r="E1337" s="23" t="s">
        <v>1555</v>
      </c>
      <c r="F1337" s="8">
        <v>2013</v>
      </c>
      <c r="G1337" s="8">
        <v>2015</v>
      </c>
      <c r="H1337" s="5">
        <v>0.999</v>
      </c>
      <c r="I1337" s="5">
        <v>0.999</v>
      </c>
      <c r="J1337" s="5">
        <f t="shared" si="204"/>
        <v>0</v>
      </c>
      <c r="K1337" s="8"/>
      <c r="L1337" s="23" t="s">
        <v>1555</v>
      </c>
      <c r="M1337" s="8"/>
      <c r="N1337" s="8"/>
      <c r="O1337" s="8"/>
      <c r="P1337" s="8"/>
      <c r="Q1337" s="23" t="s">
        <v>1555</v>
      </c>
      <c r="R1337" s="113"/>
      <c r="S1337" s="113">
        <v>0.999</v>
      </c>
      <c r="T1337" s="113"/>
      <c r="U1337" s="113"/>
      <c r="V1337" s="113"/>
      <c r="W1337" s="113"/>
      <c r="X1337" s="94">
        <f t="shared" si="201"/>
        <v>0.999</v>
      </c>
      <c r="Y1337" s="303"/>
      <c r="Z1337" s="5"/>
      <c r="AA1337" s="94"/>
      <c r="AB1337" s="311">
        <f t="shared" si="197"/>
        <v>0</v>
      </c>
      <c r="AC1337" s="296"/>
      <c r="AD1337" s="113"/>
      <c r="AE1337" s="5"/>
      <c r="AF1337" s="5"/>
      <c r="AG1337" s="5">
        <f>H1337</f>
        <v>0.999</v>
      </c>
      <c r="AH1337" s="5"/>
      <c r="AI1337" s="5"/>
      <c r="AJ1337" s="5"/>
      <c r="AK1337" s="141"/>
      <c r="AL1337" s="94">
        <f t="shared" si="202"/>
        <v>0.999</v>
      </c>
      <c r="AM1337" s="128"/>
      <c r="AN1337" s="180"/>
      <c r="AO1337" s="128">
        <v>0.42499999999999999</v>
      </c>
      <c r="AP1337" s="184">
        <v>0</v>
      </c>
      <c r="AQ1337" s="128"/>
      <c r="AR1337" s="184"/>
      <c r="AS1337" s="128"/>
      <c r="AT1337" s="184"/>
      <c r="AU1337" s="128"/>
      <c r="AV1337" s="184"/>
      <c r="AW1337" s="128"/>
      <c r="AX1337" s="184"/>
      <c r="AY1337" s="111">
        <f t="shared" si="200"/>
        <v>0.42499999999999999</v>
      </c>
      <c r="AZ1337" s="178">
        <f t="shared" si="200"/>
        <v>0</v>
      </c>
      <c r="BC1337" s="47"/>
      <c r="BD1337" s="47"/>
      <c r="BF1337" s="113"/>
      <c r="BG1337" s="113">
        <v>0.999</v>
      </c>
      <c r="BH1337" s="113"/>
      <c r="BI1337" s="113"/>
      <c r="BJ1337" s="113"/>
      <c r="BK1337" s="113"/>
      <c r="BL1337" s="5">
        <f t="shared" si="203"/>
        <v>0.999</v>
      </c>
    </row>
    <row r="1338" spans="1:64" s="2" customFormat="1" ht="38.25" customHeight="1" outlineLevel="1" x14ac:dyDescent="0.2">
      <c r="A1338" s="6" t="s">
        <v>1034</v>
      </c>
      <c r="B1338" s="603" t="s">
        <v>1298</v>
      </c>
      <c r="C1338" s="7" t="s">
        <v>1035</v>
      </c>
      <c r="D1338" s="8" t="s">
        <v>397</v>
      </c>
      <c r="E1338" s="23" t="s">
        <v>364</v>
      </c>
      <c r="F1338" s="8">
        <v>2013</v>
      </c>
      <c r="G1338" s="8">
        <v>2015</v>
      </c>
      <c r="H1338" s="5">
        <v>0.01</v>
      </c>
      <c r="I1338" s="5">
        <v>0.01</v>
      </c>
      <c r="J1338" s="5">
        <f t="shared" si="204"/>
        <v>0</v>
      </c>
      <c r="K1338" s="8"/>
      <c r="L1338" s="23" t="s">
        <v>364</v>
      </c>
      <c r="M1338" s="8"/>
      <c r="N1338" s="8"/>
      <c r="O1338" s="8"/>
      <c r="P1338" s="8"/>
      <c r="Q1338" s="23" t="s">
        <v>364</v>
      </c>
      <c r="R1338" s="113"/>
      <c r="S1338" s="113">
        <v>0.01</v>
      </c>
      <c r="T1338" s="113"/>
      <c r="U1338" s="113"/>
      <c r="V1338" s="113"/>
      <c r="W1338" s="113"/>
      <c r="X1338" s="94">
        <f t="shared" si="201"/>
        <v>0.01</v>
      </c>
      <c r="Y1338" s="303"/>
      <c r="Z1338" s="5"/>
      <c r="AA1338" s="94"/>
      <c r="AB1338" s="311">
        <f t="shared" si="197"/>
        <v>0</v>
      </c>
      <c r="AC1338" s="296"/>
      <c r="AD1338" s="113"/>
      <c r="AE1338" s="5"/>
      <c r="AF1338" s="5"/>
      <c r="AG1338" s="5">
        <f>H1338</f>
        <v>0.01</v>
      </c>
      <c r="AH1338" s="5"/>
      <c r="AI1338" s="5"/>
      <c r="AJ1338" s="5"/>
      <c r="AK1338" s="141"/>
      <c r="AL1338" s="94">
        <f t="shared" si="202"/>
        <v>0.01</v>
      </c>
      <c r="AM1338" s="128"/>
      <c r="AN1338" s="180"/>
      <c r="AO1338" s="128">
        <v>0</v>
      </c>
      <c r="AP1338" s="184">
        <v>0</v>
      </c>
      <c r="AQ1338" s="128"/>
      <c r="AR1338" s="184"/>
      <c r="AS1338" s="128"/>
      <c r="AT1338" s="184"/>
      <c r="AU1338" s="128"/>
      <c r="AV1338" s="184"/>
      <c r="AW1338" s="128"/>
      <c r="AX1338" s="184"/>
      <c r="AY1338" s="111">
        <f t="shared" si="200"/>
        <v>0</v>
      </c>
      <c r="AZ1338" s="178">
        <f t="shared" si="200"/>
        <v>0</v>
      </c>
      <c r="BC1338" s="47"/>
      <c r="BD1338" s="47"/>
      <c r="BF1338" s="113"/>
      <c r="BG1338" s="113">
        <v>0.01</v>
      </c>
      <c r="BH1338" s="113"/>
      <c r="BI1338" s="113"/>
      <c r="BJ1338" s="113"/>
      <c r="BK1338" s="113"/>
      <c r="BL1338" s="5">
        <f t="shared" si="203"/>
        <v>0.01</v>
      </c>
    </row>
    <row r="1339" spans="1:64" s="2" customFormat="1" ht="140.25" outlineLevel="1" x14ac:dyDescent="0.2">
      <c r="A1339" s="6" t="s">
        <v>1293</v>
      </c>
      <c r="B1339" s="603" t="s">
        <v>1300</v>
      </c>
      <c r="C1339" s="7" t="s">
        <v>717</v>
      </c>
      <c r="D1339" s="8" t="s">
        <v>397</v>
      </c>
      <c r="E1339" s="23" t="s">
        <v>1556</v>
      </c>
      <c r="F1339" s="8">
        <v>2013</v>
      </c>
      <c r="G1339" s="8">
        <v>2014</v>
      </c>
      <c r="H1339" s="5">
        <v>11.5282</v>
      </c>
      <c r="I1339" s="5">
        <v>0.64917999999999998</v>
      </c>
      <c r="J1339" s="5">
        <f t="shared" si="204"/>
        <v>0.64917999999999998</v>
      </c>
      <c r="K1339" s="23" t="s">
        <v>1556</v>
      </c>
      <c r="L1339" s="8"/>
      <c r="M1339" s="8"/>
      <c r="N1339" s="8"/>
      <c r="O1339" s="8"/>
      <c r="P1339" s="8"/>
      <c r="Q1339" s="23" t="s">
        <v>1556</v>
      </c>
      <c r="R1339" s="113">
        <v>0.64917999999999998</v>
      </c>
      <c r="S1339" s="113"/>
      <c r="T1339" s="113"/>
      <c r="U1339" s="113"/>
      <c r="V1339" s="113"/>
      <c r="W1339" s="113"/>
      <c r="X1339" s="94">
        <f t="shared" si="201"/>
        <v>0.64917999999999998</v>
      </c>
      <c r="Y1339" s="303"/>
      <c r="Z1339" s="5"/>
      <c r="AA1339" s="94"/>
      <c r="AB1339" s="311">
        <f t="shared" si="197"/>
        <v>0</v>
      </c>
      <c r="AC1339" s="296"/>
      <c r="AD1339" s="113"/>
      <c r="AE1339" s="5"/>
      <c r="AF1339" s="5">
        <f>H1339</f>
        <v>11.5282</v>
      </c>
      <c r="AG1339" s="5"/>
      <c r="AH1339" s="5"/>
      <c r="AI1339" s="5"/>
      <c r="AJ1339" s="5"/>
      <c r="AK1339" s="141"/>
      <c r="AL1339" s="94">
        <f t="shared" si="202"/>
        <v>11.5282</v>
      </c>
      <c r="AM1339" s="128">
        <v>3</v>
      </c>
      <c r="AN1339" s="180">
        <v>0</v>
      </c>
      <c r="AO1339" s="128"/>
      <c r="AP1339" s="184"/>
      <c r="AQ1339" s="128"/>
      <c r="AR1339" s="184"/>
      <c r="AS1339" s="128"/>
      <c r="AT1339" s="184"/>
      <c r="AU1339" s="128"/>
      <c r="AV1339" s="184"/>
      <c r="AW1339" s="128"/>
      <c r="AX1339" s="184"/>
      <c r="AY1339" s="111">
        <f t="shared" si="200"/>
        <v>3</v>
      </c>
      <c r="AZ1339" s="178">
        <f t="shared" si="200"/>
        <v>0</v>
      </c>
      <c r="BC1339" s="47"/>
      <c r="BD1339" s="47"/>
      <c r="BF1339" s="113">
        <v>0.64917999999999998</v>
      </c>
      <c r="BG1339" s="113"/>
      <c r="BH1339" s="113"/>
      <c r="BI1339" s="113"/>
      <c r="BJ1339" s="113"/>
      <c r="BK1339" s="113"/>
      <c r="BL1339" s="5">
        <f t="shared" si="203"/>
        <v>0.64917999999999998</v>
      </c>
    </row>
    <row r="1340" spans="1:64" s="2" customFormat="1" ht="76.5" outlineLevel="1" x14ac:dyDescent="0.2">
      <c r="A1340" s="6" t="s">
        <v>718</v>
      </c>
      <c r="B1340" s="603" t="s">
        <v>1302</v>
      </c>
      <c r="C1340" s="7" t="s">
        <v>719</v>
      </c>
      <c r="D1340" s="8" t="s">
        <v>397</v>
      </c>
      <c r="E1340" s="23" t="s">
        <v>26</v>
      </c>
      <c r="F1340" s="8">
        <v>2010</v>
      </c>
      <c r="G1340" s="8">
        <v>2014</v>
      </c>
      <c r="H1340" s="5">
        <v>0.64918999899999996</v>
      </c>
      <c r="I1340" s="5">
        <v>0.64918999899999996</v>
      </c>
      <c r="J1340" s="5">
        <f t="shared" si="204"/>
        <v>0.64918999899999996</v>
      </c>
      <c r="K1340" s="23" t="s">
        <v>26</v>
      </c>
      <c r="L1340" s="8"/>
      <c r="M1340" s="8"/>
      <c r="N1340" s="8"/>
      <c r="O1340" s="8"/>
      <c r="P1340" s="8"/>
      <c r="Q1340" s="23" t="s">
        <v>26</v>
      </c>
      <c r="R1340" s="113">
        <v>0.64918999899999996</v>
      </c>
      <c r="S1340" s="113"/>
      <c r="T1340" s="113"/>
      <c r="U1340" s="113"/>
      <c r="V1340" s="113"/>
      <c r="W1340" s="113"/>
      <c r="X1340" s="94">
        <f t="shared" si="201"/>
        <v>0.64918999899999996</v>
      </c>
      <c r="Y1340" s="303"/>
      <c r="Z1340" s="5"/>
      <c r="AA1340" s="94"/>
      <c r="AB1340" s="311">
        <f t="shared" si="197"/>
        <v>0</v>
      </c>
      <c r="AC1340" s="296"/>
      <c r="AD1340" s="113"/>
      <c r="AE1340" s="5"/>
      <c r="AF1340" s="5">
        <f>H1340</f>
        <v>0.64918999899999996</v>
      </c>
      <c r="AG1340" s="5"/>
      <c r="AH1340" s="5"/>
      <c r="AI1340" s="5"/>
      <c r="AJ1340" s="5"/>
      <c r="AK1340" s="141"/>
      <c r="AL1340" s="94">
        <f t="shared" si="202"/>
        <v>0.64918999899999996</v>
      </c>
      <c r="AM1340" s="128">
        <v>0.1</v>
      </c>
      <c r="AN1340" s="180">
        <v>0</v>
      </c>
      <c r="AO1340" s="128"/>
      <c r="AP1340" s="184"/>
      <c r="AQ1340" s="128"/>
      <c r="AR1340" s="184"/>
      <c r="AS1340" s="128"/>
      <c r="AT1340" s="184"/>
      <c r="AU1340" s="128"/>
      <c r="AV1340" s="184"/>
      <c r="AW1340" s="128"/>
      <c r="AX1340" s="184"/>
      <c r="AY1340" s="111">
        <f t="shared" si="200"/>
        <v>0.1</v>
      </c>
      <c r="AZ1340" s="178">
        <f t="shared" si="200"/>
        <v>0</v>
      </c>
      <c r="BC1340" s="47"/>
      <c r="BD1340" s="47"/>
      <c r="BF1340" s="113">
        <v>0.64918999899999996</v>
      </c>
      <c r="BG1340" s="113"/>
      <c r="BH1340" s="113"/>
      <c r="BI1340" s="113"/>
      <c r="BJ1340" s="113"/>
      <c r="BK1340" s="113"/>
      <c r="BL1340" s="5">
        <f t="shared" si="203"/>
        <v>0.64918999899999996</v>
      </c>
    </row>
    <row r="1341" spans="1:64" s="2" customFormat="1" ht="76.5" outlineLevel="1" x14ac:dyDescent="0.2">
      <c r="A1341" s="6" t="s">
        <v>720</v>
      </c>
      <c r="B1341" s="603" t="s">
        <v>1303</v>
      </c>
      <c r="C1341" s="7" t="s">
        <v>721</v>
      </c>
      <c r="D1341" s="8" t="s">
        <v>397</v>
      </c>
      <c r="E1341" s="23" t="s">
        <v>20</v>
      </c>
      <c r="F1341" s="8">
        <v>2010</v>
      </c>
      <c r="G1341" s="8">
        <v>2014</v>
      </c>
      <c r="H1341" s="5">
        <v>0.64918999899999996</v>
      </c>
      <c r="I1341" s="5">
        <v>0.64918999899999996</v>
      </c>
      <c r="J1341" s="5">
        <f t="shared" si="204"/>
        <v>0.64918999899999996</v>
      </c>
      <c r="K1341" s="23" t="s">
        <v>20</v>
      </c>
      <c r="L1341" s="8"/>
      <c r="M1341" s="8"/>
      <c r="N1341" s="8"/>
      <c r="O1341" s="8"/>
      <c r="P1341" s="8"/>
      <c r="Q1341" s="23" t="s">
        <v>20</v>
      </c>
      <c r="R1341" s="113">
        <v>0.64918999899999996</v>
      </c>
      <c r="S1341" s="113"/>
      <c r="T1341" s="113"/>
      <c r="U1341" s="113"/>
      <c r="V1341" s="113"/>
      <c r="W1341" s="113"/>
      <c r="X1341" s="94">
        <f t="shared" si="201"/>
        <v>0.64918999899999996</v>
      </c>
      <c r="Y1341" s="303"/>
      <c r="Z1341" s="5"/>
      <c r="AA1341" s="94"/>
      <c r="AB1341" s="311">
        <f t="shared" si="197"/>
        <v>0</v>
      </c>
      <c r="AC1341" s="296"/>
      <c r="AD1341" s="113"/>
      <c r="AE1341" s="5"/>
      <c r="AF1341" s="5">
        <f>H1341</f>
        <v>0.64918999899999996</v>
      </c>
      <c r="AG1341" s="5"/>
      <c r="AH1341" s="5"/>
      <c r="AI1341" s="5"/>
      <c r="AJ1341" s="5"/>
      <c r="AK1341" s="141"/>
      <c r="AL1341" s="94">
        <f t="shared" si="202"/>
        <v>0.64918999899999996</v>
      </c>
      <c r="AM1341" s="128">
        <v>0.5</v>
      </c>
      <c r="AN1341" s="180">
        <v>0</v>
      </c>
      <c r="AO1341" s="128"/>
      <c r="AP1341" s="184"/>
      <c r="AQ1341" s="128"/>
      <c r="AR1341" s="184"/>
      <c r="AS1341" s="128"/>
      <c r="AT1341" s="184"/>
      <c r="AU1341" s="128"/>
      <c r="AV1341" s="184"/>
      <c r="AW1341" s="128"/>
      <c r="AX1341" s="184"/>
      <c r="AY1341" s="111">
        <f t="shared" si="200"/>
        <v>0.5</v>
      </c>
      <c r="AZ1341" s="178">
        <f t="shared" si="200"/>
        <v>0</v>
      </c>
      <c r="BC1341" s="47"/>
      <c r="BD1341" s="47"/>
      <c r="BF1341" s="113">
        <v>0.64918999899999996</v>
      </c>
      <c r="BG1341" s="113"/>
      <c r="BH1341" s="113"/>
      <c r="BI1341" s="113"/>
      <c r="BJ1341" s="113"/>
      <c r="BK1341" s="113"/>
      <c r="BL1341" s="5">
        <f t="shared" si="203"/>
        <v>0.64918999899999996</v>
      </c>
    </row>
    <row r="1342" spans="1:64" s="2" customFormat="1" ht="76.5" customHeight="1" outlineLevel="1" x14ac:dyDescent="0.2">
      <c r="A1342" s="6" t="s">
        <v>722</v>
      </c>
      <c r="B1342" s="603" t="s">
        <v>1304</v>
      </c>
      <c r="C1342" s="7" t="s">
        <v>2373</v>
      </c>
      <c r="D1342" s="8" t="s">
        <v>397</v>
      </c>
      <c r="E1342" s="23" t="s">
        <v>23</v>
      </c>
      <c r="F1342" s="8">
        <v>2013</v>
      </c>
      <c r="G1342" s="8">
        <v>2015</v>
      </c>
      <c r="H1342" s="5">
        <v>0.66525000000000001</v>
      </c>
      <c r="I1342" s="5">
        <v>0.66525000000000001</v>
      </c>
      <c r="J1342" s="5">
        <f t="shared" si="204"/>
        <v>0.64917999999999998</v>
      </c>
      <c r="K1342" s="8"/>
      <c r="L1342" s="23" t="s">
        <v>23</v>
      </c>
      <c r="M1342" s="8"/>
      <c r="N1342" s="8"/>
      <c r="O1342" s="8"/>
      <c r="P1342" s="8"/>
      <c r="Q1342" s="23" t="s">
        <v>23</v>
      </c>
      <c r="R1342" s="113">
        <v>0.64917999999999998</v>
      </c>
      <c r="S1342" s="113">
        <f>I1342-R1342</f>
        <v>1.6070000000000029E-2</v>
      </c>
      <c r="T1342" s="113"/>
      <c r="U1342" s="113"/>
      <c r="V1342" s="113"/>
      <c r="W1342" s="113"/>
      <c r="X1342" s="94">
        <f t="shared" si="201"/>
        <v>0.66525000000000001</v>
      </c>
      <c r="Y1342" s="303"/>
      <c r="Z1342" s="5"/>
      <c r="AA1342" s="94"/>
      <c r="AB1342" s="311">
        <f t="shared" si="197"/>
        <v>0</v>
      </c>
      <c r="AC1342" s="296"/>
      <c r="AD1342" s="113"/>
      <c r="AE1342" s="5"/>
      <c r="AF1342" s="5"/>
      <c r="AG1342" s="5">
        <f>H1342</f>
        <v>0.66525000000000001</v>
      </c>
      <c r="AH1342" s="5"/>
      <c r="AI1342" s="5"/>
      <c r="AJ1342" s="5"/>
      <c r="AK1342" s="141"/>
      <c r="AL1342" s="94">
        <f t="shared" si="202"/>
        <v>0.66525000000000001</v>
      </c>
      <c r="AM1342" s="128"/>
      <c r="AN1342" s="180"/>
      <c r="AO1342" s="128">
        <v>0.2</v>
      </c>
      <c r="AP1342" s="184">
        <v>0</v>
      </c>
      <c r="AQ1342" s="128"/>
      <c r="AR1342" s="184"/>
      <c r="AS1342" s="128"/>
      <c r="AT1342" s="184"/>
      <c r="AU1342" s="128"/>
      <c r="AV1342" s="184"/>
      <c r="AW1342" s="128"/>
      <c r="AX1342" s="184"/>
      <c r="AY1342" s="111">
        <f t="shared" si="200"/>
        <v>0.2</v>
      </c>
      <c r="AZ1342" s="178">
        <f t="shared" si="200"/>
        <v>0</v>
      </c>
      <c r="BC1342" s="47"/>
      <c r="BD1342" s="47"/>
      <c r="BF1342" s="113">
        <v>0.64917999999999998</v>
      </c>
      <c r="BG1342" s="113">
        <v>1.6070000000000029E-2</v>
      </c>
      <c r="BH1342" s="113"/>
      <c r="BI1342" s="113"/>
      <c r="BJ1342" s="113"/>
      <c r="BK1342" s="113"/>
      <c r="BL1342" s="5">
        <f t="shared" si="203"/>
        <v>0.66525000000000001</v>
      </c>
    </row>
    <row r="1343" spans="1:64" s="2" customFormat="1" ht="102" outlineLevel="1" x14ac:dyDescent="0.2">
      <c r="A1343" s="6" t="s">
        <v>2120</v>
      </c>
      <c r="B1343" s="603" t="s">
        <v>1305</v>
      </c>
      <c r="C1343" s="7" t="s">
        <v>2121</v>
      </c>
      <c r="D1343" s="8" t="s">
        <v>397</v>
      </c>
      <c r="E1343" s="23" t="s">
        <v>24</v>
      </c>
      <c r="F1343" s="8">
        <v>2010</v>
      </c>
      <c r="G1343" s="8">
        <v>2014</v>
      </c>
      <c r="H1343" s="5">
        <v>0.64917999999999998</v>
      </c>
      <c r="I1343" s="5">
        <v>0.64917999999999998</v>
      </c>
      <c r="J1343" s="5">
        <f t="shared" si="204"/>
        <v>0.64917999999999998</v>
      </c>
      <c r="K1343" s="23" t="s">
        <v>24</v>
      </c>
      <c r="L1343" s="8"/>
      <c r="M1343" s="8"/>
      <c r="N1343" s="8"/>
      <c r="O1343" s="8"/>
      <c r="P1343" s="8"/>
      <c r="Q1343" s="23" t="s">
        <v>24</v>
      </c>
      <c r="R1343" s="113">
        <v>0.64917999999999998</v>
      </c>
      <c r="S1343" s="113"/>
      <c r="T1343" s="113"/>
      <c r="U1343" s="113"/>
      <c r="V1343" s="113"/>
      <c r="W1343" s="113"/>
      <c r="X1343" s="94">
        <f t="shared" si="201"/>
        <v>0.64917999999999998</v>
      </c>
      <c r="Y1343" s="303"/>
      <c r="Z1343" s="5"/>
      <c r="AA1343" s="94"/>
      <c r="AB1343" s="311">
        <f t="shared" si="197"/>
        <v>0</v>
      </c>
      <c r="AC1343" s="296"/>
      <c r="AD1343" s="113"/>
      <c r="AE1343" s="5"/>
      <c r="AF1343" s="5">
        <f>H1343</f>
        <v>0.64917999999999998</v>
      </c>
      <c r="AG1343" s="5"/>
      <c r="AH1343" s="5"/>
      <c r="AI1343" s="5"/>
      <c r="AJ1343" s="5"/>
      <c r="AK1343" s="141"/>
      <c r="AL1343" s="94">
        <f t="shared" si="202"/>
        <v>0.64917999999999998</v>
      </c>
      <c r="AM1343" s="128">
        <v>7.4999999999999997E-2</v>
      </c>
      <c r="AN1343" s="180">
        <v>0</v>
      </c>
      <c r="AO1343" s="128"/>
      <c r="AP1343" s="184"/>
      <c r="AQ1343" s="128"/>
      <c r="AR1343" s="184"/>
      <c r="AS1343" s="128"/>
      <c r="AT1343" s="184"/>
      <c r="AU1343" s="128"/>
      <c r="AV1343" s="184"/>
      <c r="AW1343" s="128"/>
      <c r="AX1343" s="184"/>
      <c r="AY1343" s="111">
        <f t="shared" si="200"/>
        <v>7.4999999999999997E-2</v>
      </c>
      <c r="AZ1343" s="178">
        <f t="shared" si="200"/>
        <v>0</v>
      </c>
      <c r="BC1343" s="47"/>
      <c r="BD1343" s="47"/>
      <c r="BF1343" s="113">
        <v>0.64917999999999998</v>
      </c>
      <c r="BG1343" s="113"/>
      <c r="BH1343" s="113"/>
      <c r="BI1343" s="113"/>
      <c r="BJ1343" s="113"/>
      <c r="BK1343" s="113"/>
      <c r="BL1343" s="5">
        <f t="shared" si="203"/>
        <v>0.64917999999999998</v>
      </c>
    </row>
    <row r="1344" spans="1:64" s="2" customFormat="1" ht="38.25" outlineLevel="1" x14ac:dyDescent="0.2">
      <c r="A1344" s="6" t="s">
        <v>2122</v>
      </c>
      <c r="B1344" s="603" t="s">
        <v>1306</v>
      </c>
      <c r="C1344" s="7" t="s">
        <v>2123</v>
      </c>
      <c r="D1344" s="8" t="s">
        <v>397</v>
      </c>
      <c r="E1344" s="23" t="s">
        <v>20</v>
      </c>
      <c r="F1344" s="8">
        <v>2010</v>
      </c>
      <c r="G1344" s="8">
        <v>2014</v>
      </c>
      <c r="H1344" s="5">
        <v>0.64917999999999998</v>
      </c>
      <c r="I1344" s="5">
        <v>0.64917999999999998</v>
      </c>
      <c r="J1344" s="5">
        <f t="shared" si="204"/>
        <v>0.64917999999999998</v>
      </c>
      <c r="K1344" s="23" t="s">
        <v>20</v>
      </c>
      <c r="L1344" s="8"/>
      <c r="M1344" s="8"/>
      <c r="N1344" s="8"/>
      <c r="O1344" s="8"/>
      <c r="P1344" s="8"/>
      <c r="Q1344" s="23" t="s">
        <v>20</v>
      </c>
      <c r="R1344" s="113">
        <v>0.64917999999999998</v>
      </c>
      <c r="S1344" s="113"/>
      <c r="T1344" s="113"/>
      <c r="U1344" s="113"/>
      <c r="V1344" s="113"/>
      <c r="W1344" s="113"/>
      <c r="X1344" s="94">
        <f t="shared" si="201"/>
        <v>0.64917999999999998</v>
      </c>
      <c r="Y1344" s="303"/>
      <c r="Z1344" s="5"/>
      <c r="AA1344" s="94"/>
      <c r="AB1344" s="311">
        <f t="shared" si="197"/>
        <v>0</v>
      </c>
      <c r="AC1344" s="296"/>
      <c r="AD1344" s="113"/>
      <c r="AE1344" s="5"/>
      <c r="AF1344" s="5">
        <f>H1344</f>
        <v>0.64917999999999998</v>
      </c>
      <c r="AG1344" s="5"/>
      <c r="AH1344" s="5"/>
      <c r="AI1344" s="5"/>
      <c r="AJ1344" s="5"/>
      <c r="AK1344" s="141"/>
      <c r="AL1344" s="94">
        <f t="shared" si="202"/>
        <v>0.64917999999999998</v>
      </c>
      <c r="AM1344" s="128">
        <v>0.05</v>
      </c>
      <c r="AN1344" s="180">
        <v>0</v>
      </c>
      <c r="AO1344" s="128"/>
      <c r="AP1344" s="184"/>
      <c r="AQ1344" s="128"/>
      <c r="AR1344" s="184"/>
      <c r="AS1344" s="128"/>
      <c r="AT1344" s="184"/>
      <c r="AU1344" s="128"/>
      <c r="AV1344" s="184"/>
      <c r="AW1344" s="128"/>
      <c r="AX1344" s="184"/>
      <c r="AY1344" s="111">
        <f t="shared" si="200"/>
        <v>0.05</v>
      </c>
      <c r="AZ1344" s="178">
        <f t="shared" si="200"/>
        <v>0</v>
      </c>
      <c r="BC1344" s="47"/>
      <c r="BD1344" s="47"/>
      <c r="BF1344" s="113">
        <v>0.64917999999999998</v>
      </c>
      <c r="BG1344" s="113"/>
      <c r="BH1344" s="113"/>
      <c r="BI1344" s="113"/>
      <c r="BJ1344" s="113"/>
      <c r="BK1344" s="113"/>
      <c r="BL1344" s="5">
        <f t="shared" si="203"/>
        <v>0.64917999999999998</v>
      </c>
    </row>
    <row r="1345" spans="1:64" s="2" customFormat="1" ht="51" outlineLevel="1" x14ac:dyDescent="0.2">
      <c r="A1345" s="6" t="s">
        <v>2124</v>
      </c>
      <c r="B1345" s="603" t="s">
        <v>1308</v>
      </c>
      <c r="C1345" s="7" t="s">
        <v>2125</v>
      </c>
      <c r="D1345" s="8" t="s">
        <v>397</v>
      </c>
      <c r="E1345" s="23" t="s">
        <v>20</v>
      </c>
      <c r="F1345" s="8">
        <v>2013</v>
      </c>
      <c r="G1345" s="8">
        <v>2014</v>
      </c>
      <c r="H1345" s="5">
        <v>0.64917999999999998</v>
      </c>
      <c r="I1345" s="5">
        <v>0.64917999999999998</v>
      </c>
      <c r="J1345" s="5">
        <f t="shared" si="204"/>
        <v>0.64917999999999998</v>
      </c>
      <c r="K1345" s="23" t="s">
        <v>20</v>
      </c>
      <c r="L1345" s="8"/>
      <c r="M1345" s="8"/>
      <c r="N1345" s="8"/>
      <c r="O1345" s="8"/>
      <c r="P1345" s="8"/>
      <c r="Q1345" s="23" t="s">
        <v>20</v>
      </c>
      <c r="R1345" s="113">
        <v>0.64917999999999998</v>
      </c>
      <c r="S1345" s="113"/>
      <c r="T1345" s="113"/>
      <c r="U1345" s="113"/>
      <c r="V1345" s="113"/>
      <c r="W1345" s="113"/>
      <c r="X1345" s="94">
        <f t="shared" si="201"/>
        <v>0.64917999999999998</v>
      </c>
      <c r="Y1345" s="303"/>
      <c r="Z1345" s="5"/>
      <c r="AA1345" s="94"/>
      <c r="AB1345" s="311">
        <f t="shared" si="197"/>
        <v>0</v>
      </c>
      <c r="AC1345" s="296"/>
      <c r="AD1345" s="113"/>
      <c r="AE1345" s="5"/>
      <c r="AF1345" s="5">
        <f>H1345</f>
        <v>0.64917999999999998</v>
      </c>
      <c r="AG1345" s="5"/>
      <c r="AH1345" s="5"/>
      <c r="AI1345" s="5"/>
      <c r="AJ1345" s="5"/>
      <c r="AK1345" s="141"/>
      <c r="AL1345" s="94">
        <f t="shared" si="202"/>
        <v>0.64917999999999998</v>
      </c>
      <c r="AM1345" s="128">
        <v>0.5</v>
      </c>
      <c r="AN1345" s="180">
        <v>0</v>
      </c>
      <c r="AO1345" s="128"/>
      <c r="AP1345" s="184"/>
      <c r="AQ1345" s="128"/>
      <c r="AR1345" s="184"/>
      <c r="AS1345" s="128"/>
      <c r="AT1345" s="184"/>
      <c r="AU1345" s="128"/>
      <c r="AV1345" s="184"/>
      <c r="AW1345" s="128"/>
      <c r="AX1345" s="184"/>
      <c r="AY1345" s="111">
        <f t="shared" si="200"/>
        <v>0.5</v>
      </c>
      <c r="AZ1345" s="178">
        <f t="shared" si="200"/>
        <v>0</v>
      </c>
      <c r="BC1345" s="47"/>
      <c r="BD1345" s="47"/>
      <c r="BF1345" s="113">
        <v>0.64917999999999998</v>
      </c>
      <c r="BG1345" s="113"/>
      <c r="BH1345" s="113"/>
      <c r="BI1345" s="113"/>
      <c r="BJ1345" s="113"/>
      <c r="BK1345" s="113"/>
      <c r="BL1345" s="5">
        <f t="shared" si="203"/>
        <v>0.64917999999999998</v>
      </c>
    </row>
    <row r="1346" spans="1:64" s="2" customFormat="1" ht="114.75" outlineLevel="1" x14ac:dyDescent="0.2">
      <c r="A1346" s="6" t="s">
        <v>2126</v>
      </c>
      <c r="B1346" s="603" t="s">
        <v>1309</v>
      </c>
      <c r="C1346" s="7" t="s">
        <v>723</v>
      </c>
      <c r="D1346" s="8" t="s">
        <v>397</v>
      </c>
      <c r="E1346" s="23" t="s">
        <v>26</v>
      </c>
      <c r="F1346" s="8">
        <v>2013</v>
      </c>
      <c r="G1346" s="8">
        <v>2014</v>
      </c>
      <c r="H1346" s="5">
        <v>0.64917999999999998</v>
      </c>
      <c r="I1346" s="5">
        <v>0.64917999999999998</v>
      </c>
      <c r="J1346" s="5">
        <f t="shared" si="204"/>
        <v>0.64917999999999998</v>
      </c>
      <c r="K1346" s="23" t="s">
        <v>26</v>
      </c>
      <c r="L1346" s="8"/>
      <c r="M1346" s="8"/>
      <c r="N1346" s="8"/>
      <c r="O1346" s="8"/>
      <c r="P1346" s="8"/>
      <c r="Q1346" s="23" t="s">
        <v>26</v>
      </c>
      <c r="R1346" s="113">
        <v>0.64917999999999998</v>
      </c>
      <c r="S1346" s="113"/>
      <c r="T1346" s="113"/>
      <c r="U1346" s="113"/>
      <c r="V1346" s="113"/>
      <c r="W1346" s="113"/>
      <c r="X1346" s="94">
        <f t="shared" si="201"/>
        <v>0.64917999999999998</v>
      </c>
      <c r="Y1346" s="303"/>
      <c r="Z1346" s="5"/>
      <c r="AA1346" s="94"/>
      <c r="AB1346" s="311">
        <f t="shared" si="197"/>
        <v>0</v>
      </c>
      <c r="AC1346" s="296"/>
      <c r="AD1346" s="113"/>
      <c r="AE1346" s="5"/>
      <c r="AF1346" s="5">
        <f>H1346</f>
        <v>0.64917999999999998</v>
      </c>
      <c r="AG1346" s="5"/>
      <c r="AH1346" s="5"/>
      <c r="AI1346" s="5"/>
      <c r="AJ1346" s="5"/>
      <c r="AK1346" s="141"/>
      <c r="AL1346" s="94">
        <f t="shared" si="202"/>
        <v>0.64917999999999998</v>
      </c>
      <c r="AM1346" s="128">
        <v>0.1</v>
      </c>
      <c r="AN1346" s="180">
        <v>0</v>
      </c>
      <c r="AO1346" s="128"/>
      <c r="AP1346" s="184"/>
      <c r="AQ1346" s="128"/>
      <c r="AR1346" s="184"/>
      <c r="AS1346" s="128"/>
      <c r="AT1346" s="184"/>
      <c r="AU1346" s="128"/>
      <c r="AV1346" s="184"/>
      <c r="AW1346" s="128"/>
      <c r="AX1346" s="184"/>
      <c r="AY1346" s="111">
        <f t="shared" si="200"/>
        <v>0.1</v>
      </c>
      <c r="AZ1346" s="178">
        <f t="shared" si="200"/>
        <v>0</v>
      </c>
      <c r="BC1346" s="47"/>
      <c r="BD1346" s="47"/>
      <c r="BF1346" s="113">
        <v>0.64917999999999998</v>
      </c>
      <c r="BG1346" s="113"/>
      <c r="BH1346" s="113"/>
      <c r="BI1346" s="113"/>
      <c r="BJ1346" s="113"/>
      <c r="BK1346" s="113"/>
      <c r="BL1346" s="5">
        <f t="shared" si="203"/>
        <v>0.64917999999999998</v>
      </c>
    </row>
    <row r="1347" spans="1:64" s="2" customFormat="1" ht="76.5" outlineLevel="1" x14ac:dyDescent="0.2">
      <c r="A1347" s="6" t="s">
        <v>1307</v>
      </c>
      <c r="B1347" s="603" t="s">
        <v>1311</v>
      </c>
      <c r="C1347" s="7" t="s">
        <v>1557</v>
      </c>
      <c r="D1347" s="8" t="s">
        <v>397</v>
      </c>
      <c r="E1347" s="23" t="s">
        <v>25</v>
      </c>
      <c r="F1347" s="8">
        <v>2010</v>
      </c>
      <c r="G1347" s="8">
        <v>2014</v>
      </c>
      <c r="H1347" s="5">
        <v>1.3576999999999999</v>
      </c>
      <c r="I1347" s="5">
        <v>0.01</v>
      </c>
      <c r="J1347" s="5">
        <f t="shared" si="204"/>
        <v>0.01</v>
      </c>
      <c r="K1347" s="23" t="s">
        <v>25</v>
      </c>
      <c r="L1347" s="8"/>
      <c r="M1347" s="8"/>
      <c r="N1347" s="8"/>
      <c r="O1347" s="8"/>
      <c r="P1347" s="8"/>
      <c r="Q1347" s="23" t="s">
        <v>25</v>
      </c>
      <c r="R1347" s="113">
        <v>0.01</v>
      </c>
      <c r="S1347" s="113"/>
      <c r="T1347" s="113"/>
      <c r="U1347" s="113"/>
      <c r="V1347" s="113"/>
      <c r="W1347" s="113"/>
      <c r="X1347" s="94">
        <f t="shared" si="201"/>
        <v>0.01</v>
      </c>
      <c r="Y1347" s="303"/>
      <c r="Z1347" s="5"/>
      <c r="AA1347" s="94"/>
      <c r="AB1347" s="311">
        <f t="shared" si="197"/>
        <v>0</v>
      </c>
      <c r="AC1347" s="296"/>
      <c r="AD1347" s="113"/>
      <c r="AE1347" s="5"/>
      <c r="AF1347" s="5">
        <f>H1347</f>
        <v>1.3576999999999999</v>
      </c>
      <c r="AG1347" s="5"/>
      <c r="AH1347" s="5"/>
      <c r="AI1347" s="5"/>
      <c r="AJ1347" s="5"/>
      <c r="AK1347" s="141"/>
      <c r="AL1347" s="94">
        <f t="shared" si="202"/>
        <v>1.3576999999999999</v>
      </c>
      <c r="AM1347" s="128">
        <v>0.05</v>
      </c>
      <c r="AN1347" s="180">
        <v>0</v>
      </c>
      <c r="AO1347" s="128"/>
      <c r="AP1347" s="184"/>
      <c r="AQ1347" s="128"/>
      <c r="AR1347" s="184"/>
      <c r="AS1347" s="128"/>
      <c r="AT1347" s="184"/>
      <c r="AU1347" s="128"/>
      <c r="AV1347" s="184"/>
      <c r="AW1347" s="128"/>
      <c r="AX1347" s="184"/>
      <c r="AY1347" s="111">
        <f t="shared" si="200"/>
        <v>0.05</v>
      </c>
      <c r="AZ1347" s="178">
        <f t="shared" si="200"/>
        <v>0</v>
      </c>
      <c r="BC1347" s="47"/>
      <c r="BD1347" s="47"/>
      <c r="BF1347" s="113">
        <v>0.01</v>
      </c>
      <c r="BG1347" s="113"/>
      <c r="BH1347" s="113"/>
      <c r="BI1347" s="113"/>
      <c r="BJ1347" s="113"/>
      <c r="BK1347" s="113"/>
      <c r="BL1347" s="5">
        <f t="shared" si="203"/>
        <v>0.01</v>
      </c>
    </row>
    <row r="1348" spans="1:64" s="2" customFormat="1" ht="76.5" customHeight="1" outlineLevel="1" x14ac:dyDescent="0.2">
      <c r="A1348" s="6" t="s">
        <v>1310</v>
      </c>
      <c r="B1348" s="603" t="s">
        <v>1313</v>
      </c>
      <c r="C1348" s="7" t="s">
        <v>2559</v>
      </c>
      <c r="D1348" s="8" t="s">
        <v>397</v>
      </c>
      <c r="E1348" s="23" t="s">
        <v>343</v>
      </c>
      <c r="F1348" s="8">
        <v>2011</v>
      </c>
      <c r="G1348" s="8">
        <v>2015</v>
      </c>
      <c r="H1348" s="5">
        <v>0.44644</v>
      </c>
      <c r="I1348" s="5">
        <v>0.44644</v>
      </c>
      <c r="J1348" s="5">
        <f t="shared" si="204"/>
        <v>0.01</v>
      </c>
      <c r="K1348" s="8"/>
      <c r="L1348" s="23" t="s">
        <v>343</v>
      </c>
      <c r="M1348" s="8"/>
      <c r="N1348" s="8"/>
      <c r="O1348" s="8"/>
      <c r="P1348" s="8"/>
      <c r="Q1348" s="23" t="s">
        <v>343</v>
      </c>
      <c r="R1348" s="113">
        <v>0.01</v>
      </c>
      <c r="S1348" s="113">
        <f>I1348-R1348</f>
        <v>0.43643999999999999</v>
      </c>
      <c r="T1348" s="113"/>
      <c r="U1348" s="113"/>
      <c r="V1348" s="113"/>
      <c r="W1348" s="113"/>
      <c r="X1348" s="94">
        <f t="shared" si="201"/>
        <v>0.44644</v>
      </c>
      <c r="Y1348" s="303"/>
      <c r="Z1348" s="5"/>
      <c r="AA1348" s="94"/>
      <c r="AB1348" s="311">
        <f t="shared" si="197"/>
        <v>0</v>
      </c>
      <c r="AC1348" s="296"/>
      <c r="AD1348" s="113"/>
      <c r="AE1348" s="5"/>
      <c r="AF1348" s="5"/>
      <c r="AG1348" s="5">
        <f>H1348</f>
        <v>0.44644</v>
      </c>
      <c r="AH1348" s="5"/>
      <c r="AI1348" s="5"/>
      <c r="AJ1348" s="5"/>
      <c r="AK1348" s="141"/>
      <c r="AL1348" s="94">
        <f t="shared" si="202"/>
        <v>0.44644</v>
      </c>
      <c r="AM1348" s="128"/>
      <c r="AN1348" s="180"/>
      <c r="AO1348" s="128">
        <v>0.4</v>
      </c>
      <c r="AP1348" s="184">
        <v>0</v>
      </c>
      <c r="AQ1348" s="128"/>
      <c r="AR1348" s="184"/>
      <c r="AS1348" s="128"/>
      <c r="AT1348" s="184"/>
      <c r="AU1348" s="128"/>
      <c r="AV1348" s="184"/>
      <c r="AW1348" s="128"/>
      <c r="AX1348" s="184"/>
      <c r="AY1348" s="111">
        <f t="shared" si="200"/>
        <v>0.4</v>
      </c>
      <c r="AZ1348" s="178">
        <f t="shared" si="200"/>
        <v>0</v>
      </c>
      <c r="BC1348" s="47"/>
      <c r="BD1348" s="47"/>
      <c r="BF1348" s="113">
        <v>0.01</v>
      </c>
      <c r="BG1348" s="113">
        <v>0.43643999999999999</v>
      </c>
      <c r="BH1348" s="113"/>
      <c r="BI1348" s="113"/>
      <c r="BJ1348" s="113"/>
      <c r="BK1348" s="113"/>
      <c r="BL1348" s="5">
        <f t="shared" si="203"/>
        <v>0.44644</v>
      </c>
    </row>
    <row r="1349" spans="1:64" s="2" customFormat="1" ht="63.75" customHeight="1" outlineLevel="1" x14ac:dyDescent="0.2">
      <c r="A1349" s="6" t="s">
        <v>1312</v>
      </c>
      <c r="B1349" s="603" t="s">
        <v>1315</v>
      </c>
      <c r="C1349" s="7" t="s">
        <v>2374</v>
      </c>
      <c r="D1349" s="8" t="s">
        <v>397</v>
      </c>
      <c r="E1349" s="23" t="s">
        <v>340</v>
      </c>
      <c r="F1349" s="8">
        <v>2011</v>
      </c>
      <c r="G1349" s="8">
        <v>2015</v>
      </c>
      <c r="H1349" s="5">
        <v>0.50549999999999995</v>
      </c>
      <c r="I1349" s="5">
        <v>0.50549999999999995</v>
      </c>
      <c r="J1349" s="5">
        <f t="shared" si="204"/>
        <v>0.01</v>
      </c>
      <c r="K1349" s="8"/>
      <c r="L1349" s="23" t="s">
        <v>340</v>
      </c>
      <c r="M1349" s="8"/>
      <c r="N1349" s="8"/>
      <c r="O1349" s="8"/>
      <c r="P1349" s="8"/>
      <c r="Q1349" s="23" t="s">
        <v>340</v>
      </c>
      <c r="R1349" s="113">
        <v>0.01</v>
      </c>
      <c r="S1349" s="113">
        <f>I1349-R1349</f>
        <v>0.49549999999999994</v>
      </c>
      <c r="T1349" s="113"/>
      <c r="U1349" s="113"/>
      <c r="V1349" s="113"/>
      <c r="W1349" s="113"/>
      <c r="X1349" s="94">
        <f t="shared" si="201"/>
        <v>0.50549999999999995</v>
      </c>
      <c r="Y1349" s="303"/>
      <c r="Z1349" s="5"/>
      <c r="AA1349" s="94"/>
      <c r="AB1349" s="311">
        <f t="shared" si="197"/>
        <v>0</v>
      </c>
      <c r="AC1349" s="296"/>
      <c r="AD1349" s="113"/>
      <c r="AE1349" s="5"/>
      <c r="AF1349" s="5"/>
      <c r="AG1349" s="5">
        <f>H1349</f>
        <v>0.50549999999999995</v>
      </c>
      <c r="AH1349" s="5"/>
      <c r="AI1349" s="5"/>
      <c r="AJ1349" s="5"/>
      <c r="AK1349" s="141"/>
      <c r="AL1349" s="94">
        <f t="shared" si="202"/>
        <v>0.50549999999999995</v>
      </c>
      <c r="AM1349" s="128"/>
      <c r="AN1349" s="180"/>
      <c r="AO1349" s="128">
        <v>0.2</v>
      </c>
      <c r="AP1349" s="184">
        <v>0</v>
      </c>
      <c r="AQ1349" s="128"/>
      <c r="AR1349" s="184"/>
      <c r="AS1349" s="128"/>
      <c r="AT1349" s="184"/>
      <c r="AU1349" s="128"/>
      <c r="AV1349" s="184"/>
      <c r="AW1349" s="128"/>
      <c r="AX1349" s="184"/>
      <c r="AY1349" s="111">
        <f t="shared" si="200"/>
        <v>0.2</v>
      </c>
      <c r="AZ1349" s="178">
        <f t="shared" si="200"/>
        <v>0</v>
      </c>
      <c r="BC1349" s="47"/>
      <c r="BD1349" s="47"/>
      <c r="BF1349" s="113">
        <v>0.01</v>
      </c>
      <c r="BG1349" s="113">
        <v>0.49549999999999994</v>
      </c>
      <c r="BH1349" s="113"/>
      <c r="BI1349" s="113"/>
      <c r="BJ1349" s="113"/>
      <c r="BK1349" s="113"/>
      <c r="BL1349" s="5">
        <f t="shared" si="203"/>
        <v>0.50549999999999995</v>
      </c>
    </row>
    <row r="1350" spans="1:64" s="2" customFormat="1" ht="114.75" customHeight="1" outlineLevel="1" x14ac:dyDescent="0.2">
      <c r="A1350" s="6" t="s">
        <v>1314</v>
      </c>
      <c r="B1350" s="603" t="s">
        <v>1317</v>
      </c>
      <c r="C1350" s="7" t="s">
        <v>2375</v>
      </c>
      <c r="D1350" s="8" t="s">
        <v>397</v>
      </c>
      <c r="E1350" s="23" t="s">
        <v>346</v>
      </c>
      <c r="F1350" s="8">
        <v>2011</v>
      </c>
      <c r="G1350" s="8">
        <v>2015</v>
      </c>
      <c r="H1350" s="5">
        <v>0.44644</v>
      </c>
      <c r="I1350" s="5">
        <v>0.44644</v>
      </c>
      <c r="J1350" s="5">
        <f t="shared" si="204"/>
        <v>0.01</v>
      </c>
      <c r="K1350" s="8"/>
      <c r="L1350" s="23" t="s">
        <v>346</v>
      </c>
      <c r="M1350" s="8"/>
      <c r="N1350" s="8"/>
      <c r="O1350" s="8"/>
      <c r="P1350" s="8"/>
      <c r="Q1350" s="23" t="s">
        <v>346</v>
      </c>
      <c r="R1350" s="113">
        <v>0.01</v>
      </c>
      <c r="S1350" s="113">
        <f>I1350-R1350</f>
        <v>0.43643999999999999</v>
      </c>
      <c r="T1350" s="113"/>
      <c r="U1350" s="113"/>
      <c r="V1350" s="113"/>
      <c r="W1350" s="113"/>
      <c r="X1350" s="94">
        <f t="shared" si="201"/>
        <v>0.44644</v>
      </c>
      <c r="Y1350" s="303"/>
      <c r="Z1350" s="5"/>
      <c r="AA1350" s="94"/>
      <c r="AB1350" s="311">
        <f t="shared" si="197"/>
        <v>0</v>
      </c>
      <c r="AC1350" s="296"/>
      <c r="AD1350" s="113"/>
      <c r="AE1350" s="5"/>
      <c r="AF1350" s="5"/>
      <c r="AG1350" s="5">
        <f>H1350</f>
        <v>0.44644</v>
      </c>
      <c r="AH1350" s="5"/>
      <c r="AI1350" s="5"/>
      <c r="AJ1350" s="5"/>
      <c r="AK1350" s="141"/>
      <c r="AL1350" s="94">
        <f t="shared" si="202"/>
        <v>0.44644</v>
      </c>
      <c r="AM1350" s="128"/>
      <c r="AN1350" s="180"/>
      <c r="AO1350" s="128">
        <v>0.15</v>
      </c>
      <c r="AP1350" s="184">
        <v>0</v>
      </c>
      <c r="AQ1350" s="128"/>
      <c r="AR1350" s="184"/>
      <c r="AS1350" s="128"/>
      <c r="AT1350" s="184"/>
      <c r="AU1350" s="128"/>
      <c r="AV1350" s="184"/>
      <c r="AW1350" s="128"/>
      <c r="AX1350" s="184"/>
      <c r="AY1350" s="111">
        <f t="shared" si="200"/>
        <v>0.15</v>
      </c>
      <c r="AZ1350" s="178">
        <f t="shared" si="200"/>
        <v>0</v>
      </c>
      <c r="BC1350" s="47"/>
      <c r="BD1350" s="47"/>
      <c r="BF1350" s="113">
        <v>0.01</v>
      </c>
      <c r="BG1350" s="113">
        <v>0.43643999999999999</v>
      </c>
      <c r="BH1350" s="113"/>
      <c r="BI1350" s="113"/>
      <c r="BJ1350" s="113"/>
      <c r="BK1350" s="113"/>
      <c r="BL1350" s="5">
        <f t="shared" si="203"/>
        <v>0.44644</v>
      </c>
    </row>
    <row r="1351" spans="1:64" s="2" customFormat="1" ht="51" customHeight="1" outlineLevel="1" x14ac:dyDescent="0.2">
      <c r="A1351" s="6" t="s">
        <v>1316</v>
      </c>
      <c r="B1351" s="603" t="s">
        <v>1319</v>
      </c>
      <c r="C1351" s="7" t="s">
        <v>2376</v>
      </c>
      <c r="D1351" s="8" t="s">
        <v>397</v>
      </c>
      <c r="E1351" s="23" t="s">
        <v>346</v>
      </c>
      <c r="F1351" s="8">
        <v>2011</v>
      </c>
      <c r="G1351" s="8">
        <v>2015</v>
      </c>
      <c r="H1351" s="5">
        <v>0.44644</v>
      </c>
      <c r="I1351" s="5">
        <v>0.44644</v>
      </c>
      <c r="J1351" s="5">
        <f t="shared" si="204"/>
        <v>0.01</v>
      </c>
      <c r="K1351" s="8"/>
      <c r="L1351" s="23" t="s">
        <v>346</v>
      </c>
      <c r="M1351" s="8"/>
      <c r="N1351" s="8"/>
      <c r="O1351" s="8"/>
      <c r="P1351" s="8"/>
      <c r="Q1351" s="23" t="s">
        <v>346</v>
      </c>
      <c r="R1351" s="113">
        <v>0.01</v>
      </c>
      <c r="S1351" s="113">
        <f>I1351-R1351</f>
        <v>0.43643999999999999</v>
      </c>
      <c r="T1351" s="113"/>
      <c r="U1351" s="113"/>
      <c r="V1351" s="113"/>
      <c r="W1351" s="113"/>
      <c r="X1351" s="94">
        <f t="shared" si="201"/>
        <v>0.44644</v>
      </c>
      <c r="Y1351" s="303"/>
      <c r="Z1351" s="5"/>
      <c r="AA1351" s="94"/>
      <c r="AB1351" s="311">
        <f t="shared" si="197"/>
        <v>0</v>
      </c>
      <c r="AC1351" s="296"/>
      <c r="AD1351" s="113"/>
      <c r="AE1351" s="5"/>
      <c r="AF1351" s="5"/>
      <c r="AG1351" s="5">
        <f>H1351</f>
        <v>0.44644</v>
      </c>
      <c r="AH1351" s="5"/>
      <c r="AI1351" s="5"/>
      <c r="AJ1351" s="5"/>
      <c r="AK1351" s="141"/>
      <c r="AL1351" s="94">
        <f t="shared" si="202"/>
        <v>0.44644</v>
      </c>
      <c r="AM1351" s="128"/>
      <c r="AN1351" s="180"/>
      <c r="AO1351" s="128">
        <v>0.15</v>
      </c>
      <c r="AP1351" s="184">
        <v>0</v>
      </c>
      <c r="AQ1351" s="128"/>
      <c r="AR1351" s="184"/>
      <c r="AS1351" s="128"/>
      <c r="AT1351" s="184"/>
      <c r="AU1351" s="128"/>
      <c r="AV1351" s="184"/>
      <c r="AW1351" s="128"/>
      <c r="AX1351" s="184"/>
      <c r="AY1351" s="111">
        <f t="shared" si="200"/>
        <v>0.15</v>
      </c>
      <c r="AZ1351" s="178">
        <f t="shared" si="200"/>
        <v>0</v>
      </c>
      <c r="BC1351" s="47"/>
      <c r="BD1351" s="47"/>
      <c r="BF1351" s="113">
        <v>0.01</v>
      </c>
      <c r="BG1351" s="113">
        <v>0.43643999999999999</v>
      </c>
      <c r="BH1351" s="113"/>
      <c r="BI1351" s="113"/>
      <c r="BJ1351" s="113"/>
      <c r="BK1351" s="113"/>
      <c r="BL1351" s="5">
        <f t="shared" si="203"/>
        <v>0.44644</v>
      </c>
    </row>
    <row r="1352" spans="1:64" s="2" customFormat="1" ht="51" customHeight="1" outlineLevel="1" x14ac:dyDescent="0.2">
      <c r="A1352" s="6" t="s">
        <v>1318</v>
      </c>
      <c r="B1352" s="603" t="s">
        <v>1321</v>
      </c>
      <c r="C1352" s="7" t="s">
        <v>2377</v>
      </c>
      <c r="D1352" s="8" t="s">
        <v>397</v>
      </c>
      <c r="E1352" s="23" t="s">
        <v>25</v>
      </c>
      <c r="F1352" s="8">
        <v>2011</v>
      </c>
      <c r="G1352" s="8">
        <v>2015</v>
      </c>
      <c r="H1352" s="5">
        <v>0.44068000000000002</v>
      </c>
      <c r="I1352" s="5">
        <v>0.44068000000000002</v>
      </c>
      <c r="J1352" s="5">
        <f t="shared" si="204"/>
        <v>0.01</v>
      </c>
      <c r="K1352" s="8"/>
      <c r="L1352" s="23" t="s">
        <v>25</v>
      </c>
      <c r="M1352" s="8"/>
      <c r="N1352" s="8"/>
      <c r="O1352" s="8"/>
      <c r="P1352" s="8"/>
      <c r="Q1352" s="23" t="s">
        <v>25</v>
      </c>
      <c r="R1352" s="113">
        <v>0.01</v>
      </c>
      <c r="S1352" s="113">
        <f>I1352-R1352</f>
        <v>0.43068000000000001</v>
      </c>
      <c r="T1352" s="113"/>
      <c r="U1352" s="113"/>
      <c r="V1352" s="113"/>
      <c r="W1352" s="113"/>
      <c r="X1352" s="94">
        <f t="shared" si="201"/>
        <v>0.44068000000000002</v>
      </c>
      <c r="Y1352" s="303"/>
      <c r="Z1352" s="5"/>
      <c r="AA1352" s="94"/>
      <c r="AB1352" s="311">
        <f t="shared" si="197"/>
        <v>0</v>
      </c>
      <c r="AC1352" s="296"/>
      <c r="AD1352" s="113"/>
      <c r="AE1352" s="5"/>
      <c r="AF1352" s="5"/>
      <c r="AG1352" s="5">
        <f>H1352</f>
        <v>0.44068000000000002</v>
      </c>
      <c r="AH1352" s="5"/>
      <c r="AI1352" s="5"/>
      <c r="AJ1352" s="5"/>
      <c r="AK1352" s="141"/>
      <c r="AL1352" s="94">
        <f t="shared" si="202"/>
        <v>0.44068000000000002</v>
      </c>
      <c r="AM1352" s="128"/>
      <c r="AN1352" s="180"/>
      <c r="AO1352" s="128">
        <v>0.05</v>
      </c>
      <c r="AP1352" s="184">
        <v>0</v>
      </c>
      <c r="AQ1352" s="128"/>
      <c r="AR1352" s="184"/>
      <c r="AS1352" s="128"/>
      <c r="AT1352" s="184"/>
      <c r="AU1352" s="128"/>
      <c r="AV1352" s="184"/>
      <c r="AW1352" s="128"/>
      <c r="AX1352" s="184"/>
      <c r="AY1352" s="111">
        <f t="shared" si="200"/>
        <v>0.05</v>
      </c>
      <c r="AZ1352" s="178">
        <f t="shared" si="200"/>
        <v>0</v>
      </c>
      <c r="BC1352" s="47"/>
      <c r="BD1352" s="47"/>
      <c r="BF1352" s="113">
        <v>0.01</v>
      </c>
      <c r="BG1352" s="113">
        <v>0.43068000000000001</v>
      </c>
      <c r="BH1352" s="113"/>
      <c r="BI1352" s="113"/>
      <c r="BJ1352" s="113"/>
      <c r="BK1352" s="113"/>
      <c r="BL1352" s="5">
        <f t="shared" si="203"/>
        <v>0.44068000000000002</v>
      </c>
    </row>
    <row r="1353" spans="1:64" s="2" customFormat="1" ht="89.25" customHeight="1" outlineLevel="1" x14ac:dyDescent="0.2">
      <c r="A1353" s="6" t="s">
        <v>1320</v>
      </c>
      <c r="B1353" s="603" t="s">
        <v>1323</v>
      </c>
      <c r="C1353" s="7" t="s">
        <v>2127</v>
      </c>
      <c r="D1353" s="8" t="s">
        <v>397</v>
      </c>
      <c r="E1353" s="23" t="s">
        <v>26</v>
      </c>
      <c r="F1353" s="8">
        <v>2013</v>
      </c>
      <c r="G1353" s="8">
        <v>2016</v>
      </c>
      <c r="H1353" s="5">
        <v>1.0329999999999999</v>
      </c>
      <c r="I1353" s="5">
        <v>1.0329999999999999</v>
      </c>
      <c r="J1353" s="5">
        <f t="shared" si="204"/>
        <v>0.01</v>
      </c>
      <c r="K1353" s="8"/>
      <c r="L1353" s="8"/>
      <c r="M1353" s="23" t="s">
        <v>26</v>
      </c>
      <c r="N1353" s="8"/>
      <c r="O1353" s="8"/>
      <c r="P1353" s="8"/>
      <c r="Q1353" s="23" t="s">
        <v>26</v>
      </c>
      <c r="R1353" s="113">
        <v>0.01</v>
      </c>
      <c r="S1353" s="113"/>
      <c r="T1353" s="113">
        <v>1.0229999999999999</v>
      </c>
      <c r="U1353" s="113"/>
      <c r="V1353" s="113"/>
      <c r="W1353" s="113"/>
      <c r="X1353" s="94">
        <f t="shared" si="201"/>
        <v>1.0329999999999999</v>
      </c>
      <c r="Y1353" s="303"/>
      <c r="Z1353" s="5"/>
      <c r="AA1353" s="94"/>
      <c r="AB1353" s="311">
        <f t="shared" si="197"/>
        <v>0</v>
      </c>
      <c r="AC1353" s="296"/>
      <c r="AD1353" s="113"/>
      <c r="AE1353" s="5"/>
      <c r="AF1353" s="5"/>
      <c r="AG1353" s="5"/>
      <c r="AH1353" s="5">
        <f>H1353</f>
        <v>1.0329999999999999</v>
      </c>
      <c r="AI1353" s="5"/>
      <c r="AJ1353" s="5"/>
      <c r="AK1353" s="141"/>
      <c r="AL1353" s="94">
        <f t="shared" si="202"/>
        <v>1.0329999999999999</v>
      </c>
      <c r="AM1353" s="128"/>
      <c r="AN1353" s="180"/>
      <c r="AO1353" s="128"/>
      <c r="AP1353" s="184"/>
      <c r="AQ1353" s="128">
        <v>0.1</v>
      </c>
      <c r="AR1353" s="184">
        <v>0</v>
      </c>
      <c r="AS1353" s="128"/>
      <c r="AT1353" s="184"/>
      <c r="AU1353" s="128"/>
      <c r="AV1353" s="184"/>
      <c r="AW1353" s="128"/>
      <c r="AX1353" s="184"/>
      <c r="AY1353" s="111">
        <f t="shared" si="200"/>
        <v>0.1</v>
      </c>
      <c r="AZ1353" s="178">
        <f t="shared" si="200"/>
        <v>0</v>
      </c>
      <c r="BC1353" s="47"/>
      <c r="BD1353" s="47"/>
      <c r="BF1353" s="113">
        <v>0.01</v>
      </c>
      <c r="BG1353" s="113"/>
      <c r="BH1353" s="113">
        <v>1.0229999999999999</v>
      </c>
      <c r="BI1353" s="113"/>
      <c r="BJ1353" s="113"/>
      <c r="BK1353" s="113"/>
      <c r="BL1353" s="5">
        <f t="shared" si="203"/>
        <v>1.0329999999999999</v>
      </c>
    </row>
    <row r="1354" spans="1:64" s="2" customFormat="1" ht="78" customHeight="1" outlineLevel="1" x14ac:dyDescent="0.2">
      <c r="A1354" s="6" t="s">
        <v>2128</v>
      </c>
      <c r="B1354" s="603" t="s">
        <v>1324</v>
      </c>
      <c r="C1354" s="7" t="s">
        <v>2129</v>
      </c>
      <c r="D1354" s="8" t="s">
        <v>397</v>
      </c>
      <c r="E1354" s="23" t="s">
        <v>335</v>
      </c>
      <c r="F1354" s="8">
        <v>2011</v>
      </c>
      <c r="G1354" s="8">
        <v>2015</v>
      </c>
      <c r="H1354" s="5">
        <v>0.84370000000000001</v>
      </c>
      <c r="I1354" s="5">
        <v>0.84370000000000001</v>
      </c>
      <c r="J1354" s="5">
        <f t="shared" si="204"/>
        <v>0.64917999999999998</v>
      </c>
      <c r="K1354" s="8"/>
      <c r="L1354" s="23" t="s">
        <v>335</v>
      </c>
      <c r="M1354" s="8"/>
      <c r="N1354" s="8"/>
      <c r="O1354" s="8"/>
      <c r="P1354" s="8"/>
      <c r="Q1354" s="23" t="s">
        <v>335</v>
      </c>
      <c r="R1354" s="113">
        <v>0.64917999999999998</v>
      </c>
      <c r="S1354" s="113">
        <f>I1354-R1354</f>
        <v>0.19452000000000003</v>
      </c>
      <c r="T1354" s="113"/>
      <c r="U1354" s="113"/>
      <c r="V1354" s="113"/>
      <c r="W1354" s="113"/>
      <c r="X1354" s="94">
        <f t="shared" si="201"/>
        <v>0.84370000000000001</v>
      </c>
      <c r="Y1354" s="303"/>
      <c r="Z1354" s="5"/>
      <c r="AA1354" s="94"/>
      <c r="AB1354" s="311">
        <f t="shared" si="197"/>
        <v>0</v>
      </c>
      <c r="AC1354" s="296"/>
      <c r="AD1354" s="113"/>
      <c r="AE1354" s="5"/>
      <c r="AF1354" s="5"/>
      <c r="AG1354" s="5">
        <f>H1354</f>
        <v>0.84370000000000001</v>
      </c>
      <c r="AH1354" s="5"/>
      <c r="AI1354" s="5"/>
      <c r="AJ1354" s="5"/>
      <c r="AK1354" s="141"/>
      <c r="AL1354" s="94">
        <f t="shared" si="202"/>
        <v>0.84370000000000001</v>
      </c>
      <c r="AM1354" s="128"/>
      <c r="AN1354" s="180"/>
      <c r="AO1354" s="128">
        <v>0.1</v>
      </c>
      <c r="AP1354" s="184">
        <v>0</v>
      </c>
      <c r="AQ1354" s="128"/>
      <c r="AR1354" s="184"/>
      <c r="AS1354" s="128"/>
      <c r="AT1354" s="184"/>
      <c r="AU1354" s="128"/>
      <c r="AV1354" s="184"/>
      <c r="AW1354" s="128"/>
      <c r="AX1354" s="184"/>
      <c r="AY1354" s="111">
        <f t="shared" si="200"/>
        <v>0.1</v>
      </c>
      <c r="AZ1354" s="178">
        <f t="shared" si="200"/>
        <v>0</v>
      </c>
      <c r="BC1354" s="47"/>
      <c r="BD1354" s="47"/>
      <c r="BF1354" s="113">
        <v>0.64917999999999998</v>
      </c>
      <c r="BG1354" s="113">
        <v>0.19452000000000003</v>
      </c>
      <c r="BH1354" s="113"/>
      <c r="BI1354" s="113"/>
      <c r="BJ1354" s="113"/>
      <c r="BK1354" s="113"/>
      <c r="BL1354" s="5">
        <f t="shared" si="203"/>
        <v>0.84370000000000001</v>
      </c>
    </row>
    <row r="1355" spans="1:64" s="2" customFormat="1" ht="99.95" customHeight="1" outlineLevel="1" x14ac:dyDescent="0.2">
      <c r="A1355" s="6" t="s">
        <v>2130</v>
      </c>
      <c r="B1355" s="603" t="s">
        <v>1326</v>
      </c>
      <c r="C1355" s="7" t="s">
        <v>2131</v>
      </c>
      <c r="D1355" s="8" t="s">
        <v>397</v>
      </c>
      <c r="E1355" s="23" t="s">
        <v>342</v>
      </c>
      <c r="F1355" s="8">
        <v>2013</v>
      </c>
      <c r="G1355" s="8">
        <v>2014</v>
      </c>
      <c r="H1355" s="5">
        <v>0.64917999999999998</v>
      </c>
      <c r="I1355" s="5">
        <v>0.64917999999999998</v>
      </c>
      <c r="J1355" s="5">
        <f t="shared" si="204"/>
        <v>0.64917999999999998</v>
      </c>
      <c r="K1355" s="23" t="s">
        <v>342</v>
      </c>
      <c r="L1355" s="8"/>
      <c r="M1355" s="8"/>
      <c r="N1355" s="8"/>
      <c r="O1355" s="8"/>
      <c r="P1355" s="8"/>
      <c r="Q1355" s="23" t="s">
        <v>342</v>
      </c>
      <c r="R1355" s="113">
        <v>0.64917999999999998</v>
      </c>
      <c r="S1355" s="113"/>
      <c r="T1355" s="113"/>
      <c r="U1355" s="113"/>
      <c r="V1355" s="113"/>
      <c r="W1355" s="113"/>
      <c r="X1355" s="94">
        <f t="shared" si="201"/>
        <v>0.64917999999999998</v>
      </c>
      <c r="Y1355" s="303"/>
      <c r="Z1355" s="5"/>
      <c r="AA1355" s="94"/>
      <c r="AB1355" s="311">
        <f t="shared" si="197"/>
        <v>0</v>
      </c>
      <c r="AC1355" s="296"/>
      <c r="AD1355" s="113"/>
      <c r="AE1355" s="5"/>
      <c r="AF1355" s="5">
        <f>H1355</f>
        <v>0.64917999999999998</v>
      </c>
      <c r="AG1355" s="5"/>
      <c r="AH1355" s="5"/>
      <c r="AI1355" s="5"/>
      <c r="AJ1355" s="5"/>
      <c r="AK1355" s="141"/>
      <c r="AL1355" s="94">
        <f t="shared" si="202"/>
        <v>0.64917999999999998</v>
      </c>
      <c r="AM1355" s="128">
        <v>0.7</v>
      </c>
      <c r="AN1355" s="180">
        <v>0</v>
      </c>
      <c r="AO1355" s="128"/>
      <c r="AP1355" s="184"/>
      <c r="AQ1355" s="128"/>
      <c r="AR1355" s="184"/>
      <c r="AS1355" s="128"/>
      <c r="AT1355" s="184"/>
      <c r="AU1355" s="128"/>
      <c r="AV1355" s="184"/>
      <c r="AW1355" s="128"/>
      <c r="AX1355" s="184"/>
      <c r="AY1355" s="111">
        <f t="shared" si="200"/>
        <v>0.7</v>
      </c>
      <c r="AZ1355" s="178">
        <f t="shared" si="200"/>
        <v>0</v>
      </c>
      <c r="BC1355" s="47"/>
      <c r="BD1355" s="47"/>
      <c r="BF1355" s="113">
        <v>0.64917999999999998</v>
      </c>
      <c r="BG1355" s="113"/>
      <c r="BH1355" s="113"/>
      <c r="BI1355" s="113"/>
      <c r="BJ1355" s="113"/>
      <c r="BK1355" s="113"/>
      <c r="BL1355" s="5">
        <f t="shared" si="203"/>
        <v>0.64917999999999998</v>
      </c>
    </row>
    <row r="1356" spans="1:64" s="2" customFormat="1" ht="89.25" customHeight="1" outlineLevel="1" x14ac:dyDescent="0.2">
      <c r="A1356" s="6" t="s">
        <v>2132</v>
      </c>
      <c r="B1356" s="603" t="s">
        <v>1328</v>
      </c>
      <c r="C1356" s="7" t="s">
        <v>2378</v>
      </c>
      <c r="D1356" s="8" t="s">
        <v>397</v>
      </c>
      <c r="E1356" s="23" t="s">
        <v>29</v>
      </c>
      <c r="F1356" s="8">
        <v>2013</v>
      </c>
      <c r="G1356" s="8">
        <v>2015</v>
      </c>
      <c r="H1356" s="5">
        <v>0.91780000000000006</v>
      </c>
      <c r="I1356" s="5">
        <v>0.91780000000000006</v>
      </c>
      <c r="J1356" s="5">
        <f t="shared" si="204"/>
        <v>0.64917999999999998</v>
      </c>
      <c r="K1356" s="8"/>
      <c r="L1356" s="23" t="s">
        <v>29</v>
      </c>
      <c r="M1356" s="8"/>
      <c r="N1356" s="8"/>
      <c r="O1356" s="8"/>
      <c r="P1356" s="8"/>
      <c r="Q1356" s="23" t="s">
        <v>29</v>
      </c>
      <c r="R1356" s="113">
        <v>0.64917999999999998</v>
      </c>
      <c r="S1356" s="113">
        <f>I1356-R1356</f>
        <v>0.26862000000000008</v>
      </c>
      <c r="T1356" s="113"/>
      <c r="U1356" s="113"/>
      <c r="V1356" s="113"/>
      <c r="W1356" s="113"/>
      <c r="X1356" s="94">
        <f t="shared" si="201"/>
        <v>0.91780000000000006</v>
      </c>
      <c r="Y1356" s="303"/>
      <c r="Z1356" s="5"/>
      <c r="AA1356" s="94"/>
      <c r="AB1356" s="311">
        <f t="shared" si="197"/>
        <v>0</v>
      </c>
      <c r="AC1356" s="296"/>
      <c r="AD1356" s="113"/>
      <c r="AE1356" s="5"/>
      <c r="AF1356" s="5"/>
      <c r="AG1356" s="5">
        <f>H1356</f>
        <v>0.91780000000000006</v>
      </c>
      <c r="AH1356" s="5"/>
      <c r="AI1356" s="5"/>
      <c r="AJ1356" s="5"/>
      <c r="AK1356" s="141"/>
      <c r="AL1356" s="94">
        <f t="shared" si="202"/>
        <v>0.91780000000000006</v>
      </c>
      <c r="AM1356" s="128"/>
      <c r="AN1356" s="180"/>
      <c r="AO1356" s="128">
        <v>0.4</v>
      </c>
      <c r="AP1356" s="184">
        <v>0</v>
      </c>
      <c r="AQ1356" s="128"/>
      <c r="AR1356" s="184"/>
      <c r="AS1356" s="128"/>
      <c r="AT1356" s="184"/>
      <c r="AU1356" s="128"/>
      <c r="AV1356" s="184"/>
      <c r="AW1356" s="128"/>
      <c r="AX1356" s="184"/>
      <c r="AY1356" s="111">
        <f t="shared" si="200"/>
        <v>0.4</v>
      </c>
      <c r="AZ1356" s="178">
        <f t="shared" si="200"/>
        <v>0</v>
      </c>
      <c r="BC1356" s="47"/>
      <c r="BD1356" s="47"/>
      <c r="BF1356" s="113">
        <v>0.64917999999999998</v>
      </c>
      <c r="BG1356" s="113">
        <v>0.26862000000000008</v>
      </c>
      <c r="BH1356" s="113"/>
      <c r="BI1356" s="113"/>
      <c r="BJ1356" s="113"/>
      <c r="BK1356" s="113"/>
      <c r="BL1356" s="5">
        <f t="shared" si="203"/>
        <v>0.91780000000000006</v>
      </c>
    </row>
    <row r="1357" spans="1:64" s="2" customFormat="1" ht="96.95" customHeight="1" outlineLevel="1" x14ac:dyDescent="0.2">
      <c r="A1357" s="6" t="s">
        <v>1329</v>
      </c>
      <c r="B1357" s="603" t="s">
        <v>1330</v>
      </c>
      <c r="C1357" s="7" t="s">
        <v>2133</v>
      </c>
      <c r="D1357" s="8" t="s">
        <v>397</v>
      </c>
      <c r="E1357" s="23" t="s">
        <v>27</v>
      </c>
      <c r="F1357" s="8">
        <v>2013</v>
      </c>
      <c r="G1357" s="8">
        <v>2016</v>
      </c>
      <c r="H1357" s="5">
        <v>1.1016900000000001</v>
      </c>
      <c r="I1357" s="5">
        <v>1.1016900000000001</v>
      </c>
      <c r="J1357" s="5">
        <f t="shared" si="204"/>
        <v>0.01</v>
      </c>
      <c r="K1357" s="8"/>
      <c r="L1357" s="8"/>
      <c r="M1357" s="23" t="s">
        <v>27</v>
      </c>
      <c r="N1357" s="8"/>
      <c r="O1357" s="8"/>
      <c r="P1357" s="8"/>
      <c r="Q1357" s="23" t="s">
        <v>27</v>
      </c>
      <c r="R1357" s="113">
        <v>0.01</v>
      </c>
      <c r="S1357" s="113"/>
      <c r="T1357" s="113">
        <v>1.09169</v>
      </c>
      <c r="U1357" s="113"/>
      <c r="V1357" s="113"/>
      <c r="W1357" s="113"/>
      <c r="X1357" s="94">
        <f t="shared" si="201"/>
        <v>1.1016900000000001</v>
      </c>
      <c r="Y1357" s="303"/>
      <c r="Z1357" s="5"/>
      <c r="AA1357" s="94"/>
      <c r="AB1357" s="311">
        <f t="shared" si="197"/>
        <v>0</v>
      </c>
      <c r="AC1357" s="296"/>
      <c r="AD1357" s="113"/>
      <c r="AE1357" s="5"/>
      <c r="AF1357" s="5"/>
      <c r="AG1357" s="5"/>
      <c r="AH1357" s="5">
        <f>H1357</f>
        <v>1.1016900000000001</v>
      </c>
      <c r="AI1357" s="5"/>
      <c r="AJ1357" s="5"/>
      <c r="AK1357" s="141"/>
      <c r="AL1357" s="94">
        <f t="shared" si="202"/>
        <v>1.1016900000000001</v>
      </c>
      <c r="AM1357" s="128"/>
      <c r="AN1357" s="180"/>
      <c r="AO1357" s="128"/>
      <c r="AP1357" s="184"/>
      <c r="AQ1357" s="128">
        <v>0</v>
      </c>
      <c r="AR1357" s="184">
        <v>0</v>
      </c>
      <c r="AS1357" s="128"/>
      <c r="AT1357" s="184"/>
      <c r="AU1357" s="128"/>
      <c r="AV1357" s="184"/>
      <c r="AW1357" s="128"/>
      <c r="AX1357" s="184"/>
      <c r="AY1357" s="111">
        <f t="shared" si="200"/>
        <v>0</v>
      </c>
      <c r="AZ1357" s="178">
        <f t="shared" si="200"/>
        <v>0</v>
      </c>
      <c r="BC1357" s="47"/>
      <c r="BD1357" s="47"/>
      <c r="BF1357" s="113">
        <v>0.01</v>
      </c>
      <c r="BG1357" s="113"/>
      <c r="BH1357" s="113">
        <v>1.09169</v>
      </c>
      <c r="BI1357" s="113"/>
      <c r="BJ1357" s="113"/>
      <c r="BK1357" s="113"/>
      <c r="BL1357" s="5">
        <f t="shared" si="203"/>
        <v>1.1016900000000001</v>
      </c>
    </row>
    <row r="1358" spans="1:64" s="2" customFormat="1" ht="96.95" customHeight="1" outlineLevel="1" x14ac:dyDescent="0.2">
      <c r="A1358" s="6" t="s">
        <v>2134</v>
      </c>
      <c r="B1358" s="603" t="s">
        <v>1332</v>
      </c>
      <c r="C1358" s="7" t="s">
        <v>2379</v>
      </c>
      <c r="D1358" s="8" t="s">
        <v>397</v>
      </c>
      <c r="E1358" s="23" t="s">
        <v>29</v>
      </c>
      <c r="F1358" s="8">
        <v>2013</v>
      </c>
      <c r="G1358" s="8">
        <v>2015</v>
      </c>
      <c r="H1358" s="5">
        <v>3.0167000000000002</v>
      </c>
      <c r="I1358" s="5">
        <v>3.0167000000000002</v>
      </c>
      <c r="J1358" s="5">
        <f t="shared" si="204"/>
        <v>0.01</v>
      </c>
      <c r="K1358" s="8"/>
      <c r="L1358" s="23" t="s">
        <v>29</v>
      </c>
      <c r="M1358" s="8"/>
      <c r="N1358" s="8"/>
      <c r="O1358" s="8"/>
      <c r="P1358" s="8"/>
      <c r="Q1358" s="23" t="s">
        <v>29</v>
      </c>
      <c r="R1358" s="113">
        <v>0.01</v>
      </c>
      <c r="S1358" s="113">
        <f>I1358-R1358</f>
        <v>3.0067000000000004</v>
      </c>
      <c r="T1358" s="113"/>
      <c r="U1358" s="113"/>
      <c r="V1358" s="113"/>
      <c r="W1358" s="113"/>
      <c r="X1358" s="94">
        <f t="shared" si="201"/>
        <v>3.0167000000000002</v>
      </c>
      <c r="Y1358" s="303"/>
      <c r="Z1358" s="5"/>
      <c r="AA1358" s="94"/>
      <c r="AB1358" s="311">
        <f t="shared" si="197"/>
        <v>0</v>
      </c>
      <c r="AC1358" s="296"/>
      <c r="AD1358" s="113"/>
      <c r="AE1358" s="5"/>
      <c r="AF1358" s="5"/>
      <c r="AG1358" s="5">
        <f>H1358</f>
        <v>3.0167000000000002</v>
      </c>
      <c r="AH1358" s="5"/>
      <c r="AI1358" s="5"/>
      <c r="AJ1358" s="5"/>
      <c r="AK1358" s="141"/>
      <c r="AL1358" s="94">
        <f t="shared" si="202"/>
        <v>3.0167000000000002</v>
      </c>
      <c r="AM1358" s="128"/>
      <c r="AN1358" s="180"/>
      <c r="AO1358" s="128">
        <v>0.4</v>
      </c>
      <c r="AP1358" s="184">
        <v>0</v>
      </c>
      <c r="AQ1358" s="128"/>
      <c r="AR1358" s="184"/>
      <c r="AS1358" s="128"/>
      <c r="AT1358" s="184"/>
      <c r="AU1358" s="128"/>
      <c r="AV1358" s="184"/>
      <c r="AW1358" s="128"/>
      <c r="AX1358" s="184"/>
      <c r="AY1358" s="111">
        <f t="shared" si="200"/>
        <v>0.4</v>
      </c>
      <c r="AZ1358" s="178">
        <f t="shared" si="200"/>
        <v>0</v>
      </c>
      <c r="BC1358" s="47"/>
      <c r="BD1358" s="47"/>
      <c r="BF1358" s="113">
        <v>0.01</v>
      </c>
      <c r="BG1358" s="113">
        <v>3.0067000000000004</v>
      </c>
      <c r="BH1358" s="113"/>
      <c r="BI1358" s="113"/>
      <c r="BJ1358" s="113"/>
      <c r="BK1358" s="113"/>
      <c r="BL1358" s="5">
        <f t="shared" si="203"/>
        <v>3.0167000000000002</v>
      </c>
    </row>
    <row r="1359" spans="1:64" s="2" customFormat="1" ht="89.25" customHeight="1" outlineLevel="1" x14ac:dyDescent="0.2">
      <c r="A1359" s="6" t="s">
        <v>2135</v>
      </c>
      <c r="B1359" s="603" t="s">
        <v>1333</v>
      </c>
      <c r="C1359" s="7" t="s">
        <v>2380</v>
      </c>
      <c r="D1359" s="8" t="s">
        <v>397</v>
      </c>
      <c r="E1359" s="23" t="s">
        <v>349</v>
      </c>
      <c r="F1359" s="8">
        <v>2013</v>
      </c>
      <c r="G1359" s="8">
        <v>2015</v>
      </c>
      <c r="H1359" s="5">
        <v>0.93220000000000003</v>
      </c>
      <c r="I1359" s="5">
        <v>0.93220000000000003</v>
      </c>
      <c r="J1359" s="5">
        <f t="shared" si="204"/>
        <v>0.01</v>
      </c>
      <c r="K1359" s="8"/>
      <c r="L1359" s="23" t="s">
        <v>349</v>
      </c>
      <c r="M1359" s="8"/>
      <c r="N1359" s="8"/>
      <c r="O1359" s="8"/>
      <c r="P1359" s="8"/>
      <c r="Q1359" s="23" t="s">
        <v>349</v>
      </c>
      <c r="R1359" s="113">
        <v>0.01</v>
      </c>
      <c r="S1359" s="113">
        <f>I1359-R1359</f>
        <v>0.92220000000000002</v>
      </c>
      <c r="T1359" s="113"/>
      <c r="U1359" s="113"/>
      <c r="V1359" s="113"/>
      <c r="W1359" s="113"/>
      <c r="X1359" s="94">
        <f t="shared" si="201"/>
        <v>0.93220000000000003</v>
      </c>
      <c r="Y1359" s="303"/>
      <c r="Z1359" s="5"/>
      <c r="AA1359" s="94"/>
      <c r="AB1359" s="311">
        <f t="shared" si="197"/>
        <v>0</v>
      </c>
      <c r="AC1359" s="296"/>
      <c r="AD1359" s="113"/>
      <c r="AE1359" s="5"/>
      <c r="AF1359" s="5"/>
      <c r="AG1359" s="5">
        <f>H1359</f>
        <v>0.93220000000000003</v>
      </c>
      <c r="AH1359" s="5"/>
      <c r="AI1359" s="5"/>
      <c r="AJ1359" s="5"/>
      <c r="AK1359" s="141"/>
      <c r="AL1359" s="94">
        <f t="shared" si="202"/>
        <v>0.93220000000000003</v>
      </c>
      <c r="AM1359" s="128"/>
      <c r="AN1359" s="180"/>
      <c r="AO1359" s="128">
        <v>0.25</v>
      </c>
      <c r="AP1359" s="184">
        <v>0</v>
      </c>
      <c r="AQ1359" s="128"/>
      <c r="AR1359" s="184"/>
      <c r="AS1359" s="128"/>
      <c r="AT1359" s="184"/>
      <c r="AU1359" s="128"/>
      <c r="AV1359" s="184"/>
      <c r="AW1359" s="128"/>
      <c r="AX1359" s="184"/>
      <c r="AY1359" s="111">
        <f t="shared" si="200"/>
        <v>0.25</v>
      </c>
      <c r="AZ1359" s="178">
        <f t="shared" si="200"/>
        <v>0</v>
      </c>
      <c r="BC1359" s="47"/>
      <c r="BD1359" s="47"/>
      <c r="BF1359" s="113">
        <v>0.01</v>
      </c>
      <c r="BG1359" s="113">
        <v>0.92220000000000002</v>
      </c>
      <c r="BH1359" s="113"/>
      <c r="BI1359" s="113"/>
      <c r="BJ1359" s="113"/>
      <c r="BK1359" s="113"/>
      <c r="BL1359" s="5">
        <f t="shared" si="203"/>
        <v>0.93220000000000003</v>
      </c>
    </row>
    <row r="1360" spans="1:64" s="2" customFormat="1" ht="63.75" outlineLevel="1" x14ac:dyDescent="0.2">
      <c r="A1360" s="6" t="s">
        <v>2136</v>
      </c>
      <c r="B1360" s="603" t="s">
        <v>1334</v>
      </c>
      <c r="C1360" s="7" t="s">
        <v>2381</v>
      </c>
      <c r="D1360" s="8" t="s">
        <v>397</v>
      </c>
      <c r="E1360" s="23" t="s">
        <v>1558</v>
      </c>
      <c r="F1360" s="8">
        <v>2013</v>
      </c>
      <c r="G1360" s="8">
        <v>2014</v>
      </c>
      <c r="H1360" s="5">
        <v>0.55630000000000002</v>
      </c>
      <c r="I1360" s="5">
        <v>0.01</v>
      </c>
      <c r="J1360" s="5">
        <f t="shared" si="204"/>
        <v>0.01</v>
      </c>
      <c r="K1360" s="23" t="s">
        <v>1558</v>
      </c>
      <c r="L1360" s="8"/>
      <c r="M1360" s="8"/>
      <c r="N1360" s="8"/>
      <c r="O1360" s="8"/>
      <c r="P1360" s="8"/>
      <c r="Q1360" s="23" t="s">
        <v>1558</v>
      </c>
      <c r="R1360" s="113">
        <v>0.01</v>
      </c>
      <c r="S1360" s="113"/>
      <c r="T1360" s="113"/>
      <c r="U1360" s="113"/>
      <c r="V1360" s="113"/>
      <c r="W1360" s="113"/>
      <c r="X1360" s="94">
        <f t="shared" si="201"/>
        <v>0.01</v>
      </c>
      <c r="Y1360" s="303"/>
      <c r="Z1360" s="5"/>
      <c r="AA1360" s="94"/>
      <c r="AB1360" s="311">
        <f t="shared" si="197"/>
        <v>0</v>
      </c>
      <c r="AC1360" s="296"/>
      <c r="AD1360" s="113"/>
      <c r="AE1360" s="5"/>
      <c r="AF1360" s="5">
        <f>H1360</f>
        <v>0.55630000000000002</v>
      </c>
      <c r="AG1360" s="5"/>
      <c r="AH1360" s="5"/>
      <c r="AI1360" s="5"/>
      <c r="AJ1360" s="5"/>
      <c r="AK1360" s="141"/>
      <c r="AL1360" s="94">
        <f t="shared" si="202"/>
        <v>0.55630000000000002</v>
      </c>
      <c r="AM1360" s="128">
        <v>0.7</v>
      </c>
      <c r="AN1360" s="180">
        <v>0</v>
      </c>
      <c r="AO1360" s="128"/>
      <c r="AP1360" s="184"/>
      <c r="AQ1360" s="128"/>
      <c r="AR1360" s="184"/>
      <c r="AS1360" s="128"/>
      <c r="AT1360" s="184"/>
      <c r="AU1360" s="128"/>
      <c r="AV1360" s="184"/>
      <c r="AW1360" s="128"/>
      <c r="AX1360" s="184"/>
      <c r="AY1360" s="111">
        <f t="shared" si="200"/>
        <v>0.7</v>
      </c>
      <c r="AZ1360" s="178">
        <f t="shared" si="200"/>
        <v>0</v>
      </c>
      <c r="BC1360" s="47"/>
      <c r="BD1360" s="47"/>
      <c r="BF1360" s="113">
        <v>0.01</v>
      </c>
      <c r="BG1360" s="113"/>
      <c r="BH1360" s="113"/>
      <c r="BI1360" s="113"/>
      <c r="BJ1360" s="113"/>
      <c r="BK1360" s="113"/>
      <c r="BL1360" s="5">
        <f t="shared" si="203"/>
        <v>0.01</v>
      </c>
    </row>
    <row r="1361" spans="1:64" s="2" customFormat="1" ht="76.5" outlineLevel="1" x14ac:dyDescent="0.2">
      <c r="A1361" s="6" t="s">
        <v>2137</v>
      </c>
      <c r="B1361" s="603" t="s">
        <v>1335</v>
      </c>
      <c r="C1361" s="7" t="s">
        <v>2138</v>
      </c>
      <c r="D1361" s="8" t="s">
        <v>397</v>
      </c>
      <c r="E1361" s="23" t="s">
        <v>346</v>
      </c>
      <c r="F1361" s="8">
        <v>2013</v>
      </c>
      <c r="G1361" s="8">
        <v>2014</v>
      </c>
      <c r="H1361" s="5">
        <v>0.64917999999999998</v>
      </c>
      <c r="I1361" s="5">
        <v>0.64917999999999998</v>
      </c>
      <c r="J1361" s="5">
        <f t="shared" si="204"/>
        <v>0.64917999999999998</v>
      </c>
      <c r="K1361" s="23" t="s">
        <v>346</v>
      </c>
      <c r="L1361" s="8"/>
      <c r="M1361" s="8"/>
      <c r="N1361" s="8"/>
      <c r="O1361" s="8"/>
      <c r="P1361" s="8"/>
      <c r="Q1361" s="23" t="s">
        <v>346</v>
      </c>
      <c r="R1361" s="113">
        <v>0.64917999999999998</v>
      </c>
      <c r="S1361" s="113"/>
      <c r="T1361" s="113"/>
      <c r="U1361" s="113"/>
      <c r="V1361" s="113"/>
      <c r="W1361" s="113"/>
      <c r="X1361" s="94">
        <f t="shared" si="201"/>
        <v>0.64917999999999998</v>
      </c>
      <c r="Y1361" s="303"/>
      <c r="Z1361" s="5"/>
      <c r="AA1361" s="94"/>
      <c r="AB1361" s="311">
        <f t="shared" si="197"/>
        <v>0</v>
      </c>
      <c r="AC1361" s="296"/>
      <c r="AD1361" s="113"/>
      <c r="AE1361" s="5"/>
      <c r="AF1361" s="5">
        <f>H1361</f>
        <v>0.64917999999999998</v>
      </c>
      <c r="AG1361" s="5"/>
      <c r="AH1361" s="5"/>
      <c r="AI1361" s="5"/>
      <c r="AJ1361" s="5"/>
      <c r="AK1361" s="141"/>
      <c r="AL1361" s="94">
        <f t="shared" si="202"/>
        <v>0.64917999999999998</v>
      </c>
      <c r="AM1361" s="128">
        <v>0.15</v>
      </c>
      <c r="AN1361" s="180">
        <v>0</v>
      </c>
      <c r="AO1361" s="128"/>
      <c r="AP1361" s="184"/>
      <c r="AQ1361" s="128"/>
      <c r="AR1361" s="184"/>
      <c r="AS1361" s="128"/>
      <c r="AT1361" s="184"/>
      <c r="AU1361" s="128"/>
      <c r="AV1361" s="184"/>
      <c r="AW1361" s="128"/>
      <c r="AX1361" s="184"/>
      <c r="AY1361" s="111">
        <f t="shared" si="200"/>
        <v>0.15</v>
      </c>
      <c r="AZ1361" s="178">
        <f t="shared" si="200"/>
        <v>0</v>
      </c>
      <c r="BC1361" s="47"/>
      <c r="BD1361" s="47"/>
      <c r="BF1361" s="113">
        <v>0.64917999999999998</v>
      </c>
      <c r="BG1361" s="113"/>
      <c r="BH1361" s="113"/>
      <c r="BI1361" s="113"/>
      <c r="BJ1361" s="113"/>
      <c r="BK1361" s="113"/>
      <c r="BL1361" s="5">
        <f t="shared" si="203"/>
        <v>0.64917999999999998</v>
      </c>
    </row>
    <row r="1362" spans="1:64" s="2" customFormat="1" ht="127.5" outlineLevel="1" x14ac:dyDescent="0.2">
      <c r="A1362" s="6" t="s">
        <v>2139</v>
      </c>
      <c r="B1362" s="603" t="s">
        <v>1337</v>
      </c>
      <c r="C1362" s="7" t="s">
        <v>2382</v>
      </c>
      <c r="D1362" s="8" t="s">
        <v>397</v>
      </c>
      <c r="E1362" s="23" t="s">
        <v>23</v>
      </c>
      <c r="F1362" s="8">
        <v>2013</v>
      </c>
      <c r="G1362" s="8">
        <v>2014</v>
      </c>
      <c r="H1362" s="5">
        <v>0.64917999999999998</v>
      </c>
      <c r="I1362" s="5">
        <v>0.64917999999999998</v>
      </c>
      <c r="J1362" s="5">
        <f t="shared" si="204"/>
        <v>0.64917999999999998</v>
      </c>
      <c r="K1362" s="23" t="s">
        <v>23</v>
      </c>
      <c r="L1362" s="8"/>
      <c r="M1362" s="8"/>
      <c r="N1362" s="8"/>
      <c r="O1362" s="8"/>
      <c r="P1362" s="8"/>
      <c r="Q1362" s="23" t="s">
        <v>23</v>
      </c>
      <c r="R1362" s="113">
        <v>0.64917999999999998</v>
      </c>
      <c r="S1362" s="113"/>
      <c r="T1362" s="113"/>
      <c r="U1362" s="113"/>
      <c r="V1362" s="113"/>
      <c r="W1362" s="113"/>
      <c r="X1362" s="94">
        <f t="shared" si="201"/>
        <v>0.64917999999999998</v>
      </c>
      <c r="Y1362" s="303"/>
      <c r="Z1362" s="5"/>
      <c r="AA1362" s="94"/>
      <c r="AB1362" s="311">
        <f t="shared" si="197"/>
        <v>0</v>
      </c>
      <c r="AC1362" s="296"/>
      <c r="AD1362" s="113"/>
      <c r="AE1362" s="5"/>
      <c r="AF1362" s="5">
        <f>H1362</f>
        <v>0.64917999999999998</v>
      </c>
      <c r="AG1362" s="5"/>
      <c r="AH1362" s="5"/>
      <c r="AI1362" s="5"/>
      <c r="AJ1362" s="5"/>
      <c r="AK1362" s="141"/>
      <c r="AL1362" s="94">
        <f t="shared" si="202"/>
        <v>0.64917999999999998</v>
      </c>
      <c r="AM1362" s="128">
        <v>0.2</v>
      </c>
      <c r="AN1362" s="180">
        <v>0</v>
      </c>
      <c r="AO1362" s="128"/>
      <c r="AP1362" s="184"/>
      <c r="AQ1362" s="128"/>
      <c r="AR1362" s="184"/>
      <c r="AS1362" s="128"/>
      <c r="AT1362" s="184"/>
      <c r="AU1362" s="128"/>
      <c r="AV1362" s="184"/>
      <c r="AW1362" s="128"/>
      <c r="AX1362" s="184"/>
      <c r="AY1362" s="111">
        <f t="shared" si="200"/>
        <v>0.2</v>
      </c>
      <c r="AZ1362" s="178">
        <f t="shared" si="200"/>
        <v>0</v>
      </c>
      <c r="BC1362" s="47"/>
      <c r="BD1362" s="47"/>
      <c r="BF1362" s="113">
        <v>0.64917999999999998</v>
      </c>
      <c r="BG1362" s="113"/>
      <c r="BH1362" s="113"/>
      <c r="BI1362" s="113"/>
      <c r="BJ1362" s="113"/>
      <c r="BK1362" s="113"/>
      <c r="BL1362" s="5">
        <f t="shared" si="203"/>
        <v>0.64917999999999998</v>
      </c>
    </row>
    <row r="1363" spans="1:64" s="2" customFormat="1" ht="76.5" outlineLevel="1" x14ac:dyDescent="0.2">
      <c r="A1363" s="6" t="s">
        <v>2140</v>
      </c>
      <c r="B1363" s="603" t="s">
        <v>1339</v>
      </c>
      <c r="C1363" s="7" t="s">
        <v>2141</v>
      </c>
      <c r="D1363" s="8" t="s">
        <v>397</v>
      </c>
      <c r="E1363" s="23" t="s">
        <v>23</v>
      </c>
      <c r="F1363" s="8">
        <v>2012</v>
      </c>
      <c r="G1363" s="8">
        <v>2014</v>
      </c>
      <c r="H1363" s="5">
        <v>0.35560000000000003</v>
      </c>
      <c r="I1363" s="5">
        <v>0.01</v>
      </c>
      <c r="J1363" s="5">
        <f t="shared" si="204"/>
        <v>0.01</v>
      </c>
      <c r="K1363" s="23" t="s">
        <v>23</v>
      </c>
      <c r="L1363" s="8"/>
      <c r="M1363" s="8"/>
      <c r="N1363" s="8"/>
      <c r="O1363" s="8"/>
      <c r="P1363" s="8"/>
      <c r="Q1363" s="23" t="s">
        <v>23</v>
      </c>
      <c r="R1363" s="113">
        <v>0.01</v>
      </c>
      <c r="S1363" s="113"/>
      <c r="T1363" s="113"/>
      <c r="U1363" s="113"/>
      <c r="V1363" s="113"/>
      <c r="W1363" s="113"/>
      <c r="X1363" s="94">
        <f t="shared" si="201"/>
        <v>0.01</v>
      </c>
      <c r="Y1363" s="303"/>
      <c r="Z1363" s="5"/>
      <c r="AA1363" s="94"/>
      <c r="AB1363" s="311">
        <f t="shared" si="197"/>
        <v>0</v>
      </c>
      <c r="AC1363" s="296"/>
      <c r="AD1363" s="113"/>
      <c r="AE1363" s="5"/>
      <c r="AF1363" s="5">
        <f>H1363</f>
        <v>0.35560000000000003</v>
      </c>
      <c r="AG1363" s="5"/>
      <c r="AH1363" s="5"/>
      <c r="AI1363" s="5"/>
      <c r="AJ1363" s="5"/>
      <c r="AK1363" s="141"/>
      <c r="AL1363" s="94">
        <f t="shared" si="202"/>
        <v>0.35560000000000003</v>
      </c>
      <c r="AM1363" s="128">
        <v>0.2</v>
      </c>
      <c r="AN1363" s="180">
        <v>0</v>
      </c>
      <c r="AO1363" s="128"/>
      <c r="AP1363" s="184"/>
      <c r="AQ1363" s="128"/>
      <c r="AR1363" s="184"/>
      <c r="AS1363" s="128"/>
      <c r="AT1363" s="184"/>
      <c r="AU1363" s="128"/>
      <c r="AV1363" s="184"/>
      <c r="AW1363" s="128"/>
      <c r="AX1363" s="184"/>
      <c r="AY1363" s="111">
        <f t="shared" si="200"/>
        <v>0.2</v>
      </c>
      <c r="AZ1363" s="178">
        <f t="shared" si="200"/>
        <v>0</v>
      </c>
      <c r="BC1363" s="47"/>
      <c r="BD1363" s="47"/>
      <c r="BF1363" s="113">
        <v>0.01</v>
      </c>
      <c r="BG1363" s="113"/>
      <c r="BH1363" s="113"/>
      <c r="BI1363" s="113"/>
      <c r="BJ1363" s="113"/>
      <c r="BK1363" s="113"/>
      <c r="BL1363" s="5">
        <f t="shared" si="203"/>
        <v>0.01</v>
      </c>
    </row>
    <row r="1364" spans="1:64" s="2" customFormat="1" ht="63.75" customHeight="1" outlineLevel="1" x14ac:dyDescent="0.2">
      <c r="A1364" s="6" t="s">
        <v>2142</v>
      </c>
      <c r="B1364" s="603" t="s">
        <v>1340</v>
      </c>
      <c r="C1364" s="7" t="s">
        <v>1605</v>
      </c>
      <c r="D1364" s="8" t="s">
        <v>397</v>
      </c>
      <c r="E1364" s="23" t="s">
        <v>1559</v>
      </c>
      <c r="F1364" s="8">
        <v>2012</v>
      </c>
      <c r="G1364" s="8">
        <v>2015</v>
      </c>
      <c r="H1364" s="5">
        <v>0.17899999999999999</v>
      </c>
      <c r="I1364" s="5">
        <v>0.17899999999999999</v>
      </c>
      <c r="J1364" s="5">
        <f t="shared" si="204"/>
        <v>0.01</v>
      </c>
      <c r="K1364" s="8"/>
      <c r="L1364" s="23" t="s">
        <v>26</v>
      </c>
      <c r="M1364" s="8"/>
      <c r="N1364" s="8"/>
      <c r="O1364" s="8"/>
      <c r="P1364" s="8"/>
      <c r="Q1364" s="23" t="s">
        <v>26</v>
      </c>
      <c r="R1364" s="113">
        <v>0.01</v>
      </c>
      <c r="S1364" s="113">
        <f>I1364-R1364</f>
        <v>0.16899999999999998</v>
      </c>
      <c r="T1364" s="113"/>
      <c r="U1364" s="113"/>
      <c r="V1364" s="113"/>
      <c r="W1364" s="113"/>
      <c r="X1364" s="94">
        <f t="shared" si="201"/>
        <v>0.17899999999999999</v>
      </c>
      <c r="Y1364" s="303"/>
      <c r="Z1364" s="5"/>
      <c r="AA1364" s="94"/>
      <c r="AB1364" s="311">
        <f t="shared" si="197"/>
        <v>0</v>
      </c>
      <c r="AC1364" s="296"/>
      <c r="AD1364" s="113"/>
      <c r="AE1364" s="5"/>
      <c r="AF1364" s="5"/>
      <c r="AG1364" s="5">
        <f>H1364</f>
        <v>0.17899999999999999</v>
      </c>
      <c r="AH1364" s="5"/>
      <c r="AI1364" s="5"/>
      <c r="AJ1364" s="5"/>
      <c r="AK1364" s="141"/>
      <c r="AL1364" s="94">
        <f t="shared" si="202"/>
        <v>0.17899999999999999</v>
      </c>
      <c r="AM1364" s="128"/>
      <c r="AN1364" s="180"/>
      <c r="AO1364" s="128">
        <v>0.1</v>
      </c>
      <c r="AP1364" s="184">
        <v>0</v>
      </c>
      <c r="AQ1364" s="128"/>
      <c r="AR1364" s="184"/>
      <c r="AS1364" s="128"/>
      <c r="AT1364" s="184"/>
      <c r="AU1364" s="128"/>
      <c r="AV1364" s="184"/>
      <c r="AW1364" s="128"/>
      <c r="AX1364" s="184"/>
      <c r="AY1364" s="111">
        <f t="shared" si="200"/>
        <v>0.1</v>
      </c>
      <c r="AZ1364" s="178">
        <f t="shared" si="200"/>
        <v>0</v>
      </c>
      <c r="BC1364" s="47"/>
      <c r="BD1364" s="47"/>
      <c r="BF1364" s="113">
        <v>0.01</v>
      </c>
      <c r="BG1364" s="113">
        <v>0.16899999999999998</v>
      </c>
      <c r="BH1364" s="113"/>
      <c r="BI1364" s="113"/>
      <c r="BJ1364" s="113"/>
      <c r="BK1364" s="113"/>
      <c r="BL1364" s="5">
        <f t="shared" si="203"/>
        <v>0.17899999999999999</v>
      </c>
    </row>
    <row r="1365" spans="1:64" s="2" customFormat="1" ht="89.25" customHeight="1" outlineLevel="1" x14ac:dyDescent="0.2">
      <c r="A1365" s="6" t="s">
        <v>2143</v>
      </c>
      <c r="B1365" s="603" t="s">
        <v>1341</v>
      </c>
      <c r="C1365" s="7" t="s">
        <v>2144</v>
      </c>
      <c r="D1365" s="8" t="s">
        <v>397</v>
      </c>
      <c r="E1365" s="23" t="s">
        <v>1560</v>
      </c>
      <c r="F1365" s="8">
        <v>2012</v>
      </c>
      <c r="G1365" s="8">
        <v>2015</v>
      </c>
      <c r="H1365" s="5">
        <v>1.5171700000000001</v>
      </c>
      <c r="I1365" s="5">
        <v>1.5171700000000001</v>
      </c>
      <c r="J1365" s="5">
        <f t="shared" si="204"/>
        <v>0.01</v>
      </c>
      <c r="K1365" s="8"/>
      <c r="L1365" s="23" t="s">
        <v>1560</v>
      </c>
      <c r="M1365" s="8"/>
      <c r="N1365" s="8"/>
      <c r="O1365" s="8"/>
      <c r="P1365" s="8"/>
      <c r="Q1365" s="23" t="s">
        <v>1560</v>
      </c>
      <c r="R1365" s="113">
        <v>0.01</v>
      </c>
      <c r="S1365" s="113">
        <f>I1365-R1365</f>
        <v>1.5071700000000001</v>
      </c>
      <c r="T1365" s="113"/>
      <c r="U1365" s="113"/>
      <c r="V1365" s="113"/>
      <c r="W1365" s="113"/>
      <c r="X1365" s="94">
        <f t="shared" si="201"/>
        <v>1.5171700000000001</v>
      </c>
      <c r="Y1365" s="303"/>
      <c r="Z1365" s="5"/>
      <c r="AA1365" s="94"/>
      <c r="AB1365" s="311">
        <f t="shared" ref="AB1365:AB1428" si="205">I1365-X1365</f>
        <v>0</v>
      </c>
      <c r="AC1365" s="296"/>
      <c r="AD1365" s="113"/>
      <c r="AE1365" s="5"/>
      <c r="AF1365" s="5"/>
      <c r="AG1365" s="5">
        <f>H1365</f>
        <v>1.5171700000000001</v>
      </c>
      <c r="AH1365" s="5"/>
      <c r="AI1365" s="5"/>
      <c r="AJ1365" s="5"/>
      <c r="AK1365" s="141"/>
      <c r="AL1365" s="94">
        <f t="shared" si="202"/>
        <v>1.5171700000000001</v>
      </c>
      <c r="AM1365" s="128"/>
      <c r="AN1365" s="180"/>
      <c r="AO1365" s="128">
        <v>1.2</v>
      </c>
      <c r="AP1365" s="184">
        <v>0</v>
      </c>
      <c r="AQ1365" s="128"/>
      <c r="AR1365" s="184"/>
      <c r="AS1365" s="128"/>
      <c r="AT1365" s="184"/>
      <c r="AU1365" s="128"/>
      <c r="AV1365" s="184"/>
      <c r="AW1365" s="128"/>
      <c r="AX1365" s="184"/>
      <c r="AY1365" s="111">
        <f t="shared" si="200"/>
        <v>1.2</v>
      </c>
      <c r="AZ1365" s="178">
        <f t="shared" si="200"/>
        <v>0</v>
      </c>
      <c r="BC1365" s="47"/>
      <c r="BD1365" s="47"/>
      <c r="BF1365" s="113">
        <v>0.01</v>
      </c>
      <c r="BG1365" s="113">
        <v>1.5071700000000001</v>
      </c>
      <c r="BH1365" s="113"/>
      <c r="BI1365" s="113"/>
      <c r="BJ1365" s="113"/>
      <c r="BK1365" s="113"/>
      <c r="BL1365" s="5">
        <f t="shared" si="203"/>
        <v>1.5171700000000001</v>
      </c>
    </row>
    <row r="1366" spans="1:64" s="2" customFormat="1" ht="114.75" outlineLevel="1" x14ac:dyDescent="0.2">
      <c r="A1366" s="6" t="s">
        <v>2145</v>
      </c>
      <c r="B1366" s="603" t="s">
        <v>1342</v>
      </c>
      <c r="C1366" s="7" t="s">
        <v>2146</v>
      </c>
      <c r="D1366" s="8" t="s">
        <v>397</v>
      </c>
      <c r="E1366" s="23" t="s">
        <v>29</v>
      </c>
      <c r="F1366" s="8">
        <v>2013</v>
      </c>
      <c r="G1366" s="8">
        <v>2014</v>
      </c>
      <c r="H1366" s="5">
        <v>0.64917999999999998</v>
      </c>
      <c r="I1366" s="5">
        <v>0.64917999999999998</v>
      </c>
      <c r="J1366" s="5">
        <f t="shared" si="204"/>
        <v>0.64917999999999998</v>
      </c>
      <c r="K1366" s="23" t="s">
        <v>29</v>
      </c>
      <c r="L1366" s="8"/>
      <c r="M1366" s="8"/>
      <c r="N1366" s="8"/>
      <c r="O1366" s="8"/>
      <c r="P1366" s="8"/>
      <c r="Q1366" s="23" t="s">
        <v>29</v>
      </c>
      <c r="R1366" s="113">
        <v>0.64917999999999998</v>
      </c>
      <c r="S1366" s="113"/>
      <c r="T1366" s="113"/>
      <c r="U1366" s="113"/>
      <c r="V1366" s="113"/>
      <c r="W1366" s="113"/>
      <c r="X1366" s="94">
        <f t="shared" si="201"/>
        <v>0.64917999999999998</v>
      </c>
      <c r="Y1366" s="303"/>
      <c r="Z1366" s="5"/>
      <c r="AA1366" s="94"/>
      <c r="AB1366" s="311">
        <f t="shared" si="205"/>
        <v>0</v>
      </c>
      <c r="AC1366" s="296"/>
      <c r="AD1366" s="113"/>
      <c r="AE1366" s="5"/>
      <c r="AF1366" s="5">
        <f>H1366</f>
        <v>0.64917999999999998</v>
      </c>
      <c r="AG1366" s="5"/>
      <c r="AH1366" s="5"/>
      <c r="AI1366" s="5"/>
      <c r="AJ1366" s="5"/>
      <c r="AK1366" s="141"/>
      <c r="AL1366" s="94">
        <f t="shared" si="202"/>
        <v>0.64917999999999998</v>
      </c>
      <c r="AM1366" s="128">
        <v>0.4</v>
      </c>
      <c r="AN1366" s="180">
        <v>0</v>
      </c>
      <c r="AO1366" s="128"/>
      <c r="AP1366" s="184"/>
      <c r="AQ1366" s="128"/>
      <c r="AR1366" s="184"/>
      <c r="AS1366" s="128"/>
      <c r="AT1366" s="184"/>
      <c r="AU1366" s="128"/>
      <c r="AV1366" s="184"/>
      <c r="AW1366" s="128"/>
      <c r="AX1366" s="184"/>
      <c r="AY1366" s="111">
        <f t="shared" si="200"/>
        <v>0.4</v>
      </c>
      <c r="AZ1366" s="178">
        <f t="shared" si="200"/>
        <v>0</v>
      </c>
      <c r="BC1366" s="47"/>
      <c r="BD1366" s="47"/>
      <c r="BF1366" s="113">
        <v>0.64917999999999998</v>
      </c>
      <c r="BG1366" s="113"/>
      <c r="BH1366" s="113"/>
      <c r="BI1366" s="113"/>
      <c r="BJ1366" s="113"/>
      <c r="BK1366" s="113"/>
      <c r="BL1366" s="5">
        <f t="shared" si="203"/>
        <v>0.64917999999999998</v>
      </c>
    </row>
    <row r="1367" spans="1:64" s="2" customFormat="1" ht="102" customHeight="1" outlineLevel="1" x14ac:dyDescent="0.2">
      <c r="A1367" s="6" t="s">
        <v>2147</v>
      </c>
      <c r="B1367" s="603" t="s">
        <v>1344</v>
      </c>
      <c r="C1367" s="7" t="s">
        <v>2175</v>
      </c>
      <c r="D1367" s="8" t="s">
        <v>397</v>
      </c>
      <c r="E1367" s="23" t="s">
        <v>1561</v>
      </c>
      <c r="F1367" s="8">
        <v>2013</v>
      </c>
      <c r="G1367" s="8">
        <v>2015</v>
      </c>
      <c r="H1367" s="5">
        <v>0.8889800000000001</v>
      </c>
      <c r="I1367" s="5">
        <v>0.8889800000000001</v>
      </c>
      <c r="J1367" s="5">
        <f t="shared" si="204"/>
        <v>0.64919000000000004</v>
      </c>
      <c r="K1367" s="8"/>
      <c r="L1367" s="23" t="s">
        <v>1561</v>
      </c>
      <c r="M1367" s="8"/>
      <c r="N1367" s="8"/>
      <c r="O1367" s="8"/>
      <c r="P1367" s="8"/>
      <c r="Q1367" s="23" t="s">
        <v>1561</v>
      </c>
      <c r="R1367" s="113">
        <v>0.64919000000000004</v>
      </c>
      <c r="S1367" s="113">
        <f>I1367-R1367</f>
        <v>0.23979000000000006</v>
      </c>
      <c r="T1367" s="113"/>
      <c r="U1367" s="113"/>
      <c r="V1367" s="113"/>
      <c r="W1367" s="113"/>
      <c r="X1367" s="94">
        <f t="shared" si="201"/>
        <v>0.8889800000000001</v>
      </c>
      <c r="Y1367" s="303"/>
      <c r="Z1367" s="5"/>
      <c r="AA1367" s="94"/>
      <c r="AB1367" s="311">
        <f t="shared" si="205"/>
        <v>0</v>
      </c>
      <c r="AC1367" s="296"/>
      <c r="AD1367" s="113"/>
      <c r="AE1367" s="5"/>
      <c r="AF1367" s="5"/>
      <c r="AG1367" s="5">
        <f>H1367</f>
        <v>0.8889800000000001</v>
      </c>
      <c r="AH1367" s="5"/>
      <c r="AI1367" s="5"/>
      <c r="AJ1367" s="5"/>
      <c r="AK1367" s="141"/>
      <c r="AL1367" s="94">
        <f t="shared" si="202"/>
        <v>0.8889800000000001</v>
      </c>
      <c r="AM1367" s="128"/>
      <c r="AN1367" s="180"/>
      <c r="AO1367" s="128">
        <v>0.6</v>
      </c>
      <c r="AP1367" s="184">
        <v>0</v>
      </c>
      <c r="AQ1367" s="128"/>
      <c r="AR1367" s="184"/>
      <c r="AS1367" s="128"/>
      <c r="AT1367" s="184"/>
      <c r="AU1367" s="128"/>
      <c r="AV1367" s="184"/>
      <c r="AW1367" s="128"/>
      <c r="AX1367" s="184"/>
      <c r="AY1367" s="111">
        <f t="shared" si="200"/>
        <v>0.6</v>
      </c>
      <c r="AZ1367" s="178">
        <f t="shared" si="200"/>
        <v>0</v>
      </c>
      <c r="BC1367" s="47"/>
      <c r="BD1367" s="47"/>
      <c r="BF1367" s="113">
        <v>0.64919000000000004</v>
      </c>
      <c r="BG1367" s="113">
        <v>0.23979000000000006</v>
      </c>
      <c r="BH1367" s="113"/>
      <c r="BI1367" s="113"/>
      <c r="BJ1367" s="113"/>
      <c r="BK1367" s="113"/>
      <c r="BL1367" s="5">
        <f t="shared" si="203"/>
        <v>0.8889800000000001</v>
      </c>
    </row>
    <row r="1368" spans="1:64" s="2" customFormat="1" ht="76.5" outlineLevel="1" x14ac:dyDescent="0.2">
      <c r="A1368" s="6" t="s">
        <v>2176</v>
      </c>
      <c r="B1368" s="603" t="s">
        <v>1346</v>
      </c>
      <c r="C1368" s="7" t="s">
        <v>2177</v>
      </c>
      <c r="D1368" s="8" t="s">
        <v>397</v>
      </c>
      <c r="E1368" s="23" t="s">
        <v>1561</v>
      </c>
      <c r="F1368" s="8">
        <v>2013</v>
      </c>
      <c r="G1368" s="8">
        <v>2014</v>
      </c>
      <c r="H1368" s="5">
        <v>0.6492</v>
      </c>
      <c r="I1368" s="5">
        <v>0.6492</v>
      </c>
      <c r="J1368" s="5">
        <f t="shared" si="204"/>
        <v>0.6492</v>
      </c>
      <c r="K1368" s="23" t="s">
        <v>22</v>
      </c>
      <c r="L1368" s="8"/>
      <c r="M1368" s="8"/>
      <c r="N1368" s="8"/>
      <c r="O1368" s="8"/>
      <c r="P1368" s="8"/>
      <c r="Q1368" s="23" t="s">
        <v>1561</v>
      </c>
      <c r="R1368" s="113">
        <v>0.6492</v>
      </c>
      <c r="S1368" s="113"/>
      <c r="T1368" s="113"/>
      <c r="U1368" s="113"/>
      <c r="V1368" s="113"/>
      <c r="W1368" s="113"/>
      <c r="X1368" s="94">
        <f t="shared" si="201"/>
        <v>0.6492</v>
      </c>
      <c r="Y1368" s="303"/>
      <c r="Z1368" s="5"/>
      <c r="AA1368" s="94"/>
      <c r="AB1368" s="311">
        <f t="shared" si="205"/>
        <v>0</v>
      </c>
      <c r="AC1368" s="296"/>
      <c r="AD1368" s="113"/>
      <c r="AE1368" s="5"/>
      <c r="AF1368" s="5">
        <f>H1368</f>
        <v>0.6492</v>
      </c>
      <c r="AG1368" s="5"/>
      <c r="AH1368" s="5"/>
      <c r="AI1368" s="5"/>
      <c r="AJ1368" s="5"/>
      <c r="AK1368" s="141"/>
      <c r="AL1368" s="94">
        <f t="shared" si="202"/>
        <v>0.6492</v>
      </c>
      <c r="AM1368" s="128">
        <v>0.3</v>
      </c>
      <c r="AN1368" s="180">
        <v>0</v>
      </c>
      <c r="AO1368" s="128"/>
      <c r="AP1368" s="184"/>
      <c r="AQ1368" s="128"/>
      <c r="AR1368" s="184"/>
      <c r="AS1368" s="128"/>
      <c r="AT1368" s="184"/>
      <c r="AU1368" s="128"/>
      <c r="AV1368" s="184"/>
      <c r="AW1368" s="128"/>
      <c r="AX1368" s="184"/>
      <c r="AY1368" s="111">
        <f t="shared" si="200"/>
        <v>0.3</v>
      </c>
      <c r="AZ1368" s="178">
        <f t="shared" si="200"/>
        <v>0</v>
      </c>
      <c r="BC1368" s="47"/>
      <c r="BD1368" s="47"/>
      <c r="BF1368" s="113">
        <v>0.6492</v>
      </c>
      <c r="BG1368" s="113"/>
      <c r="BH1368" s="113"/>
      <c r="BI1368" s="113"/>
      <c r="BJ1368" s="113"/>
      <c r="BK1368" s="113"/>
      <c r="BL1368" s="5">
        <f t="shared" si="203"/>
        <v>0.6492</v>
      </c>
    </row>
    <row r="1369" spans="1:64" s="2" customFormat="1" ht="102" customHeight="1" outlineLevel="1" x14ac:dyDescent="0.2">
      <c r="A1369" s="6" t="s">
        <v>2178</v>
      </c>
      <c r="B1369" s="603" t="s">
        <v>1348</v>
      </c>
      <c r="C1369" s="7" t="s">
        <v>2179</v>
      </c>
      <c r="D1369" s="8" t="s">
        <v>397</v>
      </c>
      <c r="E1369" s="23" t="s">
        <v>1562</v>
      </c>
      <c r="F1369" s="8">
        <v>2013</v>
      </c>
      <c r="G1369" s="8">
        <v>2015</v>
      </c>
      <c r="H1369" s="5">
        <v>0.29661000000000004</v>
      </c>
      <c r="I1369" s="5">
        <v>0.29661000000000004</v>
      </c>
      <c r="J1369" s="5">
        <f t="shared" si="204"/>
        <v>0.01</v>
      </c>
      <c r="K1369" s="8"/>
      <c r="L1369" s="23" t="s">
        <v>1562</v>
      </c>
      <c r="M1369" s="8"/>
      <c r="N1369" s="8"/>
      <c r="O1369" s="8"/>
      <c r="P1369" s="8"/>
      <c r="Q1369" s="23" t="s">
        <v>1562</v>
      </c>
      <c r="R1369" s="113">
        <v>0.01</v>
      </c>
      <c r="S1369" s="113">
        <f>I1369-R1369</f>
        <v>0.28661000000000003</v>
      </c>
      <c r="T1369" s="113"/>
      <c r="U1369" s="113"/>
      <c r="V1369" s="113"/>
      <c r="W1369" s="113"/>
      <c r="X1369" s="94">
        <f t="shared" si="201"/>
        <v>0.29661000000000004</v>
      </c>
      <c r="Y1369" s="303"/>
      <c r="Z1369" s="5"/>
      <c r="AA1369" s="94"/>
      <c r="AB1369" s="311">
        <f t="shared" si="205"/>
        <v>0</v>
      </c>
      <c r="AC1369" s="296"/>
      <c r="AD1369" s="113"/>
      <c r="AE1369" s="5"/>
      <c r="AF1369" s="5"/>
      <c r="AG1369" s="5">
        <f>H1369</f>
        <v>0.29661000000000004</v>
      </c>
      <c r="AH1369" s="5"/>
      <c r="AI1369" s="5"/>
      <c r="AJ1369" s="5"/>
      <c r="AK1369" s="141"/>
      <c r="AL1369" s="94">
        <f t="shared" si="202"/>
        <v>0.29661000000000004</v>
      </c>
      <c r="AM1369" s="128"/>
      <c r="AN1369" s="180"/>
      <c r="AO1369" s="128">
        <v>0.18</v>
      </c>
      <c r="AP1369" s="184">
        <v>0</v>
      </c>
      <c r="AQ1369" s="128"/>
      <c r="AR1369" s="184"/>
      <c r="AS1369" s="128"/>
      <c r="AT1369" s="184"/>
      <c r="AU1369" s="128"/>
      <c r="AV1369" s="184"/>
      <c r="AW1369" s="128"/>
      <c r="AX1369" s="184"/>
      <c r="AY1369" s="111">
        <f t="shared" si="200"/>
        <v>0.18</v>
      </c>
      <c r="AZ1369" s="178">
        <f t="shared" si="200"/>
        <v>0</v>
      </c>
      <c r="BC1369" s="47"/>
      <c r="BD1369" s="47"/>
      <c r="BF1369" s="113">
        <v>0.01</v>
      </c>
      <c r="BG1369" s="113">
        <v>0.28661000000000003</v>
      </c>
      <c r="BH1369" s="113"/>
      <c r="BI1369" s="113"/>
      <c r="BJ1369" s="113"/>
      <c r="BK1369" s="113"/>
      <c r="BL1369" s="5">
        <f t="shared" si="203"/>
        <v>0.29661000000000004</v>
      </c>
    </row>
    <row r="1370" spans="1:64" s="2" customFormat="1" ht="51" outlineLevel="1" x14ac:dyDescent="0.2">
      <c r="A1370" s="6" t="s">
        <v>1352</v>
      </c>
      <c r="B1370" s="603" t="s">
        <v>1350</v>
      </c>
      <c r="C1370" s="7" t="s">
        <v>2383</v>
      </c>
      <c r="D1370" s="8" t="s">
        <v>397</v>
      </c>
      <c r="E1370" s="23" t="s">
        <v>22</v>
      </c>
      <c r="F1370" s="8">
        <v>2013</v>
      </c>
      <c r="G1370" s="8">
        <v>2014</v>
      </c>
      <c r="H1370" s="5">
        <v>0.68140000000000001</v>
      </c>
      <c r="I1370" s="5">
        <v>0.01</v>
      </c>
      <c r="J1370" s="5">
        <f t="shared" si="204"/>
        <v>0.01</v>
      </c>
      <c r="K1370" s="23" t="s">
        <v>22</v>
      </c>
      <c r="L1370" s="8"/>
      <c r="M1370" s="8"/>
      <c r="N1370" s="8"/>
      <c r="O1370" s="8"/>
      <c r="P1370" s="8"/>
      <c r="Q1370" s="23" t="s">
        <v>22</v>
      </c>
      <c r="R1370" s="113">
        <v>0.01</v>
      </c>
      <c r="S1370" s="113"/>
      <c r="T1370" s="113"/>
      <c r="U1370" s="113"/>
      <c r="V1370" s="113"/>
      <c r="W1370" s="113"/>
      <c r="X1370" s="94">
        <f t="shared" si="201"/>
        <v>0.01</v>
      </c>
      <c r="Y1370" s="303"/>
      <c r="Z1370" s="5"/>
      <c r="AA1370" s="94"/>
      <c r="AB1370" s="311">
        <f t="shared" si="205"/>
        <v>0</v>
      </c>
      <c r="AC1370" s="296"/>
      <c r="AD1370" s="113"/>
      <c r="AE1370" s="5"/>
      <c r="AF1370" s="5">
        <f>H1370</f>
        <v>0.68140000000000001</v>
      </c>
      <c r="AG1370" s="5"/>
      <c r="AH1370" s="5"/>
      <c r="AI1370" s="5"/>
      <c r="AJ1370" s="5"/>
      <c r="AK1370" s="141"/>
      <c r="AL1370" s="94">
        <f t="shared" si="202"/>
        <v>0.68140000000000001</v>
      </c>
      <c r="AM1370" s="128">
        <v>0.3</v>
      </c>
      <c r="AN1370" s="180">
        <v>0</v>
      </c>
      <c r="AO1370" s="128"/>
      <c r="AP1370" s="184"/>
      <c r="AQ1370" s="128"/>
      <c r="AR1370" s="184"/>
      <c r="AS1370" s="128"/>
      <c r="AT1370" s="184"/>
      <c r="AU1370" s="128"/>
      <c r="AV1370" s="184"/>
      <c r="AW1370" s="128"/>
      <c r="AX1370" s="184"/>
      <c r="AY1370" s="111">
        <f t="shared" si="200"/>
        <v>0.3</v>
      </c>
      <c r="AZ1370" s="178">
        <f t="shared" si="200"/>
        <v>0</v>
      </c>
      <c r="BC1370" s="47"/>
      <c r="BD1370" s="47"/>
      <c r="BF1370" s="113">
        <v>0.01</v>
      </c>
      <c r="BG1370" s="113"/>
      <c r="BH1370" s="113"/>
      <c r="BI1370" s="113"/>
      <c r="BJ1370" s="113"/>
      <c r="BK1370" s="113"/>
      <c r="BL1370" s="5">
        <f t="shared" si="203"/>
        <v>0.01</v>
      </c>
    </row>
    <row r="1371" spans="1:64" s="2" customFormat="1" ht="409.5" customHeight="1" outlineLevel="1" x14ac:dyDescent="0.2">
      <c r="A1371" s="6" t="s">
        <v>2180</v>
      </c>
      <c r="B1371" s="603" t="s">
        <v>1351</v>
      </c>
      <c r="C1371" s="7" t="s">
        <v>2416</v>
      </c>
      <c r="D1371" s="8" t="s">
        <v>397</v>
      </c>
      <c r="E1371" s="23" t="s">
        <v>1563</v>
      </c>
      <c r="F1371" s="8">
        <v>2013</v>
      </c>
      <c r="G1371" s="8">
        <v>2015</v>
      </c>
      <c r="H1371" s="5">
        <v>9.7429999999999986</v>
      </c>
      <c r="I1371" s="5">
        <v>9.7429999999999986</v>
      </c>
      <c r="J1371" s="5">
        <f t="shared" si="204"/>
        <v>0.64917999999999998</v>
      </c>
      <c r="K1371" s="8"/>
      <c r="L1371" s="23" t="s">
        <v>1563</v>
      </c>
      <c r="M1371" s="8"/>
      <c r="N1371" s="8"/>
      <c r="O1371" s="8"/>
      <c r="P1371" s="8"/>
      <c r="Q1371" s="23" t="s">
        <v>1563</v>
      </c>
      <c r="R1371" s="113">
        <v>0.64917999999999998</v>
      </c>
      <c r="S1371" s="113">
        <v>6.5979999999999999</v>
      </c>
      <c r="T1371" s="113">
        <f>H1371-R1371-S1371</f>
        <v>2.4958199999999993</v>
      </c>
      <c r="U1371" s="113"/>
      <c r="V1371" s="113"/>
      <c r="W1371" s="113"/>
      <c r="X1371" s="94">
        <f t="shared" si="201"/>
        <v>9.7429999999999986</v>
      </c>
      <c r="Y1371" s="303"/>
      <c r="Z1371" s="5"/>
      <c r="AA1371" s="94"/>
      <c r="AB1371" s="311">
        <f t="shared" si="205"/>
        <v>0</v>
      </c>
      <c r="AC1371" s="296"/>
      <c r="AD1371" s="113"/>
      <c r="AE1371" s="5"/>
      <c r="AF1371" s="5"/>
      <c r="AG1371" s="5">
        <f>H1371</f>
        <v>9.7429999999999986</v>
      </c>
      <c r="AH1371" s="5"/>
      <c r="AI1371" s="5"/>
      <c r="AJ1371" s="5"/>
      <c r="AK1371" s="141"/>
      <c r="AL1371" s="94">
        <f t="shared" si="202"/>
        <v>9.7429999999999986</v>
      </c>
      <c r="AM1371" s="128"/>
      <c r="AN1371" s="180"/>
      <c r="AO1371" s="128">
        <v>0.8</v>
      </c>
      <c r="AP1371" s="184">
        <v>2</v>
      </c>
      <c r="AQ1371" s="128"/>
      <c r="AR1371" s="184"/>
      <c r="AS1371" s="128"/>
      <c r="AT1371" s="184"/>
      <c r="AU1371" s="128"/>
      <c r="AV1371" s="184"/>
      <c r="AW1371" s="128"/>
      <c r="AX1371" s="184"/>
      <c r="AY1371" s="111">
        <f t="shared" si="200"/>
        <v>0.8</v>
      </c>
      <c r="AZ1371" s="178">
        <f t="shared" si="200"/>
        <v>2</v>
      </c>
      <c r="BC1371" s="47"/>
      <c r="BD1371" s="47"/>
      <c r="BF1371" s="113">
        <v>0.64917999999999998</v>
      </c>
      <c r="BG1371" s="113">
        <v>9.0938199999999991</v>
      </c>
      <c r="BH1371" s="113"/>
      <c r="BI1371" s="113"/>
      <c r="BJ1371" s="113"/>
      <c r="BK1371" s="113"/>
      <c r="BL1371" s="5">
        <f t="shared" si="203"/>
        <v>9.7429999999999986</v>
      </c>
    </row>
    <row r="1372" spans="1:64" s="2" customFormat="1" ht="152.85" customHeight="1" outlineLevel="1" x14ac:dyDescent="0.2">
      <c r="A1372" s="6" t="s">
        <v>2181</v>
      </c>
      <c r="B1372" s="603" t="s">
        <v>1353</v>
      </c>
      <c r="C1372" s="7" t="s">
        <v>2417</v>
      </c>
      <c r="D1372" s="8" t="s">
        <v>397</v>
      </c>
      <c r="E1372" s="23" t="s">
        <v>31</v>
      </c>
      <c r="F1372" s="8">
        <v>2013</v>
      </c>
      <c r="G1372" s="8">
        <v>2015</v>
      </c>
      <c r="H1372" s="5">
        <v>0.70609999999999995</v>
      </c>
      <c r="I1372" s="5">
        <v>0.70609999999999995</v>
      </c>
      <c r="J1372" s="5">
        <f t="shared" si="204"/>
        <v>0.64917999999999998</v>
      </c>
      <c r="K1372" s="8"/>
      <c r="L1372" s="23" t="s">
        <v>31</v>
      </c>
      <c r="M1372" s="8"/>
      <c r="N1372" s="8"/>
      <c r="O1372" s="8"/>
      <c r="P1372" s="8"/>
      <c r="Q1372" s="23" t="s">
        <v>31</v>
      </c>
      <c r="R1372" s="113">
        <v>0.64917999999999998</v>
      </c>
      <c r="S1372" s="113">
        <f>I1372-R1372</f>
        <v>5.6919999999999971E-2</v>
      </c>
      <c r="T1372" s="113"/>
      <c r="U1372" s="113"/>
      <c r="V1372" s="113"/>
      <c r="W1372" s="113"/>
      <c r="X1372" s="94">
        <f t="shared" si="201"/>
        <v>0.70609999999999995</v>
      </c>
      <c r="Y1372" s="303"/>
      <c r="Z1372" s="5"/>
      <c r="AA1372" s="94"/>
      <c r="AB1372" s="311">
        <f t="shared" si="205"/>
        <v>0</v>
      </c>
      <c r="AC1372" s="296"/>
      <c r="AD1372" s="113"/>
      <c r="AE1372" s="5"/>
      <c r="AF1372" s="5"/>
      <c r="AG1372" s="5">
        <f>H1372</f>
        <v>0.70609999999999995</v>
      </c>
      <c r="AH1372" s="5"/>
      <c r="AI1372" s="5"/>
      <c r="AJ1372" s="5"/>
      <c r="AK1372" s="141"/>
      <c r="AL1372" s="94">
        <f t="shared" si="202"/>
        <v>0.70609999999999995</v>
      </c>
      <c r="AM1372" s="128"/>
      <c r="AN1372" s="180"/>
      <c r="AO1372" s="128">
        <v>0.36</v>
      </c>
      <c r="AP1372" s="184">
        <v>0.16</v>
      </c>
      <c r="AQ1372" s="128"/>
      <c r="AR1372" s="184"/>
      <c r="AS1372" s="128"/>
      <c r="AT1372" s="184"/>
      <c r="AU1372" s="128"/>
      <c r="AV1372" s="184"/>
      <c r="AW1372" s="128"/>
      <c r="AX1372" s="184"/>
      <c r="AY1372" s="111">
        <f t="shared" si="200"/>
        <v>0.36</v>
      </c>
      <c r="AZ1372" s="178">
        <f t="shared" si="200"/>
        <v>0.16</v>
      </c>
      <c r="BC1372" s="47"/>
      <c r="BD1372" s="47"/>
      <c r="BF1372" s="113">
        <v>0.64917999999999998</v>
      </c>
      <c r="BG1372" s="113">
        <v>5.6919999999999971E-2</v>
      </c>
      <c r="BH1372" s="113"/>
      <c r="BI1372" s="113"/>
      <c r="BJ1372" s="113"/>
      <c r="BK1372" s="113"/>
      <c r="BL1372" s="5">
        <f t="shared" si="203"/>
        <v>0.70609999999999995</v>
      </c>
    </row>
    <row r="1373" spans="1:64" s="2" customFormat="1" ht="38.25" customHeight="1" outlineLevel="1" x14ac:dyDescent="0.2">
      <c r="A1373" s="6" t="s">
        <v>2182</v>
      </c>
      <c r="B1373" s="603" t="s">
        <v>1354</v>
      </c>
      <c r="C1373" s="7" t="s">
        <v>2418</v>
      </c>
      <c r="D1373" s="8" t="s">
        <v>397</v>
      </c>
      <c r="E1373" s="23" t="s">
        <v>352</v>
      </c>
      <c r="F1373" s="8">
        <v>2013</v>
      </c>
      <c r="G1373" s="8">
        <v>2015</v>
      </c>
      <c r="H1373" s="5">
        <v>0.65949999999999998</v>
      </c>
      <c r="I1373" s="5">
        <v>0.65949999999999998</v>
      </c>
      <c r="J1373" s="5">
        <f t="shared" si="204"/>
        <v>0.64917999999999998</v>
      </c>
      <c r="K1373" s="8"/>
      <c r="L1373" s="23" t="s">
        <v>352</v>
      </c>
      <c r="M1373" s="8"/>
      <c r="N1373" s="8"/>
      <c r="O1373" s="8"/>
      <c r="P1373" s="8"/>
      <c r="Q1373" s="23" t="s">
        <v>352</v>
      </c>
      <c r="R1373" s="113">
        <v>0.64917999999999998</v>
      </c>
      <c r="S1373" s="113">
        <f>I1373-R1373</f>
        <v>1.0319999999999996E-2</v>
      </c>
      <c r="T1373" s="113"/>
      <c r="U1373" s="113"/>
      <c r="V1373" s="113"/>
      <c r="W1373" s="113"/>
      <c r="X1373" s="94">
        <f t="shared" si="201"/>
        <v>0.65949999999999998</v>
      </c>
      <c r="Y1373" s="303"/>
      <c r="Z1373" s="5"/>
      <c r="AA1373" s="94"/>
      <c r="AB1373" s="311">
        <f t="shared" si="205"/>
        <v>0</v>
      </c>
      <c r="AC1373" s="296"/>
      <c r="AD1373" s="113"/>
      <c r="AE1373" s="5"/>
      <c r="AF1373" s="5"/>
      <c r="AG1373" s="5">
        <f>H1373</f>
        <v>0.65949999999999998</v>
      </c>
      <c r="AH1373" s="5"/>
      <c r="AI1373" s="5"/>
      <c r="AJ1373" s="5"/>
      <c r="AK1373" s="141"/>
      <c r="AL1373" s="94">
        <f t="shared" si="202"/>
        <v>0.65949999999999998</v>
      </c>
      <c r="AM1373" s="128"/>
      <c r="AN1373" s="180"/>
      <c r="AO1373" s="128">
        <v>0.6</v>
      </c>
      <c r="AP1373" s="184">
        <v>0</v>
      </c>
      <c r="AQ1373" s="128"/>
      <c r="AR1373" s="184"/>
      <c r="AS1373" s="128"/>
      <c r="AT1373" s="184"/>
      <c r="AU1373" s="128"/>
      <c r="AV1373" s="184"/>
      <c r="AW1373" s="128"/>
      <c r="AX1373" s="184"/>
      <c r="AY1373" s="111">
        <f t="shared" si="200"/>
        <v>0.6</v>
      </c>
      <c r="AZ1373" s="178">
        <f t="shared" si="200"/>
        <v>0</v>
      </c>
      <c r="BC1373" s="47"/>
      <c r="BD1373" s="47"/>
      <c r="BF1373" s="113">
        <v>0.64917999999999998</v>
      </c>
      <c r="BG1373" s="113">
        <v>1.0319999999999996E-2</v>
      </c>
      <c r="BH1373" s="113"/>
      <c r="BI1373" s="113"/>
      <c r="BJ1373" s="113"/>
      <c r="BK1373" s="113"/>
      <c r="BL1373" s="5">
        <f t="shared" si="203"/>
        <v>0.65949999999999998</v>
      </c>
    </row>
    <row r="1374" spans="1:64" s="2" customFormat="1" ht="51" outlineLevel="1" x14ac:dyDescent="0.2">
      <c r="A1374" s="6" t="s">
        <v>2183</v>
      </c>
      <c r="B1374" s="603" t="s">
        <v>1355</v>
      </c>
      <c r="C1374" s="7" t="s">
        <v>2419</v>
      </c>
      <c r="D1374" s="8" t="s">
        <v>397</v>
      </c>
      <c r="E1374" s="23" t="s">
        <v>29</v>
      </c>
      <c r="F1374" s="8">
        <v>2013</v>
      </c>
      <c r="G1374" s="8">
        <v>2014</v>
      </c>
      <c r="H1374" s="5">
        <v>0.64917999999999998</v>
      </c>
      <c r="I1374" s="5">
        <v>0.64917999999999998</v>
      </c>
      <c r="J1374" s="5">
        <f t="shared" si="204"/>
        <v>0.64917999999999998</v>
      </c>
      <c r="K1374" s="23" t="s">
        <v>29</v>
      </c>
      <c r="L1374" s="8"/>
      <c r="M1374" s="8"/>
      <c r="N1374" s="8"/>
      <c r="O1374" s="8"/>
      <c r="P1374" s="8"/>
      <c r="Q1374" s="23" t="s">
        <v>29</v>
      </c>
      <c r="R1374" s="113">
        <v>0.64917999999999998</v>
      </c>
      <c r="S1374" s="113"/>
      <c r="T1374" s="113"/>
      <c r="U1374" s="113"/>
      <c r="V1374" s="113"/>
      <c r="W1374" s="113"/>
      <c r="X1374" s="94">
        <f t="shared" si="201"/>
        <v>0.64917999999999998</v>
      </c>
      <c r="Y1374" s="303"/>
      <c r="Z1374" s="5"/>
      <c r="AA1374" s="94"/>
      <c r="AB1374" s="311">
        <f t="shared" si="205"/>
        <v>0</v>
      </c>
      <c r="AC1374" s="296"/>
      <c r="AD1374" s="113"/>
      <c r="AE1374" s="5"/>
      <c r="AF1374" s="5">
        <f>H1374</f>
        <v>0.64917999999999998</v>
      </c>
      <c r="AG1374" s="5"/>
      <c r="AH1374" s="5"/>
      <c r="AI1374" s="5"/>
      <c r="AJ1374" s="5"/>
      <c r="AK1374" s="141"/>
      <c r="AL1374" s="94">
        <f t="shared" si="202"/>
        <v>0.64917999999999998</v>
      </c>
      <c r="AM1374" s="128">
        <v>0.4</v>
      </c>
      <c r="AN1374" s="180">
        <v>0</v>
      </c>
      <c r="AO1374" s="128"/>
      <c r="AP1374" s="184"/>
      <c r="AQ1374" s="128"/>
      <c r="AR1374" s="184"/>
      <c r="AS1374" s="128"/>
      <c r="AT1374" s="184"/>
      <c r="AU1374" s="128"/>
      <c r="AV1374" s="184"/>
      <c r="AW1374" s="128"/>
      <c r="AX1374" s="184"/>
      <c r="AY1374" s="111">
        <f t="shared" si="200"/>
        <v>0.4</v>
      </c>
      <c r="AZ1374" s="178">
        <f t="shared" si="200"/>
        <v>0</v>
      </c>
      <c r="BC1374" s="47"/>
      <c r="BD1374" s="47"/>
      <c r="BF1374" s="113">
        <v>0.64917999999999998</v>
      </c>
      <c r="BG1374" s="113"/>
      <c r="BH1374" s="113"/>
      <c r="BI1374" s="113"/>
      <c r="BJ1374" s="113"/>
      <c r="BK1374" s="113"/>
      <c r="BL1374" s="5">
        <f t="shared" si="203"/>
        <v>0.64917999999999998</v>
      </c>
    </row>
    <row r="1375" spans="1:64" s="2" customFormat="1" ht="38.25" outlineLevel="1" x14ac:dyDescent="0.2">
      <c r="A1375" s="6" t="s">
        <v>2184</v>
      </c>
      <c r="B1375" s="603" t="s">
        <v>1356</v>
      </c>
      <c r="C1375" s="7" t="s">
        <v>2560</v>
      </c>
      <c r="D1375" s="8" t="s">
        <v>397</v>
      </c>
      <c r="E1375" s="23" t="s">
        <v>29</v>
      </c>
      <c r="F1375" s="8">
        <v>2011</v>
      </c>
      <c r="G1375" s="8">
        <v>2014</v>
      </c>
      <c r="H1375" s="5">
        <v>1.6817</v>
      </c>
      <c r="I1375" s="5">
        <v>0.01</v>
      </c>
      <c r="J1375" s="5">
        <f t="shared" si="204"/>
        <v>0.01</v>
      </c>
      <c r="K1375" s="23" t="s">
        <v>29</v>
      </c>
      <c r="L1375" s="8"/>
      <c r="M1375" s="8"/>
      <c r="N1375" s="8"/>
      <c r="O1375" s="8"/>
      <c r="P1375" s="8"/>
      <c r="Q1375" s="23" t="s">
        <v>29</v>
      </c>
      <c r="R1375" s="113">
        <v>0.01</v>
      </c>
      <c r="S1375" s="113"/>
      <c r="T1375" s="113"/>
      <c r="U1375" s="113"/>
      <c r="V1375" s="113"/>
      <c r="W1375" s="113"/>
      <c r="X1375" s="94">
        <f t="shared" si="201"/>
        <v>0.01</v>
      </c>
      <c r="Y1375" s="303"/>
      <c r="Z1375" s="5"/>
      <c r="AA1375" s="94"/>
      <c r="AB1375" s="311">
        <f t="shared" si="205"/>
        <v>0</v>
      </c>
      <c r="AC1375" s="296"/>
      <c r="AD1375" s="113"/>
      <c r="AE1375" s="5"/>
      <c r="AF1375" s="5">
        <f>H1375</f>
        <v>1.6817</v>
      </c>
      <c r="AG1375" s="5"/>
      <c r="AH1375" s="5"/>
      <c r="AI1375" s="5"/>
      <c r="AJ1375" s="5"/>
      <c r="AK1375" s="141"/>
      <c r="AL1375" s="94">
        <f t="shared" si="202"/>
        <v>1.6817</v>
      </c>
      <c r="AM1375" s="128">
        <v>0.4</v>
      </c>
      <c r="AN1375" s="180">
        <v>0</v>
      </c>
      <c r="AO1375" s="128"/>
      <c r="AP1375" s="184"/>
      <c r="AQ1375" s="128"/>
      <c r="AR1375" s="184"/>
      <c r="AS1375" s="128"/>
      <c r="AT1375" s="184"/>
      <c r="AU1375" s="128"/>
      <c r="AV1375" s="184"/>
      <c r="AW1375" s="128"/>
      <c r="AX1375" s="184"/>
      <c r="AY1375" s="111">
        <f t="shared" si="200"/>
        <v>0.4</v>
      </c>
      <c r="AZ1375" s="178">
        <f t="shared" si="200"/>
        <v>0</v>
      </c>
      <c r="BC1375" s="47"/>
      <c r="BD1375" s="47"/>
      <c r="BF1375" s="113">
        <v>0.01</v>
      </c>
      <c r="BG1375" s="113"/>
      <c r="BH1375" s="113"/>
      <c r="BI1375" s="113"/>
      <c r="BJ1375" s="113"/>
      <c r="BK1375" s="113"/>
      <c r="BL1375" s="5">
        <f t="shared" si="203"/>
        <v>0.01</v>
      </c>
    </row>
    <row r="1376" spans="1:64" s="2" customFormat="1" ht="76.5" outlineLevel="1" x14ac:dyDescent="0.2">
      <c r="A1376" s="6" t="s">
        <v>2185</v>
      </c>
      <c r="B1376" s="603" t="s">
        <v>1357</v>
      </c>
      <c r="C1376" s="7" t="s">
        <v>2186</v>
      </c>
      <c r="D1376" s="8" t="s">
        <v>397</v>
      </c>
      <c r="E1376" s="23" t="s">
        <v>1564</v>
      </c>
      <c r="F1376" s="8">
        <v>2011</v>
      </c>
      <c r="G1376" s="8">
        <v>2014</v>
      </c>
      <c r="H1376" s="5">
        <v>1.1086</v>
      </c>
      <c r="I1376" s="5">
        <v>0.01</v>
      </c>
      <c r="J1376" s="5">
        <f t="shared" si="204"/>
        <v>0.01</v>
      </c>
      <c r="K1376" s="23" t="s">
        <v>1564</v>
      </c>
      <c r="L1376" s="8"/>
      <c r="M1376" s="8"/>
      <c r="N1376" s="8"/>
      <c r="O1376" s="8"/>
      <c r="P1376" s="8"/>
      <c r="Q1376" s="23" t="s">
        <v>1564</v>
      </c>
      <c r="R1376" s="113">
        <v>0.01</v>
      </c>
      <c r="S1376" s="113"/>
      <c r="T1376" s="113"/>
      <c r="U1376" s="113"/>
      <c r="V1376" s="113"/>
      <c r="W1376" s="113"/>
      <c r="X1376" s="94">
        <f t="shared" si="201"/>
        <v>0.01</v>
      </c>
      <c r="Y1376" s="303"/>
      <c r="Z1376" s="5"/>
      <c r="AA1376" s="94"/>
      <c r="AB1376" s="311">
        <f t="shared" si="205"/>
        <v>0</v>
      </c>
      <c r="AC1376" s="296"/>
      <c r="AD1376" s="113"/>
      <c r="AE1376" s="5"/>
      <c r="AF1376" s="5">
        <f>H1376</f>
        <v>1.1086</v>
      </c>
      <c r="AG1376" s="5"/>
      <c r="AH1376" s="5"/>
      <c r="AI1376" s="5"/>
      <c r="AJ1376" s="5"/>
      <c r="AK1376" s="141"/>
      <c r="AL1376" s="94">
        <f t="shared" si="202"/>
        <v>1.1086</v>
      </c>
      <c r="AM1376" s="128">
        <v>0.18</v>
      </c>
      <c r="AN1376" s="180">
        <v>0</v>
      </c>
      <c r="AO1376" s="128"/>
      <c r="AP1376" s="184"/>
      <c r="AQ1376" s="128"/>
      <c r="AR1376" s="184"/>
      <c r="AS1376" s="128"/>
      <c r="AT1376" s="184"/>
      <c r="AU1376" s="128"/>
      <c r="AV1376" s="184"/>
      <c r="AW1376" s="128"/>
      <c r="AX1376" s="184"/>
      <c r="AY1376" s="111">
        <f t="shared" si="200"/>
        <v>0.18</v>
      </c>
      <c r="AZ1376" s="178">
        <f t="shared" si="200"/>
        <v>0</v>
      </c>
      <c r="BC1376" s="47"/>
      <c r="BD1376" s="47"/>
      <c r="BF1376" s="113">
        <v>0.01</v>
      </c>
      <c r="BG1376" s="113"/>
      <c r="BH1376" s="113"/>
      <c r="BI1376" s="113"/>
      <c r="BJ1376" s="113"/>
      <c r="BK1376" s="113"/>
      <c r="BL1376" s="5">
        <f t="shared" si="203"/>
        <v>0.01</v>
      </c>
    </row>
    <row r="1377" spans="1:64" s="2" customFormat="1" ht="38.25" outlineLevel="1" x14ac:dyDescent="0.2">
      <c r="A1377" s="6" t="s">
        <v>2187</v>
      </c>
      <c r="B1377" s="603" t="s">
        <v>1359</v>
      </c>
      <c r="C1377" s="7" t="s">
        <v>2420</v>
      </c>
      <c r="D1377" s="8" t="s">
        <v>397</v>
      </c>
      <c r="E1377" s="23" t="s">
        <v>21</v>
      </c>
      <c r="F1377" s="8">
        <v>2011</v>
      </c>
      <c r="G1377" s="8">
        <v>2014</v>
      </c>
      <c r="H1377" s="5">
        <v>2.6741999999999999</v>
      </c>
      <c r="I1377" s="5">
        <v>0.01</v>
      </c>
      <c r="J1377" s="5">
        <f t="shared" si="204"/>
        <v>0.01</v>
      </c>
      <c r="K1377" s="23" t="s">
        <v>21</v>
      </c>
      <c r="L1377" s="8"/>
      <c r="M1377" s="8"/>
      <c r="N1377" s="8"/>
      <c r="O1377" s="8"/>
      <c r="P1377" s="8"/>
      <c r="Q1377" s="23" t="s">
        <v>21</v>
      </c>
      <c r="R1377" s="113">
        <v>0.01</v>
      </c>
      <c r="S1377" s="113"/>
      <c r="T1377" s="113"/>
      <c r="U1377" s="113"/>
      <c r="V1377" s="113"/>
      <c r="W1377" s="113"/>
      <c r="X1377" s="94">
        <f t="shared" si="201"/>
        <v>0.01</v>
      </c>
      <c r="Y1377" s="303"/>
      <c r="Z1377" s="5"/>
      <c r="AA1377" s="94"/>
      <c r="AB1377" s="311">
        <f t="shared" si="205"/>
        <v>0</v>
      </c>
      <c r="AC1377" s="296"/>
      <c r="AD1377" s="113"/>
      <c r="AE1377" s="5"/>
      <c r="AF1377" s="5">
        <f>H1377</f>
        <v>2.6741999999999999</v>
      </c>
      <c r="AG1377" s="5"/>
      <c r="AH1377" s="5"/>
      <c r="AI1377" s="5"/>
      <c r="AJ1377" s="5"/>
      <c r="AK1377" s="141"/>
      <c r="AL1377" s="94">
        <f t="shared" si="202"/>
        <v>2.6741999999999999</v>
      </c>
      <c r="AM1377" s="128">
        <v>0.45</v>
      </c>
      <c r="AN1377" s="180">
        <v>0</v>
      </c>
      <c r="AO1377" s="128"/>
      <c r="AP1377" s="184"/>
      <c r="AQ1377" s="128"/>
      <c r="AR1377" s="184"/>
      <c r="AS1377" s="128"/>
      <c r="AT1377" s="184"/>
      <c r="AU1377" s="128"/>
      <c r="AV1377" s="184"/>
      <c r="AW1377" s="128"/>
      <c r="AX1377" s="184"/>
      <c r="AY1377" s="111">
        <f t="shared" si="200"/>
        <v>0.45</v>
      </c>
      <c r="AZ1377" s="178">
        <f t="shared" si="200"/>
        <v>0</v>
      </c>
      <c r="BC1377" s="47"/>
      <c r="BD1377" s="47"/>
      <c r="BF1377" s="113">
        <v>0.01</v>
      </c>
      <c r="BG1377" s="113"/>
      <c r="BH1377" s="113"/>
      <c r="BI1377" s="113"/>
      <c r="BJ1377" s="113"/>
      <c r="BK1377" s="113"/>
      <c r="BL1377" s="5">
        <f t="shared" si="203"/>
        <v>0.01</v>
      </c>
    </row>
    <row r="1378" spans="1:64" s="2" customFormat="1" ht="114.6" customHeight="1" outlineLevel="1" x14ac:dyDescent="0.2">
      <c r="A1378" s="6" t="s">
        <v>2188</v>
      </c>
      <c r="B1378" s="603" t="s">
        <v>1360</v>
      </c>
      <c r="C1378" s="7" t="s">
        <v>2189</v>
      </c>
      <c r="D1378" s="8" t="s">
        <v>136</v>
      </c>
      <c r="E1378" s="23" t="s">
        <v>1565</v>
      </c>
      <c r="F1378" s="8">
        <v>2011</v>
      </c>
      <c r="G1378" s="8">
        <v>2015</v>
      </c>
      <c r="H1378" s="5">
        <v>1</v>
      </c>
      <c r="I1378" s="5">
        <v>1</v>
      </c>
      <c r="J1378" s="5">
        <f t="shared" si="204"/>
        <v>0.01</v>
      </c>
      <c r="K1378" s="8"/>
      <c r="L1378" s="23" t="s">
        <v>1565</v>
      </c>
      <c r="M1378" s="8"/>
      <c r="N1378" s="8"/>
      <c r="O1378" s="8"/>
      <c r="P1378" s="8"/>
      <c r="Q1378" s="23" t="s">
        <v>1565</v>
      </c>
      <c r="R1378" s="113">
        <v>0.01</v>
      </c>
      <c r="S1378" s="113">
        <f>I1378-R1378</f>
        <v>0.99</v>
      </c>
      <c r="T1378" s="113"/>
      <c r="U1378" s="113"/>
      <c r="V1378" s="113"/>
      <c r="W1378" s="113"/>
      <c r="X1378" s="94">
        <f t="shared" si="201"/>
        <v>1</v>
      </c>
      <c r="Y1378" s="303"/>
      <c r="Z1378" s="5"/>
      <c r="AA1378" s="94"/>
      <c r="AB1378" s="311">
        <f t="shared" si="205"/>
        <v>0</v>
      </c>
      <c r="AC1378" s="296"/>
      <c r="AD1378" s="113"/>
      <c r="AE1378" s="5"/>
      <c r="AF1378" s="5"/>
      <c r="AG1378" s="5">
        <f>H1378</f>
        <v>1</v>
      </c>
      <c r="AH1378" s="5"/>
      <c r="AI1378" s="5"/>
      <c r="AJ1378" s="5"/>
      <c r="AK1378" s="141"/>
      <c r="AL1378" s="94">
        <f t="shared" si="202"/>
        <v>1</v>
      </c>
      <c r="AM1378" s="128"/>
      <c r="AN1378" s="180"/>
      <c r="AO1378" s="128">
        <v>1</v>
      </c>
      <c r="AP1378" s="184">
        <v>0.16</v>
      </c>
      <c r="AQ1378" s="128"/>
      <c r="AR1378" s="184"/>
      <c r="AS1378" s="128"/>
      <c r="AT1378" s="184"/>
      <c r="AU1378" s="128"/>
      <c r="AV1378" s="184"/>
      <c r="AW1378" s="128"/>
      <c r="AX1378" s="184"/>
      <c r="AY1378" s="111">
        <f t="shared" si="200"/>
        <v>1</v>
      </c>
      <c r="AZ1378" s="178">
        <f t="shared" si="200"/>
        <v>0.16</v>
      </c>
      <c r="BC1378" s="47"/>
      <c r="BD1378" s="47"/>
      <c r="BF1378" s="113">
        <v>0.01</v>
      </c>
      <c r="BG1378" s="113">
        <v>0.99</v>
      </c>
      <c r="BH1378" s="113"/>
      <c r="BI1378" s="113"/>
      <c r="BJ1378" s="113"/>
      <c r="BK1378" s="113"/>
      <c r="BL1378" s="5">
        <f t="shared" si="203"/>
        <v>1</v>
      </c>
    </row>
    <row r="1379" spans="1:64" s="2" customFormat="1" ht="76.5" outlineLevel="1" x14ac:dyDescent="0.2">
      <c r="A1379" s="6" t="s">
        <v>2191</v>
      </c>
      <c r="B1379" s="603" t="s">
        <v>1361</v>
      </c>
      <c r="C1379" s="7" t="s">
        <v>2192</v>
      </c>
      <c r="D1379" s="8" t="s">
        <v>397</v>
      </c>
      <c r="E1379" s="23" t="s">
        <v>22</v>
      </c>
      <c r="F1379" s="8">
        <v>2013</v>
      </c>
      <c r="G1379" s="8">
        <v>2014</v>
      </c>
      <c r="H1379" s="5">
        <v>0.82540000000000002</v>
      </c>
      <c r="I1379" s="5">
        <v>0.01</v>
      </c>
      <c r="J1379" s="5">
        <f t="shared" si="204"/>
        <v>0.01</v>
      </c>
      <c r="K1379" s="23" t="s">
        <v>22</v>
      </c>
      <c r="L1379" s="8"/>
      <c r="M1379" s="8"/>
      <c r="N1379" s="8"/>
      <c r="O1379" s="8"/>
      <c r="P1379" s="8"/>
      <c r="Q1379" s="23" t="s">
        <v>22</v>
      </c>
      <c r="R1379" s="113">
        <v>0.01</v>
      </c>
      <c r="S1379" s="113"/>
      <c r="T1379" s="113"/>
      <c r="U1379" s="113"/>
      <c r="V1379" s="113"/>
      <c r="W1379" s="113"/>
      <c r="X1379" s="94">
        <f t="shared" si="201"/>
        <v>0.01</v>
      </c>
      <c r="Y1379" s="303"/>
      <c r="Z1379" s="5"/>
      <c r="AA1379" s="94"/>
      <c r="AB1379" s="311">
        <f t="shared" si="205"/>
        <v>0</v>
      </c>
      <c r="AC1379" s="296"/>
      <c r="AD1379" s="113"/>
      <c r="AE1379" s="5"/>
      <c r="AF1379" s="5">
        <f t="shared" ref="AF1379:AF1389" si="206">H1379</f>
        <v>0.82540000000000002</v>
      </c>
      <c r="AG1379" s="5"/>
      <c r="AH1379" s="5"/>
      <c r="AI1379" s="5"/>
      <c r="AJ1379" s="5"/>
      <c r="AK1379" s="141"/>
      <c r="AL1379" s="94">
        <f t="shared" si="202"/>
        <v>0.82540000000000002</v>
      </c>
      <c r="AM1379" s="128">
        <v>0.3</v>
      </c>
      <c r="AN1379" s="180">
        <v>0</v>
      </c>
      <c r="AO1379" s="128"/>
      <c r="AP1379" s="184"/>
      <c r="AQ1379" s="128"/>
      <c r="AR1379" s="184"/>
      <c r="AS1379" s="128"/>
      <c r="AT1379" s="184"/>
      <c r="AU1379" s="128"/>
      <c r="AV1379" s="184"/>
      <c r="AW1379" s="128"/>
      <c r="AX1379" s="184"/>
      <c r="AY1379" s="111">
        <f t="shared" si="200"/>
        <v>0.3</v>
      </c>
      <c r="AZ1379" s="178">
        <f t="shared" si="200"/>
        <v>0</v>
      </c>
      <c r="BC1379" s="47"/>
      <c r="BD1379" s="47"/>
      <c r="BF1379" s="113">
        <v>0.01</v>
      </c>
      <c r="BG1379" s="113"/>
      <c r="BH1379" s="113"/>
      <c r="BI1379" s="113"/>
      <c r="BJ1379" s="113"/>
      <c r="BK1379" s="113"/>
      <c r="BL1379" s="5">
        <f t="shared" si="203"/>
        <v>0.01</v>
      </c>
    </row>
    <row r="1380" spans="1:64" s="2" customFormat="1" ht="90" customHeight="1" outlineLevel="1" x14ac:dyDescent="0.2">
      <c r="A1380" s="6" t="s">
        <v>2193</v>
      </c>
      <c r="B1380" s="603" t="s">
        <v>1362</v>
      </c>
      <c r="C1380" s="7" t="s">
        <v>2421</v>
      </c>
      <c r="D1380" s="8" t="s">
        <v>397</v>
      </c>
      <c r="E1380" s="23" t="s">
        <v>26</v>
      </c>
      <c r="F1380" s="8">
        <v>2011</v>
      </c>
      <c r="G1380" s="8">
        <v>2014</v>
      </c>
      <c r="H1380" s="5">
        <v>0.64917999999999998</v>
      </c>
      <c r="I1380" s="5">
        <v>0.64917999999999998</v>
      </c>
      <c r="J1380" s="5">
        <f t="shared" si="204"/>
        <v>0.64917999999999998</v>
      </c>
      <c r="K1380" s="23" t="s">
        <v>26</v>
      </c>
      <c r="L1380" s="8"/>
      <c r="M1380" s="8"/>
      <c r="N1380" s="8"/>
      <c r="O1380" s="8"/>
      <c r="P1380" s="8"/>
      <c r="Q1380" s="23" t="s">
        <v>26</v>
      </c>
      <c r="R1380" s="113">
        <v>0.64917999999999998</v>
      </c>
      <c r="S1380" s="113"/>
      <c r="T1380" s="113"/>
      <c r="U1380" s="113"/>
      <c r="V1380" s="113"/>
      <c r="W1380" s="113"/>
      <c r="X1380" s="94">
        <f t="shared" si="201"/>
        <v>0.64917999999999998</v>
      </c>
      <c r="Y1380" s="303"/>
      <c r="Z1380" s="5"/>
      <c r="AA1380" s="94"/>
      <c r="AB1380" s="311">
        <f t="shared" si="205"/>
        <v>0</v>
      </c>
      <c r="AC1380" s="296"/>
      <c r="AD1380" s="113"/>
      <c r="AE1380" s="5"/>
      <c r="AF1380" s="5">
        <f t="shared" si="206"/>
        <v>0.64917999999999998</v>
      </c>
      <c r="AG1380" s="5"/>
      <c r="AH1380" s="5"/>
      <c r="AI1380" s="5"/>
      <c r="AJ1380" s="5"/>
      <c r="AK1380" s="141"/>
      <c r="AL1380" s="94">
        <f t="shared" si="202"/>
        <v>0.64917999999999998</v>
      </c>
      <c r="AM1380" s="128">
        <v>0.1</v>
      </c>
      <c r="AN1380" s="180">
        <v>0</v>
      </c>
      <c r="AO1380" s="128"/>
      <c r="AP1380" s="184"/>
      <c r="AQ1380" s="128"/>
      <c r="AR1380" s="184"/>
      <c r="AS1380" s="128"/>
      <c r="AT1380" s="184"/>
      <c r="AU1380" s="128"/>
      <c r="AV1380" s="184"/>
      <c r="AW1380" s="128"/>
      <c r="AX1380" s="184"/>
      <c r="AY1380" s="111">
        <f t="shared" si="200"/>
        <v>0.1</v>
      </c>
      <c r="AZ1380" s="178">
        <f t="shared" si="200"/>
        <v>0</v>
      </c>
      <c r="BC1380" s="47"/>
      <c r="BD1380" s="47"/>
      <c r="BF1380" s="113">
        <v>0.64917999999999998</v>
      </c>
      <c r="BG1380" s="113"/>
      <c r="BH1380" s="113"/>
      <c r="BI1380" s="113"/>
      <c r="BJ1380" s="113"/>
      <c r="BK1380" s="113"/>
      <c r="BL1380" s="5">
        <f t="shared" si="203"/>
        <v>0.64917999999999998</v>
      </c>
    </row>
    <row r="1381" spans="1:64" s="2" customFormat="1" ht="39" customHeight="1" outlineLevel="1" x14ac:dyDescent="0.2">
      <c r="A1381" s="6" t="s">
        <v>2194</v>
      </c>
      <c r="B1381" s="603" t="s">
        <v>1363</v>
      </c>
      <c r="C1381" s="7" t="s">
        <v>2195</v>
      </c>
      <c r="D1381" s="8" t="s">
        <v>397</v>
      </c>
      <c r="E1381" s="23" t="s">
        <v>23</v>
      </c>
      <c r="F1381" s="8">
        <v>2011</v>
      </c>
      <c r="G1381" s="8">
        <v>2014</v>
      </c>
      <c r="H1381" s="5">
        <v>0.43440000000000001</v>
      </c>
      <c r="I1381" s="5">
        <v>0.01</v>
      </c>
      <c r="J1381" s="5">
        <f t="shared" si="204"/>
        <v>0.01</v>
      </c>
      <c r="K1381" s="23" t="s">
        <v>23</v>
      </c>
      <c r="L1381" s="8"/>
      <c r="M1381" s="8"/>
      <c r="N1381" s="8"/>
      <c r="O1381" s="8"/>
      <c r="P1381" s="8"/>
      <c r="Q1381" s="23" t="s">
        <v>23</v>
      </c>
      <c r="R1381" s="113">
        <v>0.01</v>
      </c>
      <c r="S1381" s="113"/>
      <c r="T1381" s="113"/>
      <c r="U1381" s="113"/>
      <c r="V1381" s="113"/>
      <c r="W1381" s="113"/>
      <c r="X1381" s="94">
        <f t="shared" si="201"/>
        <v>0.01</v>
      </c>
      <c r="Y1381" s="303"/>
      <c r="Z1381" s="5"/>
      <c r="AA1381" s="94"/>
      <c r="AB1381" s="311">
        <f t="shared" si="205"/>
        <v>0</v>
      </c>
      <c r="AC1381" s="296"/>
      <c r="AD1381" s="113"/>
      <c r="AE1381" s="5"/>
      <c r="AF1381" s="5">
        <f t="shared" si="206"/>
        <v>0.43440000000000001</v>
      </c>
      <c r="AG1381" s="5"/>
      <c r="AH1381" s="5"/>
      <c r="AI1381" s="5"/>
      <c r="AJ1381" s="5"/>
      <c r="AK1381" s="141"/>
      <c r="AL1381" s="94">
        <f t="shared" si="202"/>
        <v>0.43440000000000001</v>
      </c>
      <c r="AM1381" s="128">
        <v>0.2</v>
      </c>
      <c r="AN1381" s="180">
        <v>0</v>
      </c>
      <c r="AO1381" s="128"/>
      <c r="AP1381" s="184"/>
      <c r="AQ1381" s="128"/>
      <c r="AR1381" s="184"/>
      <c r="AS1381" s="128"/>
      <c r="AT1381" s="184"/>
      <c r="AU1381" s="128"/>
      <c r="AV1381" s="184"/>
      <c r="AW1381" s="128"/>
      <c r="AX1381" s="184"/>
      <c r="AY1381" s="111">
        <f t="shared" si="200"/>
        <v>0.2</v>
      </c>
      <c r="AZ1381" s="178">
        <f t="shared" si="200"/>
        <v>0</v>
      </c>
      <c r="BC1381" s="47"/>
      <c r="BD1381" s="47"/>
      <c r="BF1381" s="113">
        <v>0.01</v>
      </c>
      <c r="BG1381" s="113"/>
      <c r="BH1381" s="113"/>
      <c r="BI1381" s="113"/>
      <c r="BJ1381" s="113"/>
      <c r="BK1381" s="113"/>
      <c r="BL1381" s="5">
        <f t="shared" si="203"/>
        <v>0.01</v>
      </c>
    </row>
    <row r="1382" spans="1:64" s="2" customFormat="1" ht="76.5" outlineLevel="1" x14ac:dyDescent="0.2">
      <c r="A1382" s="6" t="s">
        <v>2196</v>
      </c>
      <c r="B1382" s="603" t="s">
        <v>1364</v>
      </c>
      <c r="C1382" s="7" t="s">
        <v>2197</v>
      </c>
      <c r="D1382" s="8" t="s">
        <v>397</v>
      </c>
      <c r="E1382" s="23" t="s">
        <v>346</v>
      </c>
      <c r="F1382" s="8">
        <v>2011</v>
      </c>
      <c r="G1382" s="8">
        <v>2014</v>
      </c>
      <c r="H1382" s="5">
        <v>1.069</v>
      </c>
      <c r="I1382" s="5">
        <v>0.01</v>
      </c>
      <c r="J1382" s="5">
        <f t="shared" si="204"/>
        <v>0.01</v>
      </c>
      <c r="K1382" s="23" t="s">
        <v>346</v>
      </c>
      <c r="L1382" s="8"/>
      <c r="M1382" s="8"/>
      <c r="N1382" s="8"/>
      <c r="O1382" s="8"/>
      <c r="P1382" s="8"/>
      <c r="Q1382" s="23" t="s">
        <v>346</v>
      </c>
      <c r="R1382" s="113">
        <v>0.01</v>
      </c>
      <c r="S1382" s="113"/>
      <c r="T1382" s="113"/>
      <c r="U1382" s="113"/>
      <c r="V1382" s="113"/>
      <c r="W1382" s="113"/>
      <c r="X1382" s="94">
        <f t="shared" si="201"/>
        <v>0.01</v>
      </c>
      <c r="Y1382" s="303"/>
      <c r="Z1382" s="5"/>
      <c r="AA1382" s="94"/>
      <c r="AB1382" s="311">
        <f t="shared" si="205"/>
        <v>0</v>
      </c>
      <c r="AC1382" s="296"/>
      <c r="AD1382" s="113"/>
      <c r="AE1382" s="5"/>
      <c r="AF1382" s="5">
        <f t="shared" si="206"/>
        <v>1.069</v>
      </c>
      <c r="AG1382" s="5"/>
      <c r="AH1382" s="5"/>
      <c r="AI1382" s="5"/>
      <c r="AJ1382" s="5"/>
      <c r="AK1382" s="141"/>
      <c r="AL1382" s="94">
        <f t="shared" si="202"/>
        <v>1.069</v>
      </c>
      <c r="AM1382" s="128">
        <v>0.15</v>
      </c>
      <c r="AN1382" s="180">
        <v>0</v>
      </c>
      <c r="AO1382" s="128"/>
      <c r="AP1382" s="184"/>
      <c r="AQ1382" s="128"/>
      <c r="AR1382" s="184"/>
      <c r="AS1382" s="128"/>
      <c r="AT1382" s="184"/>
      <c r="AU1382" s="128"/>
      <c r="AV1382" s="184"/>
      <c r="AW1382" s="128"/>
      <c r="AX1382" s="184"/>
      <c r="AY1382" s="111">
        <f t="shared" si="200"/>
        <v>0.15</v>
      </c>
      <c r="AZ1382" s="178">
        <f t="shared" si="200"/>
        <v>0</v>
      </c>
      <c r="BC1382" s="47"/>
      <c r="BD1382" s="47"/>
      <c r="BF1382" s="113">
        <v>0.01</v>
      </c>
      <c r="BG1382" s="113"/>
      <c r="BH1382" s="113"/>
      <c r="BI1382" s="113"/>
      <c r="BJ1382" s="113"/>
      <c r="BK1382" s="113"/>
      <c r="BL1382" s="5">
        <f t="shared" si="203"/>
        <v>0.01</v>
      </c>
    </row>
    <row r="1383" spans="1:64" s="2" customFormat="1" ht="89.25" outlineLevel="1" x14ac:dyDescent="0.2">
      <c r="A1383" s="6" t="s">
        <v>2198</v>
      </c>
      <c r="B1383" s="603" t="s">
        <v>1365</v>
      </c>
      <c r="C1383" s="7" t="s">
        <v>2199</v>
      </c>
      <c r="D1383" s="8" t="s">
        <v>397</v>
      </c>
      <c r="E1383" s="23" t="s">
        <v>23</v>
      </c>
      <c r="F1383" s="8">
        <v>2013</v>
      </c>
      <c r="G1383" s="8">
        <v>2014</v>
      </c>
      <c r="H1383" s="5">
        <v>0.54310000000000003</v>
      </c>
      <c r="I1383" s="5">
        <v>0.01</v>
      </c>
      <c r="J1383" s="5">
        <f t="shared" si="204"/>
        <v>0.01</v>
      </c>
      <c r="K1383" s="23" t="s">
        <v>23</v>
      </c>
      <c r="L1383" s="8"/>
      <c r="M1383" s="8"/>
      <c r="N1383" s="8"/>
      <c r="O1383" s="8"/>
      <c r="P1383" s="8"/>
      <c r="Q1383" s="23" t="s">
        <v>23</v>
      </c>
      <c r="R1383" s="113">
        <v>0.01</v>
      </c>
      <c r="S1383" s="113"/>
      <c r="T1383" s="113"/>
      <c r="U1383" s="113"/>
      <c r="V1383" s="113"/>
      <c r="W1383" s="113"/>
      <c r="X1383" s="94">
        <f t="shared" si="201"/>
        <v>0.01</v>
      </c>
      <c r="Y1383" s="303"/>
      <c r="Z1383" s="5"/>
      <c r="AA1383" s="94"/>
      <c r="AB1383" s="311">
        <f t="shared" si="205"/>
        <v>0</v>
      </c>
      <c r="AC1383" s="296"/>
      <c r="AD1383" s="113"/>
      <c r="AE1383" s="5"/>
      <c r="AF1383" s="5">
        <f t="shared" si="206"/>
        <v>0.54310000000000003</v>
      </c>
      <c r="AG1383" s="5"/>
      <c r="AH1383" s="5"/>
      <c r="AI1383" s="5"/>
      <c r="AJ1383" s="5"/>
      <c r="AK1383" s="141"/>
      <c r="AL1383" s="94">
        <f t="shared" si="202"/>
        <v>0.54310000000000003</v>
      </c>
      <c r="AM1383" s="128">
        <v>0.2</v>
      </c>
      <c r="AN1383" s="180">
        <v>0</v>
      </c>
      <c r="AO1383" s="128"/>
      <c r="AP1383" s="184"/>
      <c r="AQ1383" s="128"/>
      <c r="AR1383" s="184"/>
      <c r="AS1383" s="128"/>
      <c r="AT1383" s="184"/>
      <c r="AU1383" s="128"/>
      <c r="AV1383" s="184"/>
      <c r="AW1383" s="128"/>
      <c r="AX1383" s="184"/>
      <c r="AY1383" s="111">
        <f t="shared" si="200"/>
        <v>0.2</v>
      </c>
      <c r="AZ1383" s="178">
        <f t="shared" si="200"/>
        <v>0</v>
      </c>
      <c r="BC1383" s="47"/>
      <c r="BD1383" s="47"/>
      <c r="BF1383" s="113">
        <v>0.01</v>
      </c>
      <c r="BG1383" s="113"/>
      <c r="BH1383" s="113"/>
      <c r="BI1383" s="113"/>
      <c r="BJ1383" s="113"/>
      <c r="BK1383" s="113"/>
      <c r="BL1383" s="5">
        <f t="shared" si="203"/>
        <v>0.01</v>
      </c>
    </row>
    <row r="1384" spans="1:64" s="2" customFormat="1" ht="63.75" outlineLevel="1" x14ac:dyDescent="0.2">
      <c r="A1384" s="6" t="s">
        <v>2200</v>
      </c>
      <c r="B1384" s="603" t="s">
        <v>1366</v>
      </c>
      <c r="C1384" s="7" t="s">
        <v>1402</v>
      </c>
      <c r="D1384" s="8" t="s">
        <v>397</v>
      </c>
      <c r="E1384" s="23" t="s">
        <v>346</v>
      </c>
      <c r="F1384" s="8">
        <v>2011</v>
      </c>
      <c r="G1384" s="8">
        <v>2014</v>
      </c>
      <c r="H1384" s="5">
        <v>7.2499999999999995E-2</v>
      </c>
      <c r="I1384" s="5">
        <v>0.01</v>
      </c>
      <c r="J1384" s="5">
        <f t="shared" si="204"/>
        <v>0.01</v>
      </c>
      <c r="K1384" s="23" t="s">
        <v>346</v>
      </c>
      <c r="L1384" s="8"/>
      <c r="M1384" s="8"/>
      <c r="N1384" s="8"/>
      <c r="O1384" s="8"/>
      <c r="P1384" s="8"/>
      <c r="Q1384" s="23" t="s">
        <v>346</v>
      </c>
      <c r="R1384" s="113">
        <v>0.01</v>
      </c>
      <c r="S1384" s="113"/>
      <c r="T1384" s="113"/>
      <c r="U1384" s="113"/>
      <c r="V1384" s="113"/>
      <c r="W1384" s="113"/>
      <c r="X1384" s="94">
        <f t="shared" si="201"/>
        <v>0.01</v>
      </c>
      <c r="Y1384" s="303"/>
      <c r="Z1384" s="5"/>
      <c r="AA1384" s="94"/>
      <c r="AB1384" s="311">
        <f t="shared" si="205"/>
        <v>0</v>
      </c>
      <c r="AC1384" s="296"/>
      <c r="AD1384" s="113"/>
      <c r="AE1384" s="5"/>
      <c r="AF1384" s="5">
        <f t="shared" si="206"/>
        <v>7.2499999999999995E-2</v>
      </c>
      <c r="AG1384" s="5"/>
      <c r="AH1384" s="5"/>
      <c r="AI1384" s="5"/>
      <c r="AJ1384" s="5"/>
      <c r="AK1384" s="141"/>
      <c r="AL1384" s="94">
        <f t="shared" si="202"/>
        <v>7.2499999999999995E-2</v>
      </c>
      <c r="AM1384" s="128">
        <v>0.15</v>
      </c>
      <c r="AN1384" s="180">
        <v>0</v>
      </c>
      <c r="AO1384" s="128"/>
      <c r="AP1384" s="184"/>
      <c r="AQ1384" s="128"/>
      <c r="AR1384" s="184"/>
      <c r="AS1384" s="128"/>
      <c r="AT1384" s="184"/>
      <c r="AU1384" s="128"/>
      <c r="AV1384" s="184"/>
      <c r="AW1384" s="128"/>
      <c r="AX1384" s="184"/>
      <c r="AY1384" s="111">
        <f t="shared" si="200"/>
        <v>0.15</v>
      </c>
      <c r="AZ1384" s="178">
        <f t="shared" si="200"/>
        <v>0</v>
      </c>
      <c r="BC1384" s="47"/>
      <c r="BD1384" s="47"/>
      <c r="BF1384" s="113">
        <v>0.01</v>
      </c>
      <c r="BG1384" s="113"/>
      <c r="BH1384" s="113"/>
      <c r="BI1384" s="113"/>
      <c r="BJ1384" s="113"/>
      <c r="BK1384" s="113"/>
      <c r="BL1384" s="5">
        <f t="shared" si="203"/>
        <v>0.01</v>
      </c>
    </row>
    <row r="1385" spans="1:64" s="2" customFormat="1" ht="63.75" outlineLevel="1" x14ac:dyDescent="0.2">
      <c r="A1385" s="6" t="s">
        <v>2201</v>
      </c>
      <c r="B1385" s="603" t="s">
        <v>1367</v>
      </c>
      <c r="C1385" s="7" t="s">
        <v>2202</v>
      </c>
      <c r="D1385" s="8" t="s">
        <v>397</v>
      </c>
      <c r="E1385" s="23" t="s">
        <v>22</v>
      </c>
      <c r="F1385" s="8">
        <v>2011</v>
      </c>
      <c r="G1385" s="8">
        <v>2014</v>
      </c>
      <c r="H1385" s="5">
        <v>0.68569999999999998</v>
      </c>
      <c r="I1385" s="5">
        <v>0.01</v>
      </c>
      <c r="J1385" s="5">
        <f t="shared" si="204"/>
        <v>0.01</v>
      </c>
      <c r="K1385" s="23" t="s">
        <v>22</v>
      </c>
      <c r="L1385" s="8"/>
      <c r="M1385" s="8"/>
      <c r="N1385" s="8"/>
      <c r="O1385" s="8"/>
      <c r="P1385" s="8"/>
      <c r="Q1385" s="23" t="s">
        <v>22</v>
      </c>
      <c r="R1385" s="113">
        <v>0.01</v>
      </c>
      <c r="S1385" s="113"/>
      <c r="T1385" s="113"/>
      <c r="U1385" s="113"/>
      <c r="V1385" s="113"/>
      <c r="W1385" s="113"/>
      <c r="X1385" s="94">
        <f t="shared" si="201"/>
        <v>0.01</v>
      </c>
      <c r="Y1385" s="303"/>
      <c r="Z1385" s="5"/>
      <c r="AA1385" s="94"/>
      <c r="AB1385" s="311">
        <f t="shared" si="205"/>
        <v>0</v>
      </c>
      <c r="AC1385" s="296"/>
      <c r="AD1385" s="113"/>
      <c r="AE1385" s="5"/>
      <c r="AF1385" s="5">
        <f t="shared" si="206"/>
        <v>0.68569999999999998</v>
      </c>
      <c r="AG1385" s="5"/>
      <c r="AH1385" s="5"/>
      <c r="AI1385" s="5"/>
      <c r="AJ1385" s="5"/>
      <c r="AK1385" s="141"/>
      <c r="AL1385" s="94">
        <f t="shared" si="202"/>
        <v>0.68569999999999998</v>
      </c>
      <c r="AM1385" s="128">
        <v>0.3</v>
      </c>
      <c r="AN1385" s="180">
        <v>0</v>
      </c>
      <c r="AO1385" s="128"/>
      <c r="AP1385" s="184"/>
      <c r="AQ1385" s="128"/>
      <c r="AR1385" s="184"/>
      <c r="AS1385" s="128"/>
      <c r="AT1385" s="184"/>
      <c r="AU1385" s="128"/>
      <c r="AV1385" s="184"/>
      <c r="AW1385" s="128"/>
      <c r="AX1385" s="184"/>
      <c r="AY1385" s="111">
        <f t="shared" si="200"/>
        <v>0.3</v>
      </c>
      <c r="AZ1385" s="178">
        <f t="shared" si="200"/>
        <v>0</v>
      </c>
      <c r="BC1385" s="47"/>
      <c r="BD1385" s="47"/>
      <c r="BF1385" s="113">
        <v>0.01</v>
      </c>
      <c r="BG1385" s="113"/>
      <c r="BH1385" s="113"/>
      <c r="BI1385" s="113"/>
      <c r="BJ1385" s="113"/>
      <c r="BK1385" s="113"/>
      <c r="BL1385" s="5">
        <f t="shared" si="203"/>
        <v>0.01</v>
      </c>
    </row>
    <row r="1386" spans="1:64" s="2" customFormat="1" ht="77.25" customHeight="1" outlineLevel="1" x14ac:dyDescent="0.2">
      <c r="A1386" s="6" t="s">
        <v>2203</v>
      </c>
      <c r="B1386" s="603" t="s">
        <v>1368</v>
      </c>
      <c r="C1386" s="7" t="s">
        <v>2684</v>
      </c>
      <c r="D1386" s="8" t="s">
        <v>397</v>
      </c>
      <c r="E1386" s="23" t="s">
        <v>346</v>
      </c>
      <c r="F1386" s="8">
        <v>2010</v>
      </c>
      <c r="G1386" s="8">
        <v>2014</v>
      </c>
      <c r="H1386" s="5">
        <v>0.38850000000000001</v>
      </c>
      <c r="I1386" s="5">
        <v>0.01</v>
      </c>
      <c r="J1386" s="5">
        <f t="shared" si="204"/>
        <v>0.01</v>
      </c>
      <c r="K1386" s="23" t="s">
        <v>346</v>
      </c>
      <c r="L1386" s="8"/>
      <c r="M1386" s="8"/>
      <c r="N1386" s="8"/>
      <c r="O1386" s="8"/>
      <c r="P1386" s="8"/>
      <c r="Q1386" s="23" t="s">
        <v>346</v>
      </c>
      <c r="R1386" s="113">
        <v>0.01</v>
      </c>
      <c r="S1386" s="113"/>
      <c r="T1386" s="113"/>
      <c r="U1386" s="113"/>
      <c r="V1386" s="113"/>
      <c r="W1386" s="113"/>
      <c r="X1386" s="94">
        <f t="shared" si="201"/>
        <v>0.01</v>
      </c>
      <c r="Y1386" s="303"/>
      <c r="Z1386" s="5"/>
      <c r="AA1386" s="94"/>
      <c r="AB1386" s="311">
        <f t="shared" si="205"/>
        <v>0</v>
      </c>
      <c r="AC1386" s="296"/>
      <c r="AD1386" s="113"/>
      <c r="AE1386" s="5"/>
      <c r="AF1386" s="5">
        <f t="shared" si="206"/>
        <v>0.38850000000000001</v>
      </c>
      <c r="AG1386" s="5"/>
      <c r="AH1386" s="5"/>
      <c r="AI1386" s="5"/>
      <c r="AJ1386" s="5"/>
      <c r="AK1386" s="141"/>
      <c r="AL1386" s="94">
        <f t="shared" si="202"/>
        <v>0.38850000000000001</v>
      </c>
      <c r="AM1386" s="128">
        <v>0.15</v>
      </c>
      <c r="AN1386" s="180">
        <v>0</v>
      </c>
      <c r="AO1386" s="128"/>
      <c r="AP1386" s="184"/>
      <c r="AQ1386" s="128"/>
      <c r="AR1386" s="184"/>
      <c r="AS1386" s="128"/>
      <c r="AT1386" s="184"/>
      <c r="AU1386" s="128"/>
      <c r="AV1386" s="184"/>
      <c r="AW1386" s="128"/>
      <c r="AX1386" s="184"/>
      <c r="AY1386" s="111">
        <f t="shared" si="200"/>
        <v>0.15</v>
      </c>
      <c r="AZ1386" s="178">
        <f t="shared" si="200"/>
        <v>0</v>
      </c>
      <c r="BC1386" s="47"/>
      <c r="BD1386" s="47"/>
      <c r="BF1386" s="113">
        <v>0.01</v>
      </c>
      <c r="BG1386" s="113"/>
      <c r="BH1386" s="113"/>
      <c r="BI1386" s="113"/>
      <c r="BJ1386" s="113"/>
      <c r="BK1386" s="113"/>
      <c r="BL1386" s="5">
        <f t="shared" si="203"/>
        <v>0.01</v>
      </c>
    </row>
    <row r="1387" spans="1:64" s="2" customFormat="1" ht="357" customHeight="1" outlineLevel="1" x14ac:dyDescent="0.2">
      <c r="A1387" s="6" t="s">
        <v>2685</v>
      </c>
      <c r="B1387" s="603" t="s">
        <v>1369</v>
      </c>
      <c r="C1387" s="7" t="s">
        <v>2422</v>
      </c>
      <c r="D1387" s="8" t="s">
        <v>397</v>
      </c>
      <c r="E1387" s="23" t="s">
        <v>1566</v>
      </c>
      <c r="F1387" s="8">
        <v>2013</v>
      </c>
      <c r="G1387" s="8">
        <v>2014</v>
      </c>
      <c r="H1387" s="5">
        <v>6.4489999999999998</v>
      </c>
      <c r="I1387" s="5">
        <v>0.01</v>
      </c>
      <c r="J1387" s="5">
        <f t="shared" si="204"/>
        <v>0.01</v>
      </c>
      <c r="K1387" s="23" t="s">
        <v>1566</v>
      </c>
      <c r="L1387" s="8"/>
      <c r="M1387" s="8"/>
      <c r="N1387" s="8"/>
      <c r="O1387" s="8"/>
      <c r="P1387" s="8"/>
      <c r="Q1387" s="23" t="s">
        <v>1566</v>
      </c>
      <c r="R1387" s="113">
        <v>0.01</v>
      </c>
      <c r="S1387" s="113"/>
      <c r="T1387" s="113"/>
      <c r="U1387" s="113"/>
      <c r="V1387" s="113"/>
      <c r="W1387" s="113"/>
      <c r="X1387" s="94">
        <f t="shared" si="201"/>
        <v>0.01</v>
      </c>
      <c r="Y1387" s="303"/>
      <c r="Z1387" s="5"/>
      <c r="AA1387" s="94"/>
      <c r="AB1387" s="311">
        <f t="shared" si="205"/>
        <v>0</v>
      </c>
      <c r="AC1387" s="296"/>
      <c r="AD1387" s="113"/>
      <c r="AE1387" s="5"/>
      <c r="AF1387" s="5">
        <f t="shared" si="206"/>
        <v>6.4489999999999998</v>
      </c>
      <c r="AG1387" s="5"/>
      <c r="AH1387" s="5"/>
      <c r="AI1387" s="5"/>
      <c r="AJ1387" s="5"/>
      <c r="AK1387" s="141"/>
      <c r="AL1387" s="94">
        <f t="shared" si="202"/>
        <v>6.4489999999999998</v>
      </c>
      <c r="AM1387" s="128">
        <v>1.65</v>
      </c>
      <c r="AN1387" s="180">
        <v>2</v>
      </c>
      <c r="AO1387" s="128"/>
      <c r="AP1387" s="184"/>
      <c r="AQ1387" s="128"/>
      <c r="AR1387" s="184"/>
      <c r="AS1387" s="128"/>
      <c r="AT1387" s="184"/>
      <c r="AU1387" s="128"/>
      <c r="AV1387" s="184"/>
      <c r="AW1387" s="128"/>
      <c r="AX1387" s="184"/>
      <c r="AY1387" s="111">
        <f t="shared" si="200"/>
        <v>1.65</v>
      </c>
      <c r="AZ1387" s="178">
        <f t="shared" si="200"/>
        <v>2</v>
      </c>
      <c r="BC1387" s="47"/>
      <c r="BD1387" s="47"/>
      <c r="BF1387" s="113">
        <v>0.01</v>
      </c>
      <c r="BG1387" s="113"/>
      <c r="BH1387" s="113"/>
      <c r="BI1387" s="113"/>
      <c r="BJ1387" s="113"/>
      <c r="BK1387" s="113"/>
      <c r="BL1387" s="5">
        <f t="shared" si="203"/>
        <v>0.01</v>
      </c>
    </row>
    <row r="1388" spans="1:64" s="2" customFormat="1" ht="64.5" customHeight="1" outlineLevel="1" x14ac:dyDescent="0.2">
      <c r="A1388" s="6" t="s">
        <v>2686</v>
      </c>
      <c r="B1388" s="603" t="s">
        <v>1370</v>
      </c>
      <c r="C1388" s="7" t="s">
        <v>2423</v>
      </c>
      <c r="D1388" s="8" t="s">
        <v>397</v>
      </c>
      <c r="E1388" s="23" t="s">
        <v>26</v>
      </c>
      <c r="F1388" s="8">
        <v>2011</v>
      </c>
      <c r="G1388" s="8">
        <v>2014</v>
      </c>
      <c r="H1388" s="5">
        <v>0.1195</v>
      </c>
      <c r="I1388" s="5">
        <v>0.01</v>
      </c>
      <c r="J1388" s="5">
        <f t="shared" si="204"/>
        <v>0.01</v>
      </c>
      <c r="K1388" s="23" t="s">
        <v>26</v>
      </c>
      <c r="L1388" s="8"/>
      <c r="M1388" s="8"/>
      <c r="N1388" s="8"/>
      <c r="O1388" s="8"/>
      <c r="P1388" s="8"/>
      <c r="Q1388" s="23" t="s">
        <v>26</v>
      </c>
      <c r="R1388" s="113">
        <v>0.01</v>
      </c>
      <c r="S1388" s="113"/>
      <c r="T1388" s="113"/>
      <c r="U1388" s="113"/>
      <c r="V1388" s="113"/>
      <c r="W1388" s="113"/>
      <c r="X1388" s="94">
        <f t="shared" si="201"/>
        <v>0.01</v>
      </c>
      <c r="Y1388" s="303"/>
      <c r="Z1388" s="5"/>
      <c r="AA1388" s="94"/>
      <c r="AB1388" s="311">
        <f t="shared" si="205"/>
        <v>0</v>
      </c>
      <c r="AC1388" s="296"/>
      <c r="AD1388" s="113"/>
      <c r="AE1388" s="5"/>
      <c r="AF1388" s="5">
        <f t="shared" si="206"/>
        <v>0.1195</v>
      </c>
      <c r="AG1388" s="5"/>
      <c r="AH1388" s="5"/>
      <c r="AI1388" s="5"/>
      <c r="AJ1388" s="5"/>
      <c r="AK1388" s="141"/>
      <c r="AL1388" s="94">
        <f t="shared" si="202"/>
        <v>0.1195</v>
      </c>
      <c r="AM1388" s="128">
        <v>0.1</v>
      </c>
      <c r="AN1388" s="180">
        <v>0</v>
      </c>
      <c r="AO1388" s="128"/>
      <c r="AP1388" s="184"/>
      <c r="AQ1388" s="128"/>
      <c r="AR1388" s="184"/>
      <c r="AS1388" s="128"/>
      <c r="AT1388" s="184"/>
      <c r="AU1388" s="128"/>
      <c r="AV1388" s="184"/>
      <c r="AW1388" s="128"/>
      <c r="AX1388" s="184"/>
      <c r="AY1388" s="111">
        <f t="shared" si="200"/>
        <v>0.1</v>
      </c>
      <c r="AZ1388" s="178">
        <f t="shared" si="200"/>
        <v>0</v>
      </c>
      <c r="BC1388" s="47"/>
      <c r="BD1388" s="47"/>
      <c r="BF1388" s="113">
        <v>0.01</v>
      </c>
      <c r="BG1388" s="113"/>
      <c r="BH1388" s="113"/>
      <c r="BI1388" s="113"/>
      <c r="BJ1388" s="113"/>
      <c r="BK1388" s="113"/>
      <c r="BL1388" s="5">
        <f t="shared" si="203"/>
        <v>0.01</v>
      </c>
    </row>
    <row r="1389" spans="1:64" s="2" customFormat="1" ht="90" customHeight="1" outlineLevel="1" x14ac:dyDescent="0.2">
      <c r="A1389" s="6" t="s">
        <v>2687</v>
      </c>
      <c r="B1389" s="603" t="s">
        <v>1371</v>
      </c>
      <c r="C1389" s="7" t="s">
        <v>1403</v>
      </c>
      <c r="D1389" s="8" t="s">
        <v>397</v>
      </c>
      <c r="E1389" s="23" t="s">
        <v>1387</v>
      </c>
      <c r="F1389" s="8">
        <v>2011</v>
      </c>
      <c r="G1389" s="8">
        <v>2014</v>
      </c>
      <c r="H1389" s="5">
        <v>0.98909999999999998</v>
      </c>
      <c r="I1389" s="5">
        <v>0.01</v>
      </c>
      <c r="J1389" s="5">
        <f t="shared" si="204"/>
        <v>0.01</v>
      </c>
      <c r="K1389" s="23" t="s">
        <v>1387</v>
      </c>
      <c r="L1389" s="8"/>
      <c r="M1389" s="8"/>
      <c r="N1389" s="8"/>
      <c r="O1389" s="8"/>
      <c r="P1389" s="8"/>
      <c r="Q1389" s="23" t="s">
        <v>1387</v>
      </c>
      <c r="R1389" s="113">
        <v>0.01</v>
      </c>
      <c r="S1389" s="113"/>
      <c r="T1389" s="113"/>
      <c r="U1389" s="113"/>
      <c r="V1389" s="113"/>
      <c r="W1389" s="113"/>
      <c r="X1389" s="94">
        <f t="shared" si="201"/>
        <v>0.01</v>
      </c>
      <c r="Y1389" s="303"/>
      <c r="Z1389" s="5"/>
      <c r="AA1389" s="94"/>
      <c r="AB1389" s="311">
        <f t="shared" si="205"/>
        <v>0</v>
      </c>
      <c r="AC1389" s="296"/>
      <c r="AD1389" s="113"/>
      <c r="AE1389" s="5"/>
      <c r="AF1389" s="5">
        <f t="shared" si="206"/>
        <v>0.98909999999999998</v>
      </c>
      <c r="AG1389" s="5"/>
      <c r="AH1389" s="5"/>
      <c r="AI1389" s="5"/>
      <c r="AJ1389" s="5"/>
      <c r="AK1389" s="141"/>
      <c r="AL1389" s="94">
        <f t="shared" si="202"/>
        <v>0.98909999999999998</v>
      </c>
      <c r="AM1389" s="128">
        <v>0.5</v>
      </c>
      <c r="AN1389" s="180">
        <v>0</v>
      </c>
      <c r="AO1389" s="128"/>
      <c r="AP1389" s="184"/>
      <c r="AQ1389" s="128"/>
      <c r="AR1389" s="184"/>
      <c r="AS1389" s="128"/>
      <c r="AT1389" s="184"/>
      <c r="AU1389" s="128"/>
      <c r="AV1389" s="184"/>
      <c r="AW1389" s="128"/>
      <c r="AX1389" s="184"/>
      <c r="AY1389" s="111">
        <f t="shared" si="200"/>
        <v>0.5</v>
      </c>
      <c r="AZ1389" s="178">
        <f t="shared" si="200"/>
        <v>0</v>
      </c>
      <c r="BC1389" s="47"/>
      <c r="BD1389" s="47"/>
      <c r="BF1389" s="113">
        <v>0.01</v>
      </c>
      <c r="BG1389" s="113"/>
      <c r="BH1389" s="113"/>
      <c r="BI1389" s="113"/>
      <c r="BJ1389" s="113"/>
      <c r="BK1389" s="113"/>
      <c r="BL1389" s="5">
        <f t="shared" si="203"/>
        <v>0.01</v>
      </c>
    </row>
    <row r="1390" spans="1:64" s="2" customFormat="1" ht="90" customHeight="1" outlineLevel="1" x14ac:dyDescent="0.2">
      <c r="A1390" s="6" t="s">
        <v>2688</v>
      </c>
      <c r="B1390" s="603" t="s">
        <v>1372</v>
      </c>
      <c r="C1390" s="7" t="s">
        <v>2424</v>
      </c>
      <c r="D1390" s="8" t="s">
        <v>397</v>
      </c>
      <c r="E1390" s="23" t="s">
        <v>1387</v>
      </c>
      <c r="F1390" s="8">
        <v>2013</v>
      </c>
      <c r="G1390" s="8">
        <v>2015</v>
      </c>
      <c r="H1390" s="5">
        <v>2.0870000000000002</v>
      </c>
      <c r="I1390" s="5">
        <v>2.0870000000000002</v>
      </c>
      <c r="J1390" s="5">
        <f t="shared" si="204"/>
        <v>0.64917999999999998</v>
      </c>
      <c r="K1390" s="8"/>
      <c r="L1390" s="23" t="s">
        <v>1387</v>
      </c>
      <c r="M1390" s="8"/>
      <c r="N1390" s="8"/>
      <c r="O1390" s="8"/>
      <c r="P1390" s="8"/>
      <c r="Q1390" s="23" t="s">
        <v>1387</v>
      </c>
      <c r="R1390" s="113">
        <v>0.64917999999999998</v>
      </c>
      <c r="S1390" s="113">
        <f>I1390-R1390</f>
        <v>1.4378200000000003</v>
      </c>
      <c r="T1390" s="113"/>
      <c r="U1390" s="113"/>
      <c r="V1390" s="113"/>
      <c r="W1390" s="113"/>
      <c r="X1390" s="94">
        <f t="shared" si="201"/>
        <v>2.0870000000000002</v>
      </c>
      <c r="Y1390" s="303"/>
      <c r="Z1390" s="5"/>
      <c r="AA1390" s="94"/>
      <c r="AB1390" s="311">
        <f t="shared" si="205"/>
        <v>0</v>
      </c>
      <c r="AC1390" s="296"/>
      <c r="AD1390" s="113"/>
      <c r="AE1390" s="5"/>
      <c r="AF1390" s="5"/>
      <c r="AG1390" s="5">
        <f>H1390</f>
        <v>2.0870000000000002</v>
      </c>
      <c r="AH1390" s="5"/>
      <c r="AI1390" s="5"/>
      <c r="AJ1390" s="5"/>
      <c r="AK1390" s="141"/>
      <c r="AL1390" s="94">
        <f t="shared" si="202"/>
        <v>2.0870000000000002</v>
      </c>
      <c r="AM1390" s="128"/>
      <c r="AN1390" s="180"/>
      <c r="AO1390" s="128">
        <v>0.5</v>
      </c>
      <c r="AP1390" s="184">
        <v>0</v>
      </c>
      <c r="AQ1390" s="128"/>
      <c r="AR1390" s="184"/>
      <c r="AS1390" s="128"/>
      <c r="AT1390" s="184"/>
      <c r="AU1390" s="128"/>
      <c r="AV1390" s="184"/>
      <c r="AW1390" s="128"/>
      <c r="AX1390" s="184"/>
      <c r="AY1390" s="111">
        <f t="shared" si="200"/>
        <v>0.5</v>
      </c>
      <c r="AZ1390" s="178">
        <f t="shared" si="200"/>
        <v>0</v>
      </c>
      <c r="BC1390" s="47"/>
      <c r="BD1390" s="47"/>
      <c r="BF1390" s="113">
        <v>0.64917999999999998</v>
      </c>
      <c r="BG1390" s="113">
        <v>1.4378200000000003</v>
      </c>
      <c r="BH1390" s="113"/>
      <c r="BI1390" s="113"/>
      <c r="BJ1390" s="113"/>
      <c r="BK1390" s="113"/>
      <c r="BL1390" s="5">
        <f t="shared" si="203"/>
        <v>2.0870000000000002</v>
      </c>
    </row>
    <row r="1391" spans="1:64" s="2" customFormat="1" ht="90" customHeight="1" outlineLevel="1" x14ac:dyDescent="0.2">
      <c r="A1391" s="6" t="s">
        <v>2689</v>
      </c>
      <c r="B1391" s="603" t="s">
        <v>1373</v>
      </c>
      <c r="C1391" s="7" t="s">
        <v>2690</v>
      </c>
      <c r="D1391" s="8" t="s">
        <v>397</v>
      </c>
      <c r="E1391" s="23" t="s">
        <v>23</v>
      </c>
      <c r="F1391" s="8">
        <v>2010</v>
      </c>
      <c r="G1391" s="8">
        <v>2014</v>
      </c>
      <c r="H1391" s="5">
        <v>1.1514</v>
      </c>
      <c r="I1391" s="5">
        <v>0.01</v>
      </c>
      <c r="J1391" s="5">
        <f t="shared" si="204"/>
        <v>0.01</v>
      </c>
      <c r="K1391" s="23" t="s">
        <v>23</v>
      </c>
      <c r="L1391" s="8"/>
      <c r="M1391" s="8"/>
      <c r="N1391" s="8"/>
      <c r="O1391" s="8"/>
      <c r="P1391" s="8"/>
      <c r="Q1391" s="23" t="s">
        <v>23</v>
      </c>
      <c r="R1391" s="113">
        <v>0.01</v>
      </c>
      <c r="S1391" s="113"/>
      <c r="T1391" s="113"/>
      <c r="U1391" s="113"/>
      <c r="V1391" s="113"/>
      <c r="W1391" s="113"/>
      <c r="X1391" s="94">
        <f t="shared" si="201"/>
        <v>0.01</v>
      </c>
      <c r="Y1391" s="303"/>
      <c r="Z1391" s="5"/>
      <c r="AA1391" s="94"/>
      <c r="AB1391" s="311">
        <f t="shared" si="205"/>
        <v>0</v>
      </c>
      <c r="AC1391" s="296"/>
      <c r="AD1391" s="113"/>
      <c r="AE1391" s="5"/>
      <c r="AF1391" s="5">
        <f>H1391</f>
        <v>1.1514</v>
      </c>
      <c r="AG1391" s="5"/>
      <c r="AH1391" s="5"/>
      <c r="AI1391" s="5"/>
      <c r="AJ1391" s="5"/>
      <c r="AK1391" s="141"/>
      <c r="AL1391" s="94">
        <f t="shared" si="202"/>
        <v>1.1514</v>
      </c>
      <c r="AM1391" s="128">
        <v>0.2</v>
      </c>
      <c r="AN1391" s="180">
        <v>0</v>
      </c>
      <c r="AO1391" s="128"/>
      <c r="AP1391" s="184"/>
      <c r="AQ1391" s="128"/>
      <c r="AR1391" s="184"/>
      <c r="AS1391" s="128"/>
      <c r="AT1391" s="184"/>
      <c r="AU1391" s="128"/>
      <c r="AV1391" s="184"/>
      <c r="AW1391" s="128"/>
      <c r="AX1391" s="184"/>
      <c r="AY1391" s="111">
        <f t="shared" si="200"/>
        <v>0.2</v>
      </c>
      <c r="AZ1391" s="178">
        <f t="shared" si="200"/>
        <v>0</v>
      </c>
      <c r="BC1391" s="47"/>
      <c r="BD1391" s="47"/>
      <c r="BF1391" s="113">
        <v>0.01</v>
      </c>
      <c r="BG1391" s="113"/>
      <c r="BH1391" s="113"/>
      <c r="BI1391" s="113"/>
      <c r="BJ1391" s="113"/>
      <c r="BK1391" s="113"/>
      <c r="BL1391" s="5">
        <f t="shared" si="203"/>
        <v>0.01</v>
      </c>
    </row>
    <row r="1392" spans="1:64" s="2" customFormat="1" ht="67.5" customHeight="1" outlineLevel="1" x14ac:dyDescent="0.2">
      <c r="A1392" s="6" t="s">
        <v>2691</v>
      </c>
      <c r="B1392" s="603" t="s">
        <v>1374</v>
      </c>
      <c r="C1392" s="7" t="s">
        <v>2692</v>
      </c>
      <c r="D1392" s="8" t="s">
        <v>397</v>
      </c>
      <c r="E1392" s="23" t="s">
        <v>340</v>
      </c>
      <c r="F1392" s="8">
        <v>2010</v>
      </c>
      <c r="G1392" s="8">
        <v>2014</v>
      </c>
      <c r="H1392" s="5">
        <v>0.64917999999999998</v>
      </c>
      <c r="I1392" s="5">
        <v>0.64917999999999998</v>
      </c>
      <c r="J1392" s="5">
        <f t="shared" si="204"/>
        <v>0.64917999999999998</v>
      </c>
      <c r="K1392" s="23" t="s">
        <v>340</v>
      </c>
      <c r="L1392" s="8"/>
      <c r="M1392" s="8"/>
      <c r="N1392" s="8"/>
      <c r="O1392" s="8"/>
      <c r="P1392" s="8"/>
      <c r="Q1392" s="23" t="s">
        <v>340</v>
      </c>
      <c r="R1392" s="113">
        <v>0.64917999999999998</v>
      </c>
      <c r="S1392" s="113"/>
      <c r="T1392" s="113"/>
      <c r="U1392" s="113"/>
      <c r="V1392" s="113"/>
      <c r="W1392" s="113"/>
      <c r="X1392" s="94">
        <f t="shared" si="201"/>
        <v>0.64917999999999998</v>
      </c>
      <c r="Y1392" s="303"/>
      <c r="Z1392" s="5"/>
      <c r="AA1392" s="94"/>
      <c r="AB1392" s="311">
        <f t="shared" si="205"/>
        <v>0</v>
      </c>
      <c r="AC1392" s="296"/>
      <c r="AD1392" s="113"/>
      <c r="AE1392" s="5"/>
      <c r="AF1392" s="5">
        <f>H1392</f>
        <v>0.64917999999999998</v>
      </c>
      <c r="AG1392" s="5"/>
      <c r="AH1392" s="5"/>
      <c r="AI1392" s="5"/>
      <c r="AJ1392" s="5"/>
      <c r="AK1392" s="141"/>
      <c r="AL1392" s="94">
        <f t="shared" si="202"/>
        <v>0.64917999999999998</v>
      </c>
      <c r="AM1392" s="128">
        <v>0.2</v>
      </c>
      <c r="AN1392" s="180">
        <v>0</v>
      </c>
      <c r="AO1392" s="128"/>
      <c r="AP1392" s="184"/>
      <c r="AQ1392" s="128"/>
      <c r="AR1392" s="184"/>
      <c r="AS1392" s="128"/>
      <c r="AT1392" s="184"/>
      <c r="AU1392" s="128"/>
      <c r="AV1392" s="184"/>
      <c r="AW1392" s="128"/>
      <c r="AX1392" s="184"/>
      <c r="AY1392" s="111">
        <f t="shared" si="200"/>
        <v>0.2</v>
      </c>
      <c r="AZ1392" s="178">
        <f t="shared" si="200"/>
        <v>0</v>
      </c>
      <c r="BC1392" s="47"/>
      <c r="BD1392" s="47"/>
      <c r="BF1392" s="113">
        <v>0.64917999999999998</v>
      </c>
      <c r="BG1392" s="113"/>
      <c r="BH1392" s="113"/>
      <c r="BI1392" s="113"/>
      <c r="BJ1392" s="113"/>
      <c r="BK1392" s="113"/>
      <c r="BL1392" s="5">
        <f t="shared" si="203"/>
        <v>0.64917999999999998</v>
      </c>
    </row>
    <row r="1393" spans="1:64" s="2" customFormat="1" ht="51" outlineLevel="1" x14ac:dyDescent="0.2">
      <c r="A1393" s="6" t="s">
        <v>2693</v>
      </c>
      <c r="B1393" s="603" t="s">
        <v>1375</v>
      </c>
      <c r="C1393" s="7" t="s">
        <v>2694</v>
      </c>
      <c r="D1393" s="8" t="s">
        <v>397</v>
      </c>
      <c r="E1393" s="23" t="s">
        <v>26</v>
      </c>
      <c r="F1393" s="8">
        <v>2010</v>
      </c>
      <c r="G1393" s="8">
        <v>2014</v>
      </c>
      <c r="H1393" s="5">
        <v>0.80820000000000003</v>
      </c>
      <c r="I1393" s="5">
        <v>0.01</v>
      </c>
      <c r="J1393" s="5">
        <f t="shared" si="204"/>
        <v>0.01</v>
      </c>
      <c r="K1393" s="23" t="s">
        <v>26</v>
      </c>
      <c r="L1393" s="8"/>
      <c r="M1393" s="8"/>
      <c r="N1393" s="8"/>
      <c r="O1393" s="8"/>
      <c r="P1393" s="8"/>
      <c r="Q1393" s="23" t="s">
        <v>26</v>
      </c>
      <c r="R1393" s="113">
        <v>0.01</v>
      </c>
      <c r="S1393" s="113"/>
      <c r="T1393" s="113"/>
      <c r="U1393" s="113"/>
      <c r="V1393" s="113"/>
      <c r="W1393" s="113"/>
      <c r="X1393" s="94">
        <f t="shared" si="201"/>
        <v>0.01</v>
      </c>
      <c r="Y1393" s="303"/>
      <c r="Z1393" s="5"/>
      <c r="AA1393" s="94"/>
      <c r="AB1393" s="311">
        <f t="shared" si="205"/>
        <v>0</v>
      </c>
      <c r="AC1393" s="296"/>
      <c r="AD1393" s="113"/>
      <c r="AE1393" s="5"/>
      <c r="AF1393" s="5">
        <f>H1393</f>
        <v>0.80820000000000003</v>
      </c>
      <c r="AG1393" s="5"/>
      <c r="AH1393" s="5"/>
      <c r="AI1393" s="5"/>
      <c r="AJ1393" s="5"/>
      <c r="AK1393" s="141"/>
      <c r="AL1393" s="94">
        <f t="shared" si="202"/>
        <v>0.80820000000000003</v>
      </c>
      <c r="AM1393" s="128">
        <v>0.1</v>
      </c>
      <c r="AN1393" s="180">
        <v>0</v>
      </c>
      <c r="AO1393" s="128"/>
      <c r="AP1393" s="184"/>
      <c r="AQ1393" s="128"/>
      <c r="AR1393" s="184"/>
      <c r="AS1393" s="128"/>
      <c r="AT1393" s="184"/>
      <c r="AU1393" s="128"/>
      <c r="AV1393" s="184"/>
      <c r="AW1393" s="128"/>
      <c r="AX1393" s="184"/>
      <c r="AY1393" s="111">
        <f t="shared" si="200"/>
        <v>0.1</v>
      </c>
      <c r="AZ1393" s="178">
        <f t="shared" si="200"/>
        <v>0</v>
      </c>
      <c r="BC1393" s="47"/>
      <c r="BD1393" s="47"/>
      <c r="BF1393" s="113">
        <v>0.01</v>
      </c>
      <c r="BG1393" s="113"/>
      <c r="BH1393" s="113"/>
      <c r="BI1393" s="113"/>
      <c r="BJ1393" s="113"/>
      <c r="BK1393" s="113"/>
      <c r="BL1393" s="5">
        <f t="shared" si="203"/>
        <v>0.01</v>
      </c>
    </row>
    <row r="1394" spans="1:64" s="2" customFormat="1" ht="51" outlineLevel="1" x14ac:dyDescent="0.2">
      <c r="A1394" s="6" t="s">
        <v>2695</v>
      </c>
      <c r="B1394" s="603" t="s">
        <v>1376</v>
      </c>
      <c r="C1394" s="7" t="s">
        <v>2696</v>
      </c>
      <c r="D1394" s="8" t="s">
        <v>397</v>
      </c>
      <c r="E1394" s="23" t="s">
        <v>29</v>
      </c>
      <c r="F1394" s="8">
        <v>2009</v>
      </c>
      <c r="G1394" s="8">
        <v>2014</v>
      </c>
      <c r="H1394" s="5">
        <v>0.1019</v>
      </c>
      <c r="I1394" s="5">
        <v>0.01</v>
      </c>
      <c r="J1394" s="5">
        <f t="shared" si="204"/>
        <v>0.01</v>
      </c>
      <c r="K1394" s="23" t="s">
        <v>29</v>
      </c>
      <c r="L1394" s="8"/>
      <c r="M1394" s="8"/>
      <c r="N1394" s="8"/>
      <c r="O1394" s="8"/>
      <c r="P1394" s="8"/>
      <c r="Q1394" s="23" t="s">
        <v>29</v>
      </c>
      <c r="R1394" s="113">
        <v>0.01</v>
      </c>
      <c r="S1394" s="113"/>
      <c r="T1394" s="113"/>
      <c r="U1394" s="113"/>
      <c r="V1394" s="113"/>
      <c r="W1394" s="113"/>
      <c r="X1394" s="94">
        <f t="shared" si="201"/>
        <v>0.01</v>
      </c>
      <c r="Y1394" s="303"/>
      <c r="Z1394" s="5"/>
      <c r="AA1394" s="94"/>
      <c r="AB1394" s="311">
        <f t="shared" si="205"/>
        <v>0</v>
      </c>
      <c r="AC1394" s="296"/>
      <c r="AD1394" s="113"/>
      <c r="AE1394" s="5"/>
      <c r="AF1394" s="5">
        <f>H1394</f>
        <v>0.1019</v>
      </c>
      <c r="AG1394" s="5"/>
      <c r="AH1394" s="5"/>
      <c r="AI1394" s="5"/>
      <c r="AJ1394" s="5"/>
      <c r="AK1394" s="141"/>
      <c r="AL1394" s="94">
        <f t="shared" si="202"/>
        <v>0.1019</v>
      </c>
      <c r="AM1394" s="128">
        <v>0.4</v>
      </c>
      <c r="AN1394" s="180">
        <v>0</v>
      </c>
      <c r="AO1394" s="128"/>
      <c r="AP1394" s="184"/>
      <c r="AQ1394" s="128"/>
      <c r="AR1394" s="184"/>
      <c r="AS1394" s="128"/>
      <c r="AT1394" s="184"/>
      <c r="AU1394" s="128"/>
      <c r="AV1394" s="184"/>
      <c r="AW1394" s="128"/>
      <c r="AX1394" s="184"/>
      <c r="AY1394" s="111">
        <f t="shared" si="200"/>
        <v>0.4</v>
      </c>
      <c r="AZ1394" s="178">
        <f t="shared" si="200"/>
        <v>0</v>
      </c>
      <c r="BC1394" s="47"/>
      <c r="BD1394" s="47"/>
      <c r="BF1394" s="113">
        <v>0.01</v>
      </c>
      <c r="BG1394" s="113"/>
      <c r="BH1394" s="113"/>
      <c r="BI1394" s="113"/>
      <c r="BJ1394" s="113"/>
      <c r="BK1394" s="113"/>
      <c r="BL1394" s="5">
        <f t="shared" si="203"/>
        <v>0.01</v>
      </c>
    </row>
    <row r="1395" spans="1:64" s="2" customFormat="1" ht="102" outlineLevel="1" x14ac:dyDescent="0.2">
      <c r="A1395" s="6" t="s">
        <v>2697</v>
      </c>
      <c r="B1395" s="582" t="s">
        <v>1377</v>
      </c>
      <c r="C1395" s="7" t="s">
        <v>2425</v>
      </c>
      <c r="D1395" s="8" t="s">
        <v>397</v>
      </c>
      <c r="E1395" s="23" t="s">
        <v>333</v>
      </c>
      <c r="F1395" s="8">
        <v>2011</v>
      </c>
      <c r="G1395" s="8">
        <v>2014</v>
      </c>
      <c r="H1395" s="5">
        <v>2.5047999999999999</v>
      </c>
      <c r="I1395" s="5">
        <v>0.01</v>
      </c>
      <c r="J1395" s="5">
        <f t="shared" si="204"/>
        <v>0.01</v>
      </c>
      <c r="K1395" s="23" t="s">
        <v>333</v>
      </c>
      <c r="L1395" s="8"/>
      <c r="M1395" s="8"/>
      <c r="N1395" s="8"/>
      <c r="O1395" s="8"/>
      <c r="P1395" s="8"/>
      <c r="Q1395" s="23" t="s">
        <v>333</v>
      </c>
      <c r="R1395" s="113">
        <v>0.01</v>
      </c>
      <c r="S1395" s="113"/>
      <c r="T1395" s="113"/>
      <c r="U1395" s="113"/>
      <c r="V1395" s="113"/>
      <c r="W1395" s="113"/>
      <c r="X1395" s="94">
        <f t="shared" si="201"/>
        <v>0.01</v>
      </c>
      <c r="Y1395" s="303"/>
      <c r="Z1395" s="5"/>
      <c r="AA1395" s="94"/>
      <c r="AB1395" s="311">
        <f t="shared" si="205"/>
        <v>0</v>
      </c>
      <c r="AC1395" s="296"/>
      <c r="AD1395" s="113"/>
      <c r="AE1395" s="5"/>
      <c r="AF1395" s="5">
        <f>H1395</f>
        <v>2.5047999999999999</v>
      </c>
      <c r="AG1395" s="5"/>
      <c r="AH1395" s="5"/>
      <c r="AI1395" s="5"/>
      <c r="AJ1395" s="5"/>
      <c r="AK1395" s="141"/>
      <c r="AL1395" s="94">
        <f t="shared" si="202"/>
        <v>2.5047999999999999</v>
      </c>
      <c r="AM1395" s="128">
        <v>0.3</v>
      </c>
      <c r="AN1395" s="180">
        <v>0</v>
      </c>
      <c r="AO1395" s="128"/>
      <c r="AP1395" s="184"/>
      <c r="AQ1395" s="128"/>
      <c r="AR1395" s="184"/>
      <c r="AS1395" s="128"/>
      <c r="AT1395" s="184"/>
      <c r="AU1395" s="128"/>
      <c r="AV1395" s="184"/>
      <c r="AW1395" s="128"/>
      <c r="AX1395" s="184"/>
      <c r="AY1395" s="111">
        <f t="shared" si="200"/>
        <v>0.3</v>
      </c>
      <c r="AZ1395" s="178">
        <f t="shared" si="200"/>
        <v>0</v>
      </c>
      <c r="BC1395" s="47"/>
      <c r="BD1395" s="47"/>
      <c r="BF1395" s="113">
        <v>0.01</v>
      </c>
      <c r="BG1395" s="113"/>
      <c r="BH1395" s="113"/>
      <c r="BI1395" s="113"/>
      <c r="BJ1395" s="113"/>
      <c r="BK1395" s="113"/>
      <c r="BL1395" s="5">
        <f t="shared" si="203"/>
        <v>0.01</v>
      </c>
    </row>
    <row r="1396" spans="1:64" s="2" customFormat="1" ht="267.75" customHeight="1" outlineLevel="1" x14ac:dyDescent="0.2">
      <c r="A1396" s="6" t="s">
        <v>2698</v>
      </c>
      <c r="B1396" s="603" t="s">
        <v>1378</v>
      </c>
      <c r="C1396" s="7" t="s">
        <v>2699</v>
      </c>
      <c r="D1396" s="8" t="s">
        <v>397</v>
      </c>
      <c r="E1396" s="23" t="s">
        <v>1567</v>
      </c>
      <c r="F1396" s="8">
        <v>2013</v>
      </c>
      <c r="G1396" s="8">
        <v>2015</v>
      </c>
      <c r="H1396" s="5">
        <v>1.21</v>
      </c>
      <c r="I1396" s="5">
        <v>1.21</v>
      </c>
      <c r="J1396" s="5">
        <f t="shared" si="204"/>
        <v>0.64917999999999998</v>
      </c>
      <c r="K1396" s="8"/>
      <c r="L1396" s="23" t="s">
        <v>1567</v>
      </c>
      <c r="M1396" s="8"/>
      <c r="N1396" s="8"/>
      <c r="O1396" s="8"/>
      <c r="P1396" s="8"/>
      <c r="Q1396" s="23" t="s">
        <v>1567</v>
      </c>
      <c r="R1396" s="113">
        <v>0.64917999999999998</v>
      </c>
      <c r="S1396" s="113">
        <f>I1396-R1396</f>
        <v>0.56081999999999999</v>
      </c>
      <c r="T1396" s="113"/>
      <c r="U1396" s="113"/>
      <c r="V1396" s="113"/>
      <c r="W1396" s="113"/>
      <c r="X1396" s="94">
        <f t="shared" si="201"/>
        <v>1.21</v>
      </c>
      <c r="Y1396" s="303"/>
      <c r="Z1396" s="5"/>
      <c r="AA1396" s="94"/>
      <c r="AB1396" s="311">
        <f t="shared" si="205"/>
        <v>0</v>
      </c>
      <c r="AC1396" s="296"/>
      <c r="AD1396" s="113"/>
      <c r="AE1396" s="5"/>
      <c r="AF1396" s="5"/>
      <c r="AG1396" s="5">
        <f>H1396</f>
        <v>1.21</v>
      </c>
      <c r="AH1396" s="5"/>
      <c r="AI1396" s="5"/>
      <c r="AJ1396" s="5"/>
      <c r="AK1396" s="141"/>
      <c r="AL1396" s="94">
        <f t="shared" si="202"/>
        <v>1.21</v>
      </c>
      <c r="AM1396" s="128"/>
      <c r="AN1396" s="180"/>
      <c r="AO1396" s="128">
        <v>0.4</v>
      </c>
      <c r="AP1396" s="184">
        <v>0.1</v>
      </c>
      <c r="AQ1396" s="128"/>
      <c r="AR1396" s="184"/>
      <c r="AS1396" s="128"/>
      <c r="AT1396" s="184"/>
      <c r="AU1396" s="128"/>
      <c r="AV1396" s="184"/>
      <c r="AW1396" s="128"/>
      <c r="AX1396" s="184"/>
      <c r="AY1396" s="111">
        <f t="shared" si="200"/>
        <v>0.4</v>
      </c>
      <c r="AZ1396" s="178">
        <f t="shared" si="200"/>
        <v>0.1</v>
      </c>
      <c r="BC1396" s="47"/>
      <c r="BD1396" s="47"/>
      <c r="BF1396" s="113">
        <v>0.64917999999999998</v>
      </c>
      <c r="BG1396" s="113">
        <v>0.56081999999999999</v>
      </c>
      <c r="BH1396" s="113"/>
      <c r="BI1396" s="113"/>
      <c r="BJ1396" s="113"/>
      <c r="BK1396" s="113"/>
      <c r="BL1396" s="5">
        <f t="shared" si="203"/>
        <v>1.21</v>
      </c>
    </row>
    <row r="1397" spans="1:64" s="2" customFormat="1" ht="242.25" customHeight="1" outlineLevel="1" x14ac:dyDescent="0.2">
      <c r="A1397" s="6" t="s">
        <v>2700</v>
      </c>
      <c r="B1397" s="603" t="s">
        <v>1379</v>
      </c>
      <c r="C1397" s="7" t="s">
        <v>2701</v>
      </c>
      <c r="D1397" s="8" t="s">
        <v>397</v>
      </c>
      <c r="E1397" s="23" t="s">
        <v>1568</v>
      </c>
      <c r="F1397" s="8">
        <v>2013</v>
      </c>
      <c r="G1397" s="8">
        <v>2015</v>
      </c>
      <c r="H1397" s="5">
        <v>1.51</v>
      </c>
      <c r="I1397" s="5">
        <v>1.51</v>
      </c>
      <c r="J1397" s="5">
        <f t="shared" si="204"/>
        <v>0.64917999999999998</v>
      </c>
      <c r="K1397" s="8"/>
      <c r="L1397" s="23" t="s">
        <v>1568</v>
      </c>
      <c r="M1397" s="8"/>
      <c r="N1397" s="8"/>
      <c r="O1397" s="8"/>
      <c r="P1397" s="8"/>
      <c r="Q1397" s="23" t="s">
        <v>1568</v>
      </c>
      <c r="R1397" s="113">
        <v>0.64917999999999998</v>
      </c>
      <c r="S1397" s="113">
        <f>I1397-R1397</f>
        <v>0.86082000000000003</v>
      </c>
      <c r="T1397" s="113"/>
      <c r="U1397" s="113"/>
      <c r="V1397" s="113"/>
      <c r="W1397" s="113"/>
      <c r="X1397" s="94">
        <f t="shared" si="201"/>
        <v>1.51</v>
      </c>
      <c r="Y1397" s="303"/>
      <c r="Z1397" s="5"/>
      <c r="AA1397" s="94"/>
      <c r="AB1397" s="311">
        <f t="shared" si="205"/>
        <v>0</v>
      </c>
      <c r="AC1397" s="296"/>
      <c r="AD1397" s="113"/>
      <c r="AE1397" s="5"/>
      <c r="AF1397" s="5"/>
      <c r="AG1397" s="5">
        <f>H1397</f>
        <v>1.51</v>
      </c>
      <c r="AH1397" s="5"/>
      <c r="AI1397" s="5"/>
      <c r="AJ1397" s="5"/>
      <c r="AK1397" s="141"/>
      <c r="AL1397" s="94">
        <f t="shared" si="202"/>
        <v>1.51</v>
      </c>
      <c r="AM1397" s="128"/>
      <c r="AN1397" s="180"/>
      <c r="AO1397" s="128">
        <v>1.06</v>
      </c>
      <c r="AP1397" s="184">
        <v>0.1</v>
      </c>
      <c r="AQ1397" s="128"/>
      <c r="AR1397" s="184"/>
      <c r="AS1397" s="128"/>
      <c r="AT1397" s="184"/>
      <c r="AU1397" s="128"/>
      <c r="AV1397" s="184"/>
      <c r="AW1397" s="128"/>
      <c r="AX1397" s="184"/>
      <c r="AY1397" s="111">
        <f t="shared" ref="AY1397:AZ1456" si="207">AM1397+AO1397+AQ1397+AS1397+AU1397+AW1397</f>
        <v>1.06</v>
      </c>
      <c r="AZ1397" s="178">
        <f t="shared" si="207"/>
        <v>0.1</v>
      </c>
      <c r="BC1397" s="47"/>
      <c r="BD1397" s="47"/>
      <c r="BF1397" s="113">
        <v>0.64917999999999998</v>
      </c>
      <c r="BG1397" s="113">
        <v>0.86082000000000003</v>
      </c>
      <c r="BH1397" s="113"/>
      <c r="BI1397" s="113"/>
      <c r="BJ1397" s="113"/>
      <c r="BK1397" s="113"/>
      <c r="BL1397" s="5">
        <f t="shared" si="203"/>
        <v>1.51</v>
      </c>
    </row>
    <row r="1398" spans="1:64" s="2" customFormat="1" ht="216.75" outlineLevel="1" x14ac:dyDescent="0.2">
      <c r="A1398" s="6" t="s">
        <v>2702</v>
      </c>
      <c r="B1398" s="603" t="s">
        <v>1380</v>
      </c>
      <c r="C1398" s="7" t="s">
        <v>2703</v>
      </c>
      <c r="D1398" s="8" t="s">
        <v>397</v>
      </c>
      <c r="E1398" s="23" t="s">
        <v>1569</v>
      </c>
      <c r="F1398" s="8">
        <v>2013</v>
      </c>
      <c r="G1398" s="8">
        <v>2014</v>
      </c>
      <c r="H1398" s="5">
        <v>0.64917999999999998</v>
      </c>
      <c r="I1398" s="5">
        <v>0.64917999999999998</v>
      </c>
      <c r="J1398" s="5">
        <f t="shared" si="204"/>
        <v>0.64917999999999998</v>
      </c>
      <c r="K1398" s="23" t="s">
        <v>1569</v>
      </c>
      <c r="L1398" s="8"/>
      <c r="M1398" s="8"/>
      <c r="N1398" s="8"/>
      <c r="O1398" s="8"/>
      <c r="P1398" s="8"/>
      <c r="Q1398" s="23" t="s">
        <v>1569</v>
      </c>
      <c r="R1398" s="113">
        <v>0.64917999999999998</v>
      </c>
      <c r="S1398" s="113"/>
      <c r="T1398" s="113"/>
      <c r="U1398" s="113"/>
      <c r="V1398" s="113"/>
      <c r="W1398" s="113"/>
      <c r="X1398" s="94">
        <f t="shared" ref="X1398:X1456" si="208">SUM(R1398:W1398)</f>
        <v>0.64917999999999998</v>
      </c>
      <c r="Y1398" s="303"/>
      <c r="Z1398" s="5"/>
      <c r="AA1398" s="94"/>
      <c r="AB1398" s="311">
        <f t="shared" si="205"/>
        <v>0</v>
      </c>
      <c r="AC1398" s="296"/>
      <c r="AD1398" s="113"/>
      <c r="AE1398" s="5"/>
      <c r="AF1398" s="5">
        <f>H1398</f>
        <v>0.64917999999999998</v>
      </c>
      <c r="AG1398" s="5"/>
      <c r="AH1398" s="5"/>
      <c r="AI1398" s="5"/>
      <c r="AJ1398" s="5"/>
      <c r="AK1398" s="141"/>
      <c r="AL1398" s="94">
        <f t="shared" ref="AL1398:AL1456" si="209">SUM(AF1398:AK1398)</f>
        <v>0.64917999999999998</v>
      </c>
      <c r="AM1398" s="128">
        <v>0.16</v>
      </c>
      <c r="AN1398" s="180">
        <v>0.1</v>
      </c>
      <c r="AO1398" s="128"/>
      <c r="AP1398" s="184"/>
      <c r="AQ1398" s="128"/>
      <c r="AR1398" s="184"/>
      <c r="AS1398" s="128"/>
      <c r="AT1398" s="184"/>
      <c r="AU1398" s="128"/>
      <c r="AV1398" s="184"/>
      <c r="AW1398" s="128"/>
      <c r="AX1398" s="184"/>
      <c r="AY1398" s="111">
        <f t="shared" si="207"/>
        <v>0.16</v>
      </c>
      <c r="AZ1398" s="178">
        <f t="shared" si="207"/>
        <v>0.1</v>
      </c>
      <c r="BC1398" s="47"/>
      <c r="BD1398" s="47"/>
      <c r="BF1398" s="113">
        <v>0.64917999999999998</v>
      </c>
      <c r="BG1398" s="113"/>
      <c r="BH1398" s="113"/>
      <c r="BI1398" s="113"/>
      <c r="BJ1398" s="113"/>
      <c r="BK1398" s="113"/>
      <c r="BL1398" s="5">
        <f t="shared" ref="BL1398:BL1456" si="210">SUM(BF1398:BK1398)</f>
        <v>0.64917999999999998</v>
      </c>
    </row>
    <row r="1399" spans="1:64" s="2" customFormat="1" ht="38.25" outlineLevel="1" x14ac:dyDescent="0.2">
      <c r="A1399" s="6" t="s">
        <v>2967</v>
      </c>
      <c r="B1399" s="603" t="s">
        <v>1381</v>
      </c>
      <c r="C1399" s="7" t="s">
        <v>2704</v>
      </c>
      <c r="D1399" s="8" t="s">
        <v>397</v>
      </c>
      <c r="E1399" s="23" t="s">
        <v>364</v>
      </c>
      <c r="F1399" s="8">
        <v>2007</v>
      </c>
      <c r="G1399" s="8">
        <v>2014</v>
      </c>
      <c r="H1399" s="5">
        <v>0.64917999999999998</v>
      </c>
      <c r="I1399" s="5">
        <v>0.64917999999999998</v>
      </c>
      <c r="J1399" s="5">
        <f t="shared" ref="J1399:J1457" si="211">R1399</f>
        <v>0.64917999999999998</v>
      </c>
      <c r="K1399" s="23" t="s">
        <v>364</v>
      </c>
      <c r="L1399" s="8"/>
      <c r="M1399" s="8"/>
      <c r="N1399" s="8"/>
      <c r="O1399" s="8"/>
      <c r="P1399" s="8"/>
      <c r="Q1399" s="23" t="s">
        <v>364</v>
      </c>
      <c r="R1399" s="113">
        <v>0.64917999999999998</v>
      </c>
      <c r="S1399" s="113"/>
      <c r="T1399" s="113"/>
      <c r="U1399" s="113"/>
      <c r="V1399" s="113"/>
      <c r="W1399" s="113"/>
      <c r="X1399" s="94">
        <f t="shared" si="208"/>
        <v>0.64917999999999998</v>
      </c>
      <c r="Y1399" s="303"/>
      <c r="Z1399" s="5"/>
      <c r="AA1399" s="94"/>
      <c r="AB1399" s="311">
        <f t="shared" si="205"/>
        <v>0</v>
      </c>
      <c r="AC1399" s="296"/>
      <c r="AD1399" s="113"/>
      <c r="AE1399" s="5"/>
      <c r="AF1399" s="5">
        <f>H1399</f>
        <v>0.64917999999999998</v>
      </c>
      <c r="AG1399" s="5"/>
      <c r="AH1399" s="5"/>
      <c r="AI1399" s="5"/>
      <c r="AJ1399" s="5"/>
      <c r="AK1399" s="141"/>
      <c r="AL1399" s="94">
        <f t="shared" si="209"/>
        <v>0.64917999999999998</v>
      </c>
      <c r="AM1399" s="128">
        <v>0</v>
      </c>
      <c r="AN1399" s="180">
        <v>0</v>
      </c>
      <c r="AO1399" s="128"/>
      <c r="AP1399" s="184"/>
      <c r="AQ1399" s="128"/>
      <c r="AR1399" s="184"/>
      <c r="AS1399" s="128"/>
      <c r="AT1399" s="184"/>
      <c r="AU1399" s="128"/>
      <c r="AV1399" s="184"/>
      <c r="AW1399" s="128"/>
      <c r="AX1399" s="184"/>
      <c r="AY1399" s="111">
        <f t="shared" si="207"/>
        <v>0</v>
      </c>
      <c r="AZ1399" s="178">
        <f t="shared" si="207"/>
        <v>0</v>
      </c>
      <c r="BC1399" s="47"/>
      <c r="BD1399" s="47"/>
      <c r="BF1399" s="113">
        <v>0.64917999999999998</v>
      </c>
      <c r="BG1399" s="113"/>
      <c r="BH1399" s="113"/>
      <c r="BI1399" s="113"/>
      <c r="BJ1399" s="113"/>
      <c r="BK1399" s="113"/>
      <c r="BL1399" s="5">
        <f t="shared" si="210"/>
        <v>0.64917999999999998</v>
      </c>
    </row>
    <row r="1400" spans="1:64" s="2" customFormat="1" ht="38.25" customHeight="1" outlineLevel="1" x14ac:dyDescent="0.2">
      <c r="A1400" s="6" t="s">
        <v>2705</v>
      </c>
      <c r="B1400" s="603" t="s">
        <v>1382</v>
      </c>
      <c r="C1400" s="7" t="s">
        <v>2706</v>
      </c>
      <c r="D1400" s="8" t="s">
        <v>397</v>
      </c>
      <c r="E1400" s="23" t="s">
        <v>366</v>
      </c>
      <c r="F1400" s="8">
        <v>2007</v>
      </c>
      <c r="G1400" s="8">
        <v>2015</v>
      </c>
      <c r="H1400" s="5">
        <v>0.16348299999999999</v>
      </c>
      <c r="I1400" s="5">
        <v>0.16348299999999999</v>
      </c>
      <c r="J1400" s="5">
        <f t="shared" si="211"/>
        <v>0.01</v>
      </c>
      <c r="K1400" s="8"/>
      <c r="L1400" s="23" t="s">
        <v>366</v>
      </c>
      <c r="M1400" s="8"/>
      <c r="N1400" s="8"/>
      <c r="O1400" s="8"/>
      <c r="P1400" s="8"/>
      <c r="Q1400" s="23" t="s">
        <v>366</v>
      </c>
      <c r="R1400" s="113">
        <v>0.01</v>
      </c>
      <c r="S1400" s="113">
        <f t="shared" ref="S1400:S1405" si="212">I1400-R1400</f>
        <v>0.15348299999999998</v>
      </c>
      <c r="T1400" s="113"/>
      <c r="U1400" s="113"/>
      <c r="V1400" s="113"/>
      <c r="W1400" s="113"/>
      <c r="X1400" s="94">
        <f t="shared" si="208"/>
        <v>0.16348299999999999</v>
      </c>
      <c r="Y1400" s="303"/>
      <c r="Z1400" s="5"/>
      <c r="AA1400" s="94"/>
      <c r="AB1400" s="311">
        <f t="shared" si="205"/>
        <v>0</v>
      </c>
      <c r="AC1400" s="296"/>
      <c r="AD1400" s="113"/>
      <c r="AE1400" s="5"/>
      <c r="AF1400" s="5"/>
      <c r="AG1400" s="5">
        <f t="shared" ref="AG1400:AG1405" si="213">H1400</f>
        <v>0.16348299999999999</v>
      </c>
      <c r="AH1400" s="5"/>
      <c r="AI1400" s="5"/>
      <c r="AJ1400" s="5"/>
      <c r="AK1400" s="141"/>
      <c r="AL1400" s="94">
        <f t="shared" si="209"/>
        <v>0.16348299999999999</v>
      </c>
      <c r="AM1400" s="128"/>
      <c r="AN1400" s="180"/>
      <c r="AO1400" s="128">
        <v>0.1</v>
      </c>
      <c r="AP1400" s="184">
        <v>0</v>
      </c>
      <c r="AQ1400" s="128"/>
      <c r="AR1400" s="184"/>
      <c r="AS1400" s="128"/>
      <c r="AT1400" s="184"/>
      <c r="AU1400" s="128"/>
      <c r="AV1400" s="184"/>
      <c r="AW1400" s="128"/>
      <c r="AX1400" s="184"/>
      <c r="AY1400" s="111">
        <f t="shared" si="207"/>
        <v>0.1</v>
      </c>
      <c r="AZ1400" s="178">
        <f t="shared" si="207"/>
        <v>0</v>
      </c>
      <c r="BC1400" s="47"/>
      <c r="BD1400" s="47"/>
      <c r="BF1400" s="113">
        <v>0.01</v>
      </c>
      <c r="BG1400" s="113">
        <v>0.15348299999999998</v>
      </c>
      <c r="BH1400" s="113"/>
      <c r="BI1400" s="113"/>
      <c r="BJ1400" s="113"/>
      <c r="BK1400" s="113"/>
      <c r="BL1400" s="5">
        <f t="shared" si="210"/>
        <v>0.16348299999999999</v>
      </c>
    </row>
    <row r="1401" spans="1:64" s="2" customFormat="1" ht="51" customHeight="1" outlineLevel="1" x14ac:dyDescent="0.2">
      <c r="A1401" s="6" t="s">
        <v>2224</v>
      </c>
      <c r="B1401" s="603" t="s">
        <v>1383</v>
      </c>
      <c r="C1401" s="7" t="s">
        <v>2225</v>
      </c>
      <c r="D1401" s="8" t="s">
        <v>397</v>
      </c>
      <c r="E1401" s="23" t="s">
        <v>33</v>
      </c>
      <c r="F1401" s="8">
        <v>2007</v>
      </c>
      <c r="G1401" s="8">
        <v>2015</v>
      </c>
      <c r="H1401" s="5">
        <v>0.189304</v>
      </c>
      <c r="I1401" s="5">
        <v>0.189304</v>
      </c>
      <c r="J1401" s="5">
        <f t="shared" si="211"/>
        <v>0.01</v>
      </c>
      <c r="K1401" s="8"/>
      <c r="L1401" s="23" t="s">
        <v>33</v>
      </c>
      <c r="M1401" s="8"/>
      <c r="N1401" s="8"/>
      <c r="O1401" s="8"/>
      <c r="P1401" s="8"/>
      <c r="Q1401" s="23" t="s">
        <v>33</v>
      </c>
      <c r="R1401" s="113">
        <v>0.01</v>
      </c>
      <c r="S1401" s="113">
        <f t="shared" si="212"/>
        <v>0.17930399999999999</v>
      </c>
      <c r="T1401" s="113"/>
      <c r="U1401" s="113"/>
      <c r="V1401" s="113"/>
      <c r="W1401" s="113"/>
      <c r="X1401" s="94">
        <f t="shared" si="208"/>
        <v>0.189304</v>
      </c>
      <c r="Y1401" s="303"/>
      <c r="Z1401" s="5"/>
      <c r="AA1401" s="94"/>
      <c r="AB1401" s="311">
        <f t="shared" si="205"/>
        <v>0</v>
      </c>
      <c r="AC1401" s="296"/>
      <c r="AD1401" s="113"/>
      <c r="AE1401" s="5"/>
      <c r="AF1401" s="5"/>
      <c r="AG1401" s="5">
        <f t="shared" si="213"/>
        <v>0.189304</v>
      </c>
      <c r="AH1401" s="5"/>
      <c r="AI1401" s="5"/>
      <c r="AJ1401" s="5"/>
      <c r="AK1401" s="141"/>
      <c r="AL1401" s="94">
        <f t="shared" si="209"/>
        <v>0.189304</v>
      </c>
      <c r="AM1401" s="128"/>
      <c r="AN1401" s="180"/>
      <c r="AO1401" s="128">
        <v>0.15</v>
      </c>
      <c r="AP1401" s="184">
        <v>0</v>
      </c>
      <c r="AQ1401" s="128"/>
      <c r="AR1401" s="184"/>
      <c r="AS1401" s="128"/>
      <c r="AT1401" s="184"/>
      <c r="AU1401" s="128"/>
      <c r="AV1401" s="184"/>
      <c r="AW1401" s="128"/>
      <c r="AX1401" s="184"/>
      <c r="AY1401" s="111">
        <f t="shared" si="207"/>
        <v>0.15</v>
      </c>
      <c r="AZ1401" s="178">
        <f t="shared" si="207"/>
        <v>0</v>
      </c>
      <c r="BC1401" s="47"/>
      <c r="BD1401" s="47"/>
      <c r="BF1401" s="113">
        <v>0.01</v>
      </c>
      <c r="BG1401" s="113">
        <v>0.17930399999999999</v>
      </c>
      <c r="BH1401" s="113"/>
      <c r="BI1401" s="113"/>
      <c r="BJ1401" s="113"/>
      <c r="BK1401" s="113"/>
      <c r="BL1401" s="5">
        <f t="shared" si="210"/>
        <v>0.189304</v>
      </c>
    </row>
    <row r="1402" spans="1:64" s="2" customFormat="1" ht="102" customHeight="1" outlineLevel="1" x14ac:dyDescent="0.2">
      <c r="A1402" s="6" t="s">
        <v>2226</v>
      </c>
      <c r="B1402" s="603" t="s">
        <v>1384</v>
      </c>
      <c r="C1402" s="7" t="s">
        <v>2227</v>
      </c>
      <c r="D1402" s="8" t="s">
        <v>397</v>
      </c>
      <c r="E1402" s="23" t="s">
        <v>55</v>
      </c>
      <c r="F1402" s="8">
        <v>2009</v>
      </c>
      <c r="G1402" s="8">
        <v>2015</v>
      </c>
      <c r="H1402" s="5">
        <v>0.16985800000000001</v>
      </c>
      <c r="I1402" s="5">
        <v>0.16985800000000001</v>
      </c>
      <c r="J1402" s="5">
        <f t="shared" si="211"/>
        <v>0.01</v>
      </c>
      <c r="K1402" s="8"/>
      <c r="L1402" s="23" t="s">
        <v>55</v>
      </c>
      <c r="M1402" s="8"/>
      <c r="N1402" s="8"/>
      <c r="O1402" s="8"/>
      <c r="P1402" s="8"/>
      <c r="Q1402" s="23" t="s">
        <v>55</v>
      </c>
      <c r="R1402" s="113">
        <v>0.01</v>
      </c>
      <c r="S1402" s="113">
        <f t="shared" si="212"/>
        <v>0.159858</v>
      </c>
      <c r="T1402" s="113"/>
      <c r="U1402" s="113"/>
      <c r="V1402" s="113"/>
      <c r="W1402" s="113"/>
      <c r="X1402" s="94">
        <f t="shared" si="208"/>
        <v>0.16985800000000001</v>
      </c>
      <c r="Y1402" s="303"/>
      <c r="Z1402" s="5"/>
      <c r="AA1402" s="94"/>
      <c r="AB1402" s="311">
        <f t="shared" si="205"/>
        <v>0</v>
      </c>
      <c r="AC1402" s="296"/>
      <c r="AD1402" s="113"/>
      <c r="AE1402" s="5"/>
      <c r="AF1402" s="5"/>
      <c r="AG1402" s="5">
        <f t="shared" si="213"/>
        <v>0.16985800000000001</v>
      </c>
      <c r="AH1402" s="5"/>
      <c r="AI1402" s="5"/>
      <c r="AJ1402" s="5"/>
      <c r="AK1402" s="141"/>
      <c r="AL1402" s="94">
        <f t="shared" si="209"/>
        <v>0.16985800000000001</v>
      </c>
      <c r="AM1402" s="128"/>
      <c r="AN1402" s="180"/>
      <c r="AO1402" s="128">
        <v>0.05</v>
      </c>
      <c r="AP1402" s="184">
        <v>0</v>
      </c>
      <c r="AQ1402" s="128"/>
      <c r="AR1402" s="184"/>
      <c r="AS1402" s="128"/>
      <c r="AT1402" s="184"/>
      <c r="AU1402" s="128"/>
      <c r="AV1402" s="184"/>
      <c r="AW1402" s="128"/>
      <c r="AX1402" s="184"/>
      <c r="AY1402" s="111">
        <f t="shared" si="207"/>
        <v>0.05</v>
      </c>
      <c r="AZ1402" s="178">
        <f t="shared" si="207"/>
        <v>0</v>
      </c>
      <c r="BC1402" s="47"/>
      <c r="BD1402" s="47"/>
      <c r="BF1402" s="113">
        <v>0.01</v>
      </c>
      <c r="BG1402" s="113">
        <v>0.159858</v>
      </c>
      <c r="BH1402" s="113"/>
      <c r="BI1402" s="113"/>
      <c r="BJ1402" s="113"/>
      <c r="BK1402" s="113"/>
      <c r="BL1402" s="5">
        <f t="shared" si="210"/>
        <v>0.16985800000000001</v>
      </c>
    </row>
    <row r="1403" spans="1:64" s="2" customFormat="1" ht="102" customHeight="1" outlineLevel="1" x14ac:dyDescent="0.2">
      <c r="A1403" s="6" t="s">
        <v>2228</v>
      </c>
      <c r="B1403" s="603" t="s">
        <v>37</v>
      </c>
      <c r="C1403" s="7" t="s">
        <v>2426</v>
      </c>
      <c r="D1403" s="8" t="s">
        <v>397</v>
      </c>
      <c r="E1403" s="23" t="s">
        <v>366</v>
      </c>
      <c r="F1403" s="8">
        <v>2012</v>
      </c>
      <c r="G1403" s="8">
        <v>2015</v>
      </c>
      <c r="H1403" s="5">
        <v>1.63</v>
      </c>
      <c r="I1403" s="5">
        <v>1.63</v>
      </c>
      <c r="J1403" s="5">
        <f t="shared" si="211"/>
        <v>1.29836</v>
      </c>
      <c r="K1403" s="8"/>
      <c r="L1403" s="23" t="s">
        <v>366</v>
      </c>
      <c r="M1403" s="8"/>
      <c r="N1403" s="8"/>
      <c r="O1403" s="8"/>
      <c r="P1403" s="8"/>
      <c r="Q1403" s="23" t="s">
        <v>366</v>
      </c>
      <c r="R1403" s="113">
        <v>1.29836</v>
      </c>
      <c r="S1403" s="113">
        <f t="shared" si="212"/>
        <v>0.33163999999999993</v>
      </c>
      <c r="T1403" s="113"/>
      <c r="U1403" s="113"/>
      <c r="V1403" s="113"/>
      <c r="W1403" s="113"/>
      <c r="X1403" s="94">
        <f t="shared" si="208"/>
        <v>1.63</v>
      </c>
      <c r="Y1403" s="303"/>
      <c r="Z1403" s="5"/>
      <c r="AA1403" s="94"/>
      <c r="AB1403" s="311">
        <f t="shared" si="205"/>
        <v>0</v>
      </c>
      <c r="AC1403" s="296"/>
      <c r="AD1403" s="113"/>
      <c r="AE1403" s="5"/>
      <c r="AF1403" s="5"/>
      <c r="AG1403" s="5">
        <f t="shared" si="213"/>
        <v>1.63</v>
      </c>
      <c r="AH1403" s="5"/>
      <c r="AI1403" s="5"/>
      <c r="AJ1403" s="5"/>
      <c r="AK1403" s="141"/>
      <c r="AL1403" s="94">
        <f t="shared" si="209"/>
        <v>1.63</v>
      </c>
      <c r="AM1403" s="128"/>
      <c r="AN1403" s="180"/>
      <c r="AO1403" s="128">
        <v>0.1</v>
      </c>
      <c r="AP1403" s="184">
        <v>0</v>
      </c>
      <c r="AQ1403" s="128"/>
      <c r="AR1403" s="184"/>
      <c r="AS1403" s="128"/>
      <c r="AT1403" s="184"/>
      <c r="AU1403" s="128"/>
      <c r="AV1403" s="184"/>
      <c r="AW1403" s="128"/>
      <c r="AX1403" s="184"/>
      <c r="AY1403" s="111">
        <f t="shared" si="207"/>
        <v>0.1</v>
      </c>
      <c r="AZ1403" s="178">
        <f t="shared" si="207"/>
        <v>0</v>
      </c>
      <c r="BC1403" s="47"/>
      <c r="BD1403" s="47"/>
      <c r="BF1403" s="113">
        <v>1.29836</v>
      </c>
      <c r="BG1403" s="113">
        <v>0.33163999999999993</v>
      </c>
      <c r="BH1403" s="113"/>
      <c r="BI1403" s="113"/>
      <c r="BJ1403" s="113"/>
      <c r="BK1403" s="113"/>
      <c r="BL1403" s="5">
        <f t="shared" si="210"/>
        <v>1.63</v>
      </c>
    </row>
    <row r="1404" spans="1:64" s="2" customFormat="1" ht="76.5" customHeight="1" outlineLevel="1" x14ac:dyDescent="0.2">
      <c r="A1404" s="6" t="s">
        <v>2229</v>
      </c>
      <c r="B1404" s="603" t="s">
        <v>38</v>
      </c>
      <c r="C1404" s="7" t="s">
        <v>2491</v>
      </c>
      <c r="D1404" s="8" t="s">
        <v>397</v>
      </c>
      <c r="E1404" s="23" t="s">
        <v>34</v>
      </c>
      <c r="F1404" s="8">
        <v>2013</v>
      </c>
      <c r="G1404" s="8">
        <v>2015</v>
      </c>
      <c r="H1404" s="5">
        <v>0.24904000000000001</v>
      </c>
      <c r="I1404" s="5">
        <v>0.24904000000000001</v>
      </c>
      <c r="J1404" s="5">
        <f t="shared" si="211"/>
        <v>0.01</v>
      </c>
      <c r="K1404" s="8"/>
      <c r="L1404" s="23" t="s">
        <v>34</v>
      </c>
      <c r="M1404" s="8"/>
      <c r="N1404" s="8"/>
      <c r="O1404" s="8"/>
      <c r="P1404" s="8"/>
      <c r="Q1404" s="23" t="s">
        <v>34</v>
      </c>
      <c r="R1404" s="113">
        <v>0.01</v>
      </c>
      <c r="S1404" s="113">
        <f t="shared" si="212"/>
        <v>0.23904</v>
      </c>
      <c r="T1404" s="113"/>
      <c r="U1404" s="113"/>
      <c r="V1404" s="113"/>
      <c r="W1404" s="113"/>
      <c r="X1404" s="94">
        <f t="shared" si="208"/>
        <v>0.24904000000000001</v>
      </c>
      <c r="Y1404" s="303"/>
      <c r="Z1404" s="5"/>
      <c r="AA1404" s="94"/>
      <c r="AB1404" s="311">
        <f t="shared" si="205"/>
        <v>0</v>
      </c>
      <c r="AC1404" s="296"/>
      <c r="AD1404" s="113"/>
      <c r="AE1404" s="5"/>
      <c r="AF1404" s="5"/>
      <c r="AG1404" s="5">
        <f t="shared" si="213"/>
        <v>0.24904000000000001</v>
      </c>
      <c r="AH1404" s="5"/>
      <c r="AI1404" s="5"/>
      <c r="AJ1404" s="5"/>
      <c r="AK1404" s="141"/>
      <c r="AL1404" s="94">
        <f t="shared" si="209"/>
        <v>0.24904000000000001</v>
      </c>
      <c r="AM1404" s="128"/>
      <c r="AN1404" s="180"/>
      <c r="AO1404" s="128">
        <v>0.3</v>
      </c>
      <c r="AP1404" s="184">
        <v>0</v>
      </c>
      <c r="AQ1404" s="128"/>
      <c r="AR1404" s="184"/>
      <c r="AS1404" s="128"/>
      <c r="AT1404" s="184"/>
      <c r="AU1404" s="128"/>
      <c r="AV1404" s="184"/>
      <c r="AW1404" s="128"/>
      <c r="AX1404" s="184"/>
      <c r="AY1404" s="111">
        <f t="shared" si="207"/>
        <v>0.3</v>
      </c>
      <c r="AZ1404" s="178">
        <f t="shared" si="207"/>
        <v>0</v>
      </c>
      <c r="BC1404" s="47"/>
      <c r="BD1404" s="47"/>
      <c r="BF1404" s="113">
        <v>0.01</v>
      </c>
      <c r="BG1404" s="113">
        <v>0.23904</v>
      </c>
      <c r="BH1404" s="113"/>
      <c r="BI1404" s="113"/>
      <c r="BJ1404" s="113"/>
      <c r="BK1404" s="113"/>
      <c r="BL1404" s="5">
        <f t="shared" si="210"/>
        <v>0.24904000000000001</v>
      </c>
    </row>
    <row r="1405" spans="1:64" s="2" customFormat="1" ht="76.5" customHeight="1" outlineLevel="1" x14ac:dyDescent="0.2">
      <c r="A1405" s="6" t="s">
        <v>2230</v>
      </c>
      <c r="B1405" s="603" t="s">
        <v>39</v>
      </c>
      <c r="C1405" s="7" t="s">
        <v>2492</v>
      </c>
      <c r="D1405" s="8" t="s">
        <v>397</v>
      </c>
      <c r="E1405" s="23" t="s">
        <v>33</v>
      </c>
      <c r="F1405" s="8">
        <v>2013</v>
      </c>
      <c r="G1405" s="8">
        <v>2015</v>
      </c>
      <c r="H1405" s="5">
        <v>0.19</v>
      </c>
      <c r="I1405" s="5">
        <v>0.19</v>
      </c>
      <c r="J1405" s="5">
        <f t="shared" si="211"/>
        <v>0.01</v>
      </c>
      <c r="K1405" s="8"/>
      <c r="L1405" s="23" t="s">
        <v>33</v>
      </c>
      <c r="M1405" s="8"/>
      <c r="N1405" s="8"/>
      <c r="O1405" s="8"/>
      <c r="P1405" s="8"/>
      <c r="Q1405" s="23" t="s">
        <v>33</v>
      </c>
      <c r="R1405" s="113">
        <v>0.01</v>
      </c>
      <c r="S1405" s="113">
        <f t="shared" si="212"/>
        <v>0.18</v>
      </c>
      <c r="T1405" s="113"/>
      <c r="U1405" s="113"/>
      <c r="V1405" s="113"/>
      <c r="W1405" s="113"/>
      <c r="X1405" s="94">
        <f t="shared" si="208"/>
        <v>0.19</v>
      </c>
      <c r="Y1405" s="303"/>
      <c r="Z1405" s="5"/>
      <c r="AA1405" s="94"/>
      <c r="AB1405" s="311">
        <f t="shared" si="205"/>
        <v>0</v>
      </c>
      <c r="AC1405" s="296"/>
      <c r="AD1405" s="113"/>
      <c r="AE1405" s="5"/>
      <c r="AF1405" s="5"/>
      <c r="AG1405" s="5">
        <f t="shared" si="213"/>
        <v>0.19</v>
      </c>
      <c r="AH1405" s="5"/>
      <c r="AI1405" s="5"/>
      <c r="AJ1405" s="5"/>
      <c r="AK1405" s="141"/>
      <c r="AL1405" s="94">
        <f t="shared" si="209"/>
        <v>0.19</v>
      </c>
      <c r="AM1405" s="128"/>
      <c r="AN1405" s="180"/>
      <c r="AO1405" s="128">
        <v>0.15</v>
      </c>
      <c r="AP1405" s="184">
        <v>0</v>
      </c>
      <c r="AQ1405" s="128"/>
      <c r="AR1405" s="184"/>
      <c r="AS1405" s="128"/>
      <c r="AT1405" s="184"/>
      <c r="AU1405" s="128"/>
      <c r="AV1405" s="184"/>
      <c r="AW1405" s="128"/>
      <c r="AX1405" s="184"/>
      <c r="AY1405" s="111">
        <f t="shared" si="207"/>
        <v>0.15</v>
      </c>
      <c r="AZ1405" s="178">
        <f t="shared" si="207"/>
        <v>0</v>
      </c>
      <c r="BC1405" s="47"/>
      <c r="BD1405" s="47"/>
      <c r="BF1405" s="113">
        <v>0.01</v>
      </c>
      <c r="BG1405" s="113">
        <v>0.18</v>
      </c>
      <c r="BH1405" s="113"/>
      <c r="BI1405" s="113"/>
      <c r="BJ1405" s="113"/>
      <c r="BK1405" s="113"/>
      <c r="BL1405" s="5">
        <f t="shared" si="210"/>
        <v>0.19</v>
      </c>
    </row>
    <row r="1406" spans="1:64" s="2" customFormat="1" ht="89.25" outlineLevel="1" x14ac:dyDescent="0.2">
      <c r="A1406" s="6" t="s">
        <v>2231</v>
      </c>
      <c r="B1406" s="603" t="s">
        <v>40</v>
      </c>
      <c r="C1406" s="7" t="s">
        <v>2232</v>
      </c>
      <c r="D1406" s="8" t="s">
        <v>397</v>
      </c>
      <c r="E1406" s="23" t="s">
        <v>1570</v>
      </c>
      <c r="F1406" s="8">
        <v>2013</v>
      </c>
      <c r="G1406" s="8">
        <v>2014</v>
      </c>
      <c r="H1406" s="5">
        <v>0.70830000000000004</v>
      </c>
      <c r="I1406" s="5">
        <v>0.01</v>
      </c>
      <c r="J1406" s="5">
        <f t="shared" si="211"/>
        <v>0.01</v>
      </c>
      <c r="K1406" s="23" t="s">
        <v>1570</v>
      </c>
      <c r="L1406" s="8"/>
      <c r="M1406" s="8"/>
      <c r="N1406" s="8"/>
      <c r="O1406" s="8"/>
      <c r="P1406" s="8"/>
      <c r="Q1406" s="23" t="s">
        <v>1570</v>
      </c>
      <c r="R1406" s="113">
        <v>0.01</v>
      </c>
      <c r="S1406" s="113"/>
      <c r="T1406" s="113"/>
      <c r="U1406" s="113"/>
      <c r="V1406" s="113"/>
      <c r="W1406" s="113"/>
      <c r="X1406" s="94">
        <f t="shared" si="208"/>
        <v>0.01</v>
      </c>
      <c r="Y1406" s="303"/>
      <c r="Z1406" s="5"/>
      <c r="AA1406" s="94"/>
      <c r="AB1406" s="311">
        <f t="shared" si="205"/>
        <v>0</v>
      </c>
      <c r="AC1406" s="296"/>
      <c r="AD1406" s="113"/>
      <c r="AE1406" s="5"/>
      <c r="AF1406" s="5">
        <f>H1406</f>
        <v>0.70830000000000004</v>
      </c>
      <c r="AG1406" s="5"/>
      <c r="AH1406" s="5"/>
      <c r="AI1406" s="5"/>
      <c r="AJ1406" s="5"/>
      <c r="AK1406" s="141"/>
      <c r="AL1406" s="94">
        <f t="shared" si="209"/>
        <v>0.70830000000000004</v>
      </c>
      <c r="AM1406" s="128">
        <v>0.25</v>
      </c>
      <c r="AN1406" s="180">
        <v>0</v>
      </c>
      <c r="AO1406" s="128"/>
      <c r="AP1406" s="184"/>
      <c r="AQ1406" s="128"/>
      <c r="AR1406" s="184"/>
      <c r="AS1406" s="128"/>
      <c r="AT1406" s="184"/>
      <c r="AU1406" s="128"/>
      <c r="AV1406" s="184"/>
      <c r="AW1406" s="128"/>
      <c r="AX1406" s="184"/>
      <c r="AY1406" s="111">
        <f t="shared" si="207"/>
        <v>0.25</v>
      </c>
      <c r="AZ1406" s="178">
        <f t="shared" si="207"/>
        <v>0</v>
      </c>
      <c r="BC1406" s="47"/>
      <c r="BD1406" s="47"/>
      <c r="BF1406" s="113">
        <v>0.01</v>
      </c>
      <c r="BG1406" s="113"/>
      <c r="BH1406" s="113"/>
      <c r="BI1406" s="113"/>
      <c r="BJ1406" s="113"/>
      <c r="BK1406" s="113"/>
      <c r="BL1406" s="5">
        <f t="shared" si="210"/>
        <v>0.01</v>
      </c>
    </row>
    <row r="1407" spans="1:64" s="2" customFormat="1" ht="267.75" customHeight="1" outlineLevel="1" x14ac:dyDescent="0.2">
      <c r="A1407" s="6" t="s">
        <v>2233</v>
      </c>
      <c r="B1407" s="603" t="s">
        <v>41</v>
      </c>
      <c r="C1407" s="7" t="s">
        <v>2493</v>
      </c>
      <c r="D1407" s="8" t="s">
        <v>397</v>
      </c>
      <c r="E1407" s="23" t="s">
        <v>1571</v>
      </c>
      <c r="F1407" s="8">
        <v>2013</v>
      </c>
      <c r="G1407" s="8">
        <v>2015</v>
      </c>
      <c r="H1407" s="5">
        <v>1.0300800000000001</v>
      </c>
      <c r="I1407" s="5">
        <v>1.0300800000000001</v>
      </c>
      <c r="J1407" s="5">
        <f t="shared" si="211"/>
        <v>0.64917999999999998</v>
      </c>
      <c r="K1407" s="8"/>
      <c r="L1407" s="23" t="s">
        <v>1571</v>
      </c>
      <c r="M1407" s="8"/>
      <c r="N1407" s="8"/>
      <c r="O1407" s="8"/>
      <c r="P1407" s="8"/>
      <c r="Q1407" s="23" t="s">
        <v>1571</v>
      </c>
      <c r="R1407" s="113">
        <v>0.64917999999999998</v>
      </c>
      <c r="S1407" s="113">
        <f>I1407-R1407</f>
        <v>0.38090000000000013</v>
      </c>
      <c r="T1407" s="113"/>
      <c r="U1407" s="113"/>
      <c r="V1407" s="113"/>
      <c r="W1407" s="113"/>
      <c r="X1407" s="94">
        <f t="shared" si="208"/>
        <v>1.0300800000000001</v>
      </c>
      <c r="Y1407" s="303"/>
      <c r="Z1407" s="5"/>
      <c r="AA1407" s="94"/>
      <c r="AB1407" s="311">
        <f t="shared" si="205"/>
        <v>0</v>
      </c>
      <c r="AC1407" s="296"/>
      <c r="AD1407" s="113"/>
      <c r="AE1407" s="5"/>
      <c r="AF1407" s="5"/>
      <c r="AG1407" s="5">
        <f>H1407</f>
        <v>1.0300800000000001</v>
      </c>
      <c r="AH1407" s="5"/>
      <c r="AI1407" s="5"/>
      <c r="AJ1407" s="5"/>
      <c r="AK1407" s="141"/>
      <c r="AL1407" s="94">
        <f t="shared" si="209"/>
        <v>1.0300800000000001</v>
      </c>
      <c r="AM1407" s="128"/>
      <c r="AN1407" s="180"/>
      <c r="AO1407" s="128">
        <v>0.05</v>
      </c>
      <c r="AP1407" s="184">
        <v>0.16</v>
      </c>
      <c r="AQ1407" s="128"/>
      <c r="AR1407" s="184"/>
      <c r="AS1407" s="128"/>
      <c r="AT1407" s="184"/>
      <c r="AU1407" s="128"/>
      <c r="AV1407" s="184"/>
      <c r="AW1407" s="128"/>
      <c r="AX1407" s="184"/>
      <c r="AY1407" s="111">
        <f t="shared" si="207"/>
        <v>0.05</v>
      </c>
      <c r="AZ1407" s="178">
        <f t="shared" si="207"/>
        <v>0.16</v>
      </c>
      <c r="BC1407" s="47"/>
      <c r="BD1407" s="47"/>
      <c r="BF1407" s="113">
        <v>0.64917999999999998</v>
      </c>
      <c r="BG1407" s="113">
        <v>0.38090000000000013</v>
      </c>
      <c r="BH1407" s="113"/>
      <c r="BI1407" s="113"/>
      <c r="BJ1407" s="113"/>
      <c r="BK1407" s="113"/>
      <c r="BL1407" s="5">
        <f t="shared" si="210"/>
        <v>1.0300800000000001</v>
      </c>
    </row>
    <row r="1408" spans="1:64" s="2" customFormat="1" ht="255" customHeight="1" outlineLevel="1" x14ac:dyDescent="0.2">
      <c r="A1408" s="6" t="s">
        <v>2234</v>
      </c>
      <c r="B1408" s="603" t="s">
        <v>42</v>
      </c>
      <c r="C1408" s="7" t="s">
        <v>2235</v>
      </c>
      <c r="D1408" s="8" t="s">
        <v>397</v>
      </c>
      <c r="E1408" s="23" t="s">
        <v>1572</v>
      </c>
      <c r="F1408" s="8">
        <v>2013</v>
      </c>
      <c r="G1408" s="8">
        <v>2015</v>
      </c>
      <c r="H1408" s="5">
        <v>1.2554000000000001</v>
      </c>
      <c r="I1408" s="5">
        <v>1.2554000000000001</v>
      </c>
      <c r="J1408" s="5">
        <f t="shared" si="211"/>
        <v>0.64917999999999998</v>
      </c>
      <c r="K1408" s="8"/>
      <c r="L1408" s="23" t="s">
        <v>1572</v>
      </c>
      <c r="M1408" s="8"/>
      <c r="N1408" s="8"/>
      <c r="O1408" s="8"/>
      <c r="P1408" s="8"/>
      <c r="Q1408" s="23" t="s">
        <v>1572</v>
      </c>
      <c r="R1408" s="113">
        <v>0.64917999999999998</v>
      </c>
      <c r="S1408" s="113">
        <f>I1408-R1408</f>
        <v>0.60622000000000009</v>
      </c>
      <c r="T1408" s="113"/>
      <c r="U1408" s="113"/>
      <c r="V1408" s="113"/>
      <c r="W1408" s="113"/>
      <c r="X1408" s="94">
        <f t="shared" si="208"/>
        <v>1.2554000000000001</v>
      </c>
      <c r="Y1408" s="303"/>
      <c r="Z1408" s="5"/>
      <c r="AA1408" s="94"/>
      <c r="AB1408" s="311">
        <f t="shared" si="205"/>
        <v>0</v>
      </c>
      <c r="AC1408" s="296"/>
      <c r="AD1408" s="113"/>
      <c r="AE1408" s="5"/>
      <c r="AF1408" s="5"/>
      <c r="AG1408" s="5">
        <f>H1408</f>
        <v>1.2554000000000001</v>
      </c>
      <c r="AH1408" s="5"/>
      <c r="AI1408" s="5"/>
      <c r="AJ1408" s="5"/>
      <c r="AK1408" s="141"/>
      <c r="AL1408" s="94">
        <f t="shared" si="209"/>
        <v>1.2554000000000001</v>
      </c>
      <c r="AM1408" s="128"/>
      <c r="AN1408" s="180"/>
      <c r="AO1408" s="128">
        <v>0.25</v>
      </c>
      <c r="AP1408" s="184">
        <v>0.4</v>
      </c>
      <c r="AQ1408" s="128"/>
      <c r="AR1408" s="184"/>
      <c r="AS1408" s="128"/>
      <c r="AT1408" s="184"/>
      <c r="AU1408" s="128"/>
      <c r="AV1408" s="184"/>
      <c r="AW1408" s="128"/>
      <c r="AX1408" s="184"/>
      <c r="AY1408" s="111">
        <f t="shared" si="207"/>
        <v>0.25</v>
      </c>
      <c r="AZ1408" s="178">
        <f t="shared" si="207"/>
        <v>0.4</v>
      </c>
      <c r="BC1408" s="47"/>
      <c r="BD1408" s="47"/>
      <c r="BF1408" s="113">
        <v>0.64917999999999998</v>
      </c>
      <c r="BG1408" s="113">
        <v>0.60622000000000009</v>
      </c>
      <c r="BH1408" s="113"/>
      <c r="BI1408" s="113"/>
      <c r="BJ1408" s="113"/>
      <c r="BK1408" s="113"/>
      <c r="BL1408" s="5">
        <f t="shared" si="210"/>
        <v>1.2554000000000001</v>
      </c>
    </row>
    <row r="1409" spans="1:64" s="2" customFormat="1" ht="111" customHeight="1" outlineLevel="1" x14ac:dyDescent="0.2">
      <c r="A1409" s="6" t="s">
        <v>2236</v>
      </c>
      <c r="B1409" s="603" t="s">
        <v>43</v>
      </c>
      <c r="C1409" s="7" t="s">
        <v>1573</v>
      </c>
      <c r="D1409" s="8" t="s">
        <v>397</v>
      </c>
      <c r="E1409" s="23" t="s">
        <v>366</v>
      </c>
      <c r="F1409" s="8">
        <v>2013</v>
      </c>
      <c r="G1409" s="8">
        <v>2015</v>
      </c>
      <c r="H1409" s="5">
        <v>2.1</v>
      </c>
      <c r="I1409" s="5">
        <v>2.1</v>
      </c>
      <c r="J1409" s="5">
        <f t="shared" si="211"/>
        <v>0.64917999999999998</v>
      </c>
      <c r="K1409" s="8"/>
      <c r="L1409" s="23" t="s">
        <v>366</v>
      </c>
      <c r="M1409" s="8"/>
      <c r="N1409" s="8"/>
      <c r="O1409" s="8"/>
      <c r="P1409" s="8"/>
      <c r="Q1409" s="23" t="s">
        <v>366</v>
      </c>
      <c r="R1409" s="113">
        <v>0.64917999999999998</v>
      </c>
      <c r="S1409" s="113">
        <f>I1409-R1409</f>
        <v>1.4508200000000002</v>
      </c>
      <c r="T1409" s="113"/>
      <c r="U1409" s="113"/>
      <c r="V1409" s="113"/>
      <c r="W1409" s="113"/>
      <c r="X1409" s="94">
        <f t="shared" si="208"/>
        <v>2.1</v>
      </c>
      <c r="Y1409" s="303"/>
      <c r="Z1409" s="5"/>
      <c r="AA1409" s="94"/>
      <c r="AB1409" s="311">
        <f t="shared" si="205"/>
        <v>0</v>
      </c>
      <c r="AC1409" s="296"/>
      <c r="AD1409" s="113"/>
      <c r="AE1409" s="5"/>
      <c r="AF1409" s="5"/>
      <c r="AG1409" s="5">
        <f>H1409</f>
        <v>2.1</v>
      </c>
      <c r="AH1409" s="5"/>
      <c r="AI1409" s="5"/>
      <c r="AJ1409" s="5"/>
      <c r="AK1409" s="141"/>
      <c r="AL1409" s="94">
        <f t="shared" si="209"/>
        <v>2.1</v>
      </c>
      <c r="AM1409" s="128"/>
      <c r="AN1409" s="180"/>
      <c r="AO1409" s="128">
        <v>0.1</v>
      </c>
      <c r="AP1409" s="184">
        <v>0</v>
      </c>
      <c r="AQ1409" s="128"/>
      <c r="AR1409" s="184"/>
      <c r="AS1409" s="128"/>
      <c r="AT1409" s="184"/>
      <c r="AU1409" s="128"/>
      <c r="AV1409" s="184"/>
      <c r="AW1409" s="128"/>
      <c r="AX1409" s="184"/>
      <c r="AY1409" s="111">
        <f t="shared" si="207"/>
        <v>0.1</v>
      </c>
      <c r="AZ1409" s="178">
        <f t="shared" si="207"/>
        <v>0</v>
      </c>
      <c r="BC1409" s="47"/>
      <c r="BD1409" s="47"/>
      <c r="BF1409" s="113">
        <v>0.64917999999999998</v>
      </c>
      <c r="BG1409" s="113">
        <v>1.4508200000000002</v>
      </c>
      <c r="BH1409" s="113"/>
      <c r="BI1409" s="113"/>
      <c r="BJ1409" s="113"/>
      <c r="BK1409" s="113"/>
      <c r="BL1409" s="5">
        <f t="shared" si="210"/>
        <v>2.1</v>
      </c>
    </row>
    <row r="1410" spans="1:64" s="2" customFormat="1" ht="255" customHeight="1" outlineLevel="1" x14ac:dyDescent="0.2">
      <c r="A1410" s="6" t="s">
        <v>2237</v>
      </c>
      <c r="B1410" s="603" t="s">
        <v>44</v>
      </c>
      <c r="C1410" s="7" t="s">
        <v>2238</v>
      </c>
      <c r="D1410" s="8" t="s">
        <v>397</v>
      </c>
      <c r="E1410" s="23" t="s">
        <v>1574</v>
      </c>
      <c r="F1410" s="8">
        <v>2013</v>
      </c>
      <c r="G1410" s="8">
        <v>2015</v>
      </c>
      <c r="H1410" s="5">
        <v>1.01</v>
      </c>
      <c r="I1410" s="5">
        <v>1.01</v>
      </c>
      <c r="J1410" s="5">
        <f t="shared" si="211"/>
        <v>0.64917999999999998</v>
      </c>
      <c r="K1410" s="8"/>
      <c r="L1410" s="23" t="s">
        <v>1574</v>
      </c>
      <c r="M1410" s="8"/>
      <c r="N1410" s="8"/>
      <c r="O1410" s="8"/>
      <c r="P1410" s="8"/>
      <c r="Q1410" s="23" t="s">
        <v>1574</v>
      </c>
      <c r="R1410" s="113">
        <v>0.64917999999999998</v>
      </c>
      <c r="S1410" s="113">
        <f>I1410-R1410</f>
        <v>0.36082000000000003</v>
      </c>
      <c r="T1410" s="113"/>
      <c r="U1410" s="113"/>
      <c r="V1410" s="113"/>
      <c r="W1410" s="113"/>
      <c r="X1410" s="94">
        <f t="shared" si="208"/>
        <v>1.01</v>
      </c>
      <c r="Y1410" s="303"/>
      <c r="Z1410" s="5"/>
      <c r="AA1410" s="94"/>
      <c r="AB1410" s="311">
        <f t="shared" si="205"/>
        <v>0</v>
      </c>
      <c r="AC1410" s="296"/>
      <c r="AD1410" s="113"/>
      <c r="AE1410" s="5"/>
      <c r="AF1410" s="5"/>
      <c r="AG1410" s="5">
        <f>H1410</f>
        <v>1.01</v>
      </c>
      <c r="AH1410" s="5"/>
      <c r="AI1410" s="5"/>
      <c r="AJ1410" s="5"/>
      <c r="AK1410" s="141"/>
      <c r="AL1410" s="94">
        <f t="shared" si="209"/>
        <v>1.01</v>
      </c>
      <c r="AM1410" s="128"/>
      <c r="AN1410" s="180"/>
      <c r="AO1410" s="128">
        <v>0.3</v>
      </c>
      <c r="AP1410" s="184">
        <v>1.26</v>
      </c>
      <c r="AQ1410" s="128"/>
      <c r="AR1410" s="184"/>
      <c r="AS1410" s="128"/>
      <c r="AT1410" s="184"/>
      <c r="AU1410" s="128"/>
      <c r="AV1410" s="184"/>
      <c r="AW1410" s="128"/>
      <c r="AX1410" s="184"/>
      <c r="AY1410" s="111">
        <f t="shared" si="207"/>
        <v>0.3</v>
      </c>
      <c r="AZ1410" s="178">
        <f t="shared" si="207"/>
        <v>1.26</v>
      </c>
      <c r="BC1410" s="47"/>
      <c r="BD1410" s="47"/>
      <c r="BF1410" s="113">
        <v>0.64917999999999998</v>
      </c>
      <c r="BG1410" s="113">
        <v>0.36082000000000003</v>
      </c>
      <c r="BH1410" s="113"/>
      <c r="BI1410" s="113"/>
      <c r="BJ1410" s="113"/>
      <c r="BK1410" s="113"/>
      <c r="BL1410" s="5">
        <f t="shared" si="210"/>
        <v>1.01</v>
      </c>
    </row>
    <row r="1411" spans="1:64" s="2" customFormat="1" ht="89.25" outlineLevel="1" x14ac:dyDescent="0.2">
      <c r="A1411" s="6" t="s">
        <v>2239</v>
      </c>
      <c r="B1411" s="603" t="s">
        <v>45</v>
      </c>
      <c r="C1411" s="7" t="s">
        <v>2240</v>
      </c>
      <c r="D1411" s="8" t="s">
        <v>397</v>
      </c>
      <c r="E1411" s="23" t="s">
        <v>1570</v>
      </c>
      <c r="F1411" s="8">
        <v>2013</v>
      </c>
      <c r="G1411" s="8">
        <v>2014</v>
      </c>
      <c r="H1411" s="5">
        <v>0.64917999999999998</v>
      </c>
      <c r="I1411" s="5">
        <v>0.64917999999999998</v>
      </c>
      <c r="J1411" s="5">
        <f t="shared" si="211"/>
        <v>0.64917999999999998</v>
      </c>
      <c r="K1411" s="23" t="s">
        <v>1570</v>
      </c>
      <c r="L1411" s="8"/>
      <c r="M1411" s="8"/>
      <c r="N1411" s="8"/>
      <c r="O1411" s="8"/>
      <c r="P1411" s="8"/>
      <c r="Q1411" s="23" t="s">
        <v>1570</v>
      </c>
      <c r="R1411" s="113">
        <v>0.64917999999999998</v>
      </c>
      <c r="S1411" s="113"/>
      <c r="T1411" s="113"/>
      <c r="U1411" s="113"/>
      <c r="V1411" s="113"/>
      <c r="W1411" s="113"/>
      <c r="X1411" s="94">
        <f t="shared" si="208"/>
        <v>0.64917999999999998</v>
      </c>
      <c r="Y1411" s="303"/>
      <c r="Z1411" s="5"/>
      <c r="AA1411" s="94"/>
      <c r="AB1411" s="311">
        <f t="shared" si="205"/>
        <v>0</v>
      </c>
      <c r="AC1411" s="296"/>
      <c r="AD1411" s="113"/>
      <c r="AE1411" s="5"/>
      <c r="AF1411" s="5">
        <f>H1411</f>
        <v>0.64917999999999998</v>
      </c>
      <c r="AG1411" s="5"/>
      <c r="AH1411" s="5"/>
      <c r="AI1411" s="5"/>
      <c r="AJ1411" s="5"/>
      <c r="AK1411" s="141"/>
      <c r="AL1411" s="94">
        <f t="shared" si="209"/>
        <v>0.64917999999999998</v>
      </c>
      <c r="AM1411" s="128">
        <v>0.25</v>
      </c>
      <c r="AN1411" s="180">
        <v>0</v>
      </c>
      <c r="AO1411" s="128"/>
      <c r="AP1411" s="184"/>
      <c r="AQ1411" s="128"/>
      <c r="AR1411" s="184"/>
      <c r="AS1411" s="128"/>
      <c r="AT1411" s="184"/>
      <c r="AU1411" s="128"/>
      <c r="AV1411" s="184"/>
      <c r="AW1411" s="128"/>
      <c r="AX1411" s="184"/>
      <c r="AY1411" s="111">
        <f t="shared" si="207"/>
        <v>0.25</v>
      </c>
      <c r="AZ1411" s="178">
        <f t="shared" si="207"/>
        <v>0</v>
      </c>
      <c r="BC1411" s="47"/>
      <c r="BD1411" s="47"/>
      <c r="BF1411" s="113">
        <v>0.64917999999999998</v>
      </c>
      <c r="BG1411" s="113"/>
      <c r="BH1411" s="113"/>
      <c r="BI1411" s="113"/>
      <c r="BJ1411" s="113"/>
      <c r="BK1411" s="113"/>
      <c r="BL1411" s="5">
        <f t="shared" si="210"/>
        <v>0.64917999999999998</v>
      </c>
    </row>
    <row r="1412" spans="1:64" s="2" customFormat="1" ht="114.75" customHeight="1" outlineLevel="1" x14ac:dyDescent="0.2">
      <c r="A1412" s="6" t="s">
        <v>2697</v>
      </c>
      <c r="B1412" s="582" t="s">
        <v>46</v>
      </c>
      <c r="C1412" s="7" t="s">
        <v>2425</v>
      </c>
      <c r="D1412" s="8" t="s">
        <v>136</v>
      </c>
      <c r="E1412" s="23" t="s">
        <v>34</v>
      </c>
      <c r="F1412" s="8">
        <v>2013</v>
      </c>
      <c r="G1412" s="8">
        <v>2015</v>
      </c>
      <c r="H1412" s="5">
        <v>2.75</v>
      </c>
      <c r="I1412" s="5">
        <v>2.75</v>
      </c>
      <c r="J1412" s="5">
        <f t="shared" si="211"/>
        <v>0.64917999999999998</v>
      </c>
      <c r="K1412" s="8"/>
      <c r="L1412" s="23" t="s">
        <v>34</v>
      </c>
      <c r="M1412" s="8"/>
      <c r="N1412" s="8"/>
      <c r="O1412" s="8"/>
      <c r="P1412" s="8"/>
      <c r="Q1412" s="23" t="s">
        <v>34</v>
      </c>
      <c r="R1412" s="113">
        <v>0.64917999999999998</v>
      </c>
      <c r="S1412" s="113">
        <f>I1412-R1412</f>
        <v>2.1008200000000001</v>
      </c>
      <c r="T1412" s="113"/>
      <c r="U1412" s="113"/>
      <c r="V1412" s="113"/>
      <c r="W1412" s="113"/>
      <c r="X1412" s="94">
        <f t="shared" si="208"/>
        <v>2.75</v>
      </c>
      <c r="Y1412" s="303"/>
      <c r="Z1412" s="5"/>
      <c r="AA1412" s="94"/>
      <c r="AB1412" s="311">
        <f t="shared" si="205"/>
        <v>0</v>
      </c>
      <c r="AC1412" s="296"/>
      <c r="AD1412" s="113"/>
      <c r="AE1412" s="5"/>
      <c r="AF1412" s="5"/>
      <c r="AG1412" s="5">
        <f>H1412</f>
        <v>2.75</v>
      </c>
      <c r="AH1412" s="5"/>
      <c r="AI1412" s="5"/>
      <c r="AJ1412" s="5"/>
      <c r="AK1412" s="141"/>
      <c r="AL1412" s="94">
        <f t="shared" si="209"/>
        <v>2.75</v>
      </c>
      <c r="AM1412" s="128"/>
      <c r="AN1412" s="180"/>
      <c r="AO1412" s="128">
        <v>0.3</v>
      </c>
      <c r="AP1412" s="184">
        <v>0</v>
      </c>
      <c r="AQ1412" s="128"/>
      <c r="AR1412" s="184"/>
      <c r="AS1412" s="128"/>
      <c r="AT1412" s="184"/>
      <c r="AU1412" s="128"/>
      <c r="AV1412" s="184"/>
      <c r="AW1412" s="128"/>
      <c r="AX1412" s="184"/>
      <c r="AY1412" s="111">
        <f t="shared" si="207"/>
        <v>0.3</v>
      </c>
      <c r="AZ1412" s="178">
        <f t="shared" si="207"/>
        <v>0</v>
      </c>
      <c r="BC1412" s="47"/>
      <c r="BD1412" s="47"/>
      <c r="BF1412" s="113">
        <v>0.64917999999999998</v>
      </c>
      <c r="BG1412" s="113">
        <v>2.1008200000000001</v>
      </c>
      <c r="BH1412" s="113"/>
      <c r="BI1412" s="113"/>
      <c r="BJ1412" s="113"/>
      <c r="BK1412" s="113"/>
      <c r="BL1412" s="5">
        <f t="shared" si="210"/>
        <v>2.75</v>
      </c>
    </row>
    <row r="1413" spans="1:64" s="2" customFormat="1" ht="204" outlineLevel="1" x14ac:dyDescent="0.2">
      <c r="A1413" s="6" t="s">
        <v>2241</v>
      </c>
      <c r="B1413" s="603" t="s">
        <v>47</v>
      </c>
      <c r="C1413" s="7" t="s">
        <v>2494</v>
      </c>
      <c r="D1413" s="8" t="s">
        <v>397</v>
      </c>
      <c r="E1413" s="23" t="s">
        <v>1575</v>
      </c>
      <c r="F1413" s="8">
        <v>2013</v>
      </c>
      <c r="G1413" s="8">
        <v>2014</v>
      </c>
      <c r="H1413" s="5">
        <v>2.8165</v>
      </c>
      <c r="I1413" s="5">
        <v>0.64917999999999998</v>
      </c>
      <c r="J1413" s="5">
        <f t="shared" si="211"/>
        <v>0.64917999999999998</v>
      </c>
      <c r="K1413" s="23" t="s">
        <v>1575</v>
      </c>
      <c r="L1413" s="8"/>
      <c r="M1413" s="8"/>
      <c r="N1413" s="8"/>
      <c r="O1413" s="8"/>
      <c r="P1413" s="8"/>
      <c r="Q1413" s="23" t="s">
        <v>1575</v>
      </c>
      <c r="R1413" s="113">
        <v>0.64917999999999998</v>
      </c>
      <c r="S1413" s="113"/>
      <c r="T1413" s="113"/>
      <c r="U1413" s="113"/>
      <c r="V1413" s="113"/>
      <c r="W1413" s="113"/>
      <c r="X1413" s="94">
        <f t="shared" si="208"/>
        <v>0.64917999999999998</v>
      </c>
      <c r="Y1413" s="303"/>
      <c r="Z1413" s="5"/>
      <c r="AA1413" s="94"/>
      <c r="AB1413" s="311">
        <f t="shared" si="205"/>
        <v>0</v>
      </c>
      <c r="AC1413" s="296"/>
      <c r="AD1413" s="113"/>
      <c r="AE1413" s="5"/>
      <c r="AF1413" s="5">
        <f>H1413</f>
        <v>2.8165</v>
      </c>
      <c r="AG1413" s="5"/>
      <c r="AH1413" s="5"/>
      <c r="AI1413" s="5"/>
      <c r="AJ1413" s="5"/>
      <c r="AK1413" s="141"/>
      <c r="AL1413" s="94">
        <f t="shared" si="209"/>
        <v>2.8165</v>
      </c>
      <c r="AM1413" s="128">
        <v>1.55</v>
      </c>
      <c r="AN1413" s="180">
        <v>0.4</v>
      </c>
      <c r="AO1413" s="128"/>
      <c r="AP1413" s="184"/>
      <c r="AQ1413" s="128"/>
      <c r="AR1413" s="184"/>
      <c r="AS1413" s="128"/>
      <c r="AT1413" s="184"/>
      <c r="AU1413" s="128"/>
      <c r="AV1413" s="184"/>
      <c r="AW1413" s="128"/>
      <c r="AX1413" s="184"/>
      <c r="AY1413" s="111">
        <f t="shared" si="207"/>
        <v>1.55</v>
      </c>
      <c r="AZ1413" s="178">
        <f t="shared" si="207"/>
        <v>0.4</v>
      </c>
      <c r="BC1413" s="47"/>
      <c r="BD1413" s="47"/>
      <c r="BF1413" s="113">
        <v>0.64917999999999998</v>
      </c>
      <c r="BG1413" s="113"/>
      <c r="BH1413" s="113"/>
      <c r="BI1413" s="113"/>
      <c r="BJ1413" s="113"/>
      <c r="BK1413" s="113"/>
      <c r="BL1413" s="5">
        <f t="shared" si="210"/>
        <v>0.64917999999999998</v>
      </c>
    </row>
    <row r="1414" spans="1:64" s="2" customFormat="1" ht="216.75" outlineLevel="1" x14ac:dyDescent="0.2">
      <c r="A1414" s="6" t="s">
        <v>2242</v>
      </c>
      <c r="B1414" s="603" t="s">
        <v>48</v>
      </c>
      <c r="C1414" s="7" t="s">
        <v>1165</v>
      </c>
      <c r="D1414" s="8" t="s">
        <v>397</v>
      </c>
      <c r="E1414" s="23" t="s">
        <v>32</v>
      </c>
      <c r="F1414" s="8">
        <v>2013</v>
      </c>
      <c r="G1414" s="8">
        <v>2014</v>
      </c>
      <c r="H1414" s="5">
        <v>0.64917999999999998</v>
      </c>
      <c r="I1414" s="5">
        <v>0.64917999999999998</v>
      </c>
      <c r="J1414" s="5">
        <f t="shared" si="211"/>
        <v>0.64917999999999998</v>
      </c>
      <c r="K1414" s="23" t="s">
        <v>1576</v>
      </c>
      <c r="L1414" s="8"/>
      <c r="M1414" s="8"/>
      <c r="N1414" s="8"/>
      <c r="O1414" s="8"/>
      <c r="P1414" s="8"/>
      <c r="Q1414" s="23" t="s">
        <v>32</v>
      </c>
      <c r="R1414" s="113">
        <v>0.64917999999999998</v>
      </c>
      <c r="S1414" s="113"/>
      <c r="T1414" s="113"/>
      <c r="U1414" s="113"/>
      <c r="V1414" s="113"/>
      <c r="W1414" s="113"/>
      <c r="X1414" s="94">
        <f t="shared" si="208"/>
        <v>0.64917999999999998</v>
      </c>
      <c r="Y1414" s="303"/>
      <c r="Z1414" s="5"/>
      <c r="AA1414" s="94"/>
      <c r="AB1414" s="311">
        <f t="shared" si="205"/>
        <v>0</v>
      </c>
      <c r="AC1414" s="296"/>
      <c r="AD1414" s="113"/>
      <c r="AE1414" s="5"/>
      <c r="AF1414" s="5">
        <f>H1414</f>
        <v>0.64917999999999998</v>
      </c>
      <c r="AG1414" s="5"/>
      <c r="AH1414" s="5"/>
      <c r="AI1414" s="5"/>
      <c r="AJ1414" s="5"/>
      <c r="AK1414" s="141"/>
      <c r="AL1414" s="94">
        <f t="shared" si="209"/>
        <v>0.64917999999999998</v>
      </c>
      <c r="AM1414" s="128">
        <v>0.2</v>
      </c>
      <c r="AN1414" s="180">
        <v>0.1</v>
      </c>
      <c r="AO1414" s="128"/>
      <c r="AP1414" s="184"/>
      <c r="AQ1414" s="128"/>
      <c r="AR1414" s="184"/>
      <c r="AS1414" s="128"/>
      <c r="AT1414" s="184"/>
      <c r="AU1414" s="128"/>
      <c r="AV1414" s="184"/>
      <c r="AW1414" s="128"/>
      <c r="AX1414" s="184"/>
      <c r="AY1414" s="111">
        <f t="shared" si="207"/>
        <v>0.2</v>
      </c>
      <c r="AZ1414" s="178">
        <f t="shared" si="207"/>
        <v>0.1</v>
      </c>
      <c r="BC1414" s="47"/>
      <c r="BD1414" s="47"/>
      <c r="BF1414" s="113">
        <v>0.64917999999999998</v>
      </c>
      <c r="BG1414" s="113"/>
      <c r="BH1414" s="113"/>
      <c r="BI1414" s="113"/>
      <c r="BJ1414" s="113"/>
      <c r="BK1414" s="113"/>
      <c r="BL1414" s="5">
        <f t="shared" si="210"/>
        <v>0.64917999999999998</v>
      </c>
    </row>
    <row r="1415" spans="1:64" s="2" customFormat="1" ht="140.25" outlineLevel="1" x14ac:dyDescent="0.2">
      <c r="A1415" s="6" t="s">
        <v>1166</v>
      </c>
      <c r="B1415" s="603" t="s">
        <v>49</v>
      </c>
      <c r="C1415" s="7" t="s">
        <v>2495</v>
      </c>
      <c r="D1415" s="8" t="s">
        <v>397</v>
      </c>
      <c r="E1415" s="23" t="s">
        <v>1577</v>
      </c>
      <c r="F1415" s="8">
        <v>2013</v>
      </c>
      <c r="G1415" s="8">
        <v>2014</v>
      </c>
      <c r="H1415" s="5">
        <v>1.29836</v>
      </c>
      <c r="I1415" s="5">
        <v>1.29836</v>
      </c>
      <c r="J1415" s="5">
        <f t="shared" si="211"/>
        <v>1.29836</v>
      </c>
      <c r="K1415" s="23" t="s">
        <v>1577</v>
      </c>
      <c r="L1415" s="8"/>
      <c r="M1415" s="8"/>
      <c r="N1415" s="8"/>
      <c r="O1415" s="8"/>
      <c r="P1415" s="8"/>
      <c r="Q1415" s="23" t="s">
        <v>1577</v>
      </c>
      <c r="R1415" s="113">
        <v>1.29836</v>
      </c>
      <c r="S1415" s="113"/>
      <c r="T1415" s="113"/>
      <c r="U1415" s="113"/>
      <c r="V1415" s="113"/>
      <c r="W1415" s="113"/>
      <c r="X1415" s="94">
        <f t="shared" si="208"/>
        <v>1.29836</v>
      </c>
      <c r="Y1415" s="303"/>
      <c r="Z1415" s="5"/>
      <c r="AA1415" s="94"/>
      <c r="AB1415" s="311">
        <f t="shared" si="205"/>
        <v>0</v>
      </c>
      <c r="AC1415" s="296"/>
      <c r="AD1415" s="113"/>
      <c r="AE1415" s="5"/>
      <c r="AF1415" s="5">
        <f>H1415</f>
        <v>1.29836</v>
      </c>
      <c r="AG1415" s="5"/>
      <c r="AH1415" s="5"/>
      <c r="AI1415" s="5"/>
      <c r="AJ1415" s="5"/>
      <c r="AK1415" s="141"/>
      <c r="AL1415" s="94">
        <f t="shared" si="209"/>
        <v>1.29836</v>
      </c>
      <c r="AM1415" s="128">
        <v>1.35</v>
      </c>
      <c r="AN1415" s="180">
        <v>0.16</v>
      </c>
      <c r="AO1415" s="128"/>
      <c r="AP1415" s="184"/>
      <c r="AQ1415" s="128"/>
      <c r="AR1415" s="184"/>
      <c r="AS1415" s="128"/>
      <c r="AT1415" s="184"/>
      <c r="AU1415" s="128"/>
      <c r="AV1415" s="184"/>
      <c r="AW1415" s="128"/>
      <c r="AX1415" s="184"/>
      <c r="AY1415" s="111">
        <f t="shared" si="207"/>
        <v>1.35</v>
      </c>
      <c r="AZ1415" s="178">
        <f t="shared" si="207"/>
        <v>0.16</v>
      </c>
      <c r="BC1415" s="47"/>
      <c r="BD1415" s="47"/>
      <c r="BF1415" s="113">
        <v>1.29836</v>
      </c>
      <c r="BG1415" s="113"/>
      <c r="BH1415" s="113"/>
      <c r="BI1415" s="113"/>
      <c r="BJ1415" s="113"/>
      <c r="BK1415" s="113"/>
      <c r="BL1415" s="5">
        <f t="shared" si="210"/>
        <v>1.29836</v>
      </c>
    </row>
    <row r="1416" spans="1:64" s="2" customFormat="1" ht="217.5" customHeight="1" outlineLevel="1" x14ac:dyDescent="0.2">
      <c r="A1416" s="6" t="s">
        <v>1167</v>
      </c>
      <c r="B1416" s="603" t="s">
        <v>50</v>
      </c>
      <c r="C1416" s="7" t="s">
        <v>1168</v>
      </c>
      <c r="D1416" s="8" t="s">
        <v>397</v>
      </c>
      <c r="E1416" s="23" t="s">
        <v>1578</v>
      </c>
      <c r="F1416" s="8">
        <v>2013</v>
      </c>
      <c r="G1416" s="8">
        <v>2014</v>
      </c>
      <c r="H1416" s="5">
        <v>0.64917999999999998</v>
      </c>
      <c r="I1416" s="5">
        <v>0.64917999999999998</v>
      </c>
      <c r="J1416" s="5">
        <f t="shared" si="211"/>
        <v>0.64917999999999998</v>
      </c>
      <c r="K1416" s="23" t="s">
        <v>1578</v>
      </c>
      <c r="L1416" s="8"/>
      <c r="M1416" s="8"/>
      <c r="N1416" s="8"/>
      <c r="O1416" s="8"/>
      <c r="P1416" s="8"/>
      <c r="Q1416" s="23" t="s">
        <v>1578</v>
      </c>
      <c r="R1416" s="113">
        <v>0.64917999999999998</v>
      </c>
      <c r="S1416" s="113"/>
      <c r="T1416" s="113"/>
      <c r="U1416" s="113"/>
      <c r="V1416" s="113"/>
      <c r="W1416" s="113"/>
      <c r="X1416" s="94">
        <f t="shared" si="208"/>
        <v>0.64917999999999998</v>
      </c>
      <c r="Y1416" s="303"/>
      <c r="Z1416" s="5"/>
      <c r="AA1416" s="94"/>
      <c r="AB1416" s="311">
        <f t="shared" si="205"/>
        <v>0</v>
      </c>
      <c r="AC1416" s="296"/>
      <c r="AD1416" s="113"/>
      <c r="AE1416" s="5"/>
      <c r="AF1416" s="5">
        <f>H1416</f>
        <v>0.64917999999999998</v>
      </c>
      <c r="AG1416" s="5"/>
      <c r="AH1416" s="5"/>
      <c r="AI1416" s="5"/>
      <c r="AJ1416" s="5"/>
      <c r="AK1416" s="141"/>
      <c r="AL1416" s="94">
        <f t="shared" si="209"/>
        <v>0.64917999999999998</v>
      </c>
      <c r="AM1416" s="128">
        <v>1.36</v>
      </c>
      <c r="AN1416" s="180">
        <v>0.1</v>
      </c>
      <c r="AO1416" s="128"/>
      <c r="AP1416" s="184"/>
      <c r="AQ1416" s="128"/>
      <c r="AR1416" s="184"/>
      <c r="AS1416" s="128"/>
      <c r="AT1416" s="184"/>
      <c r="AU1416" s="128"/>
      <c r="AV1416" s="184"/>
      <c r="AW1416" s="128"/>
      <c r="AX1416" s="184"/>
      <c r="AY1416" s="111">
        <f t="shared" si="207"/>
        <v>1.36</v>
      </c>
      <c r="AZ1416" s="178">
        <f t="shared" si="207"/>
        <v>0.1</v>
      </c>
      <c r="BC1416" s="47"/>
      <c r="BD1416" s="47"/>
      <c r="BF1416" s="113">
        <v>0.64917999999999998</v>
      </c>
      <c r="BG1416" s="113"/>
      <c r="BH1416" s="113"/>
      <c r="BI1416" s="113"/>
      <c r="BJ1416" s="113"/>
      <c r="BK1416" s="113"/>
      <c r="BL1416" s="5">
        <f t="shared" si="210"/>
        <v>0.64917999999999998</v>
      </c>
    </row>
    <row r="1417" spans="1:64" s="2" customFormat="1" ht="51" outlineLevel="1" x14ac:dyDescent="0.2">
      <c r="A1417" s="6" t="s">
        <v>1169</v>
      </c>
      <c r="B1417" s="603" t="s">
        <v>51</v>
      </c>
      <c r="C1417" s="7" t="s">
        <v>7</v>
      </c>
      <c r="D1417" s="8" t="s">
        <v>397</v>
      </c>
      <c r="E1417" s="23" t="s">
        <v>1579</v>
      </c>
      <c r="F1417" s="8">
        <v>2013</v>
      </c>
      <c r="G1417" s="8">
        <v>2014</v>
      </c>
      <c r="H1417" s="5">
        <v>0.64917999999999998</v>
      </c>
      <c r="I1417" s="5">
        <v>0.64917999999999998</v>
      </c>
      <c r="J1417" s="5">
        <f t="shared" si="211"/>
        <v>0.64917999999999998</v>
      </c>
      <c r="K1417" s="23" t="s">
        <v>1579</v>
      </c>
      <c r="L1417" s="8"/>
      <c r="M1417" s="8"/>
      <c r="N1417" s="8"/>
      <c r="O1417" s="8"/>
      <c r="P1417" s="8"/>
      <c r="Q1417" s="23" t="s">
        <v>1579</v>
      </c>
      <c r="R1417" s="113">
        <v>0.64917999999999998</v>
      </c>
      <c r="S1417" s="113"/>
      <c r="T1417" s="113"/>
      <c r="U1417" s="113"/>
      <c r="V1417" s="113"/>
      <c r="W1417" s="113"/>
      <c r="X1417" s="94">
        <f t="shared" si="208"/>
        <v>0.64917999999999998</v>
      </c>
      <c r="Y1417" s="303"/>
      <c r="Z1417" s="5"/>
      <c r="AA1417" s="94"/>
      <c r="AB1417" s="311">
        <f t="shared" si="205"/>
        <v>0</v>
      </c>
      <c r="AC1417" s="296"/>
      <c r="AD1417" s="113"/>
      <c r="AE1417" s="5"/>
      <c r="AF1417" s="5">
        <f>H1417</f>
        <v>0.64917999999999998</v>
      </c>
      <c r="AG1417" s="5"/>
      <c r="AH1417" s="5"/>
      <c r="AI1417" s="5"/>
      <c r="AJ1417" s="5"/>
      <c r="AK1417" s="141"/>
      <c r="AL1417" s="94">
        <f t="shared" si="209"/>
        <v>0.64917999999999998</v>
      </c>
      <c r="AM1417" s="128">
        <v>0.06</v>
      </c>
      <c r="AN1417" s="180">
        <v>0</v>
      </c>
      <c r="AO1417" s="128"/>
      <c r="AP1417" s="184"/>
      <c r="AQ1417" s="128"/>
      <c r="AR1417" s="184"/>
      <c r="AS1417" s="128"/>
      <c r="AT1417" s="184"/>
      <c r="AU1417" s="128"/>
      <c r="AV1417" s="184"/>
      <c r="AW1417" s="128"/>
      <c r="AX1417" s="184"/>
      <c r="AY1417" s="111">
        <f t="shared" si="207"/>
        <v>0.06</v>
      </c>
      <c r="AZ1417" s="178">
        <f t="shared" si="207"/>
        <v>0</v>
      </c>
      <c r="BC1417" s="47"/>
      <c r="BD1417" s="47"/>
      <c r="BF1417" s="113">
        <v>0.64917999999999998</v>
      </c>
      <c r="BG1417" s="113"/>
      <c r="BH1417" s="113"/>
      <c r="BI1417" s="113"/>
      <c r="BJ1417" s="113"/>
      <c r="BK1417" s="113"/>
      <c r="BL1417" s="5">
        <f t="shared" si="210"/>
        <v>0.64917999999999998</v>
      </c>
    </row>
    <row r="1418" spans="1:64" s="2" customFormat="1" ht="76.5" customHeight="1" outlineLevel="1" x14ac:dyDescent="0.2">
      <c r="A1418" s="592" t="s">
        <v>1170</v>
      </c>
      <c r="B1418" s="603" t="s">
        <v>52</v>
      </c>
      <c r="C1418" s="7" t="s">
        <v>2496</v>
      </c>
      <c r="D1418" s="8" t="s">
        <v>397</v>
      </c>
      <c r="E1418" s="23" t="s">
        <v>19</v>
      </c>
      <c r="F1418" s="8">
        <v>2013</v>
      </c>
      <c r="G1418" s="8">
        <v>2017</v>
      </c>
      <c r="H1418" s="5">
        <v>10.41</v>
      </c>
      <c r="I1418" s="5">
        <v>10.41</v>
      </c>
      <c r="J1418" s="5">
        <f t="shared" si="211"/>
        <v>0.64917999999999998</v>
      </c>
      <c r="K1418" s="8"/>
      <c r="L1418" s="8"/>
      <c r="M1418" s="8"/>
      <c r="N1418" s="23" t="s">
        <v>19</v>
      </c>
      <c r="O1418" s="8"/>
      <c r="P1418" s="8"/>
      <c r="Q1418" s="23" t="s">
        <v>19</v>
      </c>
      <c r="R1418" s="113">
        <v>0.64917999999999998</v>
      </c>
      <c r="S1418" s="113">
        <v>0.21</v>
      </c>
      <c r="T1418" s="113"/>
      <c r="U1418" s="113">
        <v>9.5508199999999999</v>
      </c>
      <c r="V1418" s="113"/>
      <c r="W1418" s="113"/>
      <c r="X1418" s="94">
        <f t="shared" si="208"/>
        <v>10.41</v>
      </c>
      <c r="Y1418" s="303"/>
      <c r="Z1418" s="5"/>
      <c r="AA1418" s="94"/>
      <c r="AB1418" s="311">
        <f t="shared" si="205"/>
        <v>0</v>
      </c>
      <c r="AC1418" s="296"/>
      <c r="AD1418" s="113"/>
      <c r="AE1418" s="5"/>
      <c r="AF1418" s="5"/>
      <c r="AG1418" s="5"/>
      <c r="AH1418" s="5"/>
      <c r="AI1418" s="5">
        <f>H1418</f>
        <v>10.41</v>
      </c>
      <c r="AJ1418" s="5"/>
      <c r="AK1418" s="141"/>
      <c r="AL1418" s="94">
        <f t="shared" si="209"/>
        <v>10.41</v>
      </c>
      <c r="AM1418" s="128"/>
      <c r="AN1418" s="180"/>
      <c r="AO1418" s="128"/>
      <c r="AP1418" s="184"/>
      <c r="AQ1418" s="128"/>
      <c r="AR1418" s="184"/>
      <c r="AS1418" s="128">
        <v>2</v>
      </c>
      <c r="AT1418" s="184">
        <v>0</v>
      </c>
      <c r="AU1418" s="128"/>
      <c r="AV1418" s="184"/>
      <c r="AW1418" s="128"/>
      <c r="AX1418" s="184"/>
      <c r="AY1418" s="111">
        <f t="shared" si="207"/>
        <v>2</v>
      </c>
      <c r="AZ1418" s="178">
        <f t="shared" si="207"/>
        <v>0</v>
      </c>
      <c r="BC1418" s="47"/>
      <c r="BD1418" s="47"/>
      <c r="BF1418" s="113">
        <v>0.64917999999999998</v>
      </c>
      <c r="BG1418" s="113">
        <v>0.21</v>
      </c>
      <c r="BH1418" s="113"/>
      <c r="BI1418" s="113">
        <v>9.5508199999999999</v>
      </c>
      <c r="BJ1418" s="113"/>
      <c r="BK1418" s="113"/>
      <c r="BL1418" s="5">
        <f t="shared" si="210"/>
        <v>10.41</v>
      </c>
    </row>
    <row r="1419" spans="1:64" s="2" customFormat="1" ht="76.5" customHeight="1" outlineLevel="1" x14ac:dyDescent="0.2">
      <c r="A1419" s="6" t="s">
        <v>1171</v>
      </c>
      <c r="B1419" s="603" t="s">
        <v>53</v>
      </c>
      <c r="C1419" s="7" t="s">
        <v>1172</v>
      </c>
      <c r="D1419" s="8" t="s">
        <v>1224</v>
      </c>
      <c r="E1419" s="23" t="s">
        <v>1387</v>
      </c>
      <c r="F1419" s="8">
        <v>2014</v>
      </c>
      <c r="G1419" s="8">
        <v>2017</v>
      </c>
      <c r="H1419" s="5">
        <v>13.578949999999999</v>
      </c>
      <c r="I1419" s="5">
        <v>13.578949999999999</v>
      </c>
      <c r="J1419" s="5">
        <f t="shared" si="211"/>
        <v>0.64917999999999998</v>
      </c>
      <c r="K1419" s="8"/>
      <c r="L1419" s="8"/>
      <c r="M1419" s="23" t="s">
        <v>1387</v>
      </c>
      <c r="N1419" s="8"/>
      <c r="O1419" s="8"/>
      <c r="P1419" s="8"/>
      <c r="Q1419" s="23" t="s">
        <v>1387</v>
      </c>
      <c r="R1419" s="113">
        <v>0.64917999999999998</v>
      </c>
      <c r="S1419" s="113"/>
      <c r="T1419" s="113">
        <f>12.92977-2.496</f>
        <v>10.433769999999999</v>
      </c>
      <c r="U1419" s="113">
        <f>H1419-R1419-T1419</f>
        <v>2.4960000000000004</v>
      </c>
      <c r="V1419" s="113"/>
      <c r="W1419" s="113"/>
      <c r="X1419" s="94">
        <f t="shared" si="208"/>
        <v>13.578949999999999</v>
      </c>
      <c r="Y1419" s="303"/>
      <c r="Z1419" s="5"/>
      <c r="AA1419" s="94"/>
      <c r="AB1419" s="311">
        <f t="shared" si="205"/>
        <v>0</v>
      </c>
      <c r="AC1419" s="296"/>
      <c r="AD1419" s="113"/>
      <c r="AE1419" s="5"/>
      <c r="AF1419" s="5"/>
      <c r="AG1419" s="5"/>
      <c r="AH1419" s="5">
        <f>H1419</f>
        <v>13.578949999999999</v>
      </c>
      <c r="AI1419" s="5"/>
      <c r="AJ1419" s="5"/>
      <c r="AK1419" s="141"/>
      <c r="AL1419" s="94">
        <f t="shared" si="209"/>
        <v>13.578949999999999</v>
      </c>
      <c r="AM1419" s="128"/>
      <c r="AN1419" s="180"/>
      <c r="AO1419" s="128"/>
      <c r="AP1419" s="184"/>
      <c r="AQ1419" s="128">
        <v>0.5</v>
      </c>
      <c r="AR1419" s="184">
        <v>0</v>
      </c>
      <c r="AS1419" s="128"/>
      <c r="AT1419" s="184"/>
      <c r="AU1419" s="128"/>
      <c r="AV1419" s="184"/>
      <c r="AW1419" s="128"/>
      <c r="AX1419" s="184"/>
      <c r="AY1419" s="111">
        <f t="shared" si="207"/>
        <v>0.5</v>
      </c>
      <c r="AZ1419" s="178">
        <f t="shared" si="207"/>
        <v>0</v>
      </c>
      <c r="BC1419" s="47"/>
      <c r="BD1419" s="47"/>
      <c r="BF1419" s="113">
        <v>0.64917999999999998</v>
      </c>
      <c r="BG1419" s="113"/>
      <c r="BH1419" s="113">
        <v>12.92977</v>
      </c>
      <c r="BI1419" s="113"/>
      <c r="BJ1419" s="113"/>
      <c r="BK1419" s="113"/>
      <c r="BL1419" s="5">
        <f t="shared" si="210"/>
        <v>13.578949999999999</v>
      </c>
    </row>
    <row r="1420" spans="1:64" s="2" customFormat="1" ht="102" customHeight="1" outlineLevel="1" x14ac:dyDescent="0.2">
      <c r="A1420" s="6" t="s">
        <v>2228</v>
      </c>
      <c r="B1420" s="603" t="s">
        <v>54</v>
      </c>
      <c r="C1420" s="7" t="s">
        <v>2426</v>
      </c>
      <c r="D1420" s="8" t="s">
        <v>397</v>
      </c>
      <c r="E1420" s="23" t="s">
        <v>366</v>
      </c>
      <c r="F1420" s="8">
        <v>2014</v>
      </c>
      <c r="G1420" s="8">
        <v>2016</v>
      </c>
      <c r="H1420" s="5">
        <v>1.63</v>
      </c>
      <c r="I1420" s="5">
        <v>1.63</v>
      </c>
      <c r="J1420" s="5">
        <f t="shared" si="211"/>
        <v>0.64917999999999998</v>
      </c>
      <c r="K1420" s="8"/>
      <c r="L1420" s="8"/>
      <c r="M1420" s="23" t="s">
        <v>366</v>
      </c>
      <c r="N1420" s="8"/>
      <c r="O1420" s="8"/>
      <c r="P1420" s="8"/>
      <c r="Q1420" s="23" t="s">
        <v>366</v>
      </c>
      <c r="R1420" s="113">
        <v>0.64917999999999998</v>
      </c>
      <c r="S1420" s="113"/>
      <c r="T1420" s="113">
        <v>0.98081999999999991</v>
      </c>
      <c r="U1420" s="113"/>
      <c r="V1420" s="113"/>
      <c r="W1420" s="113"/>
      <c r="X1420" s="94">
        <f t="shared" si="208"/>
        <v>1.63</v>
      </c>
      <c r="Y1420" s="303"/>
      <c r="Z1420" s="5"/>
      <c r="AA1420" s="94"/>
      <c r="AB1420" s="311">
        <f t="shared" si="205"/>
        <v>0</v>
      </c>
      <c r="AC1420" s="296"/>
      <c r="AD1420" s="113"/>
      <c r="AE1420" s="5"/>
      <c r="AF1420" s="5"/>
      <c r="AG1420" s="5"/>
      <c r="AH1420" s="5">
        <f>H1420</f>
        <v>1.63</v>
      </c>
      <c r="AI1420" s="5"/>
      <c r="AJ1420" s="5"/>
      <c r="AK1420" s="141"/>
      <c r="AL1420" s="94">
        <f t="shared" si="209"/>
        <v>1.63</v>
      </c>
      <c r="AM1420" s="128"/>
      <c r="AN1420" s="180"/>
      <c r="AO1420" s="128"/>
      <c r="AP1420" s="184"/>
      <c r="AQ1420" s="128">
        <v>0.1</v>
      </c>
      <c r="AR1420" s="184">
        <v>0</v>
      </c>
      <c r="AS1420" s="128"/>
      <c r="AT1420" s="184"/>
      <c r="AU1420" s="128"/>
      <c r="AV1420" s="184"/>
      <c r="AW1420" s="128"/>
      <c r="AX1420" s="184"/>
      <c r="AY1420" s="111">
        <f t="shared" si="207"/>
        <v>0.1</v>
      </c>
      <c r="AZ1420" s="178">
        <f t="shared" si="207"/>
        <v>0</v>
      </c>
      <c r="BC1420" s="47"/>
      <c r="BD1420" s="47"/>
      <c r="BF1420" s="113">
        <v>0.64917999999999998</v>
      </c>
      <c r="BG1420" s="113"/>
      <c r="BH1420" s="113">
        <v>0.98081999999999991</v>
      </c>
      <c r="BI1420" s="113"/>
      <c r="BJ1420" s="113"/>
      <c r="BK1420" s="113"/>
      <c r="BL1420" s="5">
        <f t="shared" si="210"/>
        <v>1.63</v>
      </c>
    </row>
    <row r="1421" spans="1:64" s="2" customFormat="1" ht="63.75" customHeight="1" outlineLevel="1" x14ac:dyDescent="0.2">
      <c r="A1421" s="6" t="s">
        <v>1173</v>
      </c>
      <c r="B1421" s="603" t="s">
        <v>56</v>
      </c>
      <c r="C1421" s="7" t="s">
        <v>1580</v>
      </c>
      <c r="D1421" s="8" t="s">
        <v>397</v>
      </c>
      <c r="E1421" s="23" t="s">
        <v>1174</v>
      </c>
      <c r="F1421" s="8">
        <v>2014</v>
      </c>
      <c r="G1421" s="8">
        <v>2016</v>
      </c>
      <c r="H1421" s="5">
        <v>1.3</v>
      </c>
      <c r="I1421" s="5">
        <v>1.3</v>
      </c>
      <c r="J1421" s="5">
        <f t="shared" si="211"/>
        <v>0.64917999999999998</v>
      </c>
      <c r="K1421" s="8"/>
      <c r="L1421" s="8"/>
      <c r="M1421" s="23" t="s">
        <v>1174</v>
      </c>
      <c r="N1421" s="8"/>
      <c r="O1421" s="8"/>
      <c r="P1421" s="8"/>
      <c r="Q1421" s="23" t="s">
        <v>1174</v>
      </c>
      <c r="R1421" s="113">
        <v>0.64917999999999998</v>
      </c>
      <c r="S1421" s="113"/>
      <c r="T1421" s="113">
        <v>0.65082000000000007</v>
      </c>
      <c r="U1421" s="113"/>
      <c r="V1421" s="113"/>
      <c r="W1421" s="113"/>
      <c r="X1421" s="94">
        <f t="shared" si="208"/>
        <v>1.3</v>
      </c>
      <c r="Y1421" s="303"/>
      <c r="Z1421" s="5"/>
      <c r="AA1421" s="94"/>
      <c r="AB1421" s="311">
        <f t="shared" si="205"/>
        <v>0</v>
      </c>
      <c r="AC1421" s="296"/>
      <c r="AD1421" s="113"/>
      <c r="AE1421" s="5"/>
      <c r="AF1421" s="5"/>
      <c r="AG1421" s="5"/>
      <c r="AH1421" s="5">
        <f>H1421</f>
        <v>1.3</v>
      </c>
      <c r="AI1421" s="5"/>
      <c r="AJ1421" s="5"/>
      <c r="AK1421" s="141"/>
      <c r="AL1421" s="94">
        <f t="shared" si="209"/>
        <v>1.3</v>
      </c>
      <c r="AM1421" s="128"/>
      <c r="AN1421" s="180"/>
      <c r="AO1421" s="128"/>
      <c r="AP1421" s="184"/>
      <c r="AQ1421" s="128">
        <v>0.6</v>
      </c>
      <c r="AR1421" s="184">
        <v>0</v>
      </c>
      <c r="AS1421" s="128"/>
      <c r="AT1421" s="184"/>
      <c r="AU1421" s="128"/>
      <c r="AV1421" s="184"/>
      <c r="AW1421" s="128"/>
      <c r="AX1421" s="184"/>
      <c r="AY1421" s="111">
        <f t="shared" si="207"/>
        <v>0.6</v>
      </c>
      <c r="AZ1421" s="178">
        <f t="shared" si="207"/>
        <v>0</v>
      </c>
      <c r="BC1421" s="47"/>
      <c r="BD1421" s="47"/>
      <c r="BF1421" s="113">
        <v>0.64917999999999998</v>
      </c>
      <c r="BG1421" s="113"/>
      <c r="BH1421" s="113">
        <v>0.65082000000000007</v>
      </c>
      <c r="BI1421" s="113"/>
      <c r="BJ1421" s="113"/>
      <c r="BK1421" s="113"/>
      <c r="BL1421" s="5">
        <f t="shared" si="210"/>
        <v>1.3</v>
      </c>
    </row>
    <row r="1422" spans="1:64" s="2" customFormat="1" ht="77.25" customHeight="1" outlineLevel="1" x14ac:dyDescent="0.2">
      <c r="A1422" s="592" t="s">
        <v>1175</v>
      </c>
      <c r="B1422" s="603" t="s">
        <v>57</v>
      </c>
      <c r="C1422" s="7" t="s">
        <v>1176</v>
      </c>
      <c r="D1422" s="8" t="s">
        <v>397</v>
      </c>
      <c r="E1422" s="23" t="s">
        <v>1174</v>
      </c>
      <c r="F1422" s="8">
        <v>2013</v>
      </c>
      <c r="G1422" s="8">
        <v>2016</v>
      </c>
      <c r="H1422" s="5">
        <v>1.8</v>
      </c>
      <c r="I1422" s="5">
        <v>1.7999999999999998</v>
      </c>
      <c r="J1422" s="5">
        <f t="shared" si="211"/>
        <v>0.64917999999999998</v>
      </c>
      <c r="K1422" s="8"/>
      <c r="L1422" s="8"/>
      <c r="M1422" s="23" t="s">
        <v>1174</v>
      </c>
      <c r="N1422" s="8"/>
      <c r="O1422" s="8"/>
      <c r="P1422" s="8"/>
      <c r="Q1422" s="23" t="s">
        <v>1174</v>
      </c>
      <c r="R1422" s="113">
        <v>0.64917999999999998</v>
      </c>
      <c r="S1422" s="113"/>
      <c r="T1422" s="113">
        <v>1.15082</v>
      </c>
      <c r="U1422" s="113"/>
      <c r="V1422" s="113"/>
      <c r="W1422" s="113"/>
      <c r="X1422" s="94">
        <f t="shared" si="208"/>
        <v>1.7999999999999998</v>
      </c>
      <c r="Y1422" s="303"/>
      <c r="Z1422" s="5"/>
      <c r="AA1422" s="94"/>
      <c r="AB1422" s="311">
        <f t="shared" si="205"/>
        <v>0</v>
      </c>
      <c r="AC1422" s="296"/>
      <c r="AD1422" s="113"/>
      <c r="AE1422" s="5"/>
      <c r="AF1422" s="5"/>
      <c r="AG1422" s="5"/>
      <c r="AH1422" s="5">
        <f>H1422</f>
        <v>1.8</v>
      </c>
      <c r="AI1422" s="5"/>
      <c r="AJ1422" s="5"/>
      <c r="AK1422" s="141"/>
      <c r="AL1422" s="94">
        <f t="shared" si="209"/>
        <v>1.8</v>
      </c>
      <c r="AM1422" s="128"/>
      <c r="AN1422" s="180"/>
      <c r="AO1422" s="128"/>
      <c r="AP1422" s="184"/>
      <c r="AQ1422" s="128">
        <v>0.6</v>
      </c>
      <c r="AR1422" s="184">
        <v>0</v>
      </c>
      <c r="AS1422" s="128"/>
      <c r="AT1422" s="184"/>
      <c r="AU1422" s="128"/>
      <c r="AV1422" s="184"/>
      <c r="AW1422" s="128"/>
      <c r="AX1422" s="184"/>
      <c r="AY1422" s="111">
        <f t="shared" si="207"/>
        <v>0.6</v>
      </c>
      <c r="AZ1422" s="178">
        <f t="shared" si="207"/>
        <v>0</v>
      </c>
      <c r="BC1422" s="47"/>
      <c r="BD1422" s="47"/>
      <c r="BF1422" s="113">
        <v>0.64917999999999998</v>
      </c>
      <c r="BG1422" s="113"/>
      <c r="BH1422" s="113">
        <v>1.15082</v>
      </c>
      <c r="BI1422" s="113"/>
      <c r="BJ1422" s="113"/>
      <c r="BK1422" s="113"/>
      <c r="BL1422" s="5">
        <f t="shared" si="210"/>
        <v>1.7999999999999998</v>
      </c>
    </row>
    <row r="1423" spans="1:64" s="2" customFormat="1" ht="51" customHeight="1" outlineLevel="1" x14ac:dyDescent="0.2">
      <c r="A1423" s="6" t="s">
        <v>1177</v>
      </c>
      <c r="B1423" s="603" t="s">
        <v>2318</v>
      </c>
      <c r="C1423" s="7" t="s">
        <v>2497</v>
      </c>
      <c r="D1423" s="8" t="s">
        <v>397</v>
      </c>
      <c r="E1423" s="23" t="s">
        <v>966</v>
      </c>
      <c r="F1423" s="8">
        <v>2013</v>
      </c>
      <c r="G1423" s="8">
        <v>2016</v>
      </c>
      <c r="H1423" s="5">
        <v>5.20289</v>
      </c>
      <c r="I1423" s="5">
        <v>5.20289</v>
      </c>
      <c r="J1423" s="5">
        <f t="shared" si="211"/>
        <v>0.64917999999999998</v>
      </c>
      <c r="K1423" s="8"/>
      <c r="L1423" s="8"/>
      <c r="M1423" s="23" t="s">
        <v>966</v>
      </c>
      <c r="N1423" s="8"/>
      <c r="O1423" s="8"/>
      <c r="P1423" s="8"/>
      <c r="Q1423" s="23" t="s">
        <v>966</v>
      </c>
      <c r="R1423" s="113">
        <v>0.64917999999999998</v>
      </c>
      <c r="S1423" s="113"/>
      <c r="T1423" s="113">
        <v>4.5537099999999997</v>
      </c>
      <c r="U1423" s="113"/>
      <c r="V1423" s="113"/>
      <c r="W1423" s="113"/>
      <c r="X1423" s="94">
        <f t="shared" si="208"/>
        <v>5.20289</v>
      </c>
      <c r="Y1423" s="303"/>
      <c r="Z1423" s="5"/>
      <c r="AA1423" s="94"/>
      <c r="AB1423" s="311">
        <f t="shared" si="205"/>
        <v>0</v>
      </c>
      <c r="AC1423" s="296"/>
      <c r="AD1423" s="113"/>
      <c r="AE1423" s="5"/>
      <c r="AF1423" s="5"/>
      <c r="AG1423" s="5"/>
      <c r="AH1423" s="5">
        <f>H1423</f>
        <v>5.20289</v>
      </c>
      <c r="AI1423" s="5"/>
      <c r="AJ1423" s="5"/>
      <c r="AK1423" s="141"/>
      <c r="AL1423" s="94">
        <f t="shared" si="209"/>
        <v>5.20289</v>
      </c>
      <c r="AM1423" s="128"/>
      <c r="AN1423" s="180"/>
      <c r="AO1423" s="128"/>
      <c r="AP1423" s="184"/>
      <c r="AQ1423" s="128">
        <v>1</v>
      </c>
      <c r="AR1423" s="184">
        <v>0</v>
      </c>
      <c r="AS1423" s="128"/>
      <c r="AT1423" s="184"/>
      <c r="AU1423" s="128"/>
      <c r="AV1423" s="184"/>
      <c r="AW1423" s="128"/>
      <c r="AX1423" s="184"/>
      <c r="AY1423" s="111">
        <f t="shared" si="207"/>
        <v>1</v>
      </c>
      <c r="AZ1423" s="178">
        <f t="shared" si="207"/>
        <v>0</v>
      </c>
      <c r="BC1423" s="47"/>
      <c r="BD1423" s="47"/>
      <c r="BF1423" s="113">
        <v>0.64917999999999998</v>
      </c>
      <c r="BG1423" s="113"/>
      <c r="BH1423" s="113">
        <v>4.5537099999999997</v>
      </c>
      <c r="BI1423" s="113"/>
      <c r="BJ1423" s="113"/>
      <c r="BK1423" s="113"/>
      <c r="BL1423" s="5">
        <f t="shared" si="210"/>
        <v>5.20289</v>
      </c>
    </row>
    <row r="1424" spans="1:64" s="2" customFormat="1" ht="102" outlineLevel="1" x14ac:dyDescent="0.2">
      <c r="A1424" s="6" t="s">
        <v>1178</v>
      </c>
      <c r="B1424" s="603" t="s">
        <v>2319</v>
      </c>
      <c r="C1424" s="7" t="s">
        <v>2498</v>
      </c>
      <c r="D1424" s="8" t="s">
        <v>397</v>
      </c>
      <c r="E1424" s="23" t="s">
        <v>343</v>
      </c>
      <c r="F1424" s="8">
        <v>2013</v>
      </c>
      <c r="G1424" s="8">
        <v>2014</v>
      </c>
      <c r="H1424" s="5">
        <v>0.64917999999999998</v>
      </c>
      <c r="I1424" s="5">
        <v>0.64917999999999998</v>
      </c>
      <c r="J1424" s="5">
        <f t="shared" si="211"/>
        <v>0.64917999999999998</v>
      </c>
      <c r="K1424" s="23" t="s">
        <v>343</v>
      </c>
      <c r="L1424" s="8"/>
      <c r="M1424" s="8"/>
      <c r="N1424" s="8"/>
      <c r="O1424" s="8"/>
      <c r="P1424" s="8"/>
      <c r="Q1424" s="23" t="s">
        <v>343</v>
      </c>
      <c r="R1424" s="113">
        <v>0.64917999999999998</v>
      </c>
      <c r="S1424" s="113"/>
      <c r="T1424" s="113"/>
      <c r="U1424" s="113"/>
      <c r="V1424" s="113"/>
      <c r="W1424" s="113"/>
      <c r="X1424" s="94">
        <f t="shared" si="208"/>
        <v>0.64917999999999998</v>
      </c>
      <c r="Y1424" s="303"/>
      <c r="Z1424" s="5"/>
      <c r="AA1424" s="94"/>
      <c r="AB1424" s="311">
        <f t="shared" si="205"/>
        <v>0</v>
      </c>
      <c r="AC1424" s="296"/>
      <c r="AD1424" s="113"/>
      <c r="AE1424" s="5"/>
      <c r="AF1424" s="5">
        <f t="shared" ref="AF1424:AF1429" si="214">H1424</f>
        <v>0.64917999999999998</v>
      </c>
      <c r="AG1424" s="5"/>
      <c r="AH1424" s="5"/>
      <c r="AI1424" s="5"/>
      <c r="AJ1424" s="5"/>
      <c r="AK1424" s="141"/>
      <c r="AL1424" s="94">
        <f t="shared" si="209"/>
        <v>0.64917999999999998</v>
      </c>
      <c r="AM1424" s="128">
        <v>0.4</v>
      </c>
      <c r="AN1424" s="180">
        <v>0</v>
      </c>
      <c r="AO1424" s="128"/>
      <c r="AP1424" s="184"/>
      <c r="AQ1424" s="128"/>
      <c r="AR1424" s="184"/>
      <c r="AS1424" s="128"/>
      <c r="AT1424" s="184"/>
      <c r="AU1424" s="128"/>
      <c r="AV1424" s="184"/>
      <c r="AW1424" s="128"/>
      <c r="AX1424" s="184"/>
      <c r="AY1424" s="111">
        <f t="shared" si="207"/>
        <v>0.4</v>
      </c>
      <c r="AZ1424" s="178">
        <f t="shared" si="207"/>
        <v>0</v>
      </c>
      <c r="BC1424" s="47"/>
      <c r="BD1424" s="47"/>
      <c r="BF1424" s="113">
        <v>0.64917999999999998</v>
      </c>
      <c r="BG1424" s="113"/>
      <c r="BH1424" s="113"/>
      <c r="BI1424" s="113"/>
      <c r="BJ1424" s="113"/>
      <c r="BK1424" s="113"/>
      <c r="BL1424" s="5">
        <f t="shared" si="210"/>
        <v>0.64917999999999998</v>
      </c>
    </row>
    <row r="1425" spans="1:64" s="2" customFormat="1" ht="77.849999999999994" customHeight="1" outlineLevel="1" x14ac:dyDescent="0.2">
      <c r="A1425" s="6" t="s">
        <v>1179</v>
      </c>
      <c r="B1425" s="603" t="s">
        <v>2320</v>
      </c>
      <c r="C1425" s="7" t="s">
        <v>1180</v>
      </c>
      <c r="D1425" s="8" t="s">
        <v>397</v>
      </c>
      <c r="E1425" s="23" t="s">
        <v>340</v>
      </c>
      <c r="F1425" s="8">
        <v>2013</v>
      </c>
      <c r="G1425" s="8">
        <v>2014</v>
      </c>
      <c r="H1425" s="5">
        <v>0.64917999999999998</v>
      </c>
      <c r="I1425" s="5">
        <v>0.64917999999999998</v>
      </c>
      <c r="J1425" s="5">
        <f t="shared" si="211"/>
        <v>0.64917999999999998</v>
      </c>
      <c r="K1425" s="23" t="s">
        <v>340</v>
      </c>
      <c r="L1425" s="8"/>
      <c r="M1425" s="8"/>
      <c r="N1425" s="8"/>
      <c r="O1425" s="8"/>
      <c r="P1425" s="8"/>
      <c r="Q1425" s="23" t="s">
        <v>1581</v>
      </c>
      <c r="R1425" s="113">
        <v>0.64917999999999998</v>
      </c>
      <c r="S1425" s="113"/>
      <c r="T1425" s="113"/>
      <c r="U1425" s="113"/>
      <c r="V1425" s="113"/>
      <c r="W1425" s="113"/>
      <c r="X1425" s="94">
        <f t="shared" si="208"/>
        <v>0.64917999999999998</v>
      </c>
      <c r="Y1425" s="303"/>
      <c r="Z1425" s="5"/>
      <c r="AA1425" s="94"/>
      <c r="AB1425" s="311">
        <f t="shared" si="205"/>
        <v>0</v>
      </c>
      <c r="AC1425" s="296"/>
      <c r="AD1425" s="113"/>
      <c r="AE1425" s="5"/>
      <c r="AF1425" s="5">
        <f t="shared" si="214"/>
        <v>0.64917999999999998</v>
      </c>
      <c r="AG1425" s="5"/>
      <c r="AH1425" s="5"/>
      <c r="AI1425" s="5"/>
      <c r="AJ1425" s="5"/>
      <c r="AK1425" s="141"/>
      <c r="AL1425" s="94">
        <f t="shared" si="209"/>
        <v>0.64917999999999998</v>
      </c>
      <c r="AM1425" s="128">
        <v>0.2</v>
      </c>
      <c r="AN1425" s="180">
        <v>0</v>
      </c>
      <c r="AO1425" s="128"/>
      <c r="AP1425" s="184"/>
      <c r="AQ1425" s="128"/>
      <c r="AR1425" s="184"/>
      <c r="AS1425" s="128"/>
      <c r="AT1425" s="184"/>
      <c r="AU1425" s="128"/>
      <c r="AV1425" s="184"/>
      <c r="AW1425" s="128"/>
      <c r="AX1425" s="184"/>
      <c r="AY1425" s="111">
        <f t="shared" si="207"/>
        <v>0.2</v>
      </c>
      <c r="AZ1425" s="178">
        <f t="shared" si="207"/>
        <v>0</v>
      </c>
      <c r="BC1425" s="47"/>
      <c r="BD1425" s="47"/>
      <c r="BF1425" s="113">
        <v>0.64917999999999998</v>
      </c>
      <c r="BG1425" s="113"/>
      <c r="BH1425" s="113"/>
      <c r="BI1425" s="113"/>
      <c r="BJ1425" s="113"/>
      <c r="BK1425" s="113"/>
      <c r="BL1425" s="5">
        <f t="shared" si="210"/>
        <v>0.64917999999999998</v>
      </c>
    </row>
    <row r="1426" spans="1:64" s="2" customFormat="1" ht="102" customHeight="1" outlineLevel="1" x14ac:dyDescent="0.2">
      <c r="A1426" s="6" t="s">
        <v>1181</v>
      </c>
      <c r="B1426" s="603" t="s">
        <v>2321</v>
      </c>
      <c r="C1426" s="7" t="s">
        <v>1182</v>
      </c>
      <c r="D1426" s="8" t="s">
        <v>397</v>
      </c>
      <c r="E1426" s="23" t="s">
        <v>1257</v>
      </c>
      <c r="F1426" s="8">
        <v>2013</v>
      </c>
      <c r="G1426" s="8">
        <v>2014</v>
      </c>
      <c r="H1426" s="5">
        <v>0.64917999999999998</v>
      </c>
      <c r="I1426" s="5">
        <v>0.64917999999999998</v>
      </c>
      <c r="J1426" s="5">
        <f t="shared" si="211"/>
        <v>0.64917999999999998</v>
      </c>
      <c r="K1426" s="23" t="s">
        <v>1257</v>
      </c>
      <c r="L1426" s="8"/>
      <c r="M1426" s="8"/>
      <c r="N1426" s="8"/>
      <c r="O1426" s="8"/>
      <c r="P1426" s="8"/>
      <c r="Q1426" s="23" t="s">
        <v>1257</v>
      </c>
      <c r="R1426" s="113">
        <v>0.64917999999999998</v>
      </c>
      <c r="S1426" s="113"/>
      <c r="T1426" s="113"/>
      <c r="U1426" s="113"/>
      <c r="V1426" s="113"/>
      <c r="W1426" s="113"/>
      <c r="X1426" s="94">
        <f t="shared" si="208"/>
        <v>0.64917999999999998</v>
      </c>
      <c r="Y1426" s="303"/>
      <c r="Z1426" s="5"/>
      <c r="AA1426" s="94"/>
      <c r="AB1426" s="311">
        <f t="shared" si="205"/>
        <v>0</v>
      </c>
      <c r="AC1426" s="296"/>
      <c r="AD1426" s="113"/>
      <c r="AE1426" s="5"/>
      <c r="AF1426" s="5">
        <f t="shared" si="214"/>
        <v>0.64917999999999998</v>
      </c>
      <c r="AG1426" s="5"/>
      <c r="AH1426" s="5"/>
      <c r="AI1426" s="5"/>
      <c r="AJ1426" s="5"/>
      <c r="AK1426" s="141"/>
      <c r="AL1426" s="94">
        <f t="shared" si="209"/>
        <v>0.64917999999999998</v>
      </c>
      <c r="AM1426" s="128">
        <v>1.5</v>
      </c>
      <c r="AN1426" s="180">
        <v>0</v>
      </c>
      <c r="AO1426" s="128"/>
      <c r="AP1426" s="184"/>
      <c r="AQ1426" s="128"/>
      <c r="AR1426" s="184"/>
      <c r="AS1426" s="128"/>
      <c r="AT1426" s="184"/>
      <c r="AU1426" s="128"/>
      <c r="AV1426" s="184"/>
      <c r="AW1426" s="128"/>
      <c r="AX1426" s="184"/>
      <c r="AY1426" s="111">
        <f t="shared" si="207"/>
        <v>1.5</v>
      </c>
      <c r="AZ1426" s="178">
        <f t="shared" si="207"/>
        <v>0</v>
      </c>
      <c r="BC1426" s="47"/>
      <c r="BD1426" s="47"/>
      <c r="BF1426" s="113">
        <v>0.64917999999999998</v>
      </c>
      <c r="BG1426" s="113"/>
      <c r="BH1426" s="113"/>
      <c r="BI1426" s="113"/>
      <c r="BJ1426" s="113"/>
      <c r="BK1426" s="113"/>
      <c r="BL1426" s="5">
        <f t="shared" si="210"/>
        <v>0.64917999999999998</v>
      </c>
    </row>
    <row r="1427" spans="1:64" s="2" customFormat="1" ht="76.5" outlineLevel="1" x14ac:dyDescent="0.2">
      <c r="A1427" s="6" t="s">
        <v>1183</v>
      </c>
      <c r="B1427" s="603" t="s">
        <v>2322</v>
      </c>
      <c r="C1427" s="7" t="s">
        <v>2499</v>
      </c>
      <c r="D1427" s="8" t="s">
        <v>397</v>
      </c>
      <c r="E1427" s="23" t="s">
        <v>970</v>
      </c>
      <c r="F1427" s="8">
        <v>2013</v>
      </c>
      <c r="G1427" s="8">
        <v>2014</v>
      </c>
      <c r="H1427" s="5">
        <v>0.64917999999999998</v>
      </c>
      <c r="I1427" s="5">
        <v>0.64917999999999998</v>
      </c>
      <c r="J1427" s="5">
        <f t="shared" si="211"/>
        <v>0.64917999999999998</v>
      </c>
      <c r="K1427" s="23" t="s">
        <v>970</v>
      </c>
      <c r="L1427" s="8"/>
      <c r="M1427" s="8"/>
      <c r="N1427" s="8"/>
      <c r="O1427" s="8"/>
      <c r="P1427" s="8"/>
      <c r="Q1427" s="23" t="s">
        <v>970</v>
      </c>
      <c r="R1427" s="113">
        <v>0.64917999999999998</v>
      </c>
      <c r="S1427" s="113"/>
      <c r="T1427" s="113"/>
      <c r="U1427" s="113"/>
      <c r="V1427" s="113"/>
      <c r="W1427" s="113"/>
      <c r="X1427" s="94">
        <f t="shared" si="208"/>
        <v>0.64917999999999998</v>
      </c>
      <c r="Y1427" s="303"/>
      <c r="Z1427" s="5"/>
      <c r="AA1427" s="94"/>
      <c r="AB1427" s="311">
        <f t="shared" si="205"/>
        <v>0</v>
      </c>
      <c r="AC1427" s="296"/>
      <c r="AD1427" s="113"/>
      <c r="AE1427" s="5"/>
      <c r="AF1427" s="5">
        <f t="shared" si="214"/>
        <v>0.64917999999999998</v>
      </c>
      <c r="AG1427" s="5"/>
      <c r="AH1427" s="5"/>
      <c r="AI1427" s="5"/>
      <c r="AJ1427" s="5"/>
      <c r="AK1427" s="141"/>
      <c r="AL1427" s="94">
        <f t="shared" si="209"/>
        <v>0.64917999999999998</v>
      </c>
      <c r="AM1427" s="128">
        <v>0.5</v>
      </c>
      <c r="AN1427" s="180">
        <v>0</v>
      </c>
      <c r="AO1427" s="128"/>
      <c r="AP1427" s="184"/>
      <c r="AQ1427" s="128"/>
      <c r="AR1427" s="184"/>
      <c r="AS1427" s="128"/>
      <c r="AT1427" s="184"/>
      <c r="AU1427" s="128"/>
      <c r="AV1427" s="184"/>
      <c r="AW1427" s="128"/>
      <c r="AX1427" s="184"/>
      <c r="AY1427" s="111">
        <f t="shared" si="207"/>
        <v>0.5</v>
      </c>
      <c r="AZ1427" s="178">
        <f t="shared" si="207"/>
        <v>0</v>
      </c>
      <c r="BC1427" s="47"/>
      <c r="BD1427" s="47"/>
      <c r="BF1427" s="113">
        <v>0.64917999999999998</v>
      </c>
      <c r="BG1427" s="113"/>
      <c r="BH1427" s="113"/>
      <c r="BI1427" s="113"/>
      <c r="BJ1427" s="113"/>
      <c r="BK1427" s="113"/>
      <c r="BL1427" s="5">
        <f t="shared" si="210"/>
        <v>0.64917999999999998</v>
      </c>
    </row>
    <row r="1428" spans="1:64" s="2" customFormat="1" ht="81" customHeight="1" outlineLevel="1" x14ac:dyDescent="0.2">
      <c r="A1428" s="6" t="s">
        <v>1184</v>
      </c>
      <c r="B1428" s="603" t="s">
        <v>2323</v>
      </c>
      <c r="C1428" s="7" t="s">
        <v>2500</v>
      </c>
      <c r="D1428" s="8" t="s">
        <v>397</v>
      </c>
      <c r="E1428" s="23" t="s">
        <v>22</v>
      </c>
      <c r="F1428" s="8">
        <v>2013</v>
      </c>
      <c r="G1428" s="8">
        <v>2014</v>
      </c>
      <c r="H1428" s="5">
        <v>0.64917999999999998</v>
      </c>
      <c r="I1428" s="5">
        <v>0.64917999999999998</v>
      </c>
      <c r="J1428" s="5">
        <f t="shared" si="211"/>
        <v>0.64917999999999998</v>
      </c>
      <c r="K1428" s="23" t="s">
        <v>22</v>
      </c>
      <c r="L1428" s="8"/>
      <c r="M1428" s="8"/>
      <c r="N1428" s="8"/>
      <c r="O1428" s="8"/>
      <c r="P1428" s="8"/>
      <c r="Q1428" s="23" t="s">
        <v>22</v>
      </c>
      <c r="R1428" s="113">
        <v>0.64917999999999998</v>
      </c>
      <c r="S1428" s="113"/>
      <c r="T1428" s="113"/>
      <c r="U1428" s="113"/>
      <c r="V1428" s="113"/>
      <c r="W1428" s="113"/>
      <c r="X1428" s="94">
        <f t="shared" si="208"/>
        <v>0.64917999999999998</v>
      </c>
      <c r="Y1428" s="303"/>
      <c r="Z1428" s="5"/>
      <c r="AA1428" s="94"/>
      <c r="AB1428" s="311">
        <f t="shared" si="205"/>
        <v>0</v>
      </c>
      <c r="AC1428" s="296"/>
      <c r="AD1428" s="113"/>
      <c r="AE1428" s="5"/>
      <c r="AF1428" s="5">
        <f t="shared" si="214"/>
        <v>0.64917999999999998</v>
      </c>
      <c r="AG1428" s="5"/>
      <c r="AH1428" s="5"/>
      <c r="AI1428" s="5"/>
      <c r="AJ1428" s="5"/>
      <c r="AK1428" s="141"/>
      <c r="AL1428" s="94">
        <f t="shared" si="209"/>
        <v>0.64917999999999998</v>
      </c>
      <c r="AM1428" s="128">
        <v>0.3</v>
      </c>
      <c r="AN1428" s="180">
        <v>0</v>
      </c>
      <c r="AO1428" s="128"/>
      <c r="AP1428" s="184"/>
      <c r="AQ1428" s="128"/>
      <c r="AR1428" s="184"/>
      <c r="AS1428" s="128"/>
      <c r="AT1428" s="184"/>
      <c r="AU1428" s="128"/>
      <c r="AV1428" s="184"/>
      <c r="AW1428" s="128"/>
      <c r="AX1428" s="184"/>
      <c r="AY1428" s="111">
        <f t="shared" si="207"/>
        <v>0.3</v>
      </c>
      <c r="AZ1428" s="178">
        <f t="shared" si="207"/>
        <v>0</v>
      </c>
      <c r="BC1428" s="47"/>
      <c r="BD1428" s="47"/>
      <c r="BF1428" s="113">
        <v>0.64917999999999998</v>
      </c>
      <c r="BG1428" s="113"/>
      <c r="BH1428" s="113"/>
      <c r="BI1428" s="113"/>
      <c r="BJ1428" s="113"/>
      <c r="BK1428" s="113"/>
      <c r="BL1428" s="5">
        <f t="shared" si="210"/>
        <v>0.64917999999999998</v>
      </c>
    </row>
    <row r="1429" spans="1:64" s="2" customFormat="1" ht="63" customHeight="1" outlineLevel="1" x14ac:dyDescent="0.2">
      <c r="A1429" s="6" t="s">
        <v>1185</v>
      </c>
      <c r="B1429" s="603" t="s">
        <v>2324</v>
      </c>
      <c r="C1429" s="7" t="s">
        <v>1582</v>
      </c>
      <c r="D1429" s="8" t="s">
        <v>397</v>
      </c>
      <c r="E1429" s="23" t="s">
        <v>1583</v>
      </c>
      <c r="F1429" s="8">
        <v>2013</v>
      </c>
      <c r="G1429" s="8">
        <v>2014</v>
      </c>
      <c r="H1429" s="5">
        <v>0.64917999999999998</v>
      </c>
      <c r="I1429" s="5">
        <v>0.64917999999999998</v>
      </c>
      <c r="J1429" s="5">
        <f t="shared" si="211"/>
        <v>0.64917999999999998</v>
      </c>
      <c r="K1429" s="23" t="s">
        <v>1583</v>
      </c>
      <c r="L1429" s="8"/>
      <c r="M1429" s="8"/>
      <c r="N1429" s="8"/>
      <c r="O1429" s="8"/>
      <c r="P1429" s="8"/>
      <c r="Q1429" s="23" t="s">
        <v>1583</v>
      </c>
      <c r="R1429" s="113">
        <v>0.64917999999999998</v>
      </c>
      <c r="S1429" s="113"/>
      <c r="T1429" s="113"/>
      <c r="U1429" s="113"/>
      <c r="V1429" s="113"/>
      <c r="W1429" s="113"/>
      <c r="X1429" s="94">
        <f t="shared" si="208"/>
        <v>0.64917999999999998</v>
      </c>
      <c r="Y1429" s="303"/>
      <c r="Z1429" s="5"/>
      <c r="AA1429" s="94"/>
      <c r="AB1429" s="311">
        <f t="shared" ref="AB1429:AB1457" si="215">I1429-X1429</f>
        <v>0</v>
      </c>
      <c r="AC1429" s="296"/>
      <c r="AD1429" s="113"/>
      <c r="AE1429" s="5"/>
      <c r="AF1429" s="5">
        <f t="shared" si="214"/>
        <v>0.64917999999999998</v>
      </c>
      <c r="AG1429" s="5"/>
      <c r="AH1429" s="5"/>
      <c r="AI1429" s="5"/>
      <c r="AJ1429" s="5"/>
      <c r="AK1429" s="141"/>
      <c r="AL1429" s="94">
        <f t="shared" si="209"/>
        <v>0.64917999999999998</v>
      </c>
      <c r="AM1429" s="128">
        <v>0.22</v>
      </c>
      <c r="AN1429" s="180">
        <v>1.26</v>
      </c>
      <c r="AO1429" s="128"/>
      <c r="AP1429" s="184"/>
      <c r="AQ1429" s="128"/>
      <c r="AR1429" s="184"/>
      <c r="AS1429" s="128"/>
      <c r="AT1429" s="184"/>
      <c r="AU1429" s="128"/>
      <c r="AV1429" s="184"/>
      <c r="AW1429" s="128"/>
      <c r="AX1429" s="184"/>
      <c r="AY1429" s="111">
        <f t="shared" si="207"/>
        <v>0.22</v>
      </c>
      <c r="AZ1429" s="178">
        <f t="shared" si="207"/>
        <v>1.26</v>
      </c>
      <c r="BC1429" s="47"/>
      <c r="BD1429" s="47"/>
      <c r="BF1429" s="113">
        <v>0.64917999999999998</v>
      </c>
      <c r="BG1429" s="113"/>
      <c r="BH1429" s="113"/>
      <c r="BI1429" s="113"/>
      <c r="BJ1429" s="113"/>
      <c r="BK1429" s="113"/>
      <c r="BL1429" s="5">
        <f t="shared" si="210"/>
        <v>0.64917999999999998</v>
      </c>
    </row>
    <row r="1430" spans="1:64" s="2" customFormat="1" ht="63.75" customHeight="1" outlineLevel="1" x14ac:dyDescent="0.2">
      <c r="A1430" s="6" t="s">
        <v>1186</v>
      </c>
      <c r="B1430" s="603" t="s">
        <v>2325</v>
      </c>
      <c r="C1430" s="7" t="s">
        <v>1187</v>
      </c>
      <c r="D1430" s="8" t="s">
        <v>397</v>
      </c>
      <c r="E1430" s="23" t="s">
        <v>2272</v>
      </c>
      <c r="F1430" s="8">
        <v>2013</v>
      </c>
      <c r="G1430" s="8">
        <v>2016</v>
      </c>
      <c r="H1430" s="5">
        <v>3.5615477800000002</v>
      </c>
      <c r="I1430" s="5">
        <v>3.5615477800000002</v>
      </c>
      <c r="J1430" s="5">
        <f t="shared" si="211"/>
        <v>0.64917999999999998</v>
      </c>
      <c r="K1430" s="8"/>
      <c r="L1430" s="8"/>
      <c r="M1430" s="23" t="s">
        <v>2272</v>
      </c>
      <c r="N1430" s="8"/>
      <c r="O1430" s="8"/>
      <c r="P1430" s="8"/>
      <c r="Q1430" s="23" t="s">
        <v>2272</v>
      </c>
      <c r="R1430" s="113">
        <v>0.64917999999999998</v>
      </c>
      <c r="S1430" s="113"/>
      <c r="T1430" s="113">
        <v>2.9123677800000003</v>
      </c>
      <c r="U1430" s="113"/>
      <c r="V1430" s="113"/>
      <c r="W1430" s="113"/>
      <c r="X1430" s="94">
        <f t="shared" si="208"/>
        <v>3.5615477800000002</v>
      </c>
      <c r="Y1430" s="303"/>
      <c r="Z1430" s="5"/>
      <c r="AA1430" s="94"/>
      <c r="AB1430" s="311">
        <f t="shared" si="215"/>
        <v>0</v>
      </c>
      <c r="AC1430" s="296"/>
      <c r="AD1430" s="113"/>
      <c r="AE1430" s="5"/>
      <c r="AF1430" s="5"/>
      <c r="AG1430" s="5"/>
      <c r="AH1430" s="5">
        <f>H1430</f>
        <v>3.5615477800000002</v>
      </c>
      <c r="AI1430" s="5"/>
      <c r="AJ1430" s="5"/>
      <c r="AK1430" s="141"/>
      <c r="AL1430" s="94">
        <f t="shared" si="209"/>
        <v>3.5615477800000002</v>
      </c>
      <c r="AM1430" s="128"/>
      <c r="AN1430" s="180"/>
      <c r="AO1430" s="128"/>
      <c r="AP1430" s="184"/>
      <c r="AQ1430" s="128">
        <v>1.7</v>
      </c>
      <c r="AR1430" s="184">
        <v>0</v>
      </c>
      <c r="AS1430" s="128"/>
      <c r="AT1430" s="184"/>
      <c r="AU1430" s="128"/>
      <c r="AV1430" s="184"/>
      <c r="AW1430" s="128"/>
      <c r="AX1430" s="184"/>
      <c r="AY1430" s="111">
        <f t="shared" si="207"/>
        <v>1.7</v>
      </c>
      <c r="AZ1430" s="178">
        <f t="shared" si="207"/>
        <v>0</v>
      </c>
      <c r="BC1430" s="47"/>
      <c r="BD1430" s="47"/>
      <c r="BF1430" s="113">
        <v>0.64917999999999998</v>
      </c>
      <c r="BG1430" s="113"/>
      <c r="BH1430" s="113">
        <v>2.9123677800000003</v>
      </c>
      <c r="BI1430" s="113"/>
      <c r="BJ1430" s="113"/>
      <c r="BK1430" s="113"/>
      <c r="BL1430" s="5">
        <f t="shared" si="210"/>
        <v>3.5615477800000002</v>
      </c>
    </row>
    <row r="1431" spans="1:64" s="2" customFormat="1" ht="89.25" outlineLevel="1" x14ac:dyDescent="0.2">
      <c r="A1431" s="6" t="s">
        <v>1188</v>
      </c>
      <c r="B1431" s="603" t="s">
        <v>2326</v>
      </c>
      <c r="C1431" s="7" t="s">
        <v>2651</v>
      </c>
      <c r="D1431" s="8" t="s">
        <v>397</v>
      </c>
      <c r="E1431" s="23" t="s">
        <v>26</v>
      </c>
      <c r="F1431" s="8">
        <v>2013</v>
      </c>
      <c r="G1431" s="8">
        <v>2014</v>
      </c>
      <c r="H1431" s="5">
        <v>0.64917999999999998</v>
      </c>
      <c r="I1431" s="5">
        <v>0.64917999999999998</v>
      </c>
      <c r="J1431" s="5">
        <f t="shared" si="211"/>
        <v>0.64917999999999998</v>
      </c>
      <c r="K1431" s="23" t="s">
        <v>26</v>
      </c>
      <c r="L1431" s="8"/>
      <c r="M1431" s="8"/>
      <c r="N1431" s="8"/>
      <c r="O1431" s="8"/>
      <c r="P1431" s="8"/>
      <c r="Q1431" s="23" t="s">
        <v>26</v>
      </c>
      <c r="R1431" s="113">
        <v>0.64917999999999998</v>
      </c>
      <c r="S1431" s="113"/>
      <c r="T1431" s="113"/>
      <c r="U1431" s="113"/>
      <c r="V1431" s="113"/>
      <c r="W1431" s="113"/>
      <c r="X1431" s="94">
        <f t="shared" si="208"/>
        <v>0.64917999999999998</v>
      </c>
      <c r="Y1431" s="303"/>
      <c r="Z1431" s="5"/>
      <c r="AA1431" s="94"/>
      <c r="AB1431" s="311">
        <f t="shared" si="215"/>
        <v>0</v>
      </c>
      <c r="AC1431" s="296"/>
      <c r="AD1431" s="113"/>
      <c r="AE1431" s="5"/>
      <c r="AF1431" s="5">
        <f>H1431</f>
        <v>0.64917999999999998</v>
      </c>
      <c r="AG1431" s="5"/>
      <c r="AH1431" s="5"/>
      <c r="AI1431" s="5"/>
      <c r="AJ1431" s="5"/>
      <c r="AK1431" s="141"/>
      <c r="AL1431" s="94">
        <f t="shared" si="209"/>
        <v>0.64917999999999998</v>
      </c>
      <c r="AM1431" s="128">
        <v>0.1</v>
      </c>
      <c r="AN1431" s="180">
        <v>0</v>
      </c>
      <c r="AO1431" s="128"/>
      <c r="AP1431" s="184"/>
      <c r="AQ1431" s="128"/>
      <c r="AR1431" s="184"/>
      <c r="AS1431" s="128"/>
      <c r="AT1431" s="184"/>
      <c r="AU1431" s="128"/>
      <c r="AV1431" s="184"/>
      <c r="AW1431" s="128"/>
      <c r="AX1431" s="184"/>
      <c r="AY1431" s="111">
        <f t="shared" si="207"/>
        <v>0.1</v>
      </c>
      <c r="AZ1431" s="178">
        <f t="shared" si="207"/>
        <v>0</v>
      </c>
      <c r="BC1431" s="47"/>
      <c r="BD1431" s="47"/>
      <c r="BF1431" s="113">
        <v>0.64917999999999998</v>
      </c>
      <c r="BG1431" s="113"/>
      <c r="BH1431" s="113"/>
      <c r="BI1431" s="113"/>
      <c r="BJ1431" s="113"/>
      <c r="BK1431" s="113"/>
      <c r="BL1431" s="5">
        <f t="shared" si="210"/>
        <v>0.64917999999999998</v>
      </c>
    </row>
    <row r="1432" spans="1:64" s="2" customFormat="1" ht="38.25" outlineLevel="1" x14ac:dyDescent="0.2">
      <c r="A1432" s="6" t="s">
        <v>1189</v>
      </c>
      <c r="B1432" s="603" t="s">
        <v>2327</v>
      </c>
      <c r="C1432" s="7" t="s">
        <v>1190</v>
      </c>
      <c r="D1432" s="8" t="s">
        <v>397</v>
      </c>
      <c r="E1432" s="23" t="s">
        <v>2190</v>
      </c>
      <c r="F1432" s="8">
        <v>2013</v>
      </c>
      <c r="G1432" s="8">
        <v>2014</v>
      </c>
      <c r="H1432" s="5">
        <v>0.64917999999999998</v>
      </c>
      <c r="I1432" s="5">
        <v>0.64917999999999998</v>
      </c>
      <c r="J1432" s="5">
        <f t="shared" si="211"/>
        <v>0.64917999999999998</v>
      </c>
      <c r="K1432" s="23" t="s">
        <v>2190</v>
      </c>
      <c r="L1432" s="8"/>
      <c r="M1432" s="8"/>
      <c r="N1432" s="8"/>
      <c r="O1432" s="8"/>
      <c r="P1432" s="8"/>
      <c r="Q1432" s="23" t="s">
        <v>2190</v>
      </c>
      <c r="R1432" s="113">
        <v>0.64917999999999998</v>
      </c>
      <c r="S1432" s="113"/>
      <c r="T1432" s="113"/>
      <c r="U1432" s="113"/>
      <c r="V1432" s="113"/>
      <c r="W1432" s="113"/>
      <c r="X1432" s="94">
        <f t="shared" si="208"/>
        <v>0.64917999999999998</v>
      </c>
      <c r="Y1432" s="303"/>
      <c r="Z1432" s="5"/>
      <c r="AA1432" s="94"/>
      <c r="AB1432" s="311">
        <f t="shared" si="215"/>
        <v>0</v>
      </c>
      <c r="AC1432" s="296"/>
      <c r="AD1432" s="113"/>
      <c r="AE1432" s="5"/>
      <c r="AF1432" s="5">
        <f>H1432</f>
        <v>0.64917999999999998</v>
      </c>
      <c r="AG1432" s="5"/>
      <c r="AH1432" s="5"/>
      <c r="AI1432" s="5"/>
      <c r="AJ1432" s="5"/>
      <c r="AK1432" s="141"/>
      <c r="AL1432" s="94">
        <f t="shared" si="209"/>
        <v>0.64917999999999998</v>
      </c>
      <c r="AM1432" s="128">
        <v>1</v>
      </c>
      <c r="AN1432" s="180">
        <v>0</v>
      </c>
      <c r="AO1432" s="128"/>
      <c r="AP1432" s="184"/>
      <c r="AQ1432" s="128"/>
      <c r="AR1432" s="184"/>
      <c r="AS1432" s="128"/>
      <c r="AT1432" s="184"/>
      <c r="AU1432" s="128"/>
      <c r="AV1432" s="184"/>
      <c r="AW1432" s="128"/>
      <c r="AX1432" s="184"/>
      <c r="AY1432" s="111">
        <f t="shared" si="207"/>
        <v>1</v>
      </c>
      <c r="AZ1432" s="178">
        <f t="shared" si="207"/>
        <v>0</v>
      </c>
      <c r="BC1432" s="47"/>
      <c r="BD1432" s="47"/>
      <c r="BF1432" s="113">
        <v>0.64917999999999998</v>
      </c>
      <c r="BG1432" s="113"/>
      <c r="BH1432" s="113"/>
      <c r="BI1432" s="113"/>
      <c r="BJ1432" s="113"/>
      <c r="BK1432" s="113"/>
      <c r="BL1432" s="5">
        <f t="shared" si="210"/>
        <v>0.64917999999999998</v>
      </c>
    </row>
    <row r="1433" spans="1:64" s="2" customFormat="1" ht="318.75" customHeight="1" outlineLevel="1" x14ac:dyDescent="0.2">
      <c r="A1433" s="6" t="s">
        <v>2267</v>
      </c>
      <c r="B1433" s="603" t="s">
        <v>2328</v>
      </c>
      <c r="C1433" s="7" t="s">
        <v>2268</v>
      </c>
      <c r="D1433" s="8" t="s">
        <v>397</v>
      </c>
      <c r="E1433" s="23" t="s">
        <v>1584</v>
      </c>
      <c r="F1433" s="8">
        <v>2013</v>
      </c>
      <c r="G1433" s="8">
        <v>2016</v>
      </c>
      <c r="H1433" s="5">
        <v>4.3760000000000003</v>
      </c>
      <c r="I1433" s="5">
        <v>4.3760000000000003</v>
      </c>
      <c r="J1433" s="5">
        <f t="shared" si="211"/>
        <v>0.64917999999999998</v>
      </c>
      <c r="K1433" s="8"/>
      <c r="L1433" s="8"/>
      <c r="M1433" s="23" t="s">
        <v>1584</v>
      </c>
      <c r="N1433" s="8"/>
      <c r="O1433" s="8"/>
      <c r="P1433" s="8"/>
      <c r="Q1433" s="23" t="s">
        <v>1584</v>
      </c>
      <c r="R1433" s="113">
        <v>0.64917999999999998</v>
      </c>
      <c r="S1433" s="113"/>
      <c r="T1433" s="113">
        <v>3.7268200000000005</v>
      </c>
      <c r="U1433" s="113"/>
      <c r="V1433" s="113"/>
      <c r="W1433" s="113"/>
      <c r="X1433" s="94">
        <f t="shared" si="208"/>
        <v>4.3760000000000003</v>
      </c>
      <c r="Y1433" s="303"/>
      <c r="Z1433" s="5"/>
      <c r="AA1433" s="94"/>
      <c r="AB1433" s="311">
        <f t="shared" si="215"/>
        <v>0</v>
      </c>
      <c r="AC1433" s="296"/>
      <c r="AD1433" s="113"/>
      <c r="AE1433" s="5"/>
      <c r="AF1433" s="5"/>
      <c r="AG1433" s="5"/>
      <c r="AH1433" s="5">
        <f>H1433</f>
        <v>4.3760000000000003</v>
      </c>
      <c r="AI1433" s="5"/>
      <c r="AJ1433" s="5"/>
      <c r="AK1433" s="141"/>
      <c r="AL1433" s="94">
        <f t="shared" si="209"/>
        <v>4.3760000000000003</v>
      </c>
      <c r="AM1433" s="128"/>
      <c r="AN1433" s="180"/>
      <c r="AO1433" s="128"/>
      <c r="AP1433" s="184"/>
      <c r="AQ1433" s="128">
        <v>5</v>
      </c>
      <c r="AR1433" s="184">
        <v>0.4</v>
      </c>
      <c r="AS1433" s="128"/>
      <c r="AT1433" s="184"/>
      <c r="AU1433" s="128"/>
      <c r="AV1433" s="184"/>
      <c r="AW1433" s="128"/>
      <c r="AX1433" s="184"/>
      <c r="AY1433" s="111">
        <f t="shared" si="207"/>
        <v>5</v>
      </c>
      <c r="AZ1433" s="178">
        <f t="shared" si="207"/>
        <v>0.4</v>
      </c>
      <c r="BC1433" s="47"/>
      <c r="BD1433" s="47"/>
      <c r="BF1433" s="113">
        <v>0.64917999999999998</v>
      </c>
      <c r="BG1433" s="113"/>
      <c r="BH1433" s="113">
        <v>3.7268200000000005</v>
      </c>
      <c r="BI1433" s="113"/>
      <c r="BJ1433" s="113"/>
      <c r="BK1433" s="113"/>
      <c r="BL1433" s="5">
        <f t="shared" si="210"/>
        <v>4.3760000000000003</v>
      </c>
    </row>
    <row r="1434" spans="1:64" s="2" customFormat="1" ht="76.5" customHeight="1" outlineLevel="1" x14ac:dyDescent="0.2">
      <c r="A1434" s="6" t="s">
        <v>2269</v>
      </c>
      <c r="B1434" s="603" t="s">
        <v>2329</v>
      </c>
      <c r="C1434" s="7" t="s">
        <v>2652</v>
      </c>
      <c r="D1434" s="8" t="s">
        <v>397</v>
      </c>
      <c r="E1434" s="23" t="s">
        <v>342</v>
      </c>
      <c r="F1434" s="8">
        <v>2013</v>
      </c>
      <c r="G1434" s="8">
        <v>2016</v>
      </c>
      <c r="H1434" s="5">
        <v>0.7</v>
      </c>
      <c r="I1434" s="5">
        <v>0.7</v>
      </c>
      <c r="J1434" s="5">
        <f t="shared" si="211"/>
        <v>0.64917999999999998</v>
      </c>
      <c r="K1434" s="8"/>
      <c r="L1434" s="8"/>
      <c r="M1434" s="23" t="s">
        <v>342</v>
      </c>
      <c r="N1434" s="8"/>
      <c r="O1434" s="8"/>
      <c r="P1434" s="8"/>
      <c r="Q1434" s="23" t="s">
        <v>342</v>
      </c>
      <c r="R1434" s="113">
        <v>0.64917999999999998</v>
      </c>
      <c r="S1434" s="113"/>
      <c r="T1434" s="113">
        <v>5.0819999999999976E-2</v>
      </c>
      <c r="U1434" s="113"/>
      <c r="V1434" s="113"/>
      <c r="W1434" s="113"/>
      <c r="X1434" s="94">
        <f t="shared" si="208"/>
        <v>0.7</v>
      </c>
      <c r="Y1434" s="303"/>
      <c r="Z1434" s="5"/>
      <c r="AA1434" s="94"/>
      <c r="AB1434" s="311">
        <f t="shared" si="215"/>
        <v>0</v>
      </c>
      <c r="AC1434" s="296"/>
      <c r="AD1434" s="113"/>
      <c r="AE1434" s="5"/>
      <c r="AF1434" s="5"/>
      <c r="AG1434" s="5"/>
      <c r="AH1434" s="5">
        <f>H1434</f>
        <v>0.7</v>
      </c>
      <c r="AI1434" s="5"/>
      <c r="AJ1434" s="5"/>
      <c r="AK1434" s="141"/>
      <c r="AL1434" s="94">
        <f t="shared" si="209"/>
        <v>0.7</v>
      </c>
      <c r="AM1434" s="128"/>
      <c r="AN1434" s="180"/>
      <c r="AO1434" s="128"/>
      <c r="AP1434" s="184"/>
      <c r="AQ1434" s="128">
        <v>0.7</v>
      </c>
      <c r="AR1434" s="184">
        <v>0</v>
      </c>
      <c r="AS1434" s="128"/>
      <c r="AT1434" s="184"/>
      <c r="AU1434" s="128"/>
      <c r="AV1434" s="184"/>
      <c r="AW1434" s="128"/>
      <c r="AX1434" s="184"/>
      <c r="AY1434" s="111">
        <f t="shared" si="207"/>
        <v>0.7</v>
      </c>
      <c r="AZ1434" s="178">
        <f t="shared" si="207"/>
        <v>0</v>
      </c>
      <c r="BC1434" s="47"/>
      <c r="BD1434" s="47"/>
      <c r="BF1434" s="113">
        <v>0.64917999999999998</v>
      </c>
      <c r="BG1434" s="113"/>
      <c r="BH1434" s="113">
        <v>5.0819999999999976E-2</v>
      </c>
      <c r="BI1434" s="113"/>
      <c r="BJ1434" s="113"/>
      <c r="BK1434" s="113"/>
      <c r="BL1434" s="5">
        <f t="shared" si="210"/>
        <v>0.7</v>
      </c>
    </row>
    <row r="1435" spans="1:64" s="2" customFormat="1" ht="63.75" customHeight="1" outlineLevel="1" x14ac:dyDescent="0.2">
      <c r="A1435" s="6" t="s">
        <v>2270</v>
      </c>
      <c r="B1435" s="603" t="s">
        <v>2330</v>
      </c>
      <c r="C1435" s="7" t="s">
        <v>2271</v>
      </c>
      <c r="D1435" s="8" t="s">
        <v>397</v>
      </c>
      <c r="E1435" s="23" t="s">
        <v>963</v>
      </c>
      <c r="F1435" s="8">
        <v>2013</v>
      </c>
      <c r="G1435" s="8">
        <v>2015</v>
      </c>
      <c r="H1435" s="5">
        <v>1.3</v>
      </c>
      <c r="I1435" s="5">
        <v>1.3</v>
      </c>
      <c r="J1435" s="5">
        <f t="shared" si="211"/>
        <v>0.54918</v>
      </c>
      <c r="K1435" s="8"/>
      <c r="L1435" s="23" t="s">
        <v>963</v>
      </c>
      <c r="M1435" s="8"/>
      <c r="N1435" s="8"/>
      <c r="O1435" s="8"/>
      <c r="P1435" s="8"/>
      <c r="Q1435" s="23" t="s">
        <v>963</v>
      </c>
      <c r="R1435" s="113">
        <v>0.54918</v>
      </c>
      <c r="S1435" s="113">
        <f>I1435-R1435</f>
        <v>0.75082000000000004</v>
      </c>
      <c r="T1435" s="113"/>
      <c r="U1435" s="113"/>
      <c r="V1435" s="113"/>
      <c r="W1435" s="113"/>
      <c r="X1435" s="94">
        <f t="shared" si="208"/>
        <v>1.3</v>
      </c>
      <c r="Y1435" s="303"/>
      <c r="Z1435" s="5"/>
      <c r="AA1435" s="94"/>
      <c r="AB1435" s="311">
        <f t="shared" si="215"/>
        <v>0</v>
      </c>
      <c r="AC1435" s="296"/>
      <c r="AD1435" s="113"/>
      <c r="AE1435" s="5"/>
      <c r="AF1435" s="5"/>
      <c r="AG1435" s="5">
        <f>H1435</f>
        <v>1.3</v>
      </c>
      <c r="AH1435" s="5"/>
      <c r="AI1435" s="5"/>
      <c r="AJ1435" s="5"/>
      <c r="AK1435" s="141"/>
      <c r="AL1435" s="94">
        <f t="shared" si="209"/>
        <v>1.3</v>
      </c>
      <c r="AM1435" s="128"/>
      <c r="AN1435" s="180"/>
      <c r="AO1435" s="128">
        <v>1</v>
      </c>
      <c r="AP1435" s="184">
        <v>0</v>
      </c>
      <c r="AQ1435" s="128"/>
      <c r="AR1435" s="184"/>
      <c r="AS1435" s="128"/>
      <c r="AT1435" s="184"/>
      <c r="AU1435" s="128"/>
      <c r="AV1435" s="184"/>
      <c r="AW1435" s="128"/>
      <c r="AX1435" s="184"/>
      <c r="AY1435" s="111">
        <f t="shared" si="207"/>
        <v>1</v>
      </c>
      <c r="AZ1435" s="178">
        <f t="shared" si="207"/>
        <v>0</v>
      </c>
      <c r="BC1435" s="47"/>
      <c r="BD1435" s="47"/>
      <c r="BF1435" s="113">
        <v>0.64917999999999998</v>
      </c>
      <c r="BG1435" s="113">
        <v>0.65082000000000007</v>
      </c>
      <c r="BH1435" s="113"/>
      <c r="BI1435" s="113"/>
      <c r="BJ1435" s="113"/>
      <c r="BK1435" s="113"/>
      <c r="BL1435" s="5">
        <f t="shared" si="210"/>
        <v>1.3</v>
      </c>
    </row>
    <row r="1436" spans="1:64" s="2" customFormat="1" ht="77.25" customHeight="1" outlineLevel="1" x14ac:dyDescent="0.2">
      <c r="A1436" s="6" t="s">
        <v>2273</v>
      </c>
      <c r="B1436" s="603" t="s">
        <v>2331</v>
      </c>
      <c r="C1436" s="7" t="s">
        <v>2274</v>
      </c>
      <c r="D1436" s="8" t="s">
        <v>397</v>
      </c>
      <c r="E1436" s="23" t="s">
        <v>1585</v>
      </c>
      <c r="F1436" s="8">
        <v>2013</v>
      </c>
      <c r="G1436" s="8">
        <v>2015</v>
      </c>
      <c r="H1436" s="5">
        <v>2.48</v>
      </c>
      <c r="I1436" s="5">
        <v>2.48</v>
      </c>
      <c r="J1436" s="5">
        <f t="shared" si="211"/>
        <v>0.64917999999999998</v>
      </c>
      <c r="K1436" s="8"/>
      <c r="L1436" s="23" t="s">
        <v>1585</v>
      </c>
      <c r="M1436" s="8"/>
      <c r="N1436" s="8"/>
      <c r="O1436" s="8"/>
      <c r="P1436" s="8"/>
      <c r="Q1436" s="23" t="s">
        <v>1585</v>
      </c>
      <c r="R1436" s="113">
        <v>0.64917999999999998</v>
      </c>
      <c r="S1436" s="113">
        <f>I1436-R1436</f>
        <v>1.8308200000000001</v>
      </c>
      <c r="T1436" s="113"/>
      <c r="U1436" s="113"/>
      <c r="V1436" s="113"/>
      <c r="W1436" s="113"/>
      <c r="X1436" s="94">
        <f t="shared" si="208"/>
        <v>2.48</v>
      </c>
      <c r="Y1436" s="303"/>
      <c r="Z1436" s="5"/>
      <c r="AA1436" s="94"/>
      <c r="AB1436" s="311">
        <f t="shared" si="215"/>
        <v>0</v>
      </c>
      <c r="AC1436" s="296"/>
      <c r="AD1436" s="113"/>
      <c r="AE1436" s="5"/>
      <c r="AF1436" s="5"/>
      <c r="AG1436" s="5">
        <f>H1436</f>
        <v>2.48</v>
      </c>
      <c r="AH1436" s="5"/>
      <c r="AI1436" s="5"/>
      <c r="AJ1436" s="5"/>
      <c r="AK1436" s="141"/>
      <c r="AL1436" s="94">
        <f t="shared" si="209"/>
        <v>2.48</v>
      </c>
      <c r="AM1436" s="128"/>
      <c r="AN1436" s="180"/>
      <c r="AO1436" s="128">
        <v>0.14000000000000001</v>
      </c>
      <c r="AP1436" s="184">
        <v>0</v>
      </c>
      <c r="AQ1436" s="128"/>
      <c r="AR1436" s="184"/>
      <c r="AS1436" s="128"/>
      <c r="AT1436" s="184"/>
      <c r="AU1436" s="128"/>
      <c r="AV1436" s="184"/>
      <c r="AW1436" s="128"/>
      <c r="AX1436" s="184"/>
      <c r="AY1436" s="111">
        <f t="shared" si="207"/>
        <v>0.14000000000000001</v>
      </c>
      <c r="AZ1436" s="178">
        <f t="shared" si="207"/>
        <v>0</v>
      </c>
      <c r="BC1436" s="47"/>
      <c r="BD1436" s="47"/>
      <c r="BF1436" s="113">
        <v>0.64917999999999998</v>
      </c>
      <c r="BG1436" s="113">
        <v>1.8308200000000001</v>
      </c>
      <c r="BH1436" s="113"/>
      <c r="BI1436" s="113"/>
      <c r="BJ1436" s="113"/>
      <c r="BK1436" s="113"/>
      <c r="BL1436" s="5">
        <f t="shared" si="210"/>
        <v>2.48</v>
      </c>
    </row>
    <row r="1437" spans="1:64" s="2" customFormat="1" ht="51.95" customHeight="1" outlineLevel="1" x14ac:dyDescent="0.2">
      <c r="A1437" s="6" t="s">
        <v>2275</v>
      </c>
      <c r="B1437" s="603" t="s">
        <v>2332</v>
      </c>
      <c r="C1437" s="7" t="s">
        <v>2653</v>
      </c>
      <c r="D1437" s="8" t="s">
        <v>397</v>
      </c>
      <c r="E1437" s="23" t="s">
        <v>1586</v>
      </c>
      <c r="F1437" s="8">
        <v>2013</v>
      </c>
      <c r="G1437" s="8">
        <v>2015</v>
      </c>
      <c r="H1437" s="5">
        <v>0.6</v>
      </c>
      <c r="I1437" s="5">
        <v>0.6</v>
      </c>
      <c r="J1437" s="5">
        <f t="shared" si="211"/>
        <v>0.45917999999999998</v>
      </c>
      <c r="K1437" s="8"/>
      <c r="L1437" s="23" t="s">
        <v>1586</v>
      </c>
      <c r="M1437" s="8"/>
      <c r="N1437" s="8"/>
      <c r="O1437" s="8"/>
      <c r="P1437" s="8"/>
      <c r="Q1437" s="23" t="s">
        <v>1586</v>
      </c>
      <c r="R1437" s="113">
        <v>0.45917999999999998</v>
      </c>
      <c r="S1437" s="113">
        <f>I1437-R1437</f>
        <v>0.14082</v>
      </c>
      <c r="T1437" s="113"/>
      <c r="U1437" s="113"/>
      <c r="V1437" s="113"/>
      <c r="W1437" s="113"/>
      <c r="X1437" s="94">
        <f t="shared" si="208"/>
        <v>0.6</v>
      </c>
      <c r="Y1437" s="303"/>
      <c r="Z1437" s="5"/>
      <c r="AA1437" s="94"/>
      <c r="AB1437" s="311">
        <f t="shared" si="215"/>
        <v>0</v>
      </c>
      <c r="AC1437" s="296"/>
      <c r="AD1437" s="113"/>
      <c r="AE1437" s="5"/>
      <c r="AF1437" s="5"/>
      <c r="AG1437" s="5">
        <f>H1437</f>
        <v>0.6</v>
      </c>
      <c r="AH1437" s="5"/>
      <c r="AI1437" s="5"/>
      <c r="AJ1437" s="5"/>
      <c r="AK1437" s="141"/>
      <c r="AL1437" s="94">
        <f t="shared" si="209"/>
        <v>0.6</v>
      </c>
      <c r="AM1437" s="128"/>
      <c r="AN1437" s="180"/>
      <c r="AO1437" s="128">
        <v>0.4</v>
      </c>
      <c r="AP1437" s="184">
        <v>0</v>
      </c>
      <c r="AQ1437" s="128"/>
      <c r="AR1437" s="184"/>
      <c r="AS1437" s="128"/>
      <c r="AT1437" s="184"/>
      <c r="AU1437" s="128"/>
      <c r="AV1437" s="184"/>
      <c r="AW1437" s="128"/>
      <c r="AX1437" s="184"/>
      <c r="AY1437" s="111">
        <f t="shared" si="207"/>
        <v>0.4</v>
      </c>
      <c r="AZ1437" s="178">
        <f t="shared" si="207"/>
        <v>0</v>
      </c>
      <c r="BC1437" s="47"/>
      <c r="BD1437" s="47"/>
      <c r="BF1437" s="113">
        <v>0.45917999999999998</v>
      </c>
      <c r="BG1437" s="113">
        <v>0.14082</v>
      </c>
      <c r="BH1437" s="113"/>
      <c r="BI1437" s="113"/>
      <c r="BJ1437" s="113"/>
      <c r="BK1437" s="113"/>
      <c r="BL1437" s="5">
        <f t="shared" si="210"/>
        <v>0.6</v>
      </c>
    </row>
    <row r="1438" spans="1:64" s="2" customFormat="1" ht="38.25" customHeight="1" outlineLevel="1" x14ac:dyDescent="0.2">
      <c r="A1438" s="6" t="s">
        <v>2276</v>
      </c>
      <c r="B1438" s="603" t="s">
        <v>2333</v>
      </c>
      <c r="C1438" s="7" t="s">
        <v>2277</v>
      </c>
      <c r="D1438" s="8" t="s">
        <v>397</v>
      </c>
      <c r="E1438" s="23" t="s">
        <v>340</v>
      </c>
      <c r="F1438" s="8">
        <v>2013</v>
      </c>
      <c r="G1438" s="8">
        <v>2015</v>
      </c>
      <c r="H1438" s="5">
        <v>0.25</v>
      </c>
      <c r="I1438" s="5">
        <v>0.25</v>
      </c>
      <c r="J1438" s="5">
        <f t="shared" si="211"/>
        <v>0.01</v>
      </c>
      <c r="K1438" s="8"/>
      <c r="L1438" s="23" t="s">
        <v>340</v>
      </c>
      <c r="M1438" s="8"/>
      <c r="N1438" s="8"/>
      <c r="O1438" s="8"/>
      <c r="P1438" s="8"/>
      <c r="Q1438" s="23" t="s">
        <v>340</v>
      </c>
      <c r="R1438" s="113">
        <v>0.01</v>
      </c>
      <c r="S1438" s="113">
        <f>I1438-R1438</f>
        <v>0.24</v>
      </c>
      <c r="T1438" s="113"/>
      <c r="U1438" s="113"/>
      <c r="V1438" s="113"/>
      <c r="W1438" s="113"/>
      <c r="X1438" s="94">
        <f t="shared" si="208"/>
        <v>0.25</v>
      </c>
      <c r="Y1438" s="303"/>
      <c r="Z1438" s="5"/>
      <c r="AA1438" s="94"/>
      <c r="AB1438" s="311">
        <f t="shared" si="215"/>
        <v>0</v>
      </c>
      <c r="AC1438" s="296"/>
      <c r="AD1438" s="113"/>
      <c r="AE1438" s="5"/>
      <c r="AF1438" s="5"/>
      <c r="AG1438" s="5">
        <f>H1438</f>
        <v>0.25</v>
      </c>
      <c r="AH1438" s="5"/>
      <c r="AI1438" s="5"/>
      <c r="AJ1438" s="5"/>
      <c r="AK1438" s="141"/>
      <c r="AL1438" s="94">
        <f t="shared" si="209"/>
        <v>0.25</v>
      </c>
      <c r="AM1438" s="128"/>
      <c r="AN1438" s="180"/>
      <c r="AO1438" s="128">
        <v>0.2</v>
      </c>
      <c r="AP1438" s="184">
        <v>0</v>
      </c>
      <c r="AQ1438" s="128"/>
      <c r="AR1438" s="184"/>
      <c r="AS1438" s="128"/>
      <c r="AT1438" s="184"/>
      <c r="AU1438" s="128"/>
      <c r="AV1438" s="184"/>
      <c r="AW1438" s="128"/>
      <c r="AX1438" s="184"/>
      <c r="AY1438" s="111">
        <f t="shared" si="207"/>
        <v>0.2</v>
      </c>
      <c r="AZ1438" s="178">
        <f t="shared" si="207"/>
        <v>0</v>
      </c>
      <c r="BC1438" s="47"/>
      <c r="BD1438" s="47"/>
      <c r="BF1438" s="113">
        <v>0.01</v>
      </c>
      <c r="BG1438" s="113">
        <v>0.24</v>
      </c>
      <c r="BH1438" s="113"/>
      <c r="BI1438" s="113"/>
      <c r="BJ1438" s="113"/>
      <c r="BK1438" s="113"/>
      <c r="BL1438" s="5">
        <f t="shared" si="210"/>
        <v>0.25</v>
      </c>
    </row>
    <row r="1439" spans="1:64" s="2" customFormat="1" ht="51.95" customHeight="1" outlineLevel="1" x14ac:dyDescent="0.2">
      <c r="A1439" s="6" t="s">
        <v>2278</v>
      </c>
      <c r="B1439" s="603" t="s">
        <v>2334</v>
      </c>
      <c r="C1439" s="7" t="s">
        <v>1862</v>
      </c>
      <c r="D1439" s="8" t="s">
        <v>397</v>
      </c>
      <c r="E1439" s="23" t="s">
        <v>2427</v>
      </c>
      <c r="F1439" s="8">
        <v>2013</v>
      </c>
      <c r="G1439" s="8">
        <v>2016</v>
      </c>
      <c r="H1439" s="5">
        <v>1.014</v>
      </c>
      <c r="I1439" s="5">
        <v>1.014</v>
      </c>
      <c r="J1439" s="5">
        <f t="shared" si="211"/>
        <v>0.01</v>
      </c>
      <c r="K1439" s="8"/>
      <c r="L1439" s="8"/>
      <c r="M1439" s="23" t="s">
        <v>2427</v>
      </c>
      <c r="N1439" s="8"/>
      <c r="O1439" s="8"/>
      <c r="P1439" s="8"/>
      <c r="Q1439" s="23" t="s">
        <v>2427</v>
      </c>
      <c r="R1439" s="113">
        <v>0.01</v>
      </c>
      <c r="S1439" s="113"/>
      <c r="T1439" s="113">
        <v>1.004</v>
      </c>
      <c r="U1439" s="113"/>
      <c r="V1439" s="113"/>
      <c r="W1439" s="113"/>
      <c r="X1439" s="94">
        <f t="shared" si="208"/>
        <v>1.014</v>
      </c>
      <c r="Y1439" s="303"/>
      <c r="Z1439" s="5"/>
      <c r="AA1439" s="94"/>
      <c r="AB1439" s="311">
        <f t="shared" si="215"/>
        <v>0</v>
      </c>
      <c r="AC1439" s="296"/>
      <c r="AD1439" s="113"/>
      <c r="AE1439" s="5"/>
      <c r="AF1439" s="5"/>
      <c r="AG1439" s="5"/>
      <c r="AH1439" s="5">
        <f>H1439</f>
        <v>1.014</v>
      </c>
      <c r="AI1439" s="5"/>
      <c r="AJ1439" s="5"/>
      <c r="AK1439" s="141"/>
      <c r="AL1439" s="94">
        <f t="shared" si="209"/>
        <v>1.014</v>
      </c>
      <c r="AM1439" s="128"/>
      <c r="AN1439" s="180"/>
      <c r="AO1439" s="128"/>
      <c r="AP1439" s="184"/>
      <c r="AQ1439" s="128">
        <v>1.36</v>
      </c>
      <c r="AR1439" s="184">
        <v>0.1</v>
      </c>
      <c r="AS1439" s="128"/>
      <c r="AT1439" s="184"/>
      <c r="AU1439" s="128"/>
      <c r="AV1439" s="184"/>
      <c r="AW1439" s="128"/>
      <c r="AX1439" s="184"/>
      <c r="AY1439" s="111">
        <f t="shared" si="207"/>
        <v>1.36</v>
      </c>
      <c r="AZ1439" s="178">
        <f t="shared" si="207"/>
        <v>0.1</v>
      </c>
      <c r="BC1439" s="47"/>
      <c r="BD1439" s="47"/>
      <c r="BF1439" s="113">
        <v>0.01</v>
      </c>
      <c r="BG1439" s="113"/>
      <c r="BH1439" s="113">
        <v>1.004</v>
      </c>
      <c r="BI1439" s="113"/>
      <c r="BJ1439" s="113"/>
      <c r="BK1439" s="113"/>
      <c r="BL1439" s="5">
        <f t="shared" si="210"/>
        <v>1.014</v>
      </c>
    </row>
    <row r="1440" spans="1:64" s="2" customFormat="1" ht="39" customHeight="1" outlineLevel="1" x14ac:dyDescent="0.2">
      <c r="A1440" s="6" t="s">
        <v>2279</v>
      </c>
      <c r="B1440" s="603" t="s">
        <v>2335</v>
      </c>
      <c r="C1440" s="7" t="s">
        <v>1864</v>
      </c>
      <c r="D1440" s="8" t="s">
        <v>397</v>
      </c>
      <c r="E1440" s="23" t="s">
        <v>22</v>
      </c>
      <c r="F1440" s="8">
        <v>2013</v>
      </c>
      <c r="G1440" s="8">
        <v>2016</v>
      </c>
      <c r="H1440" s="5">
        <v>0.67200000000000004</v>
      </c>
      <c r="I1440" s="5">
        <v>0.67200000000000004</v>
      </c>
      <c r="J1440" s="5">
        <f t="shared" si="211"/>
        <v>0.01</v>
      </c>
      <c r="K1440" s="8"/>
      <c r="L1440" s="8"/>
      <c r="M1440" s="23" t="s">
        <v>22</v>
      </c>
      <c r="N1440" s="8"/>
      <c r="O1440" s="8"/>
      <c r="P1440" s="8"/>
      <c r="Q1440" s="23" t="s">
        <v>22</v>
      </c>
      <c r="R1440" s="113">
        <v>0.01</v>
      </c>
      <c r="S1440" s="113"/>
      <c r="T1440" s="113">
        <v>0.66200000000000003</v>
      </c>
      <c r="U1440" s="113"/>
      <c r="V1440" s="113"/>
      <c r="W1440" s="113"/>
      <c r="X1440" s="94">
        <f t="shared" si="208"/>
        <v>0.67200000000000004</v>
      </c>
      <c r="Y1440" s="303"/>
      <c r="Z1440" s="5"/>
      <c r="AA1440" s="94"/>
      <c r="AB1440" s="311">
        <f t="shared" si="215"/>
        <v>0</v>
      </c>
      <c r="AC1440" s="296"/>
      <c r="AD1440" s="113"/>
      <c r="AE1440" s="5"/>
      <c r="AF1440" s="5"/>
      <c r="AG1440" s="5"/>
      <c r="AH1440" s="5">
        <f>H1440</f>
        <v>0.67200000000000004</v>
      </c>
      <c r="AI1440" s="5"/>
      <c r="AJ1440" s="5"/>
      <c r="AK1440" s="141"/>
      <c r="AL1440" s="94">
        <f t="shared" si="209"/>
        <v>0.67200000000000004</v>
      </c>
      <c r="AM1440" s="128"/>
      <c r="AN1440" s="180"/>
      <c r="AO1440" s="128"/>
      <c r="AP1440" s="184"/>
      <c r="AQ1440" s="128">
        <v>0.3</v>
      </c>
      <c r="AR1440" s="184">
        <v>0</v>
      </c>
      <c r="AS1440" s="128"/>
      <c r="AT1440" s="184"/>
      <c r="AU1440" s="128"/>
      <c r="AV1440" s="184"/>
      <c r="AW1440" s="128"/>
      <c r="AX1440" s="184"/>
      <c r="AY1440" s="111">
        <f t="shared" si="207"/>
        <v>0.3</v>
      </c>
      <c r="AZ1440" s="178">
        <f t="shared" si="207"/>
        <v>0</v>
      </c>
      <c r="BC1440" s="47"/>
      <c r="BD1440" s="47"/>
      <c r="BF1440" s="113">
        <v>0.01</v>
      </c>
      <c r="BG1440" s="113"/>
      <c r="BH1440" s="113">
        <v>0.66200000000000003</v>
      </c>
      <c r="BI1440" s="113"/>
      <c r="BJ1440" s="113"/>
      <c r="BK1440" s="113"/>
      <c r="BL1440" s="5">
        <f t="shared" si="210"/>
        <v>0.67200000000000004</v>
      </c>
    </row>
    <row r="1441" spans="1:64" s="2" customFormat="1" ht="51.95" customHeight="1" outlineLevel="1" x14ac:dyDescent="0.2">
      <c r="A1441" s="6" t="s">
        <v>2280</v>
      </c>
      <c r="B1441" s="603" t="s">
        <v>2336</v>
      </c>
      <c r="C1441" s="7" t="s">
        <v>2281</v>
      </c>
      <c r="D1441" s="8" t="s">
        <v>397</v>
      </c>
      <c r="E1441" s="23" t="s">
        <v>29</v>
      </c>
      <c r="F1441" s="8">
        <v>2013</v>
      </c>
      <c r="G1441" s="8">
        <v>2016</v>
      </c>
      <c r="H1441" s="5">
        <v>0.52</v>
      </c>
      <c r="I1441" s="5">
        <v>0.52</v>
      </c>
      <c r="J1441" s="5">
        <f t="shared" si="211"/>
        <v>0.01</v>
      </c>
      <c r="K1441" s="8"/>
      <c r="L1441" s="8"/>
      <c r="M1441" s="23" t="s">
        <v>29</v>
      </c>
      <c r="N1441" s="8"/>
      <c r="O1441" s="8"/>
      <c r="P1441" s="8"/>
      <c r="Q1441" s="23" t="s">
        <v>29</v>
      </c>
      <c r="R1441" s="113">
        <v>0.01</v>
      </c>
      <c r="S1441" s="113"/>
      <c r="T1441" s="113">
        <v>0.51</v>
      </c>
      <c r="U1441" s="113"/>
      <c r="V1441" s="113"/>
      <c r="W1441" s="113"/>
      <c r="X1441" s="94">
        <f t="shared" si="208"/>
        <v>0.52</v>
      </c>
      <c r="Y1441" s="303"/>
      <c r="Z1441" s="5"/>
      <c r="AA1441" s="94"/>
      <c r="AB1441" s="311">
        <f t="shared" si="215"/>
        <v>0</v>
      </c>
      <c r="AC1441" s="296"/>
      <c r="AD1441" s="113"/>
      <c r="AE1441" s="5"/>
      <c r="AF1441" s="5"/>
      <c r="AG1441" s="5"/>
      <c r="AH1441" s="5">
        <f>H1441</f>
        <v>0.52</v>
      </c>
      <c r="AI1441" s="5"/>
      <c r="AJ1441" s="5"/>
      <c r="AK1441" s="141"/>
      <c r="AL1441" s="94">
        <f t="shared" si="209"/>
        <v>0.52</v>
      </c>
      <c r="AM1441" s="128"/>
      <c r="AN1441" s="180"/>
      <c r="AO1441" s="128"/>
      <c r="AP1441" s="184"/>
      <c r="AQ1441" s="128">
        <v>0.4</v>
      </c>
      <c r="AR1441" s="184">
        <v>0</v>
      </c>
      <c r="AS1441" s="128"/>
      <c r="AT1441" s="184"/>
      <c r="AU1441" s="128"/>
      <c r="AV1441" s="184"/>
      <c r="AW1441" s="128"/>
      <c r="AX1441" s="184"/>
      <c r="AY1441" s="111">
        <f t="shared" si="207"/>
        <v>0.4</v>
      </c>
      <c r="AZ1441" s="178">
        <f t="shared" si="207"/>
        <v>0</v>
      </c>
      <c r="BC1441" s="47"/>
      <c r="BD1441" s="47"/>
      <c r="BF1441" s="113">
        <v>0.01</v>
      </c>
      <c r="BG1441" s="113"/>
      <c r="BH1441" s="113">
        <v>0.51</v>
      </c>
      <c r="BI1441" s="113"/>
      <c r="BJ1441" s="113"/>
      <c r="BK1441" s="113"/>
      <c r="BL1441" s="5">
        <f t="shared" si="210"/>
        <v>0.52</v>
      </c>
    </row>
    <row r="1442" spans="1:64" s="2" customFormat="1" ht="38.25" customHeight="1" outlineLevel="1" x14ac:dyDescent="0.2">
      <c r="A1442" s="6" t="s">
        <v>2282</v>
      </c>
      <c r="B1442" s="603" t="s">
        <v>2337</v>
      </c>
      <c r="C1442" s="7" t="s">
        <v>2283</v>
      </c>
      <c r="D1442" s="8" t="s">
        <v>397</v>
      </c>
      <c r="E1442" s="23" t="s">
        <v>335</v>
      </c>
      <c r="F1442" s="8">
        <v>2013</v>
      </c>
      <c r="G1442" s="8">
        <v>2016</v>
      </c>
      <c r="H1442" s="5">
        <v>1.0529999999999999</v>
      </c>
      <c r="I1442" s="5">
        <v>1.0529999999999999</v>
      </c>
      <c r="J1442" s="5">
        <f t="shared" si="211"/>
        <v>0.01</v>
      </c>
      <c r="K1442" s="8"/>
      <c r="L1442" s="8"/>
      <c r="M1442" s="23" t="s">
        <v>335</v>
      </c>
      <c r="N1442" s="8"/>
      <c r="O1442" s="8"/>
      <c r="P1442" s="8"/>
      <c r="Q1442" s="23" t="s">
        <v>335</v>
      </c>
      <c r="R1442" s="113">
        <v>0.01</v>
      </c>
      <c r="S1442" s="113"/>
      <c r="T1442" s="113">
        <v>1.0429999999999999</v>
      </c>
      <c r="U1442" s="113"/>
      <c r="V1442" s="113"/>
      <c r="W1442" s="113"/>
      <c r="X1442" s="94">
        <f t="shared" si="208"/>
        <v>1.0529999999999999</v>
      </c>
      <c r="Y1442" s="303"/>
      <c r="Z1442" s="5"/>
      <c r="AA1442" s="94"/>
      <c r="AB1442" s="311">
        <f t="shared" si="215"/>
        <v>0</v>
      </c>
      <c r="AC1442" s="296"/>
      <c r="AD1442" s="113"/>
      <c r="AE1442" s="5"/>
      <c r="AF1442" s="5"/>
      <c r="AG1442" s="5"/>
      <c r="AH1442" s="5">
        <f>H1442</f>
        <v>1.0529999999999999</v>
      </c>
      <c r="AI1442" s="5"/>
      <c r="AJ1442" s="5"/>
      <c r="AK1442" s="141"/>
      <c r="AL1442" s="94">
        <f t="shared" si="209"/>
        <v>1.0529999999999999</v>
      </c>
      <c r="AM1442" s="128"/>
      <c r="AN1442" s="180"/>
      <c r="AO1442" s="128"/>
      <c r="AP1442" s="184"/>
      <c r="AQ1442" s="128">
        <v>0.1</v>
      </c>
      <c r="AR1442" s="184">
        <v>0</v>
      </c>
      <c r="AS1442" s="128"/>
      <c r="AT1442" s="184"/>
      <c r="AU1442" s="128"/>
      <c r="AV1442" s="184"/>
      <c r="AW1442" s="128"/>
      <c r="AX1442" s="184"/>
      <c r="AY1442" s="111">
        <f t="shared" si="207"/>
        <v>0.1</v>
      </c>
      <c r="AZ1442" s="178">
        <f t="shared" si="207"/>
        <v>0</v>
      </c>
      <c r="BC1442" s="47"/>
      <c r="BD1442" s="47"/>
      <c r="BF1442" s="113">
        <v>0.01</v>
      </c>
      <c r="BG1442" s="113"/>
      <c r="BH1442" s="113">
        <v>1.0429999999999999</v>
      </c>
      <c r="BI1442" s="113"/>
      <c r="BJ1442" s="113"/>
      <c r="BK1442" s="113"/>
      <c r="BL1442" s="5">
        <f t="shared" si="210"/>
        <v>1.0529999999999999</v>
      </c>
    </row>
    <row r="1443" spans="1:64" s="2" customFormat="1" ht="63.75" customHeight="1" outlineLevel="1" x14ac:dyDescent="0.2">
      <c r="A1443" s="6" t="s">
        <v>2284</v>
      </c>
      <c r="B1443" s="603" t="s">
        <v>2338</v>
      </c>
      <c r="C1443" s="7" t="s">
        <v>2285</v>
      </c>
      <c r="D1443" s="8" t="s">
        <v>397</v>
      </c>
      <c r="E1443" s="23" t="s">
        <v>36</v>
      </c>
      <c r="F1443" s="8">
        <v>2013</v>
      </c>
      <c r="G1443" s="8">
        <v>2015</v>
      </c>
      <c r="H1443" s="5">
        <v>0.35</v>
      </c>
      <c r="I1443" s="5">
        <v>0.35</v>
      </c>
      <c r="J1443" s="5">
        <f t="shared" si="211"/>
        <v>0.01</v>
      </c>
      <c r="K1443" s="8"/>
      <c r="L1443" s="23" t="s">
        <v>36</v>
      </c>
      <c r="M1443" s="8"/>
      <c r="N1443" s="8"/>
      <c r="O1443" s="8"/>
      <c r="P1443" s="8"/>
      <c r="Q1443" s="23" t="s">
        <v>36</v>
      </c>
      <c r="R1443" s="113">
        <v>0.01</v>
      </c>
      <c r="S1443" s="113">
        <f t="shared" ref="S1443:S1448" si="216">I1443-R1443</f>
        <v>0.33999999999999997</v>
      </c>
      <c r="T1443" s="113"/>
      <c r="U1443" s="113"/>
      <c r="V1443" s="113"/>
      <c r="W1443" s="113"/>
      <c r="X1443" s="94">
        <f t="shared" si="208"/>
        <v>0.35</v>
      </c>
      <c r="Y1443" s="303"/>
      <c r="Z1443" s="5"/>
      <c r="AA1443" s="94"/>
      <c r="AB1443" s="311">
        <f t="shared" si="215"/>
        <v>0</v>
      </c>
      <c r="AC1443" s="296"/>
      <c r="AD1443" s="113"/>
      <c r="AE1443" s="5"/>
      <c r="AF1443" s="5"/>
      <c r="AG1443" s="5">
        <f t="shared" ref="AG1443:AG1448" si="217">H1443</f>
        <v>0.35</v>
      </c>
      <c r="AH1443" s="5"/>
      <c r="AI1443" s="5"/>
      <c r="AJ1443" s="5"/>
      <c r="AK1443" s="141"/>
      <c r="AL1443" s="94">
        <f t="shared" si="209"/>
        <v>0.35</v>
      </c>
      <c r="AM1443" s="128"/>
      <c r="AN1443" s="180"/>
      <c r="AO1443" s="128">
        <v>0.2</v>
      </c>
      <c r="AP1443" s="184">
        <v>0</v>
      </c>
      <c r="AQ1443" s="128"/>
      <c r="AR1443" s="184"/>
      <c r="AS1443" s="128"/>
      <c r="AT1443" s="184"/>
      <c r="AU1443" s="128"/>
      <c r="AV1443" s="184"/>
      <c r="AW1443" s="128"/>
      <c r="AX1443" s="184"/>
      <c r="AY1443" s="111">
        <f t="shared" si="207"/>
        <v>0.2</v>
      </c>
      <c r="AZ1443" s="178">
        <f t="shared" si="207"/>
        <v>0</v>
      </c>
      <c r="BC1443" s="47"/>
      <c r="BD1443" s="47"/>
      <c r="BF1443" s="113">
        <v>0.01</v>
      </c>
      <c r="BG1443" s="113">
        <v>0.33999999999999997</v>
      </c>
      <c r="BH1443" s="113"/>
      <c r="BI1443" s="113"/>
      <c r="BJ1443" s="113"/>
      <c r="BK1443" s="113"/>
      <c r="BL1443" s="5">
        <f t="shared" si="210"/>
        <v>0.35</v>
      </c>
    </row>
    <row r="1444" spans="1:64" s="2" customFormat="1" ht="63.75" customHeight="1" outlineLevel="1" x14ac:dyDescent="0.2">
      <c r="A1444" s="6" t="s">
        <v>2286</v>
      </c>
      <c r="B1444" s="603" t="s">
        <v>2339</v>
      </c>
      <c r="C1444" s="7" t="s">
        <v>2287</v>
      </c>
      <c r="D1444" s="8" t="s">
        <v>397</v>
      </c>
      <c r="E1444" s="23" t="s">
        <v>28</v>
      </c>
      <c r="F1444" s="8">
        <v>2013</v>
      </c>
      <c r="G1444" s="8">
        <v>2015</v>
      </c>
      <c r="H1444" s="5">
        <v>0.5</v>
      </c>
      <c r="I1444" s="5">
        <v>0.5</v>
      </c>
      <c r="J1444" s="5">
        <f t="shared" si="211"/>
        <v>0.01</v>
      </c>
      <c r="K1444" s="8"/>
      <c r="L1444" s="23" t="s">
        <v>28</v>
      </c>
      <c r="M1444" s="8"/>
      <c r="N1444" s="8"/>
      <c r="O1444" s="8"/>
      <c r="P1444" s="8"/>
      <c r="Q1444" s="23" t="s">
        <v>28</v>
      </c>
      <c r="R1444" s="113">
        <v>0.01</v>
      </c>
      <c r="S1444" s="113">
        <f t="shared" si="216"/>
        <v>0.49</v>
      </c>
      <c r="T1444" s="113"/>
      <c r="U1444" s="113"/>
      <c r="V1444" s="113"/>
      <c r="W1444" s="113"/>
      <c r="X1444" s="94">
        <f t="shared" si="208"/>
        <v>0.5</v>
      </c>
      <c r="Y1444" s="303"/>
      <c r="Z1444" s="5"/>
      <c r="AA1444" s="94"/>
      <c r="AB1444" s="311">
        <f t="shared" si="215"/>
        <v>0</v>
      </c>
      <c r="AC1444" s="296"/>
      <c r="AD1444" s="113"/>
      <c r="AE1444" s="5"/>
      <c r="AF1444" s="5"/>
      <c r="AG1444" s="5">
        <f t="shared" si="217"/>
        <v>0.5</v>
      </c>
      <c r="AH1444" s="5"/>
      <c r="AI1444" s="5"/>
      <c r="AJ1444" s="5"/>
      <c r="AK1444" s="141"/>
      <c r="AL1444" s="94">
        <f t="shared" si="209"/>
        <v>0.5</v>
      </c>
      <c r="AM1444" s="128"/>
      <c r="AN1444" s="180"/>
      <c r="AO1444" s="128">
        <v>0.35</v>
      </c>
      <c r="AP1444" s="184">
        <v>0</v>
      </c>
      <c r="AQ1444" s="128"/>
      <c r="AR1444" s="184"/>
      <c r="AS1444" s="128"/>
      <c r="AT1444" s="184"/>
      <c r="AU1444" s="128"/>
      <c r="AV1444" s="184"/>
      <c r="AW1444" s="128"/>
      <c r="AX1444" s="184"/>
      <c r="AY1444" s="111">
        <f t="shared" si="207"/>
        <v>0.35</v>
      </c>
      <c r="AZ1444" s="178">
        <f t="shared" si="207"/>
        <v>0</v>
      </c>
      <c r="BC1444" s="47"/>
      <c r="BD1444" s="47"/>
      <c r="BF1444" s="113">
        <v>0.01</v>
      </c>
      <c r="BG1444" s="113">
        <v>0.49</v>
      </c>
      <c r="BH1444" s="113"/>
      <c r="BI1444" s="113"/>
      <c r="BJ1444" s="113"/>
      <c r="BK1444" s="113"/>
      <c r="BL1444" s="5">
        <f t="shared" si="210"/>
        <v>0.5</v>
      </c>
    </row>
    <row r="1445" spans="1:64" s="2" customFormat="1" ht="38.25" customHeight="1" outlineLevel="1" x14ac:dyDescent="0.2">
      <c r="A1445" s="6" t="s">
        <v>2288</v>
      </c>
      <c r="B1445" s="603" t="s">
        <v>2340</v>
      </c>
      <c r="C1445" s="7" t="s">
        <v>2289</v>
      </c>
      <c r="D1445" s="8" t="s">
        <v>397</v>
      </c>
      <c r="E1445" s="23" t="s">
        <v>12</v>
      </c>
      <c r="F1445" s="8">
        <v>2013</v>
      </c>
      <c r="G1445" s="8">
        <v>2015</v>
      </c>
      <c r="H1445" s="5">
        <v>0.95</v>
      </c>
      <c r="I1445" s="5">
        <v>0.95</v>
      </c>
      <c r="J1445" s="5">
        <f t="shared" si="211"/>
        <v>0.01</v>
      </c>
      <c r="K1445" s="8"/>
      <c r="L1445" s="23" t="s">
        <v>12</v>
      </c>
      <c r="M1445" s="8"/>
      <c r="N1445" s="8"/>
      <c r="O1445" s="8"/>
      <c r="P1445" s="8"/>
      <c r="Q1445" s="23" t="s">
        <v>12</v>
      </c>
      <c r="R1445" s="113">
        <v>0.01</v>
      </c>
      <c r="S1445" s="113">
        <f t="shared" si="216"/>
        <v>0.94</v>
      </c>
      <c r="T1445" s="113"/>
      <c r="U1445" s="113"/>
      <c r="V1445" s="113"/>
      <c r="W1445" s="113"/>
      <c r="X1445" s="94">
        <f t="shared" si="208"/>
        <v>0.95</v>
      </c>
      <c r="Y1445" s="303"/>
      <c r="Z1445" s="5"/>
      <c r="AA1445" s="94"/>
      <c r="AB1445" s="311">
        <f t="shared" si="215"/>
        <v>0</v>
      </c>
      <c r="AC1445" s="296"/>
      <c r="AD1445" s="113"/>
      <c r="AE1445" s="5"/>
      <c r="AF1445" s="5"/>
      <c r="AG1445" s="5">
        <f t="shared" si="217"/>
        <v>0.95</v>
      </c>
      <c r="AH1445" s="5"/>
      <c r="AI1445" s="5"/>
      <c r="AJ1445" s="5"/>
      <c r="AK1445" s="141"/>
      <c r="AL1445" s="94">
        <f t="shared" si="209"/>
        <v>0.95</v>
      </c>
      <c r="AM1445" s="128"/>
      <c r="AN1445" s="180"/>
      <c r="AO1445" s="128">
        <v>0.3</v>
      </c>
      <c r="AP1445" s="184">
        <v>0.16</v>
      </c>
      <c r="AQ1445" s="128"/>
      <c r="AR1445" s="184"/>
      <c r="AS1445" s="128"/>
      <c r="AT1445" s="184"/>
      <c r="AU1445" s="128"/>
      <c r="AV1445" s="184"/>
      <c r="AW1445" s="128"/>
      <c r="AX1445" s="184"/>
      <c r="AY1445" s="111">
        <f t="shared" si="207"/>
        <v>0.3</v>
      </c>
      <c r="AZ1445" s="178">
        <f t="shared" si="207"/>
        <v>0.16</v>
      </c>
      <c r="BC1445" s="47"/>
      <c r="BD1445" s="47"/>
      <c r="BF1445" s="113">
        <v>0.01</v>
      </c>
      <c r="BG1445" s="113">
        <v>0.94</v>
      </c>
      <c r="BH1445" s="113"/>
      <c r="BI1445" s="113"/>
      <c r="BJ1445" s="113"/>
      <c r="BK1445" s="113"/>
      <c r="BL1445" s="5">
        <f t="shared" si="210"/>
        <v>0.95</v>
      </c>
    </row>
    <row r="1446" spans="1:64" s="2" customFormat="1" ht="51" customHeight="1" outlineLevel="1" x14ac:dyDescent="0.2">
      <c r="A1446" s="6" t="s">
        <v>2290</v>
      </c>
      <c r="B1446" s="603" t="s">
        <v>2341</v>
      </c>
      <c r="C1446" s="7" t="s">
        <v>2501</v>
      </c>
      <c r="D1446" s="8" t="s">
        <v>397</v>
      </c>
      <c r="E1446" s="23" t="s">
        <v>1257</v>
      </c>
      <c r="F1446" s="8">
        <v>2013</v>
      </c>
      <c r="G1446" s="8">
        <v>2015</v>
      </c>
      <c r="H1446" s="5">
        <v>2.3780000000000001</v>
      </c>
      <c r="I1446" s="5">
        <v>2.3780000000000001</v>
      </c>
      <c r="J1446" s="5">
        <f t="shared" si="211"/>
        <v>0.01</v>
      </c>
      <c r="K1446" s="8"/>
      <c r="L1446" s="23" t="s">
        <v>1257</v>
      </c>
      <c r="M1446" s="8"/>
      <c r="N1446" s="8"/>
      <c r="O1446" s="8"/>
      <c r="P1446" s="8"/>
      <c r="Q1446" s="23" t="s">
        <v>1257</v>
      </c>
      <c r="R1446" s="113">
        <v>0.01</v>
      </c>
      <c r="S1446" s="113">
        <f t="shared" si="216"/>
        <v>2.3680000000000003</v>
      </c>
      <c r="T1446" s="113"/>
      <c r="U1446" s="113"/>
      <c r="V1446" s="113"/>
      <c r="W1446" s="113"/>
      <c r="X1446" s="94">
        <f t="shared" si="208"/>
        <v>2.3780000000000001</v>
      </c>
      <c r="Y1446" s="303"/>
      <c r="Z1446" s="5"/>
      <c r="AA1446" s="94"/>
      <c r="AB1446" s="311">
        <f t="shared" si="215"/>
        <v>0</v>
      </c>
      <c r="AC1446" s="296"/>
      <c r="AD1446" s="113"/>
      <c r="AE1446" s="5"/>
      <c r="AF1446" s="5"/>
      <c r="AG1446" s="5">
        <f t="shared" si="217"/>
        <v>2.3780000000000001</v>
      </c>
      <c r="AH1446" s="5"/>
      <c r="AI1446" s="5"/>
      <c r="AJ1446" s="5"/>
      <c r="AK1446" s="141"/>
      <c r="AL1446" s="94">
        <f t="shared" si="209"/>
        <v>2.3780000000000001</v>
      </c>
      <c r="AM1446" s="128"/>
      <c r="AN1446" s="180"/>
      <c r="AO1446" s="128">
        <v>1.5</v>
      </c>
      <c r="AP1446" s="184">
        <v>0</v>
      </c>
      <c r="AQ1446" s="128"/>
      <c r="AR1446" s="184"/>
      <c r="AS1446" s="128"/>
      <c r="AT1446" s="184"/>
      <c r="AU1446" s="128"/>
      <c r="AV1446" s="184"/>
      <c r="AW1446" s="128"/>
      <c r="AX1446" s="184"/>
      <c r="AY1446" s="111">
        <f t="shared" si="207"/>
        <v>1.5</v>
      </c>
      <c r="AZ1446" s="178">
        <f t="shared" si="207"/>
        <v>0</v>
      </c>
      <c r="BC1446" s="47"/>
      <c r="BD1446" s="47"/>
      <c r="BF1446" s="113">
        <v>0.01</v>
      </c>
      <c r="BG1446" s="113">
        <v>2.3680000000000003</v>
      </c>
      <c r="BH1446" s="113"/>
      <c r="BI1446" s="113"/>
      <c r="BJ1446" s="113"/>
      <c r="BK1446" s="113"/>
      <c r="BL1446" s="5">
        <f t="shared" si="210"/>
        <v>2.3780000000000001</v>
      </c>
    </row>
    <row r="1447" spans="1:64" s="2" customFormat="1" ht="51.95" customHeight="1" outlineLevel="1" x14ac:dyDescent="0.2">
      <c r="A1447" s="6" t="s">
        <v>2291</v>
      </c>
      <c r="B1447" s="603" t="s">
        <v>2342</v>
      </c>
      <c r="C1447" s="7" t="s">
        <v>2502</v>
      </c>
      <c r="D1447" s="8" t="s">
        <v>397</v>
      </c>
      <c r="E1447" s="23" t="s">
        <v>2428</v>
      </c>
      <c r="F1447" s="8">
        <v>2013</v>
      </c>
      <c r="G1447" s="8">
        <v>2015</v>
      </c>
      <c r="H1447" s="5">
        <v>1.278</v>
      </c>
      <c r="I1447" s="5">
        <v>1.278</v>
      </c>
      <c r="J1447" s="5">
        <f t="shared" si="211"/>
        <v>0.01</v>
      </c>
      <c r="K1447" s="8"/>
      <c r="L1447" s="23" t="s">
        <v>2428</v>
      </c>
      <c r="M1447" s="8"/>
      <c r="N1447" s="8"/>
      <c r="O1447" s="8"/>
      <c r="P1447" s="8"/>
      <c r="Q1447" s="23" t="s">
        <v>2428</v>
      </c>
      <c r="R1447" s="113">
        <v>0.01</v>
      </c>
      <c r="S1447" s="113">
        <f t="shared" si="216"/>
        <v>1.268</v>
      </c>
      <c r="T1447" s="113"/>
      <c r="U1447" s="113"/>
      <c r="V1447" s="113"/>
      <c r="W1447" s="113"/>
      <c r="X1447" s="94">
        <f t="shared" si="208"/>
        <v>1.278</v>
      </c>
      <c r="Y1447" s="303"/>
      <c r="Z1447" s="5"/>
      <c r="AA1447" s="94"/>
      <c r="AB1447" s="311">
        <f t="shared" si="215"/>
        <v>0</v>
      </c>
      <c r="AC1447" s="296"/>
      <c r="AD1447" s="113"/>
      <c r="AE1447" s="5"/>
      <c r="AF1447" s="5"/>
      <c r="AG1447" s="5">
        <f t="shared" si="217"/>
        <v>1.278</v>
      </c>
      <c r="AH1447" s="5"/>
      <c r="AI1447" s="5"/>
      <c r="AJ1447" s="5"/>
      <c r="AK1447" s="141"/>
      <c r="AL1447" s="94">
        <f t="shared" si="209"/>
        <v>1.278</v>
      </c>
      <c r="AM1447" s="128"/>
      <c r="AN1447" s="180"/>
      <c r="AO1447" s="128">
        <v>0.4</v>
      </c>
      <c r="AP1447" s="184">
        <v>0</v>
      </c>
      <c r="AQ1447" s="128"/>
      <c r="AR1447" s="184"/>
      <c r="AS1447" s="128"/>
      <c r="AT1447" s="184"/>
      <c r="AU1447" s="128"/>
      <c r="AV1447" s="184"/>
      <c r="AW1447" s="128"/>
      <c r="AX1447" s="184"/>
      <c r="AY1447" s="111">
        <f t="shared" si="207"/>
        <v>0.4</v>
      </c>
      <c r="AZ1447" s="178">
        <f t="shared" si="207"/>
        <v>0</v>
      </c>
      <c r="BC1447" s="47"/>
      <c r="BD1447" s="47"/>
      <c r="BF1447" s="113">
        <v>0.01</v>
      </c>
      <c r="BG1447" s="113">
        <v>1.268</v>
      </c>
      <c r="BH1447" s="113"/>
      <c r="BI1447" s="113"/>
      <c r="BJ1447" s="113"/>
      <c r="BK1447" s="113"/>
      <c r="BL1447" s="5">
        <f t="shared" si="210"/>
        <v>1.278</v>
      </c>
    </row>
    <row r="1448" spans="1:64" s="2" customFormat="1" ht="38.25" customHeight="1" outlineLevel="1" x14ac:dyDescent="0.2">
      <c r="A1448" s="6" t="s">
        <v>2292</v>
      </c>
      <c r="B1448" s="603" t="s">
        <v>2343</v>
      </c>
      <c r="C1448" s="7" t="s">
        <v>2293</v>
      </c>
      <c r="D1448" s="8" t="s">
        <v>397</v>
      </c>
      <c r="E1448" s="23" t="s">
        <v>2429</v>
      </c>
      <c r="F1448" s="8">
        <v>2013</v>
      </c>
      <c r="G1448" s="8">
        <v>2015</v>
      </c>
      <c r="H1448" s="5">
        <v>3.5000000000000003E-2</v>
      </c>
      <c r="I1448" s="5">
        <v>3.5000000000000003E-2</v>
      </c>
      <c r="J1448" s="5">
        <f t="shared" si="211"/>
        <v>0.01</v>
      </c>
      <c r="K1448" s="8"/>
      <c r="L1448" s="23" t="s">
        <v>2429</v>
      </c>
      <c r="M1448" s="8"/>
      <c r="N1448" s="8"/>
      <c r="O1448" s="8"/>
      <c r="P1448" s="8"/>
      <c r="Q1448" s="23" t="s">
        <v>2429</v>
      </c>
      <c r="R1448" s="113">
        <v>0.01</v>
      </c>
      <c r="S1448" s="113">
        <f t="shared" si="216"/>
        <v>2.5000000000000001E-2</v>
      </c>
      <c r="T1448" s="113"/>
      <c r="U1448" s="113"/>
      <c r="V1448" s="113"/>
      <c r="W1448" s="113"/>
      <c r="X1448" s="94">
        <f t="shared" si="208"/>
        <v>3.5000000000000003E-2</v>
      </c>
      <c r="Y1448" s="303"/>
      <c r="Z1448" s="5"/>
      <c r="AA1448" s="94"/>
      <c r="AB1448" s="311">
        <f t="shared" si="215"/>
        <v>0</v>
      </c>
      <c r="AC1448" s="296"/>
      <c r="AD1448" s="113"/>
      <c r="AE1448" s="5"/>
      <c r="AF1448" s="5"/>
      <c r="AG1448" s="5">
        <f t="shared" si="217"/>
        <v>3.5000000000000003E-2</v>
      </c>
      <c r="AH1448" s="5"/>
      <c r="AI1448" s="5"/>
      <c r="AJ1448" s="5"/>
      <c r="AK1448" s="141"/>
      <c r="AL1448" s="94">
        <f t="shared" si="209"/>
        <v>3.5000000000000003E-2</v>
      </c>
      <c r="AM1448" s="128"/>
      <c r="AN1448" s="180"/>
      <c r="AO1448" s="128">
        <v>0.03</v>
      </c>
      <c r="AP1448" s="184">
        <v>0.1</v>
      </c>
      <c r="AQ1448" s="128"/>
      <c r="AR1448" s="184"/>
      <c r="AS1448" s="128"/>
      <c r="AT1448" s="184"/>
      <c r="AU1448" s="128"/>
      <c r="AV1448" s="184"/>
      <c r="AW1448" s="128"/>
      <c r="AX1448" s="184"/>
      <c r="AY1448" s="111">
        <f t="shared" si="207"/>
        <v>0.03</v>
      </c>
      <c r="AZ1448" s="178">
        <f t="shared" si="207"/>
        <v>0.1</v>
      </c>
      <c r="BC1448" s="47"/>
      <c r="BD1448" s="47"/>
      <c r="BF1448" s="113">
        <v>0.01</v>
      </c>
      <c r="BG1448" s="113">
        <v>2.5000000000000001E-2</v>
      </c>
      <c r="BH1448" s="113"/>
      <c r="BI1448" s="113"/>
      <c r="BJ1448" s="113"/>
      <c r="BK1448" s="113"/>
      <c r="BL1448" s="5">
        <f t="shared" si="210"/>
        <v>3.5000000000000003E-2</v>
      </c>
    </row>
    <row r="1449" spans="1:64" s="2" customFormat="1" ht="102" outlineLevel="1" x14ac:dyDescent="0.2">
      <c r="A1449" s="6" t="s">
        <v>2294</v>
      </c>
      <c r="B1449" s="603" t="s">
        <v>2344</v>
      </c>
      <c r="C1449" s="7" t="s">
        <v>2503</v>
      </c>
      <c r="D1449" s="8" t="s">
        <v>397</v>
      </c>
      <c r="E1449" s="23" t="s">
        <v>2430</v>
      </c>
      <c r="F1449" s="8">
        <v>2013</v>
      </c>
      <c r="G1449" s="8">
        <v>2014</v>
      </c>
      <c r="H1449" s="5">
        <v>0.74080000000000001</v>
      </c>
      <c r="I1449" s="5">
        <v>0.01</v>
      </c>
      <c r="J1449" s="5">
        <f t="shared" si="211"/>
        <v>0.01</v>
      </c>
      <c r="K1449" s="23" t="s">
        <v>2430</v>
      </c>
      <c r="L1449" s="8"/>
      <c r="M1449" s="8"/>
      <c r="N1449" s="8"/>
      <c r="O1449" s="8"/>
      <c r="P1449" s="8"/>
      <c r="Q1449" s="23" t="s">
        <v>2430</v>
      </c>
      <c r="R1449" s="113">
        <v>0.01</v>
      </c>
      <c r="S1449" s="113"/>
      <c r="T1449" s="113"/>
      <c r="U1449" s="113"/>
      <c r="V1449" s="113"/>
      <c r="W1449" s="113"/>
      <c r="X1449" s="94">
        <f t="shared" si="208"/>
        <v>0.01</v>
      </c>
      <c r="Y1449" s="303"/>
      <c r="Z1449" s="5"/>
      <c r="AA1449" s="94"/>
      <c r="AB1449" s="311">
        <f t="shared" si="215"/>
        <v>0</v>
      </c>
      <c r="AC1449" s="296"/>
      <c r="AD1449" s="113"/>
      <c r="AE1449" s="5"/>
      <c r="AF1449" s="5">
        <f>H1449</f>
        <v>0.74080000000000001</v>
      </c>
      <c r="AG1449" s="5"/>
      <c r="AH1449" s="5"/>
      <c r="AI1449" s="5"/>
      <c r="AJ1449" s="5"/>
      <c r="AK1449" s="141"/>
      <c r="AL1449" s="94">
        <f t="shared" si="209"/>
        <v>0.74080000000000001</v>
      </c>
      <c r="AM1449" s="128">
        <v>0.33</v>
      </c>
      <c r="AN1449" s="180">
        <v>0</v>
      </c>
      <c r="AO1449" s="128"/>
      <c r="AP1449" s="184"/>
      <c r="AQ1449" s="128"/>
      <c r="AR1449" s="184"/>
      <c r="AS1449" s="128"/>
      <c r="AT1449" s="184"/>
      <c r="AU1449" s="128"/>
      <c r="AV1449" s="184"/>
      <c r="AW1449" s="128"/>
      <c r="AX1449" s="184"/>
      <c r="AY1449" s="111">
        <f t="shared" si="207"/>
        <v>0.33</v>
      </c>
      <c r="AZ1449" s="178">
        <f t="shared" si="207"/>
        <v>0</v>
      </c>
      <c r="BC1449" s="47"/>
      <c r="BD1449" s="47"/>
      <c r="BF1449" s="113">
        <v>0.01</v>
      </c>
      <c r="BG1449" s="113"/>
      <c r="BH1449" s="113"/>
      <c r="BI1449" s="113"/>
      <c r="BJ1449" s="113"/>
      <c r="BK1449" s="113"/>
      <c r="BL1449" s="5">
        <f t="shared" si="210"/>
        <v>0.01</v>
      </c>
    </row>
    <row r="1450" spans="1:64" s="2" customFormat="1" ht="38.25" outlineLevel="1" x14ac:dyDescent="0.2">
      <c r="A1450" s="6" t="s">
        <v>2295</v>
      </c>
      <c r="B1450" s="603" t="s">
        <v>2345</v>
      </c>
      <c r="C1450" s="7" t="s">
        <v>2296</v>
      </c>
      <c r="D1450" s="8" t="s">
        <v>397</v>
      </c>
      <c r="E1450" s="23" t="s">
        <v>2431</v>
      </c>
      <c r="F1450" s="8">
        <v>2008</v>
      </c>
      <c r="G1450" s="8">
        <v>2014</v>
      </c>
      <c r="H1450" s="5">
        <v>3.0417000000000001</v>
      </c>
      <c r="I1450" s="5">
        <v>0.01</v>
      </c>
      <c r="J1450" s="5">
        <f t="shared" si="211"/>
        <v>0.01</v>
      </c>
      <c r="K1450" s="23" t="s">
        <v>2431</v>
      </c>
      <c r="L1450" s="8"/>
      <c r="M1450" s="8"/>
      <c r="N1450" s="8"/>
      <c r="O1450" s="8"/>
      <c r="P1450" s="8"/>
      <c r="Q1450" s="23" t="s">
        <v>2431</v>
      </c>
      <c r="R1450" s="113">
        <v>0.01</v>
      </c>
      <c r="S1450" s="113"/>
      <c r="T1450" s="113"/>
      <c r="U1450" s="113"/>
      <c r="V1450" s="113"/>
      <c r="W1450" s="113"/>
      <c r="X1450" s="94">
        <f t="shared" si="208"/>
        <v>0.01</v>
      </c>
      <c r="Y1450" s="303"/>
      <c r="Z1450" s="5"/>
      <c r="AA1450" s="94"/>
      <c r="AB1450" s="311">
        <f t="shared" si="215"/>
        <v>0</v>
      </c>
      <c r="AC1450" s="296"/>
      <c r="AD1450" s="113"/>
      <c r="AE1450" s="5"/>
      <c r="AF1450" s="5">
        <f>H1450</f>
        <v>3.0417000000000001</v>
      </c>
      <c r="AG1450" s="5"/>
      <c r="AH1450" s="5"/>
      <c r="AI1450" s="5"/>
      <c r="AJ1450" s="5"/>
      <c r="AK1450" s="141"/>
      <c r="AL1450" s="94">
        <f t="shared" si="209"/>
        <v>3.0417000000000001</v>
      </c>
      <c r="AM1450" s="128">
        <v>1.4</v>
      </c>
      <c r="AN1450" s="180">
        <v>1.26</v>
      </c>
      <c r="AO1450" s="128"/>
      <c r="AP1450" s="184"/>
      <c r="AQ1450" s="128"/>
      <c r="AR1450" s="184"/>
      <c r="AS1450" s="128"/>
      <c r="AT1450" s="184"/>
      <c r="AU1450" s="128"/>
      <c r="AV1450" s="184"/>
      <c r="AW1450" s="128"/>
      <c r="AX1450" s="184"/>
      <c r="AY1450" s="111">
        <f t="shared" si="207"/>
        <v>1.4</v>
      </c>
      <c r="AZ1450" s="178">
        <f t="shared" si="207"/>
        <v>1.26</v>
      </c>
      <c r="BC1450" s="47"/>
      <c r="BD1450" s="47"/>
      <c r="BF1450" s="113">
        <v>0.01</v>
      </c>
      <c r="BG1450" s="113"/>
      <c r="BH1450" s="113"/>
      <c r="BI1450" s="113"/>
      <c r="BJ1450" s="113"/>
      <c r="BK1450" s="113"/>
      <c r="BL1450" s="5">
        <f t="shared" si="210"/>
        <v>0.01</v>
      </c>
    </row>
    <row r="1451" spans="1:64" s="2" customFormat="1" ht="39.950000000000003" customHeight="1" outlineLevel="1" x14ac:dyDescent="0.2">
      <c r="A1451" s="6" t="s">
        <v>2297</v>
      </c>
      <c r="B1451" s="603" t="s">
        <v>2346</v>
      </c>
      <c r="C1451" s="7" t="s">
        <v>2504</v>
      </c>
      <c r="D1451" s="8" t="s">
        <v>397</v>
      </c>
      <c r="E1451" s="23" t="s">
        <v>2432</v>
      </c>
      <c r="F1451" s="8">
        <v>2013</v>
      </c>
      <c r="G1451" s="8">
        <v>2015</v>
      </c>
      <c r="H1451" s="5">
        <v>0.22</v>
      </c>
      <c r="I1451" s="5">
        <v>0.22</v>
      </c>
      <c r="J1451" s="5">
        <f t="shared" si="211"/>
        <v>0.01</v>
      </c>
      <c r="K1451" s="8"/>
      <c r="L1451" s="23" t="s">
        <v>2432</v>
      </c>
      <c r="M1451" s="8"/>
      <c r="N1451" s="8"/>
      <c r="O1451" s="8"/>
      <c r="P1451" s="8"/>
      <c r="Q1451" s="23" t="s">
        <v>2432</v>
      </c>
      <c r="R1451" s="113">
        <v>0.01</v>
      </c>
      <c r="S1451" s="113">
        <f>I1451-R1451</f>
        <v>0.21</v>
      </c>
      <c r="T1451" s="113"/>
      <c r="U1451" s="113"/>
      <c r="V1451" s="113"/>
      <c r="W1451" s="113"/>
      <c r="X1451" s="94">
        <f t="shared" si="208"/>
        <v>0.22</v>
      </c>
      <c r="Y1451" s="303"/>
      <c r="Z1451" s="5"/>
      <c r="AA1451" s="94"/>
      <c r="AB1451" s="311">
        <f t="shared" si="215"/>
        <v>0</v>
      </c>
      <c r="AC1451" s="296"/>
      <c r="AD1451" s="113"/>
      <c r="AE1451" s="5"/>
      <c r="AF1451" s="5"/>
      <c r="AG1451" s="5">
        <f>H1451</f>
        <v>0.22</v>
      </c>
      <c r="AH1451" s="5"/>
      <c r="AI1451" s="5"/>
      <c r="AJ1451" s="5"/>
      <c r="AK1451" s="141"/>
      <c r="AL1451" s="94">
        <f t="shared" si="209"/>
        <v>0.22</v>
      </c>
      <c r="AM1451" s="128"/>
      <c r="AN1451" s="180"/>
      <c r="AO1451" s="128">
        <v>0.18</v>
      </c>
      <c r="AP1451" s="184">
        <v>0</v>
      </c>
      <c r="AQ1451" s="128"/>
      <c r="AR1451" s="184"/>
      <c r="AS1451" s="128"/>
      <c r="AT1451" s="184"/>
      <c r="AU1451" s="128"/>
      <c r="AV1451" s="184"/>
      <c r="AW1451" s="128"/>
      <c r="AX1451" s="184"/>
      <c r="AY1451" s="111">
        <f t="shared" si="207"/>
        <v>0.18</v>
      </c>
      <c r="AZ1451" s="178">
        <f t="shared" si="207"/>
        <v>0</v>
      </c>
      <c r="BC1451" s="47"/>
      <c r="BD1451" s="47"/>
      <c r="BF1451" s="113">
        <v>0.01</v>
      </c>
      <c r="BG1451" s="113">
        <v>0.21</v>
      </c>
      <c r="BH1451" s="113"/>
      <c r="BI1451" s="113"/>
      <c r="BJ1451" s="113"/>
      <c r="BK1451" s="113"/>
      <c r="BL1451" s="5">
        <f t="shared" si="210"/>
        <v>0.22</v>
      </c>
    </row>
    <row r="1452" spans="1:64" s="2" customFormat="1" ht="39.950000000000003" customHeight="1" outlineLevel="1" x14ac:dyDescent="0.2">
      <c r="A1452" s="6" t="s">
        <v>2298</v>
      </c>
      <c r="B1452" s="603" t="s">
        <v>2347</v>
      </c>
      <c r="C1452" s="7" t="s">
        <v>2299</v>
      </c>
      <c r="D1452" s="8" t="s">
        <v>397</v>
      </c>
      <c r="E1452" s="23" t="s">
        <v>2433</v>
      </c>
      <c r="F1452" s="8">
        <v>2007</v>
      </c>
      <c r="G1452" s="8">
        <v>2015</v>
      </c>
      <c r="H1452" s="5">
        <v>0.28999999999999998</v>
      </c>
      <c r="I1452" s="5">
        <v>0.28999999999999998</v>
      </c>
      <c r="J1452" s="5">
        <f t="shared" si="211"/>
        <v>0.01</v>
      </c>
      <c r="K1452" s="8"/>
      <c r="L1452" s="23" t="s">
        <v>2433</v>
      </c>
      <c r="M1452" s="8"/>
      <c r="N1452" s="8"/>
      <c r="O1452" s="8"/>
      <c r="P1452" s="8"/>
      <c r="Q1452" s="23" t="s">
        <v>2433</v>
      </c>
      <c r="R1452" s="113">
        <v>0.01</v>
      </c>
      <c r="S1452" s="113">
        <f>I1452-R1452</f>
        <v>0.27999999999999997</v>
      </c>
      <c r="T1452" s="113"/>
      <c r="U1452" s="113"/>
      <c r="V1452" s="113"/>
      <c r="W1452" s="113"/>
      <c r="X1452" s="94">
        <f t="shared" si="208"/>
        <v>0.28999999999999998</v>
      </c>
      <c r="Y1452" s="303"/>
      <c r="Z1452" s="5"/>
      <c r="AA1452" s="94"/>
      <c r="AB1452" s="311">
        <f t="shared" si="215"/>
        <v>0</v>
      </c>
      <c r="AC1452" s="296"/>
      <c r="AD1452" s="113"/>
      <c r="AE1452" s="5"/>
      <c r="AF1452" s="5"/>
      <c r="AG1452" s="5">
        <f>H1452</f>
        <v>0.28999999999999998</v>
      </c>
      <c r="AH1452" s="5"/>
      <c r="AI1452" s="5"/>
      <c r="AJ1452" s="5"/>
      <c r="AK1452" s="141"/>
      <c r="AL1452" s="94">
        <f t="shared" si="209"/>
        <v>0.28999999999999998</v>
      </c>
      <c r="AM1452" s="128"/>
      <c r="AN1452" s="180"/>
      <c r="AO1452" s="128">
        <v>0.01</v>
      </c>
      <c r="AP1452" s="184">
        <v>0</v>
      </c>
      <c r="AQ1452" s="128"/>
      <c r="AR1452" s="184"/>
      <c r="AS1452" s="128"/>
      <c r="AT1452" s="184"/>
      <c r="AU1452" s="128"/>
      <c r="AV1452" s="184"/>
      <c r="AW1452" s="128"/>
      <c r="AX1452" s="184"/>
      <c r="AY1452" s="111">
        <f t="shared" si="207"/>
        <v>0.01</v>
      </c>
      <c r="AZ1452" s="178">
        <f t="shared" si="207"/>
        <v>0</v>
      </c>
      <c r="BC1452" s="47"/>
      <c r="BD1452" s="47"/>
      <c r="BF1452" s="113">
        <v>0.01</v>
      </c>
      <c r="BG1452" s="113">
        <v>0.27999999999999997</v>
      </c>
      <c r="BH1452" s="113"/>
      <c r="BI1452" s="113"/>
      <c r="BJ1452" s="113"/>
      <c r="BK1452" s="113"/>
      <c r="BL1452" s="5">
        <f t="shared" si="210"/>
        <v>0.28999999999999998</v>
      </c>
    </row>
    <row r="1453" spans="1:64" s="2" customFormat="1" ht="76.5" customHeight="1" outlineLevel="1" x14ac:dyDescent="0.2">
      <c r="A1453" s="6" t="s">
        <v>2300</v>
      </c>
      <c r="B1453" s="603" t="s">
        <v>2348</v>
      </c>
      <c r="C1453" s="7" t="s">
        <v>2301</v>
      </c>
      <c r="D1453" s="8" t="s">
        <v>397</v>
      </c>
      <c r="E1453" s="23" t="s">
        <v>2434</v>
      </c>
      <c r="F1453" s="8">
        <v>2008</v>
      </c>
      <c r="G1453" s="8">
        <v>2017</v>
      </c>
      <c r="H1453" s="5">
        <v>8.6718150000000005</v>
      </c>
      <c r="I1453" s="5">
        <v>8.6718150000000005</v>
      </c>
      <c r="J1453" s="5">
        <f t="shared" si="211"/>
        <v>0.01</v>
      </c>
      <c r="K1453" s="8"/>
      <c r="L1453" s="8"/>
      <c r="M1453" s="8"/>
      <c r="N1453" s="23" t="s">
        <v>2434</v>
      </c>
      <c r="O1453" s="8"/>
      <c r="P1453" s="8"/>
      <c r="Q1453" s="23" t="s">
        <v>2434</v>
      </c>
      <c r="R1453" s="113">
        <v>0.01</v>
      </c>
      <c r="S1453" s="113">
        <v>0.29199999999999998</v>
      </c>
      <c r="T1453" s="113">
        <v>7.1098150000000002</v>
      </c>
      <c r="U1453" s="113">
        <v>1.26</v>
      </c>
      <c r="V1453" s="113"/>
      <c r="W1453" s="113"/>
      <c r="X1453" s="94">
        <f t="shared" si="208"/>
        <v>8.6718150000000005</v>
      </c>
      <c r="Y1453" s="303"/>
      <c r="Z1453" s="5"/>
      <c r="AA1453" s="94"/>
      <c r="AB1453" s="311">
        <f t="shared" si="215"/>
        <v>0</v>
      </c>
      <c r="AC1453" s="296"/>
      <c r="AD1453" s="113"/>
      <c r="AE1453" s="5"/>
      <c r="AF1453" s="5"/>
      <c r="AG1453" s="5"/>
      <c r="AH1453" s="5"/>
      <c r="AI1453" s="5">
        <f>H1453</f>
        <v>8.6718150000000005</v>
      </c>
      <c r="AJ1453" s="5"/>
      <c r="AK1453" s="141"/>
      <c r="AL1453" s="94">
        <f t="shared" si="209"/>
        <v>8.6718150000000005</v>
      </c>
      <c r="AM1453" s="128"/>
      <c r="AN1453" s="180"/>
      <c r="AO1453" s="128"/>
      <c r="AP1453" s="184"/>
      <c r="AQ1453" s="128"/>
      <c r="AR1453" s="184"/>
      <c r="AS1453" s="128">
        <v>3.9</v>
      </c>
      <c r="AT1453" s="184">
        <v>0</v>
      </c>
      <c r="AU1453" s="128"/>
      <c r="AV1453" s="184"/>
      <c r="AW1453" s="128"/>
      <c r="AX1453" s="184"/>
      <c r="AY1453" s="111">
        <f t="shared" si="207"/>
        <v>3.9</v>
      </c>
      <c r="AZ1453" s="178">
        <f t="shared" si="207"/>
        <v>0</v>
      </c>
      <c r="BC1453" s="47"/>
      <c r="BD1453" s="47"/>
      <c r="BF1453" s="113">
        <v>0.01</v>
      </c>
      <c r="BG1453" s="113">
        <v>0.39200000000000002</v>
      </c>
      <c r="BH1453" s="113">
        <v>7.1098150000000002</v>
      </c>
      <c r="BI1453" s="113">
        <v>1.1600000000000001</v>
      </c>
      <c r="BJ1453" s="113"/>
      <c r="BK1453" s="113"/>
      <c r="BL1453" s="5">
        <f t="shared" si="210"/>
        <v>8.6718150000000005</v>
      </c>
    </row>
    <row r="1454" spans="1:64" s="2" customFormat="1" ht="140.25" outlineLevel="1" x14ac:dyDescent="0.2">
      <c r="A1454" s="6" t="s">
        <v>2302</v>
      </c>
      <c r="B1454" s="603" t="s">
        <v>2349</v>
      </c>
      <c r="C1454" s="7" t="s">
        <v>2505</v>
      </c>
      <c r="D1454" s="8" t="s">
        <v>397</v>
      </c>
      <c r="E1454" s="23" t="s">
        <v>2435</v>
      </c>
      <c r="F1454" s="8">
        <v>2010</v>
      </c>
      <c r="G1454" s="8">
        <v>2014</v>
      </c>
      <c r="H1454" s="5">
        <v>6.4157000000000002</v>
      </c>
      <c r="I1454" s="5">
        <v>0.01</v>
      </c>
      <c r="J1454" s="5">
        <f t="shared" si="211"/>
        <v>0.01</v>
      </c>
      <c r="K1454" s="23" t="s">
        <v>2435</v>
      </c>
      <c r="L1454" s="8"/>
      <c r="M1454" s="8"/>
      <c r="N1454" s="8"/>
      <c r="O1454" s="8"/>
      <c r="P1454" s="8"/>
      <c r="Q1454" s="23" t="s">
        <v>2435</v>
      </c>
      <c r="R1454" s="113">
        <v>0.01</v>
      </c>
      <c r="S1454" s="113"/>
      <c r="T1454" s="113"/>
      <c r="U1454" s="113"/>
      <c r="V1454" s="113"/>
      <c r="W1454" s="113"/>
      <c r="X1454" s="94">
        <f t="shared" si="208"/>
        <v>0.01</v>
      </c>
      <c r="Y1454" s="303"/>
      <c r="Z1454" s="5"/>
      <c r="AA1454" s="94"/>
      <c r="AB1454" s="311">
        <f t="shared" si="215"/>
        <v>0</v>
      </c>
      <c r="AC1454" s="296"/>
      <c r="AD1454" s="113"/>
      <c r="AE1454" s="5"/>
      <c r="AF1454" s="5">
        <f>H1454</f>
        <v>6.4157000000000002</v>
      </c>
      <c r="AG1454" s="5"/>
      <c r="AH1454" s="5"/>
      <c r="AI1454" s="5"/>
      <c r="AJ1454" s="5"/>
      <c r="AK1454" s="141"/>
      <c r="AL1454" s="94">
        <f t="shared" si="209"/>
        <v>6.4157000000000002</v>
      </c>
      <c r="AM1454" s="128">
        <v>2</v>
      </c>
      <c r="AN1454" s="180">
        <v>0</v>
      </c>
      <c r="AO1454" s="128"/>
      <c r="AP1454" s="184"/>
      <c r="AQ1454" s="128"/>
      <c r="AR1454" s="184"/>
      <c r="AS1454" s="128"/>
      <c r="AT1454" s="184"/>
      <c r="AU1454" s="128"/>
      <c r="AV1454" s="184"/>
      <c r="AW1454" s="128"/>
      <c r="AX1454" s="184"/>
      <c r="AY1454" s="111">
        <f t="shared" si="207"/>
        <v>2</v>
      </c>
      <c r="AZ1454" s="178">
        <f t="shared" si="207"/>
        <v>0</v>
      </c>
      <c r="BC1454" s="47"/>
      <c r="BD1454" s="47"/>
      <c r="BF1454" s="113">
        <v>0.01</v>
      </c>
      <c r="BG1454" s="113"/>
      <c r="BH1454" s="113"/>
      <c r="BI1454" s="113"/>
      <c r="BJ1454" s="113"/>
      <c r="BK1454" s="113"/>
      <c r="BL1454" s="5">
        <f t="shared" si="210"/>
        <v>0.01</v>
      </c>
    </row>
    <row r="1455" spans="1:64" s="2" customFormat="1" ht="76.5" customHeight="1" outlineLevel="1" x14ac:dyDescent="0.2">
      <c r="A1455" s="6" t="s">
        <v>2303</v>
      </c>
      <c r="B1455" s="603" t="s">
        <v>2350</v>
      </c>
      <c r="C1455" s="7" t="s">
        <v>2506</v>
      </c>
      <c r="D1455" s="8" t="s">
        <v>397</v>
      </c>
      <c r="E1455" s="23" t="s">
        <v>970</v>
      </c>
      <c r="F1455" s="8">
        <v>2013</v>
      </c>
      <c r="G1455" s="8">
        <v>2015</v>
      </c>
      <c r="H1455" s="5">
        <v>0.3</v>
      </c>
      <c r="I1455" s="5">
        <v>0.3</v>
      </c>
      <c r="J1455" s="5">
        <f t="shared" si="211"/>
        <v>0.01</v>
      </c>
      <c r="K1455" s="8"/>
      <c r="L1455" s="23" t="s">
        <v>970</v>
      </c>
      <c r="M1455" s="8"/>
      <c r="N1455" s="8"/>
      <c r="O1455" s="8"/>
      <c r="P1455" s="8"/>
      <c r="Q1455" s="23" t="s">
        <v>970</v>
      </c>
      <c r="R1455" s="113">
        <v>0.01</v>
      </c>
      <c r="S1455" s="113">
        <f>I1455-R1455</f>
        <v>0.28999999999999998</v>
      </c>
      <c r="T1455" s="113"/>
      <c r="U1455" s="113"/>
      <c r="V1455" s="113"/>
      <c r="W1455" s="113"/>
      <c r="X1455" s="94">
        <f t="shared" si="208"/>
        <v>0.3</v>
      </c>
      <c r="Y1455" s="303"/>
      <c r="Z1455" s="5"/>
      <c r="AA1455" s="94"/>
      <c r="AB1455" s="311">
        <f t="shared" si="215"/>
        <v>0</v>
      </c>
      <c r="AC1455" s="296"/>
      <c r="AD1455" s="113"/>
      <c r="AE1455" s="5"/>
      <c r="AF1455" s="5"/>
      <c r="AG1455" s="5">
        <f>H1455</f>
        <v>0.3</v>
      </c>
      <c r="AH1455" s="5"/>
      <c r="AI1455" s="5"/>
      <c r="AJ1455" s="5"/>
      <c r="AK1455" s="141"/>
      <c r="AL1455" s="94">
        <f t="shared" si="209"/>
        <v>0.3</v>
      </c>
      <c r="AM1455" s="128"/>
      <c r="AN1455" s="180"/>
      <c r="AO1455" s="128">
        <v>0.5</v>
      </c>
      <c r="AP1455" s="184">
        <v>0</v>
      </c>
      <c r="AQ1455" s="128"/>
      <c r="AR1455" s="184"/>
      <c r="AS1455" s="128"/>
      <c r="AT1455" s="184"/>
      <c r="AU1455" s="128"/>
      <c r="AV1455" s="184"/>
      <c r="AW1455" s="128"/>
      <c r="AX1455" s="184"/>
      <c r="AY1455" s="111">
        <f t="shared" si="207"/>
        <v>0.5</v>
      </c>
      <c r="AZ1455" s="178">
        <f t="shared" si="207"/>
        <v>0</v>
      </c>
      <c r="BC1455" s="47"/>
      <c r="BD1455" s="47"/>
      <c r="BF1455" s="113">
        <v>0.01</v>
      </c>
      <c r="BG1455" s="113">
        <v>0.28999999999999998</v>
      </c>
      <c r="BH1455" s="113"/>
      <c r="BI1455" s="113"/>
      <c r="BJ1455" s="113"/>
      <c r="BK1455" s="113"/>
      <c r="BL1455" s="5">
        <f t="shared" si="210"/>
        <v>0.3</v>
      </c>
    </row>
    <row r="1456" spans="1:64" s="2" customFormat="1" ht="153.75" customHeight="1" outlineLevel="1" thickBot="1" x14ac:dyDescent="0.25">
      <c r="A1456" s="6" t="s">
        <v>2304</v>
      </c>
      <c r="B1456" s="603" t="s">
        <v>2351</v>
      </c>
      <c r="C1456" s="7" t="s">
        <v>2305</v>
      </c>
      <c r="D1456" s="8" t="s">
        <v>397</v>
      </c>
      <c r="E1456" s="23" t="s">
        <v>22</v>
      </c>
      <c r="F1456" s="8">
        <v>2013</v>
      </c>
      <c r="G1456" s="8">
        <v>2015</v>
      </c>
      <c r="H1456" s="5">
        <v>0.45</v>
      </c>
      <c r="I1456" s="5">
        <v>0.45</v>
      </c>
      <c r="J1456" s="5">
        <f t="shared" si="211"/>
        <v>0.01</v>
      </c>
      <c r="K1456" s="8"/>
      <c r="L1456" s="23" t="s">
        <v>22</v>
      </c>
      <c r="M1456" s="8"/>
      <c r="N1456" s="8"/>
      <c r="O1456" s="8"/>
      <c r="P1456" s="8"/>
      <c r="Q1456" s="23" t="s">
        <v>22</v>
      </c>
      <c r="R1456" s="113">
        <v>0.01</v>
      </c>
      <c r="S1456" s="113">
        <f>I1456-R1456</f>
        <v>0.44</v>
      </c>
      <c r="T1456" s="113"/>
      <c r="U1456" s="113"/>
      <c r="V1456" s="113"/>
      <c r="W1456" s="113"/>
      <c r="X1456" s="94">
        <f t="shared" si="208"/>
        <v>0.45</v>
      </c>
      <c r="Y1456" s="303"/>
      <c r="Z1456" s="5"/>
      <c r="AA1456" s="94"/>
      <c r="AB1456" s="311">
        <f t="shared" si="215"/>
        <v>0</v>
      </c>
      <c r="AC1456" s="296"/>
      <c r="AD1456" s="113"/>
      <c r="AE1456" s="5"/>
      <c r="AF1456" s="5"/>
      <c r="AG1456" s="5">
        <f>H1456</f>
        <v>0.45</v>
      </c>
      <c r="AH1456" s="5"/>
      <c r="AI1456" s="5"/>
      <c r="AJ1456" s="5"/>
      <c r="AK1456" s="141"/>
      <c r="AL1456" s="94">
        <f t="shared" si="209"/>
        <v>0.45</v>
      </c>
      <c r="AM1456" s="316"/>
      <c r="AN1456" s="317"/>
      <c r="AO1456" s="316">
        <v>0.3</v>
      </c>
      <c r="AP1456" s="318">
        <v>0</v>
      </c>
      <c r="AQ1456" s="316"/>
      <c r="AR1456" s="318"/>
      <c r="AS1456" s="316"/>
      <c r="AT1456" s="318"/>
      <c r="AU1456" s="316"/>
      <c r="AV1456" s="318"/>
      <c r="AW1456" s="316"/>
      <c r="AX1456" s="318"/>
      <c r="AY1456" s="319">
        <f t="shared" si="207"/>
        <v>0.3</v>
      </c>
      <c r="AZ1456" s="320">
        <f t="shared" si="207"/>
        <v>0</v>
      </c>
      <c r="BC1456" s="47"/>
      <c r="BD1456" s="47"/>
      <c r="BF1456" s="113">
        <v>0.01</v>
      </c>
      <c r="BG1456" s="113">
        <v>0.44</v>
      </c>
      <c r="BH1456" s="113"/>
      <c r="BI1456" s="113"/>
      <c r="BJ1456" s="113"/>
      <c r="BK1456" s="113"/>
      <c r="BL1456" s="5">
        <f t="shared" si="210"/>
        <v>0.45</v>
      </c>
    </row>
    <row r="1457" spans="1:64" s="2" customFormat="1" ht="77.25" customHeight="1" outlineLevel="1" thickBot="1" x14ac:dyDescent="0.25">
      <c r="A1457" s="6" t="s">
        <v>1861</v>
      </c>
      <c r="B1457" s="603" t="s">
        <v>2570</v>
      </c>
      <c r="C1457" s="7" t="s">
        <v>1539</v>
      </c>
      <c r="D1457" s="8" t="s">
        <v>397</v>
      </c>
      <c r="E1457" s="23" t="s">
        <v>1540</v>
      </c>
      <c r="F1457" s="8">
        <v>2014</v>
      </c>
      <c r="G1457" s="8">
        <v>2015</v>
      </c>
      <c r="H1457" s="5">
        <v>2.5960000000000001</v>
      </c>
      <c r="I1457" s="5">
        <v>2.5960000000000001</v>
      </c>
      <c r="J1457" s="5">
        <f t="shared" si="211"/>
        <v>0.1</v>
      </c>
      <c r="K1457" s="8"/>
      <c r="L1457" s="23" t="s">
        <v>1540</v>
      </c>
      <c r="M1457" s="8"/>
      <c r="N1457" s="23"/>
      <c r="O1457" s="8"/>
      <c r="P1457" s="8"/>
      <c r="Q1457" s="23" t="s">
        <v>1540</v>
      </c>
      <c r="R1457" s="113">
        <v>0.1</v>
      </c>
      <c r="S1457" s="113">
        <f>I1457-R1457</f>
        <v>2.496</v>
      </c>
      <c r="T1457" s="113"/>
      <c r="U1457" s="12"/>
      <c r="V1457" s="12"/>
      <c r="W1457" s="113"/>
      <c r="X1457" s="94">
        <f>SUM(R1457:W1457)</f>
        <v>2.5960000000000001</v>
      </c>
      <c r="Y1457" s="321"/>
      <c r="Z1457" s="322"/>
      <c r="AA1457" s="323"/>
      <c r="AB1457" s="324">
        <f t="shared" si="215"/>
        <v>0</v>
      </c>
      <c r="AC1457" s="296"/>
      <c r="AD1457" s="113"/>
      <c r="AE1457" s="5"/>
      <c r="AF1457" s="5"/>
      <c r="AG1457" s="5">
        <f>H1457</f>
        <v>2.5960000000000001</v>
      </c>
      <c r="AH1457" s="5"/>
      <c r="AI1457" s="5"/>
      <c r="AJ1457" s="5"/>
      <c r="AK1457" s="141"/>
      <c r="AL1457" s="94">
        <f>SUM(AF1457:AK1457)</f>
        <v>2.5960000000000001</v>
      </c>
      <c r="AM1457" s="128"/>
      <c r="AN1457" s="180"/>
      <c r="AO1457" s="128">
        <v>1</v>
      </c>
      <c r="AP1457" s="184">
        <v>0</v>
      </c>
      <c r="AQ1457" s="128"/>
      <c r="AR1457" s="184"/>
      <c r="AS1457" s="128"/>
      <c r="AT1457" s="184"/>
      <c r="AU1457" s="128"/>
      <c r="AV1457" s="184"/>
      <c r="AW1457" s="128"/>
      <c r="AX1457" s="184"/>
      <c r="AY1457" s="111">
        <f>AM1457+AO1457+AQ1457+AS1457+AU1457+AW1457</f>
        <v>1</v>
      </c>
      <c r="AZ1457" s="178">
        <f>AN1457+AP1457+AR1457+AT1457+AV1457+AX1457</f>
        <v>0</v>
      </c>
      <c r="BA1457" s="2" t="s">
        <v>2452</v>
      </c>
      <c r="BB1457" s="12" t="s">
        <v>1898</v>
      </c>
      <c r="BC1457" s="216"/>
      <c r="BD1457" s="47"/>
      <c r="BF1457" s="113">
        <v>0.1</v>
      </c>
      <c r="BG1457" s="113">
        <v>2.5</v>
      </c>
      <c r="BH1457" s="113"/>
      <c r="BI1457" s="12"/>
      <c r="BJ1457" s="113"/>
      <c r="BK1457" s="113"/>
      <c r="BL1457" s="5">
        <f>SUM(BF1457:BK1457)</f>
        <v>2.6</v>
      </c>
    </row>
    <row r="1458" spans="1:64" s="120" customFormat="1" ht="18.75" x14ac:dyDescent="0.25">
      <c r="A1458" s="118"/>
      <c r="B1458" s="21" t="s">
        <v>1945</v>
      </c>
      <c r="C1458" s="119"/>
      <c r="D1458" s="119"/>
      <c r="T1458" s="828" t="s">
        <v>910</v>
      </c>
      <c r="U1458" s="828"/>
      <c r="V1458" s="127"/>
      <c r="W1458" s="127"/>
      <c r="AB1458" s="312"/>
      <c r="AC1458" s="229"/>
      <c r="AD1458" s="229"/>
      <c r="AE1458" s="219"/>
      <c r="AF1458" s="121"/>
      <c r="AG1458" s="121"/>
      <c r="AH1458" s="121"/>
      <c r="AI1458" s="121"/>
      <c r="AJ1458" s="121"/>
      <c r="AK1458" s="121"/>
      <c r="AL1458" s="176"/>
      <c r="BH1458" s="828" t="s">
        <v>910</v>
      </c>
      <c r="BI1458" s="828"/>
      <c r="BJ1458" s="127"/>
      <c r="BK1458" s="127"/>
    </row>
    <row r="1459" spans="1:64" x14ac:dyDescent="0.2">
      <c r="Q1459" s="2"/>
      <c r="T1459" s="1"/>
      <c r="U1459" s="1"/>
      <c r="V1459" s="1"/>
      <c r="W1459" s="1"/>
      <c r="BC1459" s="51"/>
      <c r="BD1459" s="51"/>
      <c r="BH1459" s="1"/>
      <c r="BI1459" s="1"/>
      <c r="BJ1459" s="1"/>
      <c r="BK1459" s="1"/>
    </row>
    <row r="1460" spans="1:64" x14ac:dyDescent="0.2">
      <c r="Q1460" s="2"/>
      <c r="T1460" s="1"/>
      <c r="U1460" s="1"/>
      <c r="V1460" s="1"/>
      <c r="W1460" s="1"/>
      <c r="BC1460" s="51"/>
      <c r="BD1460" s="51"/>
      <c r="BH1460" s="1"/>
      <c r="BI1460" s="1"/>
      <c r="BJ1460" s="1"/>
      <c r="BK1460" s="1"/>
    </row>
    <row r="1461" spans="1:64" x14ac:dyDescent="0.2">
      <c r="Q1461" s="2"/>
      <c r="T1461" s="1"/>
      <c r="U1461" s="1"/>
      <c r="V1461" s="1"/>
      <c r="W1461" s="1"/>
      <c r="BC1461" s="51"/>
      <c r="BD1461" s="51"/>
      <c r="BH1461" s="1"/>
      <c r="BI1461" s="1"/>
      <c r="BJ1461" s="1"/>
      <c r="BK1461" s="1"/>
    </row>
    <row r="1462" spans="1:64" x14ac:dyDescent="0.2">
      <c r="Q1462" s="2"/>
      <c r="T1462" s="1"/>
      <c r="U1462" s="1"/>
      <c r="V1462" s="1"/>
      <c r="W1462" s="1"/>
      <c r="BC1462" s="51"/>
      <c r="BD1462" s="51"/>
      <c r="BH1462" s="1"/>
      <c r="BI1462" s="1"/>
      <c r="BJ1462" s="1"/>
      <c r="BK1462" s="1"/>
    </row>
    <row r="1463" spans="1:64" x14ac:dyDescent="0.2">
      <c r="Q1463" s="2"/>
      <c r="T1463" s="1"/>
      <c r="U1463" s="1"/>
      <c r="V1463" s="1"/>
      <c r="W1463" s="1"/>
      <c r="BC1463" s="51"/>
      <c r="BD1463" s="51"/>
      <c r="BH1463" s="1"/>
      <c r="BI1463" s="1"/>
      <c r="BJ1463" s="1"/>
      <c r="BK1463" s="1"/>
    </row>
    <row r="1464" spans="1:64" x14ac:dyDescent="0.2">
      <c r="Q1464" s="2"/>
      <c r="T1464" s="1"/>
      <c r="U1464" s="1"/>
      <c r="V1464" s="1"/>
      <c r="W1464" s="1"/>
      <c r="BC1464" s="51"/>
      <c r="BD1464" s="51"/>
      <c r="BH1464" s="1"/>
      <c r="BI1464" s="1"/>
      <c r="BJ1464" s="1"/>
      <c r="BK1464" s="1"/>
    </row>
    <row r="1465" spans="1:64" ht="37.5" customHeight="1" x14ac:dyDescent="0.5">
      <c r="B1465" s="827" t="s">
        <v>1</v>
      </c>
      <c r="C1465" s="827"/>
      <c r="D1465" s="827"/>
      <c r="E1465" s="827"/>
      <c r="F1465" s="827"/>
      <c r="G1465" s="827"/>
      <c r="H1465" s="827"/>
      <c r="I1465" s="827"/>
      <c r="J1465" s="827"/>
      <c r="K1465" s="827"/>
      <c r="L1465" s="827"/>
      <c r="M1465" s="827"/>
      <c r="N1465" s="827"/>
      <c r="O1465" s="827"/>
      <c r="P1465" s="827"/>
      <c r="Q1465" s="827"/>
      <c r="R1465" s="827"/>
      <c r="S1465" s="827"/>
      <c r="T1465" s="827"/>
      <c r="U1465" s="827"/>
      <c r="V1465" s="827"/>
      <c r="W1465" s="827"/>
      <c r="X1465" s="827"/>
      <c r="BC1465" s="51"/>
      <c r="BD1465" s="51"/>
      <c r="BH1465" s="1"/>
      <c r="BI1465" s="1"/>
      <c r="BJ1465" s="1"/>
      <c r="BK1465" s="1"/>
    </row>
    <row r="1466" spans="1:64" ht="12.75" customHeight="1" x14ac:dyDescent="0.5">
      <c r="C1466" s="339"/>
      <c r="D1466" s="339"/>
      <c r="E1466" s="339"/>
      <c r="F1466" s="339"/>
      <c r="G1466" s="339"/>
      <c r="H1466" s="339"/>
      <c r="I1466" s="339"/>
      <c r="J1466" s="339"/>
      <c r="K1466" s="339"/>
      <c r="L1466" s="339"/>
      <c r="M1466" s="339"/>
      <c r="N1466" s="339"/>
      <c r="O1466" s="339"/>
      <c r="P1466" s="339"/>
      <c r="Q1466" s="339"/>
      <c r="R1466" s="339"/>
      <c r="S1466" s="339"/>
      <c r="T1466" s="339"/>
      <c r="U1466" s="339"/>
      <c r="V1466" s="339"/>
      <c r="W1466" s="339"/>
      <c r="BC1466" s="51"/>
      <c r="BD1466" s="51"/>
      <c r="BH1466" s="1"/>
      <c r="BI1466" s="1"/>
      <c r="BJ1466" s="1"/>
      <c r="BK1466" s="1"/>
    </row>
    <row r="1467" spans="1:64" ht="12.75" customHeight="1" x14ac:dyDescent="0.5">
      <c r="C1467" s="339"/>
      <c r="D1467" s="339"/>
      <c r="E1467" s="339"/>
      <c r="F1467" s="339"/>
      <c r="G1467" s="339"/>
      <c r="H1467" s="339"/>
      <c r="I1467" s="339"/>
      <c r="J1467" s="339"/>
      <c r="K1467" s="339"/>
      <c r="L1467" s="339"/>
      <c r="M1467" s="339"/>
      <c r="N1467" s="339"/>
      <c r="O1467" s="339"/>
      <c r="P1467" s="339"/>
      <c r="Q1467" s="339"/>
      <c r="R1467" s="339"/>
      <c r="S1467" s="339"/>
      <c r="T1467" s="339"/>
      <c r="U1467" s="339"/>
      <c r="V1467" s="339"/>
      <c r="W1467" s="339"/>
      <c r="BC1467" s="51"/>
      <c r="BD1467" s="51"/>
      <c r="BH1467" s="1"/>
      <c r="BI1467" s="1"/>
      <c r="BJ1467" s="1"/>
      <c r="BK1467" s="1"/>
    </row>
    <row r="1468" spans="1:64" x14ac:dyDescent="0.2">
      <c r="C1468" s="333"/>
      <c r="D1468" s="333"/>
      <c r="E1468" s="333"/>
      <c r="F1468" s="333"/>
      <c r="G1468" s="333"/>
      <c r="H1468" s="333"/>
      <c r="I1468" s="333"/>
      <c r="J1468" s="333"/>
      <c r="K1468" s="333"/>
      <c r="L1468" s="333"/>
      <c r="M1468" s="333"/>
      <c r="N1468" s="333"/>
      <c r="O1468" s="333"/>
      <c r="P1468" s="333"/>
      <c r="Q1468" s="333"/>
      <c r="R1468" s="333"/>
      <c r="S1468" s="333"/>
      <c r="T1468" s="333"/>
      <c r="U1468" s="333"/>
      <c r="V1468" s="333"/>
      <c r="W1468" s="333"/>
      <c r="BC1468" s="51"/>
      <c r="BD1468" s="51"/>
      <c r="BH1468" s="1"/>
      <c r="BI1468" s="1"/>
      <c r="BJ1468" s="1"/>
      <c r="BK1468" s="1"/>
    </row>
    <row r="1469" spans="1:64" x14ac:dyDescent="0.2">
      <c r="C1469" s="333"/>
      <c r="D1469" s="333"/>
      <c r="E1469" s="333"/>
      <c r="F1469" s="333"/>
      <c r="G1469" s="333"/>
      <c r="H1469" s="333"/>
      <c r="I1469" s="333"/>
      <c r="J1469" s="333"/>
      <c r="K1469" s="333"/>
      <c r="L1469" s="333"/>
      <c r="M1469" s="333"/>
      <c r="N1469" s="333"/>
      <c r="O1469" s="333"/>
      <c r="P1469" s="333"/>
      <c r="Q1469" s="333"/>
      <c r="R1469" s="333"/>
      <c r="S1469" s="333"/>
      <c r="T1469" s="333"/>
      <c r="U1469" s="333"/>
      <c r="V1469" s="333"/>
      <c r="W1469" s="333"/>
      <c r="BC1469" s="51"/>
      <c r="BD1469" s="51"/>
      <c r="BH1469" s="1"/>
      <c r="BI1469" s="1"/>
      <c r="BJ1469" s="1"/>
      <c r="BK1469" s="1"/>
    </row>
    <row r="1470" spans="1:64" x14ac:dyDescent="0.2">
      <c r="C1470" s="333"/>
      <c r="D1470" s="333"/>
      <c r="E1470" s="333"/>
      <c r="F1470" s="333"/>
      <c r="G1470" s="333"/>
      <c r="H1470" s="333"/>
      <c r="I1470" s="333"/>
      <c r="J1470" s="333"/>
      <c r="K1470" s="333"/>
      <c r="L1470" s="333"/>
      <c r="M1470" s="333"/>
      <c r="N1470" s="333"/>
      <c r="O1470" s="333"/>
      <c r="P1470" s="333"/>
      <c r="Q1470" s="333"/>
      <c r="R1470" s="333"/>
      <c r="S1470" s="333"/>
      <c r="T1470" s="333"/>
      <c r="U1470" s="333"/>
      <c r="V1470" s="333"/>
      <c r="W1470" s="333"/>
      <c r="BC1470" s="51"/>
      <c r="BD1470" s="51"/>
      <c r="BH1470" s="1"/>
      <c r="BI1470" s="1"/>
      <c r="BJ1470" s="1"/>
      <c r="BK1470" s="1"/>
    </row>
    <row r="1471" spans="1:64" x14ac:dyDescent="0.2">
      <c r="C1471" s="333"/>
      <c r="D1471" s="333"/>
      <c r="E1471" s="333"/>
      <c r="F1471" s="333"/>
      <c r="G1471" s="333"/>
      <c r="H1471" s="333"/>
      <c r="I1471" s="333"/>
      <c r="J1471" s="333"/>
      <c r="K1471" s="333"/>
      <c r="L1471" s="333"/>
      <c r="M1471" s="333"/>
      <c r="N1471" s="333"/>
      <c r="O1471" s="333"/>
      <c r="P1471" s="333"/>
      <c r="Q1471" s="333"/>
      <c r="R1471" s="333"/>
      <c r="S1471" s="333"/>
      <c r="T1471" s="333"/>
      <c r="U1471" s="333"/>
      <c r="V1471" s="333"/>
      <c r="W1471" s="333"/>
      <c r="BC1471" s="51"/>
      <c r="BD1471" s="51"/>
      <c r="BH1471" s="1"/>
      <c r="BI1471" s="1"/>
      <c r="BJ1471" s="1"/>
      <c r="BK1471" s="1"/>
    </row>
    <row r="1472" spans="1:64" x14ac:dyDescent="0.2">
      <c r="C1472" s="333"/>
      <c r="D1472" s="333"/>
      <c r="E1472" s="333"/>
      <c r="F1472" s="333"/>
      <c r="G1472" s="333"/>
      <c r="H1472" s="333"/>
      <c r="I1472" s="333"/>
      <c r="J1472" s="333"/>
      <c r="K1472" s="333"/>
      <c r="L1472" s="333"/>
      <c r="M1472" s="333"/>
      <c r="N1472" s="333"/>
      <c r="O1472" s="333"/>
      <c r="P1472" s="333"/>
      <c r="Q1472" s="333"/>
      <c r="R1472" s="333"/>
      <c r="S1472" s="333"/>
      <c r="T1472" s="333"/>
      <c r="U1472" s="333"/>
      <c r="V1472" s="333"/>
      <c r="W1472" s="333"/>
      <c r="BC1472" s="51"/>
      <c r="BD1472" s="51"/>
      <c r="BH1472" s="1"/>
      <c r="BI1472" s="1"/>
      <c r="BJ1472" s="1"/>
      <c r="BK1472" s="1"/>
    </row>
    <row r="1473" spans="1:63" x14ac:dyDescent="0.2">
      <c r="C1473" s="333"/>
      <c r="D1473" s="333"/>
      <c r="E1473" s="333"/>
      <c r="F1473" s="333"/>
      <c r="G1473" s="333"/>
      <c r="H1473" s="333"/>
      <c r="I1473" s="333"/>
      <c r="J1473" s="333"/>
      <c r="K1473" s="333"/>
      <c r="L1473" s="333"/>
      <c r="M1473" s="333"/>
      <c r="N1473" s="333"/>
      <c r="O1473" s="333"/>
      <c r="P1473" s="333"/>
      <c r="Q1473" s="333"/>
      <c r="R1473" s="333"/>
      <c r="S1473" s="333"/>
      <c r="T1473" s="333"/>
      <c r="U1473" s="333"/>
      <c r="V1473" s="333"/>
      <c r="W1473" s="333"/>
      <c r="BC1473" s="51"/>
      <c r="BD1473" s="51"/>
      <c r="BH1473" s="1"/>
      <c r="BI1473" s="1"/>
      <c r="BJ1473" s="1"/>
      <c r="BK1473" s="1"/>
    </row>
    <row r="1474" spans="1:63" x14ac:dyDescent="0.2">
      <c r="C1474" s="333"/>
      <c r="D1474" s="333"/>
      <c r="E1474" s="333"/>
      <c r="F1474" s="333"/>
      <c r="G1474" s="333"/>
      <c r="H1474" s="333"/>
      <c r="I1474" s="333"/>
      <c r="J1474" s="333"/>
      <c r="K1474" s="333"/>
      <c r="L1474" s="333"/>
      <c r="M1474" s="333"/>
      <c r="N1474" s="333"/>
      <c r="O1474" s="333"/>
      <c r="P1474" s="333"/>
      <c r="Q1474" s="333"/>
      <c r="R1474" s="333"/>
      <c r="S1474" s="333"/>
      <c r="T1474" s="333"/>
      <c r="U1474" s="333"/>
      <c r="V1474" s="333"/>
      <c r="W1474" s="333"/>
      <c r="BC1474" s="51"/>
      <c r="BD1474" s="51"/>
      <c r="BH1474" s="1"/>
      <c r="BI1474" s="1"/>
      <c r="BJ1474" s="1"/>
      <c r="BK1474" s="1"/>
    </row>
    <row r="1475" spans="1:63" x14ac:dyDescent="0.2">
      <c r="C1475" s="333"/>
      <c r="D1475" s="333"/>
      <c r="E1475" s="333"/>
      <c r="F1475" s="333"/>
      <c r="G1475" s="333"/>
      <c r="H1475" s="333"/>
      <c r="I1475" s="333"/>
      <c r="J1475" s="333"/>
      <c r="K1475" s="333"/>
      <c r="L1475" s="333"/>
      <c r="M1475" s="333"/>
      <c r="N1475" s="333"/>
      <c r="O1475" s="333"/>
      <c r="P1475" s="333"/>
      <c r="Q1475" s="333"/>
      <c r="R1475" s="333"/>
      <c r="S1475" s="333"/>
      <c r="T1475" s="333"/>
      <c r="U1475" s="333"/>
      <c r="V1475" s="333"/>
      <c r="W1475" s="333"/>
      <c r="BC1475" s="51"/>
      <c r="BD1475" s="51"/>
      <c r="BH1475" s="1"/>
      <c r="BI1475" s="1"/>
      <c r="BJ1475" s="1"/>
      <c r="BK1475" s="1"/>
    </row>
    <row r="1476" spans="1:63" x14ac:dyDescent="0.2">
      <c r="C1476" s="333"/>
      <c r="D1476" s="333"/>
      <c r="E1476" s="333"/>
      <c r="F1476" s="333"/>
      <c r="G1476" s="333"/>
      <c r="H1476" s="333"/>
      <c r="I1476" s="333"/>
      <c r="J1476" s="333"/>
      <c r="K1476" s="333"/>
      <c r="L1476" s="333"/>
      <c r="M1476" s="333"/>
      <c r="N1476" s="333"/>
      <c r="O1476" s="333"/>
      <c r="P1476" s="333"/>
      <c r="Q1476" s="333"/>
      <c r="R1476" s="333"/>
      <c r="S1476" s="333"/>
      <c r="T1476" s="333"/>
      <c r="U1476" s="333"/>
      <c r="V1476" s="333"/>
      <c r="W1476" s="333"/>
      <c r="BC1476" s="51"/>
      <c r="BD1476" s="51"/>
      <c r="BH1476" s="1"/>
      <c r="BI1476" s="1"/>
      <c r="BJ1476" s="1"/>
      <c r="BK1476" s="1"/>
    </row>
    <row r="1477" spans="1:63" ht="12.75" customHeight="1" outlineLevel="1" x14ac:dyDescent="0.2"/>
    <row r="1478" spans="1:63" ht="12.75" customHeight="1" outlineLevel="1" x14ac:dyDescent="0.2"/>
    <row r="1479" spans="1:63" ht="23.25" outlineLevel="1" x14ac:dyDescent="0.35">
      <c r="A1479" s="628"/>
      <c r="B1479" s="628"/>
      <c r="C1479" s="629" t="s">
        <v>2970</v>
      </c>
      <c r="D1479" s="628"/>
    </row>
    <row r="1480" spans="1:63" ht="22.5" outlineLevel="1" x14ac:dyDescent="0.3">
      <c r="A1480" s="630"/>
      <c r="B1480" s="630"/>
      <c r="C1480" s="630"/>
      <c r="D1480" s="630"/>
      <c r="E1480" s="626"/>
      <c r="F1480" s="626"/>
      <c r="G1480" s="625"/>
    </row>
    <row r="1481" spans="1:63" ht="22.5" outlineLevel="1" x14ac:dyDescent="0.3">
      <c r="A1481" s="630"/>
      <c r="B1481" s="630"/>
      <c r="C1481" s="632" t="s">
        <v>2472</v>
      </c>
      <c r="D1481" s="633" t="s">
        <v>1298</v>
      </c>
      <c r="E1481" s="626"/>
      <c r="F1481" s="626"/>
      <c r="G1481" s="625"/>
    </row>
    <row r="1482" spans="1:63" ht="22.5" outlineLevel="1" x14ac:dyDescent="0.3">
      <c r="A1482" s="630"/>
      <c r="B1482" s="630"/>
      <c r="C1482" s="632" t="s">
        <v>2478</v>
      </c>
      <c r="D1482" s="633" t="s">
        <v>1296</v>
      </c>
      <c r="E1482" s="626"/>
      <c r="F1482" s="626"/>
      <c r="G1482" s="625"/>
    </row>
    <row r="1483" spans="1:63" ht="22.5" outlineLevel="1" x14ac:dyDescent="0.3">
      <c r="A1483" s="630"/>
      <c r="B1483" s="630"/>
      <c r="C1483" s="632" t="s">
        <v>2489</v>
      </c>
      <c r="D1483" s="633" t="s">
        <v>1297</v>
      </c>
      <c r="E1483" s="626"/>
      <c r="F1483" s="626"/>
      <c r="G1483" s="625"/>
    </row>
    <row r="1484" spans="1:63" ht="22.5" outlineLevel="1" x14ac:dyDescent="0.3">
      <c r="A1484" s="630"/>
      <c r="B1484" s="630"/>
      <c r="C1484" s="632" t="s">
        <v>1377</v>
      </c>
      <c r="D1484" s="633" t="s">
        <v>46</v>
      </c>
      <c r="E1484" s="626"/>
      <c r="F1484" s="626"/>
      <c r="G1484" s="625"/>
    </row>
    <row r="1485" spans="1:63" ht="22.5" outlineLevel="1" x14ac:dyDescent="0.3">
      <c r="A1485" s="630"/>
      <c r="B1485" s="630"/>
      <c r="C1485" s="632" t="s">
        <v>37</v>
      </c>
      <c r="D1485" s="633" t="s">
        <v>54</v>
      </c>
      <c r="E1485" s="626"/>
      <c r="F1485" s="626"/>
      <c r="G1485" s="625"/>
    </row>
    <row r="1486" spans="1:63" ht="22.5" outlineLevel="1" x14ac:dyDescent="0.3">
      <c r="A1486" s="630"/>
      <c r="B1486" s="630" t="s">
        <v>2968</v>
      </c>
      <c r="C1486" s="631" t="s">
        <v>949</v>
      </c>
      <c r="D1486" s="631" t="s">
        <v>2314</v>
      </c>
      <c r="E1486" s="626" t="s">
        <v>2969</v>
      </c>
      <c r="F1486" s="626"/>
      <c r="G1486" s="625"/>
    </row>
    <row r="1487" spans="1:63" ht="12.75" customHeight="1" outlineLevel="1" x14ac:dyDescent="0.3">
      <c r="A1487" s="626"/>
      <c r="B1487" s="626"/>
      <c r="C1487" s="627"/>
      <c r="D1487" s="627"/>
      <c r="E1487" s="626"/>
      <c r="F1487" s="626"/>
      <c r="G1487" s="625"/>
    </row>
    <row r="1488" spans="1:63" ht="12.75" customHeight="1" outlineLevel="1" x14ac:dyDescent="0.3">
      <c r="A1488" s="626"/>
      <c r="B1488" s="626"/>
      <c r="C1488" s="627"/>
      <c r="D1488" s="627"/>
      <c r="E1488" s="626"/>
      <c r="F1488" s="626"/>
      <c r="G1488" s="625"/>
    </row>
    <row r="1489" spans="1:7" ht="12.75" customHeight="1" outlineLevel="1" x14ac:dyDescent="0.3">
      <c r="A1489" s="626"/>
      <c r="B1489" s="626"/>
      <c r="C1489" s="627"/>
      <c r="D1489" s="627"/>
      <c r="E1489" s="626"/>
      <c r="F1489" s="626"/>
      <c r="G1489" s="625"/>
    </row>
    <row r="1490" spans="1:7" ht="12.75" customHeight="1" outlineLevel="1" x14ac:dyDescent="0.3">
      <c r="A1490" s="626"/>
      <c r="B1490" s="626"/>
      <c r="C1490" s="627"/>
      <c r="D1490" s="627"/>
      <c r="E1490" s="626"/>
      <c r="F1490" s="626"/>
    </row>
    <row r="1491" spans="1:7" ht="12.75" customHeight="1" outlineLevel="1" x14ac:dyDescent="0.3">
      <c r="A1491" s="626"/>
      <c r="B1491" s="626"/>
      <c r="C1491" s="627"/>
      <c r="D1491" s="627"/>
      <c r="E1491" s="626"/>
      <c r="F1491" s="626"/>
    </row>
    <row r="1492" spans="1:7" ht="12.75" customHeight="1" outlineLevel="1" x14ac:dyDescent="0.3">
      <c r="A1492" s="626"/>
      <c r="B1492" s="626"/>
      <c r="C1492" s="627"/>
      <c r="D1492" s="627"/>
      <c r="E1492" s="626"/>
      <c r="F1492" s="626"/>
    </row>
    <row r="1493" spans="1:7" ht="12.75" customHeight="1" outlineLevel="1" x14ac:dyDescent="0.3">
      <c r="A1493" s="626"/>
      <c r="B1493" s="626"/>
      <c r="C1493" s="626"/>
      <c r="D1493" s="626"/>
      <c r="E1493" s="626"/>
      <c r="F1493" s="626"/>
    </row>
    <row r="1494" spans="1:7" ht="12.75" customHeight="1" outlineLevel="1" x14ac:dyDescent="0.3">
      <c r="A1494" s="626"/>
      <c r="B1494" s="626"/>
      <c r="C1494" s="626"/>
      <c r="D1494" s="626"/>
      <c r="E1494" s="626"/>
      <c r="F1494" s="626"/>
    </row>
    <row r="1495" spans="1:7" ht="12.75" customHeight="1" outlineLevel="1" x14ac:dyDescent="0.3">
      <c r="A1495" s="626"/>
      <c r="B1495" s="626"/>
      <c r="C1495" s="626"/>
      <c r="D1495" s="626"/>
      <c r="E1495" s="626"/>
      <c r="F1495" s="626"/>
    </row>
    <row r="1496" spans="1:7" ht="18.75" x14ac:dyDescent="0.3">
      <c r="A1496" s="626"/>
      <c r="B1496" s="626"/>
      <c r="C1496" s="626"/>
      <c r="D1496" s="626"/>
      <c r="E1496" s="626"/>
      <c r="F1496" s="626"/>
    </row>
    <row r="1497" spans="1:7" ht="18.75" x14ac:dyDescent="0.3">
      <c r="A1497" s="626"/>
      <c r="B1497" s="626"/>
      <c r="C1497" s="626"/>
      <c r="D1497" s="626"/>
      <c r="E1497" s="626"/>
      <c r="F1497" s="626"/>
    </row>
    <row r="1498" spans="1:7" ht="18.75" x14ac:dyDescent="0.3">
      <c r="A1498" s="626"/>
      <c r="B1498" s="626"/>
      <c r="C1498" s="626"/>
      <c r="D1498" s="626"/>
      <c r="E1498" s="626"/>
      <c r="F1498" s="626"/>
    </row>
  </sheetData>
  <autoFilter ref="A16:BM1458"/>
  <mergeCells count="27">
    <mergeCell ref="BF11:BL11"/>
    <mergeCell ref="F11:F12"/>
    <mergeCell ref="AQ12:AR12"/>
    <mergeCell ref="B6:X6"/>
    <mergeCell ref="R11:X11"/>
    <mergeCell ref="K11:Q11"/>
    <mergeCell ref="J11:J12"/>
    <mergeCell ref="C11:C12"/>
    <mergeCell ref="H11:H12"/>
    <mergeCell ref="I11:I12"/>
    <mergeCell ref="B11:B12"/>
    <mergeCell ref="B1465:X1465"/>
    <mergeCell ref="T1458:U1458"/>
    <mergeCell ref="BH1458:BI1458"/>
    <mergeCell ref="AB11:AB13"/>
    <mergeCell ref="D11:D12"/>
    <mergeCell ref="E11:E12"/>
    <mergeCell ref="AW12:AX12"/>
    <mergeCell ref="AM12:AN12"/>
    <mergeCell ref="AU12:AV12"/>
    <mergeCell ref="AC11:AD11"/>
    <mergeCell ref="AM11:AZ11"/>
    <mergeCell ref="AF11:AL11"/>
    <mergeCell ref="G11:G12"/>
    <mergeCell ref="Y11:AA13"/>
    <mergeCell ref="AS12:AT12"/>
    <mergeCell ref="AO12:AP12"/>
  </mergeCells>
  <phoneticPr fontId="12" type="noConversion"/>
  <printOptions horizontalCentered="1"/>
  <pageMargins left="0" right="0" top="0.39370078740157483" bottom="0.39370078740157483" header="0.15748031496062992" footer="0.19685039370078741"/>
  <pageSetup paperSize="8" scale="43" fitToHeight="17" orientation="landscape" r:id="rId1"/>
  <headerFooter differentFirst="1">
    <oddFooter>&amp;C1 из 5</oddFooter>
    <firstFooter>&amp;C&amp;P</firstFooter>
  </headerFooter>
  <rowBreaks count="8" manualBreakCount="8">
    <brk id="90" min="1" max="23" man="1"/>
    <brk id="146" min="1" max="23" man="1"/>
    <brk id="156" min="1" max="23" man="1"/>
    <brk id="162" min="1" max="23" man="1"/>
    <brk id="229" min="1" max="23" man="1"/>
    <brk id="247" min="1" max="23" man="1"/>
    <brk id="1419" min="1" max="23" man="1"/>
    <brk id="1433" min="1" max="2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L128"/>
  <sheetViews>
    <sheetView view="pageBreakPreview" zoomScale="85" zoomScaleSheetLayoutView="70" workbookViewId="0">
      <pane xSplit="3" ySplit="8" topLeftCell="D9" activePane="bottomRight" state="frozen"/>
      <selection activeCell="C33" sqref="C33"/>
      <selection pane="topRight" activeCell="C33" sqref="C33"/>
      <selection pane="bottomLeft" activeCell="C33" sqref="C33"/>
      <selection pane="bottomRight" activeCell="O117" sqref="O117"/>
    </sheetView>
  </sheetViews>
  <sheetFormatPr defaultRowHeight="12.75" outlineLevelRow="1" outlineLevelCol="1" x14ac:dyDescent="0.2"/>
  <cols>
    <col min="1" max="1" width="12.140625" style="61" customWidth="1" outlineLevel="1"/>
    <col min="2" max="2" width="10.42578125" style="1" customWidth="1"/>
    <col min="3" max="3" width="30.42578125" style="1" customWidth="1"/>
    <col min="4" max="5" width="9.28515625" style="1" customWidth="1"/>
    <col min="6" max="6" width="11.7109375" style="1" customWidth="1"/>
    <col min="7" max="7" width="12.140625" style="1" customWidth="1"/>
    <col min="8" max="8" width="10.5703125" style="1" customWidth="1"/>
    <col min="9" max="9" width="9.28515625" style="1" bestFit="1" customWidth="1"/>
    <col min="10" max="10" width="12.42578125" style="1" customWidth="1"/>
    <col min="11" max="11" width="13.28515625" style="1" customWidth="1"/>
    <col min="12" max="12" width="10.140625" style="1" customWidth="1"/>
    <col min="13" max="13" width="12.42578125" style="1" customWidth="1"/>
    <col min="14" max="14" width="11.5703125" style="1" bestFit="1" customWidth="1"/>
    <col min="15" max="15" width="13" style="1" customWidth="1"/>
    <col min="16" max="16" width="16.42578125" style="1" customWidth="1"/>
    <col min="17" max="17" width="14.5703125" style="1" customWidth="1"/>
    <col min="18" max="18" width="16.140625" style="1" customWidth="1"/>
    <col min="19" max="19" width="14" style="1" customWidth="1"/>
    <col min="20" max="20" width="12" style="1" customWidth="1"/>
    <col min="21" max="21" width="12.140625" style="1" customWidth="1"/>
    <col min="22" max="23" width="12" style="1" customWidth="1"/>
    <col min="24" max="24" width="12.5703125" style="1" customWidth="1"/>
    <col min="25" max="25" width="9.28515625" style="1" bestFit="1" customWidth="1"/>
    <col min="26" max="26" width="14.28515625" style="1" customWidth="1"/>
    <col min="27" max="27" width="12.5703125" style="1" customWidth="1"/>
    <col min="28" max="28" width="16.28515625" style="1" customWidth="1"/>
    <col min="29" max="29" width="11.5703125" style="1" bestFit="1" customWidth="1"/>
    <col min="30" max="30" width="9.28515625" style="1" bestFit="1" customWidth="1"/>
    <col min="31" max="31" width="9.140625" style="1"/>
    <col min="32" max="32" width="16.28515625" style="1" customWidth="1"/>
    <col min="33" max="33" width="10.7109375" style="1" customWidth="1"/>
    <col min="34" max="34" width="10" style="1" customWidth="1"/>
    <col min="35" max="16384" width="9.140625" style="1"/>
  </cols>
  <sheetData>
    <row r="1" spans="1:39" ht="15.75" outlineLevel="1" x14ac:dyDescent="0.2">
      <c r="A1" s="1"/>
      <c r="AD1" s="46" t="s">
        <v>2599</v>
      </c>
    </row>
    <row r="2" spans="1:39" ht="15.75" outlineLevel="1" x14ac:dyDescent="0.2">
      <c r="A2" s="1"/>
      <c r="AD2" s="46" t="s">
        <v>438</v>
      </c>
    </row>
    <row r="3" spans="1:39" ht="15.75" outlineLevel="1" x14ac:dyDescent="0.2">
      <c r="A3" s="1"/>
      <c r="AD3" s="46" t="s">
        <v>497</v>
      </c>
    </row>
    <row r="4" spans="1:39" ht="39.75" customHeight="1" x14ac:dyDescent="0.3">
      <c r="B4" s="848" t="s">
        <v>1392</v>
      </c>
      <c r="C4" s="848"/>
      <c r="D4" s="848"/>
      <c r="E4" s="848"/>
      <c r="F4" s="848"/>
      <c r="G4" s="848"/>
      <c r="H4" s="848"/>
      <c r="I4" s="848"/>
      <c r="J4" s="848"/>
      <c r="K4" s="848"/>
      <c r="L4" s="848"/>
      <c r="M4" s="848"/>
      <c r="N4" s="848"/>
      <c r="O4" s="848"/>
      <c r="P4" s="848"/>
      <c r="Q4" s="848"/>
      <c r="R4" s="848"/>
      <c r="S4" s="848"/>
      <c r="T4" s="848"/>
      <c r="U4" s="848"/>
      <c r="V4" s="848"/>
      <c r="W4" s="848"/>
      <c r="X4" s="848"/>
      <c r="Y4" s="848"/>
      <c r="Z4" s="848"/>
      <c r="AA4" s="848"/>
      <c r="AB4" s="848"/>
      <c r="AC4" s="848"/>
      <c r="AD4" s="848"/>
      <c r="AE4" s="848"/>
      <c r="AF4" s="848"/>
      <c r="AG4" s="848"/>
      <c r="AH4" s="848"/>
    </row>
    <row r="6" spans="1:39" ht="12.75" customHeight="1" x14ac:dyDescent="0.2">
      <c r="A6" s="846" t="s">
        <v>1493</v>
      </c>
      <c r="B6" s="847" t="s">
        <v>1494</v>
      </c>
      <c r="C6" s="847" t="s">
        <v>119</v>
      </c>
      <c r="D6" s="847" t="s">
        <v>210</v>
      </c>
      <c r="E6" s="847"/>
      <c r="F6" s="847"/>
      <c r="G6" s="847"/>
      <c r="H6" s="847"/>
      <c r="I6" s="847"/>
      <c r="J6" s="847"/>
      <c r="K6" s="847"/>
      <c r="L6" s="847"/>
      <c r="M6" s="847"/>
      <c r="N6" s="847" t="s">
        <v>1464</v>
      </c>
      <c r="O6" s="847"/>
      <c r="P6" s="847"/>
      <c r="Q6" s="847"/>
      <c r="R6" s="847"/>
      <c r="S6" s="847" t="s">
        <v>1468</v>
      </c>
      <c r="T6" s="847"/>
      <c r="U6" s="847"/>
      <c r="V6" s="847" t="s">
        <v>430</v>
      </c>
      <c r="W6" s="847"/>
      <c r="X6" s="847"/>
      <c r="Y6" s="847" t="s">
        <v>448</v>
      </c>
      <c r="Z6" s="847"/>
      <c r="AA6" s="847"/>
      <c r="AB6" s="847"/>
      <c r="AC6" s="847"/>
      <c r="AD6" s="847"/>
      <c r="AE6" s="847"/>
      <c r="AF6" s="847"/>
      <c r="AG6" s="847"/>
      <c r="AH6" s="847"/>
      <c r="AI6" s="26"/>
      <c r="AJ6" s="26"/>
      <c r="AK6" s="26"/>
      <c r="AL6" s="26"/>
    </row>
    <row r="7" spans="1:39" ht="12.75" customHeight="1" x14ac:dyDescent="0.2">
      <c r="A7" s="846"/>
      <c r="B7" s="847"/>
      <c r="C7" s="847"/>
      <c r="D7" s="847" t="s">
        <v>1465</v>
      </c>
      <c r="E7" s="847"/>
      <c r="F7" s="847"/>
      <c r="G7" s="847"/>
      <c r="H7" s="847" t="s">
        <v>1066</v>
      </c>
      <c r="I7" s="847"/>
      <c r="J7" s="847"/>
      <c r="K7" s="847"/>
      <c r="L7" s="847"/>
      <c r="M7" s="850" t="s">
        <v>1067</v>
      </c>
      <c r="N7" s="847" t="s">
        <v>432</v>
      </c>
      <c r="O7" s="847"/>
      <c r="P7" s="847"/>
      <c r="Q7" s="847"/>
      <c r="R7" s="847"/>
      <c r="S7" s="847" t="s">
        <v>432</v>
      </c>
      <c r="T7" s="847" t="s">
        <v>440</v>
      </c>
      <c r="U7" s="847"/>
      <c r="V7" s="847" t="s">
        <v>432</v>
      </c>
      <c r="W7" s="847" t="s">
        <v>440</v>
      </c>
      <c r="X7" s="847"/>
      <c r="Y7" s="847" t="s">
        <v>1465</v>
      </c>
      <c r="Z7" s="847"/>
      <c r="AA7" s="847"/>
      <c r="AB7" s="847"/>
      <c r="AC7" s="847" t="s">
        <v>1066</v>
      </c>
      <c r="AD7" s="847"/>
      <c r="AE7" s="847"/>
      <c r="AF7" s="847"/>
      <c r="AG7" s="847"/>
      <c r="AH7" s="850" t="s">
        <v>1067</v>
      </c>
    </row>
    <row r="8" spans="1:39" ht="63.75" customHeight="1" x14ac:dyDescent="0.2">
      <c r="A8" s="846"/>
      <c r="B8" s="847"/>
      <c r="C8" s="847"/>
      <c r="D8" s="3" t="s">
        <v>1068</v>
      </c>
      <c r="E8" s="3" t="s">
        <v>1069</v>
      </c>
      <c r="F8" s="3" t="s">
        <v>1070</v>
      </c>
      <c r="G8" s="3" t="s">
        <v>1071</v>
      </c>
      <c r="H8" s="3" t="s">
        <v>1068</v>
      </c>
      <c r="I8" s="3" t="s">
        <v>1069</v>
      </c>
      <c r="J8" s="3" t="s">
        <v>1072</v>
      </c>
      <c r="K8" s="3" t="s">
        <v>1073</v>
      </c>
      <c r="L8" s="3" t="s">
        <v>1074</v>
      </c>
      <c r="M8" s="850"/>
      <c r="N8" s="3" t="s">
        <v>466</v>
      </c>
      <c r="O8" s="3" t="s">
        <v>1075</v>
      </c>
      <c r="P8" s="3" t="s">
        <v>1076</v>
      </c>
      <c r="Q8" s="3" t="s">
        <v>1077</v>
      </c>
      <c r="R8" s="3" t="s">
        <v>1078</v>
      </c>
      <c r="S8" s="847"/>
      <c r="T8" s="3" t="s">
        <v>456</v>
      </c>
      <c r="U8" s="3" t="s">
        <v>457</v>
      </c>
      <c r="V8" s="847"/>
      <c r="W8" s="3" t="s">
        <v>456</v>
      </c>
      <c r="X8" s="3" t="s">
        <v>457</v>
      </c>
      <c r="Y8" s="3" t="s">
        <v>1068</v>
      </c>
      <c r="Z8" s="3" t="s">
        <v>1069</v>
      </c>
      <c r="AA8" s="3" t="s">
        <v>1070</v>
      </c>
      <c r="AB8" s="3" t="s">
        <v>1071</v>
      </c>
      <c r="AC8" s="3" t="s">
        <v>1068</v>
      </c>
      <c r="AD8" s="3" t="s">
        <v>1069</v>
      </c>
      <c r="AE8" s="3" t="s">
        <v>1072</v>
      </c>
      <c r="AF8" s="3" t="s">
        <v>1073</v>
      </c>
      <c r="AG8" s="3" t="s">
        <v>1074</v>
      </c>
      <c r="AH8" s="850"/>
    </row>
    <row r="9" spans="1:39" ht="21.75" customHeight="1" x14ac:dyDescent="0.2">
      <c r="A9" s="60">
        <v>1</v>
      </c>
      <c r="B9" s="3" t="s">
        <v>129</v>
      </c>
      <c r="C9" s="3" t="s">
        <v>160</v>
      </c>
      <c r="D9" s="3" t="s">
        <v>99</v>
      </c>
      <c r="E9" s="3" t="s">
        <v>1472</v>
      </c>
      <c r="F9" s="3" t="s">
        <v>1473</v>
      </c>
      <c r="G9" s="3" t="s">
        <v>1474</v>
      </c>
      <c r="H9" s="3" t="s">
        <v>1475</v>
      </c>
      <c r="I9" s="3" t="s">
        <v>1476</v>
      </c>
      <c r="J9" s="3" t="s">
        <v>1477</v>
      </c>
      <c r="K9" s="3" t="s">
        <v>1478</v>
      </c>
      <c r="L9" s="3" t="s">
        <v>1479</v>
      </c>
      <c r="M9" s="3" t="s">
        <v>1480</v>
      </c>
      <c r="N9" s="3" t="s">
        <v>1481</v>
      </c>
      <c r="O9" s="3" t="s">
        <v>1482</v>
      </c>
      <c r="P9" s="3" t="s">
        <v>1483</v>
      </c>
      <c r="Q9" s="3" t="s">
        <v>1484</v>
      </c>
      <c r="R9" s="3" t="s">
        <v>1485</v>
      </c>
      <c r="S9" s="3" t="s">
        <v>1486</v>
      </c>
      <c r="T9" s="3" t="s">
        <v>1487</v>
      </c>
      <c r="U9" s="3" t="s">
        <v>1488</v>
      </c>
      <c r="V9" s="3" t="s">
        <v>1489</v>
      </c>
      <c r="W9" s="3" t="s">
        <v>1490</v>
      </c>
      <c r="X9" s="3" t="s">
        <v>1491</v>
      </c>
      <c r="Y9" s="3" t="s">
        <v>1492</v>
      </c>
      <c r="Z9" s="3" t="s">
        <v>205</v>
      </c>
      <c r="AA9" s="3" t="s">
        <v>1495</v>
      </c>
      <c r="AB9" s="3" t="s">
        <v>1496</v>
      </c>
      <c r="AC9" s="3" t="s">
        <v>1497</v>
      </c>
      <c r="AD9" s="3" t="s">
        <v>1498</v>
      </c>
      <c r="AE9" s="3" t="s">
        <v>214</v>
      </c>
      <c r="AF9" s="3" t="s">
        <v>1499</v>
      </c>
      <c r="AG9" s="3" t="s">
        <v>1500</v>
      </c>
      <c r="AH9" s="3" t="s">
        <v>1501</v>
      </c>
    </row>
    <row r="10" spans="1:39" ht="15.75" x14ac:dyDescent="0.2">
      <c r="A10" s="60">
        <v>2</v>
      </c>
      <c r="B10" s="18"/>
      <c r="C10" s="18" t="str">
        <f>'Утв. ИП 2014-2019'!C15</f>
        <v>ВСЕГО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>
        <f>'Утв. ИП 2014-2019'!U15</f>
        <v>452.40000000000003</v>
      </c>
      <c r="O10" s="17">
        <f>O11+O43+O116</f>
        <v>22.800435</v>
      </c>
      <c r="P10" s="17">
        <f>P11+P43+P116</f>
        <v>248.61956700000005</v>
      </c>
      <c r="Q10" s="17">
        <f>Q11+Q43+Q116</f>
        <v>43.046558000000005</v>
      </c>
      <c r="R10" s="17">
        <f>R11+R43+R116</f>
        <v>137.93343999999999</v>
      </c>
      <c r="S10" s="17">
        <f>'Утв. ИП 2014-2019'!U15</f>
        <v>452.40000000000003</v>
      </c>
      <c r="T10" s="17">
        <f>T11+T43+T116</f>
        <v>145.83858000000001</v>
      </c>
      <c r="U10" s="17">
        <f>U11+U43+U116</f>
        <v>306.56142</v>
      </c>
      <c r="V10" s="17">
        <f>'Утв. ИП 2014-2019'!AI15</f>
        <v>568.54665</v>
      </c>
      <c r="W10" s="17">
        <f>W11+W43+W116</f>
        <v>161.66351249999997</v>
      </c>
      <c r="X10" s="17">
        <f>X11+X43+X116</f>
        <v>406.88313749999998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1:39" s="42" customFormat="1" ht="25.5" x14ac:dyDescent="0.2">
      <c r="A11" s="39">
        <f>A10+1</f>
        <v>3</v>
      </c>
      <c r="B11" s="39" t="str">
        <f>'Утв. ИП 2014-2019'!B16</f>
        <v>1</v>
      </c>
      <c r="C11" s="40" t="str">
        <f>'Утв. ИП 2014-2019'!C16</f>
        <v>Техническое перевооружение и реконструкция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f>'Утв. ИП 2014-2019'!U16</f>
        <v>26.759899999999998</v>
      </c>
      <c r="O11" s="41">
        <f>O12+O32+O36</f>
        <v>1.5746449999999999</v>
      </c>
      <c r="P11" s="41">
        <f>P12+P32+P36</f>
        <v>14.875152999999997</v>
      </c>
      <c r="Q11" s="41">
        <f>Q12+Q32+Q36</f>
        <v>10.310101999999999</v>
      </c>
      <c r="R11" s="41">
        <f>R12+R32+R36</f>
        <v>0</v>
      </c>
      <c r="S11" s="41">
        <f>'Утв. ИП 2014-2019'!U16</f>
        <v>26.759899999999998</v>
      </c>
      <c r="T11" s="41">
        <f>T12+T32+T36</f>
        <v>2.6759899999999996</v>
      </c>
      <c r="U11" s="41">
        <f>U12+U32+U36</f>
        <v>24.083909999999996</v>
      </c>
      <c r="V11" s="41">
        <f>'Утв. ИП 2014-2019'!AI16</f>
        <v>6.3129999999999997</v>
      </c>
      <c r="W11" s="41">
        <f>W12+W32+W36</f>
        <v>0</v>
      </c>
      <c r="X11" s="41">
        <f>X12+X32+X36</f>
        <v>6.3129999999999997</v>
      </c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9" s="53" customFormat="1" ht="25.5" x14ac:dyDescent="0.2">
      <c r="A12" s="28">
        <f>A11+1</f>
        <v>4</v>
      </c>
      <c r="B12" s="28" t="str">
        <f>'Утв. ИП 2014-2019'!B17</f>
        <v>1.1</v>
      </c>
      <c r="C12" s="29" t="str">
        <f>'Утв. ИП 2014-2019'!C17</f>
        <v>Энергосбережение и повышение энергетической эффективности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>
        <f>'Утв. ИП 2014-2019'!U17</f>
        <v>26.169899999999998</v>
      </c>
      <c r="O12" s="31">
        <f>O13+O22+O25</f>
        <v>1.5746449999999999</v>
      </c>
      <c r="P12" s="31">
        <f>P13+P22+P25</f>
        <v>14.757152999999997</v>
      </c>
      <c r="Q12" s="31">
        <f>Q13+Q22+Q25</f>
        <v>9.8381019999999992</v>
      </c>
      <c r="R12" s="31">
        <f>R13+R22+R25</f>
        <v>0</v>
      </c>
      <c r="S12" s="31">
        <f>'Утв. ИП 2014-2019'!U17</f>
        <v>26.169899999999998</v>
      </c>
      <c r="T12" s="31">
        <f>T13+T22+T25</f>
        <v>2.6169899999999995</v>
      </c>
      <c r="U12" s="31">
        <f>U13+U22+U25</f>
        <v>23.552909999999997</v>
      </c>
      <c r="V12" s="31">
        <f>'Утв. ИП 2014-2019'!AI17</f>
        <v>5.7229999999999999</v>
      </c>
      <c r="W12" s="31">
        <f>W13+W22+W25</f>
        <v>0</v>
      </c>
      <c r="X12" s="31">
        <f>X13+X22+X25</f>
        <v>5.7229999999999999</v>
      </c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63"/>
      <c r="AJ12" s="63"/>
      <c r="AK12" s="63"/>
      <c r="AL12" s="63"/>
      <c r="AM12" s="55"/>
    </row>
    <row r="13" spans="1:39" s="53" customFormat="1" x14ac:dyDescent="0.2">
      <c r="A13" s="28">
        <f>A12+1</f>
        <v>5</v>
      </c>
      <c r="B13" s="28" t="str">
        <f>'Утв. ИП 2014-2019'!B18</f>
        <v>1.1.1</v>
      </c>
      <c r="C13" s="29" t="str">
        <f>'Утв. ИП 2014-2019'!C18</f>
        <v>Сети среднего напряжения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>
        <f>'Утв. ИП 2014-2019'!U18</f>
        <v>5.3229999999999995</v>
      </c>
      <c r="O13" s="31">
        <f>SUM(O14:O21)</f>
        <v>0.5323</v>
      </c>
      <c r="P13" s="31">
        <f>SUM(P14:P21)</f>
        <v>2.8744199999999993</v>
      </c>
      <c r="Q13" s="31">
        <f>SUM(Q14:Q21)</f>
        <v>1.9162799999999998</v>
      </c>
      <c r="R13" s="31">
        <f>SUM(R14:R21)</f>
        <v>0</v>
      </c>
      <c r="S13" s="31">
        <f>'Утв. ИП 2014-2019'!U18</f>
        <v>5.3229999999999995</v>
      </c>
      <c r="T13" s="31">
        <f>SUM(T14:T21)</f>
        <v>0.5323</v>
      </c>
      <c r="U13" s="31">
        <f>SUM(U14:U21)</f>
        <v>4.7906999999999993</v>
      </c>
      <c r="V13" s="31">
        <f>'Утв. ИП 2014-2019'!AI18</f>
        <v>5.7229999999999999</v>
      </c>
      <c r="W13" s="31">
        <f>SUM(W14:W21)</f>
        <v>0</v>
      </c>
      <c r="X13" s="31">
        <f>SUM(X14:X21)</f>
        <v>5.7229999999999999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63"/>
      <c r="AJ13" s="63"/>
      <c r="AK13" s="63"/>
      <c r="AL13" s="63"/>
      <c r="AM13" s="55"/>
    </row>
    <row r="14" spans="1:39" s="2" customFormat="1" ht="51.75" hidden="1" customHeight="1" outlineLevel="1" x14ac:dyDescent="0.2">
      <c r="A14" s="6">
        <f>A13+1</f>
        <v>6</v>
      </c>
      <c r="B14" s="114" t="str">
        <f>'Утв. ИП 2014-2019'!B19</f>
        <v>1.1.1.1</v>
      </c>
      <c r="C14" s="7" t="str">
        <f>'Утв. ИП 2014-2019'!C19</f>
        <v>Реконструкция ВЛ-35 кВ от ПС "Цементная" до ПС "Студеновская" со строительством канала связи</v>
      </c>
      <c r="D14" s="5"/>
      <c r="E14" s="5"/>
      <c r="F14" s="5"/>
      <c r="G14" s="5"/>
      <c r="H14" s="23">
        <v>1967</v>
      </c>
      <c r="I14" s="23">
        <v>45</v>
      </c>
      <c r="J14" s="23" t="s">
        <v>84</v>
      </c>
      <c r="K14" s="23" t="s">
        <v>198</v>
      </c>
      <c r="L14" s="23">
        <v>5.53</v>
      </c>
      <c r="M14" s="5"/>
      <c r="N14" s="5">
        <f>'Утв. ИП 2014-2019'!U19</f>
        <v>0</v>
      </c>
      <c r="O14" s="5"/>
      <c r="P14" s="5">
        <f>N14*0.6</f>
        <v>0</v>
      </c>
      <c r="Q14" s="5">
        <f>N14*0.4</f>
        <v>0</v>
      </c>
      <c r="R14" s="5">
        <f t="shared" ref="R14:R21" si="0">N14-O14-P14-Q14</f>
        <v>0</v>
      </c>
      <c r="S14" s="92">
        <f>'Утв. ИП 2014-2019'!U19</f>
        <v>0</v>
      </c>
      <c r="T14" s="92">
        <f>0.1*S14</f>
        <v>0</v>
      </c>
      <c r="U14" s="92">
        <f>S14-T14</f>
        <v>0</v>
      </c>
      <c r="V14" s="5">
        <f>'Утв. ИП 2014-2019'!AI19</f>
        <v>0</v>
      </c>
      <c r="W14" s="5"/>
      <c r="X14" s="5">
        <f>V14</f>
        <v>0</v>
      </c>
      <c r="Y14" s="5"/>
      <c r="Z14" s="5"/>
      <c r="AA14" s="5"/>
      <c r="AB14" s="5"/>
      <c r="AC14" s="23">
        <f>'Утв. ИП 2014-2019'!G19</f>
        <v>2020</v>
      </c>
      <c r="AD14" s="23">
        <v>30</v>
      </c>
      <c r="AE14" s="5" t="s">
        <v>212</v>
      </c>
      <c r="AF14" s="5" t="s">
        <v>199</v>
      </c>
      <c r="AG14" s="5">
        <f>'Утв. ИП 2014-2019'!AY19</f>
        <v>0</v>
      </c>
      <c r="AH14" s="5"/>
      <c r="AI14" s="47"/>
      <c r="AJ14" s="47"/>
      <c r="AK14" s="47"/>
      <c r="AL14" s="47"/>
    </row>
    <row r="15" spans="1:39" s="2" customFormat="1" ht="38.25" hidden="1" outlineLevel="1" x14ac:dyDescent="0.2">
      <c r="A15" s="6"/>
      <c r="B15" s="114" t="str">
        <f>'Утв. ИП 2014-2019'!B20</f>
        <v>1.1.1.2</v>
      </c>
      <c r="C15" s="7" t="str">
        <f>'Утв. ИП 2014-2019'!C20</f>
        <v xml:space="preserve">Реконструкция КЛ-10 кВ от РП-15 яч. 10 до ТП-505 яч. 4 (инв. № 340869) </v>
      </c>
      <c r="D15" s="5"/>
      <c r="E15" s="5"/>
      <c r="F15" s="5"/>
      <c r="G15" s="5"/>
      <c r="H15" s="23">
        <v>1975</v>
      </c>
      <c r="I15" s="23">
        <v>30</v>
      </c>
      <c r="J15" s="23"/>
      <c r="K15" s="23" t="s">
        <v>200</v>
      </c>
      <c r="L15" s="23">
        <v>0.7</v>
      </c>
      <c r="M15" s="5"/>
      <c r="N15" s="5">
        <f>'Утв. ИП 2014-2019'!U20</f>
        <v>0</v>
      </c>
      <c r="O15" s="5"/>
      <c r="P15" s="5">
        <f>N15*0.6</f>
        <v>0</v>
      </c>
      <c r="Q15" s="5">
        <f>N15*0.4</f>
        <v>0</v>
      </c>
      <c r="R15" s="5">
        <f t="shared" si="0"/>
        <v>0</v>
      </c>
      <c r="S15" s="92">
        <f>'Утв. ИП 2014-2019'!U20</f>
        <v>0</v>
      </c>
      <c r="T15" s="92">
        <f t="shared" ref="T15:T23" si="1">0.1*S15</f>
        <v>0</v>
      </c>
      <c r="U15" s="92">
        <f t="shared" ref="U15:U21" si="2">S15-T15</f>
        <v>0</v>
      </c>
      <c r="V15" s="5">
        <f>'Утв. ИП 2014-2019'!AI20</f>
        <v>0</v>
      </c>
      <c r="W15" s="5"/>
      <c r="X15" s="5">
        <f t="shared" ref="X15:X21" si="3">V15</f>
        <v>0</v>
      </c>
      <c r="Y15" s="5"/>
      <c r="Z15" s="5"/>
      <c r="AA15" s="5"/>
      <c r="AB15" s="5"/>
      <c r="AC15" s="23">
        <f>'Утв. ИП 2014-2019'!G20</f>
        <v>2014</v>
      </c>
      <c r="AD15" s="23">
        <v>30</v>
      </c>
      <c r="AE15" s="5" t="s">
        <v>212</v>
      </c>
      <c r="AF15" s="5" t="s">
        <v>200</v>
      </c>
      <c r="AG15" s="5">
        <f>'Утв. ИП 2014-2019'!AY20</f>
        <v>0.56899999999999995</v>
      </c>
      <c r="AH15" s="5"/>
      <c r="AI15" s="47"/>
      <c r="AJ15" s="47"/>
      <c r="AK15" s="47"/>
      <c r="AL15" s="47"/>
    </row>
    <row r="16" spans="1:39" s="2" customFormat="1" ht="38.25" hidden="1" outlineLevel="1" x14ac:dyDescent="0.2">
      <c r="A16" s="6"/>
      <c r="B16" s="114" t="str">
        <f>'Утв. ИП 2014-2019'!B21</f>
        <v>1.1.1.3</v>
      </c>
      <c r="C16" s="7" t="str">
        <f>'Утв. ИП 2014-2019'!C21</f>
        <v>Реконструкция ВЛ 6 кВ РП-25 – ТП-404 с монтажем РЛНД на отпайке в сторону ТП-429</v>
      </c>
      <c r="D16" s="5"/>
      <c r="E16" s="5"/>
      <c r="F16" s="5"/>
      <c r="G16" s="5"/>
      <c r="H16" s="23">
        <v>1959</v>
      </c>
      <c r="I16" s="8">
        <v>25</v>
      </c>
      <c r="J16" s="23" t="s">
        <v>201</v>
      </c>
      <c r="K16" s="8" t="s">
        <v>943</v>
      </c>
      <c r="L16" s="23">
        <v>2.2000000000000002</v>
      </c>
      <c r="M16" s="5"/>
      <c r="N16" s="5">
        <f>'Утв. ИП 2014-2019'!U21</f>
        <v>0</v>
      </c>
      <c r="O16" s="5">
        <f>N16*0.1</f>
        <v>0</v>
      </c>
      <c r="P16" s="5">
        <f>(N16-O16)*0.6</f>
        <v>0</v>
      </c>
      <c r="Q16" s="5">
        <f>(N16-O16)*0.4</f>
        <v>0</v>
      </c>
      <c r="R16" s="5">
        <f t="shared" si="0"/>
        <v>0</v>
      </c>
      <c r="S16" s="92">
        <f>'Утв. ИП 2014-2019'!U21</f>
        <v>0</v>
      </c>
      <c r="T16" s="92">
        <f t="shared" si="1"/>
        <v>0</v>
      </c>
      <c r="U16" s="92">
        <f t="shared" si="2"/>
        <v>0</v>
      </c>
      <c r="V16" s="5">
        <f>'Утв. ИП 2014-2019'!AI21</f>
        <v>0</v>
      </c>
      <c r="W16" s="5"/>
      <c r="X16" s="5">
        <f t="shared" si="3"/>
        <v>0</v>
      </c>
      <c r="Y16" s="5"/>
      <c r="Z16" s="5"/>
      <c r="AA16" s="5"/>
      <c r="AB16" s="5"/>
      <c r="AC16" s="23">
        <f>'Утв. ИП 2014-2019'!G21</f>
        <v>2016</v>
      </c>
      <c r="AD16" s="23">
        <v>25</v>
      </c>
      <c r="AE16" s="5" t="s">
        <v>201</v>
      </c>
      <c r="AF16" s="8" t="s">
        <v>943</v>
      </c>
      <c r="AG16" s="5">
        <f>'Утв. ИП 2014-2019'!AY21</f>
        <v>0</v>
      </c>
      <c r="AH16" s="5"/>
      <c r="AI16" s="47"/>
      <c r="AJ16" s="47"/>
      <c r="AK16" s="47"/>
      <c r="AL16" s="47"/>
    </row>
    <row r="17" spans="1:39" s="2" customFormat="1" ht="51" hidden="1" outlineLevel="1" x14ac:dyDescent="0.2">
      <c r="A17" s="6"/>
      <c r="B17" s="114" t="str">
        <f>'Утв. ИП 2014-2019'!B22</f>
        <v>1.1.1.4</v>
      </c>
      <c r="C17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D17" s="5"/>
      <c r="E17" s="5"/>
      <c r="F17" s="5"/>
      <c r="G17" s="5"/>
      <c r="H17" s="23">
        <v>1973</v>
      </c>
      <c r="I17" s="8">
        <v>25</v>
      </c>
      <c r="J17" s="23" t="s">
        <v>201</v>
      </c>
      <c r="K17" s="8" t="s">
        <v>943</v>
      </c>
      <c r="L17" s="23">
        <v>0.5</v>
      </c>
      <c r="M17" s="5"/>
      <c r="N17" s="5">
        <f>'Утв. ИП 2014-2019'!U22</f>
        <v>0</v>
      </c>
      <c r="O17" s="5">
        <f>N17*0.1</f>
        <v>0</v>
      </c>
      <c r="P17" s="5">
        <f>(N17-O17)*0.6</f>
        <v>0</v>
      </c>
      <c r="Q17" s="5">
        <f>(N17-O17)*0.4</f>
        <v>0</v>
      </c>
      <c r="R17" s="5">
        <f t="shared" si="0"/>
        <v>0</v>
      </c>
      <c r="S17" s="92">
        <f>'Утв. ИП 2014-2019'!U22</f>
        <v>0</v>
      </c>
      <c r="T17" s="92">
        <f t="shared" si="1"/>
        <v>0</v>
      </c>
      <c r="U17" s="92">
        <f t="shared" si="2"/>
        <v>0</v>
      </c>
      <c r="V17" s="5">
        <f>'Утв. ИП 2014-2019'!AI22</f>
        <v>0</v>
      </c>
      <c r="W17" s="5"/>
      <c r="X17" s="5">
        <f t="shared" si="3"/>
        <v>0</v>
      </c>
      <c r="Y17" s="5"/>
      <c r="Z17" s="5"/>
      <c r="AA17" s="5"/>
      <c r="AB17" s="5"/>
      <c r="AC17" s="23">
        <f>'Утв. ИП 2014-2019'!G22</f>
        <v>2016</v>
      </c>
      <c r="AD17" s="23">
        <v>25</v>
      </c>
      <c r="AE17" s="5" t="s">
        <v>201</v>
      </c>
      <c r="AF17" s="8" t="s">
        <v>943</v>
      </c>
      <c r="AG17" s="5">
        <f>'Утв. ИП 2014-2019'!AY22</f>
        <v>0</v>
      </c>
      <c r="AH17" s="5"/>
      <c r="AI17" s="47"/>
      <c r="AJ17" s="47"/>
      <c r="AK17" s="47"/>
      <c r="AL17" s="47"/>
    </row>
    <row r="18" spans="1:39" s="2" customFormat="1" ht="38.25" hidden="1" outlineLevel="1" x14ac:dyDescent="0.2">
      <c r="A18" s="6"/>
      <c r="B18" s="114" t="str">
        <f>'Утв. ИП 2014-2019'!B23</f>
        <v>1.1.1.5</v>
      </c>
      <c r="C18" s="7" t="str">
        <f>'Утв. ИП 2014-2019'!C23</f>
        <v>Реконструкция кабельно-воздушной линии 6 кВ РП-25 яч.7 - ТП-404</v>
      </c>
      <c r="D18" s="5"/>
      <c r="E18" s="5"/>
      <c r="F18" s="5"/>
      <c r="G18" s="5"/>
      <c r="H18" s="23">
        <v>1959</v>
      </c>
      <c r="I18" s="8">
        <v>25</v>
      </c>
      <c r="J18" s="23" t="s">
        <v>201</v>
      </c>
      <c r="K18" s="8" t="s">
        <v>943</v>
      </c>
      <c r="L18" s="23">
        <v>2.2000000000000002</v>
      </c>
      <c r="M18" s="5"/>
      <c r="N18" s="5">
        <f>'Утв. ИП 2014-2019'!U23</f>
        <v>0</v>
      </c>
      <c r="O18" s="5">
        <f>N18*0.1</f>
        <v>0</v>
      </c>
      <c r="P18" s="5">
        <f>(N18-O18)*0.6</f>
        <v>0</v>
      </c>
      <c r="Q18" s="5">
        <f>(N18-O18)*0.4</f>
        <v>0</v>
      </c>
      <c r="R18" s="5">
        <f t="shared" si="0"/>
        <v>0</v>
      </c>
      <c r="S18" s="92">
        <f>'Утв. ИП 2014-2019'!U23</f>
        <v>0</v>
      </c>
      <c r="T18" s="92">
        <f t="shared" si="1"/>
        <v>0</v>
      </c>
      <c r="U18" s="92">
        <f t="shared" si="2"/>
        <v>0</v>
      </c>
      <c r="V18" s="5">
        <f>'Утв. ИП 2014-2019'!AI23</f>
        <v>0</v>
      </c>
      <c r="W18" s="5"/>
      <c r="X18" s="5">
        <f t="shared" si="3"/>
        <v>0</v>
      </c>
      <c r="Y18" s="5"/>
      <c r="Z18" s="5"/>
      <c r="AA18" s="5"/>
      <c r="AB18" s="5"/>
      <c r="AC18" s="23">
        <f>'Утв. ИП 2014-2019'!G23</f>
        <v>2016</v>
      </c>
      <c r="AD18" s="23">
        <v>25</v>
      </c>
      <c r="AE18" s="5" t="s">
        <v>201</v>
      </c>
      <c r="AF18" s="5" t="s">
        <v>1433</v>
      </c>
      <c r="AG18" s="5">
        <f>'Утв. ИП 2014-2019'!AY23</f>
        <v>2.7770000000000001</v>
      </c>
      <c r="AH18" s="5"/>
      <c r="AI18" s="47"/>
      <c r="AJ18" s="47"/>
      <c r="AK18" s="47"/>
      <c r="AL18" s="47"/>
    </row>
    <row r="19" spans="1:39" s="2" customFormat="1" ht="38.25" hidden="1" outlineLevel="1" x14ac:dyDescent="0.2">
      <c r="A19" s="6"/>
      <c r="B19" s="114" t="str">
        <f>'Утв. ИП 2014-2019'!B24</f>
        <v>1.1.1.6</v>
      </c>
      <c r="C19" s="7" t="str">
        <f>'Утв. ИП 2014-2019'!C24</f>
        <v>Реконструкция КЛ-6 кВ РП-8 яч.7 - ТП-414</v>
      </c>
      <c r="D19" s="5"/>
      <c r="E19" s="5"/>
      <c r="F19" s="5"/>
      <c r="G19" s="5"/>
      <c r="H19" s="23">
        <v>1956</v>
      </c>
      <c r="I19" s="8">
        <v>30</v>
      </c>
      <c r="J19" s="23" t="s">
        <v>212</v>
      </c>
      <c r="K19" s="8" t="s">
        <v>1443</v>
      </c>
      <c r="L19" s="23">
        <v>0.9</v>
      </c>
      <c r="M19" s="5"/>
      <c r="N19" s="5">
        <f>'Утв. ИП 2014-2019'!U24</f>
        <v>0</v>
      </c>
      <c r="O19" s="5">
        <f>N19*0.1</f>
        <v>0</v>
      </c>
      <c r="P19" s="5">
        <f>(N19-O19)*0.6</f>
        <v>0</v>
      </c>
      <c r="Q19" s="5">
        <f>(N19-O19)*0.4</f>
        <v>0</v>
      </c>
      <c r="R19" s="5">
        <f t="shared" si="0"/>
        <v>0</v>
      </c>
      <c r="S19" s="92">
        <f>'Утв. ИП 2014-2019'!U24</f>
        <v>0</v>
      </c>
      <c r="T19" s="92">
        <f t="shared" si="1"/>
        <v>0</v>
      </c>
      <c r="U19" s="92">
        <f t="shared" si="2"/>
        <v>0</v>
      </c>
      <c r="V19" s="5">
        <f>'Утв. ИП 2014-2019'!AI24</f>
        <v>0</v>
      </c>
      <c r="W19" s="5"/>
      <c r="X19" s="5">
        <f t="shared" si="3"/>
        <v>0</v>
      </c>
      <c r="Y19" s="5"/>
      <c r="Z19" s="5"/>
      <c r="AA19" s="5"/>
      <c r="AB19" s="5"/>
      <c r="AC19" s="23">
        <f>'Утв. ИП 2014-2019'!G24</f>
        <v>2016</v>
      </c>
      <c r="AD19" s="23">
        <v>30</v>
      </c>
      <c r="AE19" s="5" t="s">
        <v>212</v>
      </c>
      <c r="AF19" s="5" t="s">
        <v>1389</v>
      </c>
      <c r="AG19" s="5">
        <f>'Утв. ИП 2014-2019'!AY24</f>
        <v>1.712</v>
      </c>
      <c r="AH19" s="5"/>
      <c r="AI19" s="47"/>
      <c r="AJ19" s="47"/>
      <c r="AK19" s="47"/>
      <c r="AL19" s="47"/>
    </row>
    <row r="20" spans="1:39" s="2" customFormat="1" ht="38.25" collapsed="1" x14ac:dyDescent="0.2">
      <c r="A20" s="6">
        <f>A14+1</f>
        <v>7</v>
      </c>
      <c r="B20" s="114" t="str">
        <f>'Утв. ИП 2014-2019'!B25</f>
        <v>1.1.1.7</v>
      </c>
      <c r="C20" s="7" t="str">
        <f>'Утв. ИП 2014-2019'!C25</f>
        <v>Реконструкция КЛ-6 кВ РП-25 яч.9 - ТП-402</v>
      </c>
      <c r="D20" s="5"/>
      <c r="E20" s="5"/>
      <c r="F20" s="5"/>
      <c r="G20" s="5"/>
      <c r="H20" s="23">
        <v>1993</v>
      </c>
      <c r="I20" s="8">
        <v>30</v>
      </c>
      <c r="J20" s="23" t="s">
        <v>212</v>
      </c>
      <c r="K20" s="8" t="s">
        <v>1444</v>
      </c>
      <c r="L20" s="23">
        <v>0.8</v>
      </c>
      <c r="M20" s="5"/>
      <c r="N20" s="5">
        <f>'Утв. ИП 2014-2019'!U25</f>
        <v>5.3229999999999995</v>
      </c>
      <c r="O20" s="5">
        <f>N20*0.1</f>
        <v>0.5323</v>
      </c>
      <c r="P20" s="5">
        <f>(N20-O20)*0.6</f>
        <v>2.8744199999999993</v>
      </c>
      <c r="Q20" s="5">
        <f>(N20-O20)*0.4</f>
        <v>1.9162799999999998</v>
      </c>
      <c r="R20" s="5">
        <f t="shared" si="0"/>
        <v>0</v>
      </c>
      <c r="S20" s="92">
        <f>'Утв. ИП 2014-2019'!U25</f>
        <v>5.3229999999999995</v>
      </c>
      <c r="T20" s="92">
        <f t="shared" si="1"/>
        <v>0.5323</v>
      </c>
      <c r="U20" s="92">
        <f t="shared" si="2"/>
        <v>4.7906999999999993</v>
      </c>
      <c r="V20" s="5">
        <f>'Утв. ИП 2014-2019'!AI25</f>
        <v>5.7229999999999999</v>
      </c>
      <c r="W20" s="5"/>
      <c r="X20" s="5">
        <f t="shared" si="3"/>
        <v>5.7229999999999999</v>
      </c>
      <c r="Y20" s="5"/>
      <c r="Z20" s="5"/>
      <c r="AA20" s="5"/>
      <c r="AB20" s="5"/>
      <c r="AC20" s="23">
        <f>'Утв. ИП 2014-2019'!G25</f>
        <v>2017</v>
      </c>
      <c r="AD20" s="23">
        <v>30</v>
      </c>
      <c r="AE20" s="5" t="s">
        <v>212</v>
      </c>
      <c r="AF20" s="5" t="s">
        <v>1389</v>
      </c>
      <c r="AG20" s="5">
        <f>'Утв. ИП 2014-2019'!AY25</f>
        <v>0.8</v>
      </c>
      <c r="AH20" s="5"/>
      <c r="AI20" s="47"/>
      <c r="AJ20" s="47"/>
      <c r="AK20" s="47"/>
      <c r="AL20" s="47"/>
    </row>
    <row r="21" spans="1:39" s="2" customFormat="1" ht="38.25" hidden="1" outlineLevel="1" x14ac:dyDescent="0.2">
      <c r="A21" s="6">
        <f>A20+1</f>
        <v>8</v>
      </c>
      <c r="B21" s="114" t="str">
        <f>'Утв. ИП 2014-2019'!B26</f>
        <v>1.1.1.8</v>
      </c>
      <c r="C21" s="7" t="str">
        <f>'Утв. ИП 2014-2019'!C26</f>
        <v>Реконструкция (перезавод) КЛ-6 кВ в ТП-731 на разные секции шин</v>
      </c>
      <c r="D21" s="5"/>
      <c r="E21" s="5"/>
      <c r="F21" s="5"/>
      <c r="G21" s="5"/>
      <c r="H21" s="23">
        <v>1974</v>
      </c>
      <c r="I21" s="23">
        <v>30</v>
      </c>
      <c r="J21" s="23"/>
      <c r="K21" s="23" t="s">
        <v>200</v>
      </c>
      <c r="L21" s="23">
        <v>0.05</v>
      </c>
      <c r="M21" s="5"/>
      <c r="N21" s="5">
        <f>'Утв. ИП 2014-2019'!U26</f>
        <v>0</v>
      </c>
      <c r="O21" s="5"/>
      <c r="P21" s="5">
        <f>N21*0.6</f>
        <v>0</v>
      </c>
      <c r="Q21" s="5">
        <f>N21*0.4</f>
        <v>0</v>
      </c>
      <c r="R21" s="5">
        <f t="shared" si="0"/>
        <v>0</v>
      </c>
      <c r="S21" s="92">
        <f>'Утв. ИП 2014-2019'!U26</f>
        <v>0</v>
      </c>
      <c r="T21" s="92">
        <f t="shared" si="1"/>
        <v>0</v>
      </c>
      <c r="U21" s="92">
        <f t="shared" si="2"/>
        <v>0</v>
      </c>
      <c r="V21" s="5">
        <f>'Утв. ИП 2014-2019'!AI26</f>
        <v>0</v>
      </c>
      <c r="W21" s="5"/>
      <c r="X21" s="5">
        <f t="shared" si="3"/>
        <v>0</v>
      </c>
      <c r="Y21" s="5"/>
      <c r="Z21" s="5"/>
      <c r="AA21" s="5"/>
      <c r="AB21" s="5"/>
      <c r="AC21" s="23">
        <f>'Утв. ИП 2014-2019'!G26</f>
        <v>2018</v>
      </c>
      <c r="AD21" s="23">
        <v>30</v>
      </c>
      <c r="AE21" s="5" t="s">
        <v>212</v>
      </c>
      <c r="AF21" s="5" t="s">
        <v>1389</v>
      </c>
      <c r="AG21" s="5">
        <f>'Утв. ИП 2014-2019'!AY26</f>
        <v>0.05</v>
      </c>
      <c r="AH21" s="5"/>
      <c r="AI21" s="47"/>
      <c r="AJ21" s="47"/>
      <c r="AK21" s="47"/>
      <c r="AL21" s="47"/>
    </row>
    <row r="22" spans="1:39" s="53" customFormat="1" collapsed="1" x14ac:dyDescent="0.2">
      <c r="A22" s="28">
        <f>A31+1</f>
        <v>11</v>
      </c>
      <c r="B22" s="28" t="str">
        <f>'Утв. ИП 2014-2019'!B27</f>
        <v>1.1.2</v>
      </c>
      <c r="C22" s="33" t="str">
        <f>'Утв. ИП 2014-2019'!C27</f>
        <v>Сети низкого напряжения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>
        <f>'Утв. ИП 2014-2019'!U27</f>
        <v>0</v>
      </c>
      <c r="O22" s="31">
        <f>SUM(O23:O24)</f>
        <v>0</v>
      </c>
      <c r="P22" s="31">
        <f>SUM(P23:P24)</f>
        <v>0</v>
      </c>
      <c r="Q22" s="31">
        <f>SUM(Q23:Q24)</f>
        <v>0</v>
      </c>
      <c r="R22" s="31">
        <f>SUM(R23:R24)</f>
        <v>0</v>
      </c>
      <c r="S22" s="31">
        <f>'Утв. ИП 2014-2019'!U27</f>
        <v>0</v>
      </c>
      <c r="T22" s="31">
        <f>SUM(T23:T24)</f>
        <v>0</v>
      </c>
      <c r="U22" s="31">
        <f>SUM(U23:U24)</f>
        <v>0</v>
      </c>
      <c r="V22" s="31">
        <f>'Утв. ИП 2014-2019'!AI27</f>
        <v>0</v>
      </c>
      <c r="W22" s="31">
        <f>SUM(W23:W24)</f>
        <v>0</v>
      </c>
      <c r="X22" s="31">
        <f>SUM(X23:X24)</f>
        <v>0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63"/>
      <c r="AJ22" s="63"/>
      <c r="AK22" s="63"/>
      <c r="AL22" s="63"/>
      <c r="AM22" s="55"/>
    </row>
    <row r="23" spans="1:39" s="2" customFormat="1" ht="192" hidden="1" customHeight="1" outlineLevel="1" x14ac:dyDescent="0.2">
      <c r="A23" s="6">
        <f>A22+1</f>
        <v>12</v>
      </c>
      <c r="B23" s="114" t="str">
        <f>'Утв. ИП 2014-2019'!B28</f>
        <v>1.1.2.1</v>
      </c>
      <c r="C23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3" s="48"/>
      <c r="E23" s="48"/>
      <c r="F23" s="48"/>
      <c r="G23" s="48"/>
      <c r="H23" s="23" t="s">
        <v>1390</v>
      </c>
      <c r="I23" s="23">
        <v>25</v>
      </c>
      <c r="J23" s="23" t="s">
        <v>202</v>
      </c>
      <c r="K23" s="23" t="s">
        <v>1469</v>
      </c>
      <c r="L23" s="23">
        <v>20</v>
      </c>
      <c r="M23" s="48"/>
      <c r="N23" s="5">
        <f>'Утв. ИП 2014-2019'!U28</f>
        <v>0</v>
      </c>
      <c r="O23" s="48"/>
      <c r="P23" s="5">
        <f>N23*0.6</f>
        <v>0</v>
      </c>
      <c r="Q23" s="5">
        <f>N23*0.4</f>
        <v>0</v>
      </c>
      <c r="R23" s="5">
        <f>N23-O23-P23-Q23</f>
        <v>0</v>
      </c>
      <c r="S23" s="92">
        <f>'Утв. ИП 2014-2019'!U28</f>
        <v>0</v>
      </c>
      <c r="T23" s="92">
        <f t="shared" si="1"/>
        <v>0</v>
      </c>
      <c r="U23" s="92">
        <f>S23-T23</f>
        <v>0</v>
      </c>
      <c r="V23" s="5">
        <f>'Утв. ИП 2014-2019'!AI28</f>
        <v>0</v>
      </c>
      <c r="W23" s="5"/>
      <c r="X23" s="5">
        <f t="shared" ref="X23:X28" si="4">V23</f>
        <v>0</v>
      </c>
      <c r="Y23" s="48"/>
      <c r="Z23" s="48"/>
      <c r="AA23" s="48"/>
      <c r="AB23" s="48"/>
      <c r="AC23" s="23">
        <f>'Утв. ИП 2014-2019'!G28</f>
        <v>2015</v>
      </c>
      <c r="AD23" s="49">
        <v>30</v>
      </c>
      <c r="AE23" s="5" t="s">
        <v>201</v>
      </c>
      <c r="AF23" s="5" t="s">
        <v>209</v>
      </c>
      <c r="AG23" s="5">
        <f>'Утв. ИП 2014-2019'!AY28</f>
        <v>20</v>
      </c>
      <c r="AH23" s="48"/>
      <c r="AI23" s="47"/>
      <c r="AJ23" s="47"/>
      <c r="AK23" s="47"/>
      <c r="AL23" s="47"/>
    </row>
    <row r="24" spans="1:39" s="2" customFormat="1" ht="55.5" hidden="1" customHeight="1" outlineLevel="1" x14ac:dyDescent="0.2">
      <c r="A24" s="6"/>
      <c r="B24" s="114" t="str">
        <f>'Утв. ИП 2014-2019'!B29</f>
        <v>1.1.2.2</v>
      </c>
      <c r="C24" s="7" t="str">
        <f>'Утв. ИП 2014-2019'!C29</f>
        <v>Реконструкция (перенос опоры) ВЛ-0,4 кВ по ул. Новотепличная от ТП-317 (инв. № 346211)</v>
      </c>
      <c r="D24" s="48"/>
      <c r="E24" s="48"/>
      <c r="F24" s="48"/>
      <c r="G24" s="48"/>
      <c r="H24" s="23"/>
      <c r="I24" s="23"/>
      <c r="J24" s="23"/>
      <c r="K24" s="23"/>
      <c r="L24" s="23"/>
      <c r="M24" s="48"/>
      <c r="N24" s="5">
        <f>'Утв. ИП 2014-2019'!U29</f>
        <v>0</v>
      </c>
      <c r="O24" s="115"/>
      <c r="P24" s="115">
        <f>N24*0.6</f>
        <v>0</v>
      </c>
      <c r="Q24" s="115">
        <f>N24*0.4</f>
        <v>0</v>
      </c>
      <c r="R24" s="115">
        <f>N24-O24-P24-Q24</f>
        <v>0</v>
      </c>
      <c r="S24" s="92">
        <f>'Утв. ИП 2014-2019'!U29</f>
        <v>0</v>
      </c>
      <c r="T24" s="92">
        <v>0</v>
      </c>
      <c r="U24" s="92">
        <f>S24-T24</f>
        <v>0</v>
      </c>
      <c r="V24" s="5">
        <f>'Утв. ИП 2014-2019'!AI29</f>
        <v>0</v>
      </c>
      <c r="W24" s="5"/>
      <c r="X24" s="5">
        <f t="shared" si="4"/>
        <v>0</v>
      </c>
      <c r="Y24" s="48"/>
      <c r="Z24" s="48"/>
      <c r="AA24" s="48"/>
      <c r="AB24" s="48"/>
      <c r="AC24" s="23">
        <f>'Утв. ИП 2014-2019'!G29</f>
        <v>2015</v>
      </c>
      <c r="AD24" s="49"/>
      <c r="AE24" s="5"/>
      <c r="AF24" s="5"/>
      <c r="AG24" s="5">
        <f>'Утв. ИП 2014-2019'!AY29</f>
        <v>0</v>
      </c>
      <c r="AH24" s="48"/>
      <c r="AI24" s="47"/>
      <c r="AJ24" s="47"/>
      <c r="AK24" s="47"/>
      <c r="AL24" s="47"/>
    </row>
    <row r="25" spans="1:39" s="53" customFormat="1" ht="25.5" customHeight="1" collapsed="1" x14ac:dyDescent="0.2">
      <c r="A25" s="28" t="e">
        <f>#REF!+1</f>
        <v>#REF!</v>
      </c>
      <c r="B25" s="28" t="str">
        <f>'Утв. ИП 2014-2019'!B30</f>
        <v>1.1.3</v>
      </c>
      <c r="C25" s="29" t="str">
        <f>'Утв. ИП 2014-2019'!C30</f>
        <v>Объекты электросетевого хозяйства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>
        <f>'Утв. ИП 2014-2019'!U30</f>
        <v>20.846899999999998</v>
      </c>
      <c r="O25" s="31">
        <f>SUM(O26:O31)</f>
        <v>1.0423449999999999</v>
      </c>
      <c r="P25" s="31">
        <f>SUM(P26:P31)</f>
        <v>11.882732999999998</v>
      </c>
      <c r="Q25" s="31">
        <f>SUM(Q26:Q31)</f>
        <v>7.9218219999999988</v>
      </c>
      <c r="R25" s="31">
        <f>SUM(R26:R31)</f>
        <v>0</v>
      </c>
      <c r="S25" s="31">
        <f>'Утв. ИП 2014-2019'!U30</f>
        <v>20.846899999999998</v>
      </c>
      <c r="T25" s="31">
        <f>SUM(T26:T31)</f>
        <v>2.0846899999999997</v>
      </c>
      <c r="U25" s="31">
        <f>SUM(U26:U31)</f>
        <v>18.76221</v>
      </c>
      <c r="V25" s="31">
        <f>'Утв. ИП 2014-2019'!AI30</f>
        <v>0</v>
      </c>
      <c r="W25" s="31">
        <f>SUM(W26:W31)</f>
        <v>0</v>
      </c>
      <c r="X25" s="31">
        <f>SUM(X26:X31)</f>
        <v>0</v>
      </c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63"/>
      <c r="AJ25" s="63"/>
      <c r="AK25" s="63"/>
      <c r="AL25" s="63"/>
      <c r="AM25" s="55"/>
    </row>
    <row r="26" spans="1:39" s="2" customFormat="1" ht="51" x14ac:dyDescent="0.2">
      <c r="A26" s="6" t="e">
        <f>A25+1</f>
        <v>#REF!</v>
      </c>
      <c r="B26" s="6" t="str">
        <f>'Утв. ИП 2014-2019'!B31</f>
        <v>1.1.3.1</v>
      </c>
      <c r="C26" s="7" t="str">
        <f>'Утв. ИП 2014-2019'!C31</f>
        <v>Реконструкция ПС-35/6 кВ "Студеновская" (замена оборудования) (инв. № 400641, 400640, 400639, 416043А)</v>
      </c>
      <c r="D26" s="25">
        <v>1980</v>
      </c>
      <c r="E26" s="8">
        <v>25</v>
      </c>
      <c r="F26" s="25" t="s">
        <v>160</v>
      </c>
      <c r="G26" s="8" t="s">
        <v>207</v>
      </c>
      <c r="H26" s="5"/>
      <c r="I26" s="5"/>
      <c r="J26" s="5"/>
      <c r="K26" s="5"/>
      <c r="L26" s="5"/>
      <c r="M26" s="5"/>
      <c r="N26" s="5">
        <f>'Утв. ИП 2014-2019'!U31</f>
        <v>20.846899999999998</v>
      </c>
      <c r="O26" s="5">
        <f>N26*0.05</f>
        <v>1.0423449999999999</v>
      </c>
      <c r="P26" s="5">
        <f>(N26-O26)*0.6</f>
        <v>11.882732999999998</v>
      </c>
      <c r="Q26" s="5">
        <f>(N26-O26)*0.4</f>
        <v>7.9218219999999988</v>
      </c>
      <c r="R26" s="5">
        <f t="shared" ref="R26:R31" si="5">N26-O26-P26-Q26</f>
        <v>0</v>
      </c>
      <c r="S26" s="92">
        <f>'Утв. ИП 2014-2019'!U31</f>
        <v>20.846899999999998</v>
      </c>
      <c r="T26" s="92">
        <f t="shared" ref="T26:T42" si="6">0.1*S26</f>
        <v>2.0846899999999997</v>
      </c>
      <c r="U26" s="92">
        <f t="shared" ref="U26:U31" si="7">S26-T26</f>
        <v>18.76221</v>
      </c>
      <c r="V26" s="5">
        <f>'Утв. ИП 2014-2019'!AI31</f>
        <v>0</v>
      </c>
      <c r="W26" s="5"/>
      <c r="X26" s="5">
        <f t="shared" si="4"/>
        <v>0</v>
      </c>
      <c r="Y26" s="23">
        <f>'Утв. ИП 2014-2019'!G31</f>
        <v>2020</v>
      </c>
      <c r="Z26" s="25" t="s">
        <v>205</v>
      </c>
      <c r="AA26" s="25">
        <v>2</v>
      </c>
      <c r="AB26" s="8" t="s">
        <v>208</v>
      </c>
      <c r="AC26" s="5"/>
      <c r="AD26" s="5"/>
      <c r="AE26" s="5"/>
      <c r="AF26" s="5"/>
      <c r="AG26" s="5"/>
      <c r="AH26" s="5"/>
    </row>
    <row r="27" spans="1:39" s="2" customFormat="1" ht="51" hidden="1" outlineLevel="1" x14ac:dyDescent="0.2">
      <c r="A27" s="6"/>
      <c r="B27" s="6" t="str">
        <f>'Утв. ИП 2014-2019'!B32</f>
        <v>1.1.3.2</v>
      </c>
      <c r="C27" s="7" t="str">
        <f>'Утв. ИП 2014-2019'!C32</f>
        <v>Реконструкция РП-30 (инв. № 400662)</v>
      </c>
      <c r="D27" s="23" t="s">
        <v>211</v>
      </c>
      <c r="E27" s="8">
        <v>25</v>
      </c>
      <c r="F27" s="25" t="s">
        <v>160</v>
      </c>
      <c r="G27" s="8" t="s">
        <v>206</v>
      </c>
      <c r="H27" s="5"/>
      <c r="I27" s="5"/>
      <c r="J27" s="5"/>
      <c r="K27" s="5"/>
      <c r="L27" s="5"/>
      <c r="M27" s="5"/>
      <c r="N27" s="5">
        <f>'Утв. ИП 2014-2019'!U32</f>
        <v>0</v>
      </c>
      <c r="O27" s="5"/>
      <c r="P27" s="5">
        <f>N27*0.6</f>
        <v>0</v>
      </c>
      <c r="Q27" s="5">
        <f>N27*0.4</f>
        <v>0</v>
      </c>
      <c r="R27" s="5">
        <f t="shared" si="5"/>
        <v>0</v>
      </c>
      <c r="S27" s="92">
        <f>'Утв. ИП 2014-2019'!U32</f>
        <v>0</v>
      </c>
      <c r="T27" s="92">
        <f t="shared" si="6"/>
        <v>0</v>
      </c>
      <c r="U27" s="92">
        <f t="shared" si="7"/>
        <v>0</v>
      </c>
      <c r="V27" s="5">
        <f>'Утв. ИП 2014-2019'!AI32</f>
        <v>0</v>
      </c>
      <c r="W27" s="5"/>
      <c r="X27" s="5">
        <f t="shared" si="4"/>
        <v>0</v>
      </c>
      <c r="Y27" s="23">
        <f>'Утв. ИП 2014-2019'!G32</f>
        <v>2015</v>
      </c>
      <c r="Z27" s="25" t="s">
        <v>205</v>
      </c>
      <c r="AA27" s="25">
        <v>2</v>
      </c>
      <c r="AB27" s="8" t="s">
        <v>206</v>
      </c>
      <c r="AC27" s="5"/>
      <c r="AD27" s="5"/>
      <c r="AE27" s="5"/>
      <c r="AF27" s="5"/>
      <c r="AG27" s="5"/>
      <c r="AH27" s="5"/>
    </row>
    <row r="28" spans="1:39" s="2" customFormat="1" ht="51" hidden="1" outlineLevel="1" x14ac:dyDescent="0.2">
      <c r="A28" s="6" t="e">
        <f>A26+1</f>
        <v>#REF!</v>
      </c>
      <c r="B28" s="6" t="str">
        <f>'Утв. ИП 2014-2019'!B33</f>
        <v>1.1.3.3</v>
      </c>
      <c r="C28" s="7" t="str">
        <f>'Утв. ИП 2014-2019'!C33</f>
        <v>Реконструкция РП-17 водозабора № 5 (замена оборудования) (инв. № 416019А)</v>
      </c>
      <c r="D28" s="23">
        <v>1980</v>
      </c>
      <c r="E28" s="23">
        <v>25</v>
      </c>
      <c r="F28" s="5" t="s">
        <v>926</v>
      </c>
      <c r="G28" s="8" t="s">
        <v>927</v>
      </c>
      <c r="H28" s="5"/>
      <c r="I28" s="5"/>
      <c r="J28" s="5"/>
      <c r="K28" s="5"/>
      <c r="L28" s="5"/>
      <c r="M28" s="5"/>
      <c r="N28" s="5">
        <f>'Утв. ИП 2014-2019'!U33</f>
        <v>0</v>
      </c>
      <c r="O28" s="48"/>
      <c r="P28" s="5">
        <f>N28*0.6</f>
        <v>0</v>
      </c>
      <c r="Q28" s="5">
        <f>N28*0.4</f>
        <v>0</v>
      </c>
      <c r="R28" s="5">
        <f t="shared" si="5"/>
        <v>0</v>
      </c>
      <c r="S28" s="92">
        <f>'Утв. ИП 2014-2019'!U33</f>
        <v>0</v>
      </c>
      <c r="T28" s="92">
        <f t="shared" si="6"/>
        <v>0</v>
      </c>
      <c r="U28" s="92">
        <f t="shared" si="7"/>
        <v>0</v>
      </c>
      <c r="V28" s="5">
        <f>'Утв. ИП 2014-2019'!AI33</f>
        <v>0</v>
      </c>
      <c r="W28" s="5"/>
      <c r="X28" s="5">
        <f t="shared" si="4"/>
        <v>0</v>
      </c>
      <c r="Y28" s="23">
        <f>'Утв. ИП 2014-2019'!G33</f>
        <v>2019</v>
      </c>
      <c r="Z28" s="8" t="s">
        <v>928</v>
      </c>
      <c r="AA28" s="25" t="s">
        <v>929</v>
      </c>
      <c r="AB28" s="8" t="s">
        <v>927</v>
      </c>
      <c r="AC28" s="5"/>
      <c r="AD28" s="5"/>
      <c r="AE28" s="5"/>
      <c r="AF28" s="5"/>
      <c r="AG28" s="5"/>
      <c r="AH28" s="5"/>
      <c r="AI28" s="47"/>
      <c r="AJ28" s="47"/>
      <c r="AK28" s="47"/>
      <c r="AL28" s="47"/>
    </row>
    <row r="29" spans="1:39" s="2" customFormat="1" ht="38.25" hidden="1" outlineLevel="1" x14ac:dyDescent="0.2">
      <c r="A29" s="6"/>
      <c r="B29" s="114" t="str">
        <f>'Утв. ИП 2014-2019'!B34</f>
        <v>1.1.3.4</v>
      </c>
      <c r="C29" s="7" t="str">
        <f>'Утв. ИП 2014-2019'!C34</f>
        <v>Реконструкция РУ-6 кВ РП-45 (инв. № 400671)</v>
      </c>
      <c r="D29" s="23">
        <v>1991</v>
      </c>
      <c r="E29" s="23">
        <v>25</v>
      </c>
      <c r="F29" s="5"/>
      <c r="G29" s="5"/>
      <c r="H29" s="23"/>
      <c r="J29" s="23"/>
      <c r="K29" s="23"/>
      <c r="L29" s="23"/>
      <c r="M29" s="5"/>
      <c r="N29" s="5">
        <f>'Утв. ИП 2014-2019'!U34</f>
        <v>0</v>
      </c>
      <c r="O29" s="5">
        <f>N29*0.1</f>
        <v>0</v>
      </c>
      <c r="P29" s="5">
        <f>(N29-O29)*0.6</f>
        <v>0</v>
      </c>
      <c r="Q29" s="5">
        <f>(N29-O29)*0.4</f>
        <v>0</v>
      </c>
      <c r="R29" s="5">
        <f t="shared" si="5"/>
        <v>0</v>
      </c>
      <c r="S29" s="92">
        <f>'Утв. ИП 2014-2019'!U34</f>
        <v>0</v>
      </c>
      <c r="T29" s="92">
        <f>0.1*S29</f>
        <v>0</v>
      </c>
      <c r="U29" s="92">
        <f t="shared" si="7"/>
        <v>0</v>
      </c>
      <c r="V29" s="5">
        <f>'Утв. ИП 2014-2019'!AI34</f>
        <v>0</v>
      </c>
      <c r="W29" s="5"/>
      <c r="X29" s="5">
        <f>V29</f>
        <v>0</v>
      </c>
      <c r="Y29" s="23">
        <f>'Утв. ИП 2014-2019'!G34</f>
        <v>2015</v>
      </c>
      <c r="Z29" s="8" t="s">
        <v>928</v>
      </c>
      <c r="AA29" s="5" t="s">
        <v>212</v>
      </c>
      <c r="AB29" s="5" t="s">
        <v>212</v>
      </c>
      <c r="AC29" s="23"/>
      <c r="AD29" s="23"/>
      <c r="AE29" s="5"/>
      <c r="AF29" s="5"/>
      <c r="AG29" s="5"/>
      <c r="AH29" s="5"/>
      <c r="AI29" s="47"/>
      <c r="AJ29" s="47"/>
      <c r="AK29" s="47"/>
      <c r="AL29" s="47"/>
    </row>
    <row r="30" spans="1:39" s="2" customFormat="1" hidden="1" outlineLevel="1" x14ac:dyDescent="0.2">
      <c r="A30" s="6">
        <f>A21+1</f>
        <v>9</v>
      </c>
      <c r="B30" s="114" t="str">
        <f>'Утв. ИП 2014-2019'!B35</f>
        <v>1.1.3.5</v>
      </c>
      <c r="C30" s="7" t="str">
        <f>'Утв. ИП 2014-2019'!C35</f>
        <v>Реконструкция РУ-6 кВ ТП-732</v>
      </c>
      <c r="D30" s="23">
        <v>1978</v>
      </c>
      <c r="E30" s="23">
        <v>25</v>
      </c>
      <c r="F30" s="5"/>
      <c r="G30" s="5"/>
      <c r="H30" s="23"/>
      <c r="I30" s="23"/>
      <c r="J30" s="23"/>
      <c r="K30" s="23"/>
      <c r="L30" s="23"/>
      <c r="M30" s="5"/>
      <c r="N30" s="5">
        <f>'Утв. ИП 2014-2019'!U35</f>
        <v>0</v>
      </c>
      <c r="O30" s="5">
        <f>N30*0.1</f>
        <v>0</v>
      </c>
      <c r="P30" s="5">
        <f>(N30-O30)*0.6</f>
        <v>0</v>
      </c>
      <c r="Q30" s="5">
        <f>(N30-O30)*0.4</f>
        <v>0</v>
      </c>
      <c r="R30" s="5">
        <f t="shared" si="5"/>
        <v>0</v>
      </c>
      <c r="S30" s="92">
        <f>'Утв. ИП 2014-2019'!U35</f>
        <v>0</v>
      </c>
      <c r="T30" s="92">
        <f>0.1*S30</f>
        <v>0</v>
      </c>
      <c r="U30" s="92">
        <f t="shared" si="7"/>
        <v>0</v>
      </c>
      <c r="V30" s="5">
        <f>'Утв. ИП 2014-2019'!AI35</f>
        <v>0</v>
      </c>
      <c r="W30" s="5"/>
      <c r="X30" s="5">
        <f>V30</f>
        <v>0</v>
      </c>
      <c r="Y30" s="23">
        <f>'Утв. ИП 2014-2019'!G35</f>
        <v>2019</v>
      </c>
      <c r="Z30" s="23">
        <v>25</v>
      </c>
      <c r="AA30" s="5"/>
      <c r="AB30" s="5"/>
      <c r="AC30" s="23"/>
      <c r="AD30" s="12"/>
      <c r="AE30" s="5"/>
      <c r="AF30" s="5"/>
      <c r="AG30" s="5"/>
      <c r="AH30" s="5"/>
      <c r="AI30" s="47"/>
      <c r="AJ30" s="47"/>
      <c r="AK30" s="47"/>
      <c r="AL30" s="47"/>
    </row>
    <row r="31" spans="1:39" s="2" customFormat="1" hidden="1" outlineLevel="1" x14ac:dyDescent="0.2">
      <c r="A31" s="6">
        <f>A30+1</f>
        <v>10</v>
      </c>
      <c r="B31" s="114" t="str">
        <f>'Утв. ИП 2014-2019'!B36</f>
        <v>1.1.3.6</v>
      </c>
      <c r="C31" s="7" t="str">
        <f>'Утв. ИП 2014-2019'!C36</f>
        <v>Реконструкция РУ-6 кВ ТП-709</v>
      </c>
      <c r="D31" s="23">
        <v>1989</v>
      </c>
      <c r="E31" s="23">
        <v>25</v>
      </c>
      <c r="F31" s="5"/>
      <c r="G31" s="5"/>
      <c r="H31" s="23"/>
      <c r="I31" s="23"/>
      <c r="J31" s="23"/>
      <c r="K31" s="23"/>
      <c r="L31" s="23"/>
      <c r="M31" s="5"/>
      <c r="N31" s="5">
        <f>'Утв. ИП 2014-2019'!U36</f>
        <v>0</v>
      </c>
      <c r="O31" s="5">
        <f>N31*0.1</f>
        <v>0</v>
      </c>
      <c r="P31" s="5">
        <f>(N31-O31)*0.6</f>
        <v>0</v>
      </c>
      <c r="Q31" s="5">
        <f>(N31-O31)*0.4</f>
        <v>0</v>
      </c>
      <c r="R31" s="5">
        <f t="shared" si="5"/>
        <v>0</v>
      </c>
      <c r="S31" s="92">
        <f>'Утв. ИП 2014-2019'!U36</f>
        <v>0</v>
      </c>
      <c r="T31" s="92">
        <f>0.1*S31</f>
        <v>0</v>
      </c>
      <c r="U31" s="92">
        <f t="shared" si="7"/>
        <v>0</v>
      </c>
      <c r="V31" s="5">
        <f>'Утв. ИП 2014-2019'!AI36</f>
        <v>0</v>
      </c>
      <c r="W31" s="5"/>
      <c r="X31" s="5">
        <f>V31</f>
        <v>0</v>
      </c>
      <c r="Y31" s="23">
        <f>'Утв. ИП 2014-2019'!G36</f>
        <v>2019</v>
      </c>
      <c r="Z31" s="23">
        <v>25</v>
      </c>
      <c r="AA31" s="5"/>
      <c r="AB31" s="5"/>
      <c r="AC31" s="23"/>
      <c r="AD31" s="12"/>
      <c r="AE31" s="5"/>
      <c r="AF31" s="5"/>
      <c r="AG31" s="5"/>
      <c r="AH31" s="5"/>
      <c r="AI31" s="47"/>
      <c r="AJ31" s="47"/>
      <c r="AK31" s="47"/>
      <c r="AL31" s="47"/>
    </row>
    <row r="32" spans="1:39" s="32" customFormat="1" ht="51" customHeight="1" collapsed="1" x14ac:dyDescent="0.2">
      <c r="A32" s="28" t="e">
        <f>A28+1</f>
        <v>#REF!</v>
      </c>
      <c r="B32" s="28" t="str">
        <f>'Утв. ИП 2014-2019'!B37</f>
        <v>1.2</v>
      </c>
      <c r="C32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>
        <f>'Утв. ИП 2014-2019'!U37</f>
        <v>0</v>
      </c>
      <c r="O32" s="31">
        <f>SUM(O33:O35)</f>
        <v>0</v>
      </c>
      <c r="P32" s="31">
        <f>SUM(P33:P35)</f>
        <v>0</v>
      </c>
      <c r="Q32" s="31">
        <f>SUM(Q33:Q35)</f>
        <v>0</v>
      </c>
      <c r="R32" s="31">
        <f>SUM(R33:R35)</f>
        <v>0</v>
      </c>
      <c r="S32" s="31">
        <f>'Утв. ИП 2014-2019'!U37</f>
        <v>0</v>
      </c>
      <c r="T32" s="31">
        <f>SUM(T33:T35)</f>
        <v>0</v>
      </c>
      <c r="U32" s="31">
        <f>SUM(U33:U35)</f>
        <v>0</v>
      </c>
      <c r="V32" s="31">
        <f>'Утв. ИП 2014-2019'!AI37</f>
        <v>0</v>
      </c>
      <c r="W32" s="31">
        <f>SUM(W33:W35)</f>
        <v>0</v>
      </c>
      <c r="X32" s="31">
        <f>SUM(X33:X35)</f>
        <v>0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</row>
    <row r="33" spans="1:38" s="2" customFormat="1" ht="25.5" hidden="1" outlineLevel="1" x14ac:dyDescent="0.2">
      <c r="A33" s="6" t="e">
        <f>A32+1</f>
        <v>#REF!</v>
      </c>
      <c r="B33" s="6" t="str">
        <f>'Утв. ИП 2014-2019'!B38</f>
        <v>1.2.1</v>
      </c>
      <c r="C33" s="7" t="str">
        <f>'Утв. ИП 2014-2019'!C38</f>
        <v>Монтаж устройств сбора-передачи данных (УСПД)</v>
      </c>
      <c r="D33" s="5"/>
      <c r="E33" s="5"/>
      <c r="F33" s="5"/>
      <c r="G33" s="5"/>
      <c r="H33" s="5"/>
      <c r="I33" s="12"/>
      <c r="J33" s="12"/>
      <c r="K33" s="12"/>
      <c r="L33" s="5"/>
      <c r="M33" s="5"/>
      <c r="N33" s="5">
        <f>'Утв. ИП 2014-2019'!U38</f>
        <v>0</v>
      </c>
      <c r="O33" s="5">
        <f>0.05*N33</f>
        <v>0</v>
      </c>
      <c r="P33" s="5">
        <f>0.2*N33</f>
        <v>0</v>
      </c>
      <c r="Q33" s="5">
        <f>0.75*N33</f>
        <v>0</v>
      </c>
      <c r="R33" s="5">
        <f>N33-O33-P33-Q33</f>
        <v>0</v>
      </c>
      <c r="S33" s="92">
        <f>'Утв. ИП 2014-2019'!U38</f>
        <v>0</v>
      </c>
      <c r="T33" s="92">
        <f t="shared" si="6"/>
        <v>0</v>
      </c>
      <c r="U33" s="92">
        <f>S33-T33</f>
        <v>0</v>
      </c>
      <c r="V33" s="5">
        <f>'Утв. ИП 2014-2019'!AI38</f>
        <v>0</v>
      </c>
      <c r="W33" s="5"/>
      <c r="X33" s="5">
        <f>V33</f>
        <v>0</v>
      </c>
      <c r="Y33" s="5"/>
      <c r="Z33" s="5"/>
      <c r="AA33" s="5"/>
      <c r="AB33" s="5"/>
      <c r="AC33" s="23">
        <f>'Утв. ИП 2014-2019'!G38</f>
        <v>2014</v>
      </c>
      <c r="AD33" s="5"/>
      <c r="AE33" s="5"/>
      <c r="AF33" s="5"/>
      <c r="AG33" s="5">
        <f>'Утв. ИП 2014-2019'!AY38</f>
        <v>0</v>
      </c>
      <c r="AH33" s="5">
        <f>'Утв. ИП 2014-2019'!N38</f>
        <v>0</v>
      </c>
    </row>
    <row r="34" spans="1:38" s="2" customFormat="1" ht="38.25" hidden="1" outlineLevel="1" x14ac:dyDescent="0.2">
      <c r="A34" s="6" t="e">
        <f>A33+1</f>
        <v>#REF!</v>
      </c>
      <c r="B34" s="6" t="str">
        <f>'Утв. ИП 2014-2019'!B39</f>
        <v>1.2.2</v>
      </c>
      <c r="C34" s="7" t="str">
        <f>'Утв. ИП 2014-2019'!C39</f>
        <v>Монтаж приборов коммерческого учета и ввод в эксплуатацию АСКУЭ района с. Сселки</v>
      </c>
      <c r="D34" s="5"/>
      <c r="E34" s="5"/>
      <c r="F34" s="5"/>
      <c r="G34" s="5"/>
      <c r="H34" s="5"/>
      <c r="I34" s="5">
        <v>25</v>
      </c>
      <c r="J34" s="5" t="s">
        <v>202</v>
      </c>
      <c r="K34" s="5" t="s">
        <v>1469</v>
      </c>
      <c r="L34" s="5">
        <v>41.6</v>
      </c>
      <c r="M34" s="5" t="s">
        <v>447</v>
      </c>
      <c r="N34" s="5">
        <f>'Утв. ИП 2014-2019'!U39</f>
        <v>0</v>
      </c>
      <c r="O34" s="5">
        <f>0.05*N34</f>
        <v>0</v>
      </c>
      <c r="P34" s="5">
        <f>0.2*N34</f>
        <v>0</v>
      </c>
      <c r="Q34" s="5">
        <f>0.75*N34</f>
        <v>0</v>
      </c>
      <c r="R34" s="5">
        <f>N34-O34-P34-Q34</f>
        <v>0</v>
      </c>
      <c r="S34" s="92">
        <f>'Утв. ИП 2014-2019'!U39</f>
        <v>0</v>
      </c>
      <c r="T34" s="92">
        <f t="shared" si="6"/>
        <v>0</v>
      </c>
      <c r="U34" s="92">
        <f>S34-T34</f>
        <v>0</v>
      </c>
      <c r="V34" s="5">
        <f>'Утв. ИП 2014-2019'!AI39</f>
        <v>0</v>
      </c>
      <c r="W34" s="5"/>
      <c r="X34" s="5">
        <f>V34</f>
        <v>0</v>
      </c>
      <c r="Y34" s="5"/>
      <c r="Z34" s="5"/>
      <c r="AA34" s="5"/>
      <c r="AB34" s="5"/>
      <c r="AC34" s="23">
        <f>'Утв. ИП 2014-2019'!G39</f>
        <v>2015</v>
      </c>
      <c r="AD34" s="45">
        <v>30</v>
      </c>
      <c r="AE34" s="5" t="s">
        <v>201</v>
      </c>
      <c r="AF34" s="5" t="s">
        <v>209</v>
      </c>
      <c r="AG34" s="5">
        <f>'Утв. ИП 2014-2019'!AY39</f>
        <v>0</v>
      </c>
      <c r="AH34" s="5">
        <f>'Утв. ИП 2014-2019'!N39</f>
        <v>0</v>
      </c>
    </row>
    <row r="35" spans="1:38" s="2" customFormat="1" ht="51" hidden="1" outlineLevel="1" x14ac:dyDescent="0.2">
      <c r="A35" s="6" t="e">
        <f>#REF!+1</f>
        <v>#REF!</v>
      </c>
      <c r="B35" s="6" t="str">
        <f>'Утв. ИП 2014-2019'!B40</f>
        <v>1.2.3</v>
      </c>
      <c r="C35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5" s="5"/>
      <c r="E35" s="5"/>
      <c r="F35" s="5"/>
      <c r="G35" s="5"/>
      <c r="H35" s="5"/>
      <c r="I35" s="5">
        <v>25</v>
      </c>
      <c r="J35" s="5" t="s">
        <v>202</v>
      </c>
      <c r="K35" s="5"/>
      <c r="L35" s="5">
        <v>20.62</v>
      </c>
      <c r="M35" s="5" t="s">
        <v>1391</v>
      </c>
      <c r="N35" s="5">
        <f>'Утв. ИП 2014-2019'!U40</f>
        <v>0</v>
      </c>
      <c r="O35" s="5"/>
      <c r="P35" s="5"/>
      <c r="Q35" s="5"/>
      <c r="R35" s="5">
        <f>N35-O35-P35-Q35</f>
        <v>0</v>
      </c>
      <c r="S35" s="92">
        <f>'Утв. ИП 2014-2019'!U40</f>
        <v>0</v>
      </c>
      <c r="T35" s="92">
        <f t="shared" si="6"/>
        <v>0</v>
      </c>
      <c r="U35" s="92">
        <f>S35-T35</f>
        <v>0</v>
      </c>
      <c r="V35" s="5">
        <f>'Утв. ИП 2014-2019'!AI40</f>
        <v>0</v>
      </c>
      <c r="W35" s="5"/>
      <c r="X35" s="5">
        <f>V35</f>
        <v>0</v>
      </c>
      <c r="Y35" s="5"/>
      <c r="Z35" s="5"/>
      <c r="AA35" s="5"/>
      <c r="AB35" s="5"/>
      <c r="AC35" s="23">
        <f>'Утв. ИП 2014-2019'!G40</f>
        <v>2014</v>
      </c>
      <c r="AD35" s="45">
        <v>30</v>
      </c>
      <c r="AE35" s="5" t="s">
        <v>201</v>
      </c>
      <c r="AF35" s="5" t="s">
        <v>209</v>
      </c>
      <c r="AG35" s="5">
        <f>'Утв. ИП 2014-2019'!AY40</f>
        <v>28.742999999999999</v>
      </c>
      <c r="AH35" s="5">
        <f>'Утв. ИП 2014-2019'!N40</f>
        <v>0</v>
      </c>
    </row>
    <row r="36" spans="1:38" s="32" customFormat="1" ht="25.5" collapsed="1" x14ac:dyDescent="0.2">
      <c r="A36" s="28" t="e">
        <f>A35+1</f>
        <v>#REF!</v>
      </c>
      <c r="B36" s="28" t="str">
        <f>'Утв. ИП 2014-2019'!B41</f>
        <v>1.3</v>
      </c>
      <c r="C36" s="29" t="str">
        <f>'Утв. ИП 2014-2019'!C41</f>
        <v>Создание систем телемеханики и связи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>
        <f>'Утв. ИП 2014-2019'!U41</f>
        <v>0.59</v>
      </c>
      <c r="O36" s="31">
        <f>SUM(O37:O42)</f>
        <v>0</v>
      </c>
      <c r="P36" s="31">
        <f>SUM(P37:P42)</f>
        <v>0.11799999999999999</v>
      </c>
      <c r="Q36" s="31">
        <f>SUM(Q37:Q42)</f>
        <v>0.47199999999999998</v>
      </c>
      <c r="R36" s="31">
        <f>SUM(R37:R42)</f>
        <v>0</v>
      </c>
      <c r="S36" s="31">
        <f>'Утв. ИП 2014-2019'!U41</f>
        <v>0.59</v>
      </c>
      <c r="T36" s="31">
        <f>SUM(T37:T42)</f>
        <v>5.8999999999999997E-2</v>
      </c>
      <c r="U36" s="31">
        <f>SUM(U37:U42)</f>
        <v>0.53099999999999992</v>
      </c>
      <c r="V36" s="31">
        <f>'Утв. ИП 2014-2019'!AI41</f>
        <v>0.59</v>
      </c>
      <c r="W36" s="31">
        <f>SUM(W37:W42)</f>
        <v>0</v>
      </c>
      <c r="X36" s="31">
        <f>SUM(X37:X42)</f>
        <v>0.59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</row>
    <row r="37" spans="1:38" s="11" customFormat="1" ht="38.25" hidden="1" outlineLevel="1" x14ac:dyDescent="0.2">
      <c r="A37" s="6" t="e">
        <f>#REF!+1</f>
        <v>#REF!</v>
      </c>
      <c r="B37" s="6" t="str">
        <f>'Утв. ИП 2014-2019'!B42</f>
        <v>1.3.1</v>
      </c>
      <c r="C37" s="7" t="str">
        <f>'Утв. ИП 2014-2019'!C42</f>
        <v>Монтаж систем охранно-пожарной сигнализации здания по ул. Кузнечная, 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>
        <f>'Утв. ИП 2014-2019'!U42</f>
        <v>0</v>
      </c>
      <c r="O37" s="5">
        <f>0.1*N37</f>
        <v>0</v>
      </c>
      <c r="P37" s="5">
        <f>N37-O37</f>
        <v>0</v>
      </c>
      <c r="Q37" s="5"/>
      <c r="R37" s="5">
        <f t="shared" ref="R37:R42" si="8">N37-O37-P37-Q37</f>
        <v>0</v>
      </c>
      <c r="S37" s="92">
        <f>'Утв. ИП 2014-2019'!U42</f>
        <v>0</v>
      </c>
      <c r="T37" s="92">
        <f t="shared" si="6"/>
        <v>0</v>
      </c>
      <c r="U37" s="92">
        <f t="shared" ref="U37:U42" si="9">S37-T37</f>
        <v>0</v>
      </c>
      <c r="V37" s="5">
        <f>'Утв. ИП 2014-2019'!AI42</f>
        <v>0</v>
      </c>
      <c r="W37" s="5"/>
      <c r="X37" s="5">
        <f t="shared" ref="X37:X42" si="10">V37</f>
        <v>0</v>
      </c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8" s="11" customFormat="1" ht="25.5" hidden="1" outlineLevel="1" x14ac:dyDescent="0.2">
      <c r="A38" s="6"/>
      <c r="B38" s="6" t="str">
        <f>'Утв. ИП 2014-2019'!B43</f>
        <v>1.3.2</v>
      </c>
      <c r="C38" s="7" t="str">
        <f>'Утв. ИП 2014-2019'!C43</f>
        <v>Приобретение программного обеспечения "Стек-Энерго"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f>'Утв. ИП 2014-2019'!U43</f>
        <v>0</v>
      </c>
      <c r="O38" s="5"/>
      <c r="P38" s="5"/>
      <c r="Q38" s="5">
        <f>N38</f>
        <v>0</v>
      </c>
      <c r="R38" s="5">
        <f t="shared" si="8"/>
        <v>0</v>
      </c>
      <c r="S38" s="92">
        <f>'Утв. ИП 2014-2019'!U43</f>
        <v>0</v>
      </c>
      <c r="T38" s="92">
        <f t="shared" si="6"/>
        <v>0</v>
      </c>
      <c r="U38" s="92">
        <f t="shared" si="9"/>
        <v>0</v>
      </c>
      <c r="V38" s="5">
        <f>'Утв. ИП 2014-2019'!AI43</f>
        <v>0</v>
      </c>
      <c r="W38" s="5"/>
      <c r="X38" s="5">
        <f t="shared" si="10"/>
        <v>0</v>
      </c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8" s="11" customFormat="1" ht="38.25" hidden="1" outlineLevel="1" x14ac:dyDescent="0.2">
      <c r="A39" s="6"/>
      <c r="B39" s="6" t="str">
        <f>'Утв. ИП 2014-2019'!B44</f>
        <v>1.3.3</v>
      </c>
      <c r="C39" s="7" t="str">
        <f>'Утв. ИП 2014-2019'!C44</f>
        <v>Монтаж отказоустойчивого кластера для системы АСКУЭ "Smart"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f>'Утв. ИП 2014-2019'!U44</f>
        <v>0</v>
      </c>
      <c r="O39" s="5"/>
      <c r="P39" s="5">
        <f>N39*0.2</f>
        <v>0</v>
      </c>
      <c r="Q39" s="5">
        <f>N39*0.8</f>
        <v>0</v>
      </c>
      <c r="R39" s="5">
        <f t="shared" si="8"/>
        <v>0</v>
      </c>
      <c r="S39" s="92">
        <f>'Утв. ИП 2014-2019'!U44</f>
        <v>0</v>
      </c>
      <c r="T39" s="92">
        <f t="shared" si="6"/>
        <v>0</v>
      </c>
      <c r="U39" s="92">
        <f t="shared" si="9"/>
        <v>0</v>
      </c>
      <c r="V39" s="5">
        <f>'Утв. ИП 2014-2019'!AI44</f>
        <v>0</v>
      </c>
      <c r="W39" s="5"/>
      <c r="X39" s="5">
        <f t="shared" si="10"/>
        <v>0</v>
      </c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8" s="11" customFormat="1" ht="38.25" collapsed="1" x14ac:dyDescent="0.2">
      <c r="A40" s="6" t="e">
        <f>A37+1</f>
        <v>#REF!</v>
      </c>
      <c r="B40" s="6" t="str">
        <f>'Утв. ИП 2014-2019'!B45</f>
        <v>1.3.4</v>
      </c>
      <c r="C40" s="7" t="str">
        <f>'Утв. ИП 2014-2019'!C45</f>
        <v>Монтаж системы охранного видеонаблюдения здания по ул. Кузнечная, 1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f>'Утв. ИП 2014-2019'!U45</f>
        <v>0.59</v>
      </c>
      <c r="O40" s="5"/>
      <c r="P40" s="5">
        <f>N40*0.2</f>
        <v>0.11799999999999999</v>
      </c>
      <c r="Q40" s="5">
        <f>N40*0.8</f>
        <v>0.47199999999999998</v>
      </c>
      <c r="R40" s="5">
        <f t="shared" si="8"/>
        <v>0</v>
      </c>
      <c r="S40" s="92">
        <f>'Утв. ИП 2014-2019'!U45</f>
        <v>0.59</v>
      </c>
      <c r="T40" s="92">
        <f t="shared" si="6"/>
        <v>5.8999999999999997E-2</v>
      </c>
      <c r="U40" s="92">
        <f t="shared" si="9"/>
        <v>0.53099999999999992</v>
      </c>
      <c r="V40" s="5">
        <f>'Утв. ИП 2014-2019'!AI45</f>
        <v>0.59</v>
      </c>
      <c r="W40" s="5"/>
      <c r="X40" s="5">
        <f t="shared" si="10"/>
        <v>0.59</v>
      </c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8" s="11" customFormat="1" ht="25.5" hidden="1" outlineLevel="1" x14ac:dyDescent="0.2">
      <c r="A41" s="6"/>
      <c r="B41" s="6" t="str">
        <f>'Утв. ИП 2014-2019'!B46</f>
        <v>1.3.5</v>
      </c>
      <c r="C41" s="7" t="str">
        <f>'Утв. ИП 2014-2019'!C46</f>
        <v>Внедрение системы контроля и управления доступом к МФУ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f>'Утв. ИП 2014-2019'!U46</f>
        <v>0</v>
      </c>
      <c r="O41" s="5"/>
      <c r="P41" s="5">
        <f>N41*0.2</f>
        <v>0</v>
      </c>
      <c r="Q41" s="5">
        <f>N41*0.8</f>
        <v>0</v>
      </c>
      <c r="R41" s="5">
        <f t="shared" si="8"/>
        <v>0</v>
      </c>
      <c r="S41" s="92">
        <f>'Утв. ИП 2014-2019'!U46</f>
        <v>0</v>
      </c>
      <c r="T41" s="92">
        <f t="shared" si="6"/>
        <v>0</v>
      </c>
      <c r="U41" s="92">
        <f t="shared" si="9"/>
        <v>0</v>
      </c>
      <c r="V41" s="5">
        <f>'Утв. ИП 2014-2019'!AI46</f>
        <v>0</v>
      </c>
      <c r="W41" s="5"/>
      <c r="X41" s="5">
        <f t="shared" si="10"/>
        <v>0</v>
      </c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8" s="11" customFormat="1" ht="25.5" hidden="1" outlineLevel="1" x14ac:dyDescent="0.2">
      <c r="A42" s="6"/>
      <c r="B42" s="6" t="str">
        <f>'Утв. ИП 2014-2019'!B47</f>
        <v>1.3.6</v>
      </c>
      <c r="C42" s="7" t="str">
        <f>'Утв. ИП 2014-2019'!C47</f>
        <v>Приобретение серверного и коммутационного оборудования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>
        <f>'Утв. ИП 2014-2019'!U47</f>
        <v>0</v>
      </c>
      <c r="O42" s="5"/>
      <c r="P42" s="5"/>
      <c r="Q42" s="5">
        <f>N42</f>
        <v>0</v>
      </c>
      <c r="R42" s="5">
        <f t="shared" si="8"/>
        <v>0</v>
      </c>
      <c r="S42" s="92">
        <f>'Утв. ИП 2014-2019'!U47</f>
        <v>0</v>
      </c>
      <c r="T42" s="92">
        <f t="shared" si="6"/>
        <v>0</v>
      </c>
      <c r="U42" s="92">
        <f t="shared" si="9"/>
        <v>0</v>
      </c>
      <c r="V42" s="5">
        <f>'Утв. ИП 2014-2019'!AI47</f>
        <v>0</v>
      </c>
      <c r="W42" s="5"/>
      <c r="X42" s="5">
        <f t="shared" si="10"/>
        <v>0</v>
      </c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8" s="42" customFormat="1" ht="22.5" customHeight="1" collapsed="1" x14ac:dyDescent="0.2">
      <c r="A43" s="39" t="e">
        <f>#REF!+1</f>
        <v>#REF!</v>
      </c>
      <c r="B43" s="39" t="str">
        <f>'Утв. ИП 2014-2019'!B48</f>
        <v>2</v>
      </c>
      <c r="C43" s="43" t="str">
        <f>'Утв. ИП 2014-2019'!C48</f>
        <v>Новое строительство</v>
      </c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>
        <f>'Утв. ИП 2014-2019'!U48</f>
        <v>89.931499999999986</v>
      </c>
      <c r="O43" s="41">
        <f>O44+O85+O86+O90+O101</f>
        <v>4.4403600000000001</v>
      </c>
      <c r="P43" s="41">
        <f>P44+P85+P86+P90+P101</f>
        <v>49.104684000000006</v>
      </c>
      <c r="Q43" s="41">
        <f>Q44+Q85+Q86+Q90+Q101</f>
        <v>32.736456000000004</v>
      </c>
      <c r="R43" s="41">
        <f>R44+R85+R86+R90+R101</f>
        <v>3.6499999999999995</v>
      </c>
      <c r="S43" s="41">
        <f>'Утв. ИП 2014-2019'!U48</f>
        <v>89.931499999999986</v>
      </c>
      <c r="T43" s="41">
        <f>T44+T85+T86+T90+T101</f>
        <v>8.879150000000001</v>
      </c>
      <c r="U43" s="41">
        <f>U44+U85+U86+U90+U101</f>
        <v>81.052350000000004</v>
      </c>
      <c r="V43" s="41">
        <f>'Утв. ИП 2014-2019'!AI48</f>
        <v>100.3379</v>
      </c>
      <c r="W43" s="41">
        <f>W44+W85+W86+W90+W101</f>
        <v>0</v>
      </c>
      <c r="X43" s="41">
        <f>X44+X85+X86+X90+X101</f>
        <v>100.3379</v>
      </c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:38" s="32" customFormat="1" ht="25.5" x14ac:dyDescent="0.2">
      <c r="A44" s="28" t="e">
        <f>A43+1</f>
        <v>#REF!</v>
      </c>
      <c r="B44" s="28" t="str">
        <f>'Утв. ИП 2014-2019'!B49</f>
        <v>2.1</v>
      </c>
      <c r="C44" s="29" t="str">
        <f>'Утв. ИП 2014-2019'!C49</f>
        <v>Энергосбережение и повышение энергетической эффективности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>
        <f>'Утв. ИП 2014-2019'!U49</f>
        <v>88.791499999999985</v>
      </c>
      <c r="O44" s="31">
        <f>O45+O73+O78+O84</f>
        <v>4.4403600000000001</v>
      </c>
      <c r="P44" s="31">
        <f>P45+P73+P78+P84</f>
        <v>49.104684000000006</v>
      </c>
      <c r="Q44" s="31">
        <f>Q45+Q73+Q78+Q84</f>
        <v>32.736456000000004</v>
      </c>
      <c r="R44" s="31">
        <f>R45+R73+R78+R84</f>
        <v>2.5099999999999998</v>
      </c>
      <c r="S44" s="31">
        <f>'Утв. ИП 2014-2019'!U49</f>
        <v>88.791499999999985</v>
      </c>
      <c r="T44" s="31">
        <f>T45+T73+T78+T84</f>
        <v>8.879150000000001</v>
      </c>
      <c r="U44" s="31">
        <f>U45+U73+U78+U84</f>
        <v>79.912350000000004</v>
      </c>
      <c r="V44" s="31">
        <f>'Утв. ИП 2014-2019'!AI49</f>
        <v>99.197900000000004</v>
      </c>
      <c r="W44" s="31">
        <f>W45+W73+W78+W84</f>
        <v>0</v>
      </c>
      <c r="X44" s="31">
        <f>X45+X73+X78+X84</f>
        <v>99.197900000000004</v>
      </c>
      <c r="Y44" s="31"/>
      <c r="Z44" s="31"/>
      <c r="AA44" s="31"/>
      <c r="AB44" s="31"/>
      <c r="AC44" s="31"/>
      <c r="AD44" s="31"/>
      <c r="AE44" s="31"/>
      <c r="AF44" s="31"/>
      <c r="AG44" s="31"/>
      <c r="AH44" s="31"/>
    </row>
    <row r="45" spans="1:38" s="32" customFormat="1" x14ac:dyDescent="0.2">
      <c r="A45" s="28" t="e">
        <f>A44+1</f>
        <v>#REF!</v>
      </c>
      <c r="B45" s="28" t="str">
        <f>'Утв. ИП 2014-2019'!B50</f>
        <v>2.1.1</v>
      </c>
      <c r="C45" s="29" t="str">
        <f>'Утв. ИП 2014-2019'!C50</f>
        <v>Сети среднего напряжения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>
        <f>'Утв. ИП 2014-2019'!U50</f>
        <v>71.296699999999987</v>
      </c>
      <c r="O45" s="31">
        <f>SUM(O46:O72)</f>
        <v>4.4403600000000001</v>
      </c>
      <c r="P45" s="31">
        <f>SUM(P46:P72)</f>
        <v>40.113804000000002</v>
      </c>
      <c r="Q45" s="31">
        <f>SUM(Q46:Q72)</f>
        <v>26.742536000000001</v>
      </c>
      <c r="R45" s="31">
        <f>SUM(R46:R72)</f>
        <v>0</v>
      </c>
      <c r="S45" s="31">
        <f>'Утв. ИП 2014-2019'!U50</f>
        <v>71.296699999999987</v>
      </c>
      <c r="T45" s="31">
        <f>SUM(T46:T72)</f>
        <v>7.1296700000000008</v>
      </c>
      <c r="U45" s="31">
        <f>SUM(U46:U72)</f>
        <v>64.167029999999997</v>
      </c>
      <c r="V45" s="31">
        <f>'Утв. ИП 2014-2019'!AI50</f>
        <v>80.473100000000002</v>
      </c>
      <c r="W45" s="31">
        <f>SUM(W46:W72)</f>
        <v>0</v>
      </c>
      <c r="X45" s="31">
        <f>SUM(X46:X72)</f>
        <v>80.473100000000002</v>
      </c>
      <c r="Y45" s="31"/>
      <c r="Z45" s="31"/>
      <c r="AA45" s="31"/>
      <c r="AB45" s="31"/>
      <c r="AC45" s="31"/>
      <c r="AD45" s="31"/>
      <c r="AE45" s="31"/>
      <c r="AF45" s="31"/>
      <c r="AG45" s="31"/>
      <c r="AH45" s="31"/>
    </row>
    <row r="46" spans="1:38" s="2" customFormat="1" ht="51" hidden="1" outlineLevel="1" x14ac:dyDescent="0.2">
      <c r="A46" s="6" t="e">
        <f>A66+1</f>
        <v>#REF!</v>
      </c>
      <c r="B46" s="6" t="str">
        <f>'Утв. ИП 2014-2019'!B51</f>
        <v>2.1.1.1</v>
      </c>
      <c r="C46" s="7" t="str">
        <f>'Утв. ИП 2014-2019'!C51</f>
        <v xml:space="preserve">Строительство КЛ-6 кВ сети электроснабжения от ТП-93 до ТП-101 </v>
      </c>
      <c r="D46" s="5"/>
      <c r="E46" s="5"/>
      <c r="F46" s="5"/>
      <c r="G46" s="5"/>
      <c r="H46" s="25"/>
      <c r="I46" s="8"/>
      <c r="J46" s="25"/>
      <c r="K46" s="8"/>
      <c r="L46" s="25"/>
      <c r="M46" s="5"/>
      <c r="N46" s="5">
        <f>'Утв. ИП 2014-2019'!U51</f>
        <v>0</v>
      </c>
      <c r="O46" s="5"/>
      <c r="P46" s="5">
        <f>N46*0.6</f>
        <v>0</v>
      </c>
      <c r="Q46" s="5">
        <f>N46*0.4</f>
        <v>0</v>
      </c>
      <c r="R46" s="5">
        <f>N46-O46-P46-Q46</f>
        <v>0</v>
      </c>
      <c r="S46" s="92">
        <f>'Утв. ИП 2014-2019'!U51</f>
        <v>0</v>
      </c>
      <c r="T46" s="92">
        <f>0.1*S46</f>
        <v>0</v>
      </c>
      <c r="U46" s="92">
        <f>S46-T46</f>
        <v>0</v>
      </c>
      <c r="V46" s="5">
        <f>'Утв. ИП 2014-2019'!AI51</f>
        <v>0</v>
      </c>
      <c r="W46" s="5"/>
      <c r="X46" s="5">
        <f>V46</f>
        <v>0</v>
      </c>
      <c r="Y46" s="5"/>
      <c r="Z46" s="5"/>
      <c r="AA46" s="5"/>
      <c r="AB46" s="5"/>
      <c r="AC46" s="23">
        <f>'Утв. ИП 2014-2019'!G51</f>
        <v>2015</v>
      </c>
      <c r="AD46" s="25" t="s">
        <v>214</v>
      </c>
      <c r="AE46" s="8" t="s">
        <v>212</v>
      </c>
      <c r="AF46" s="8" t="s">
        <v>213</v>
      </c>
      <c r="AG46" s="5">
        <f>'Утв. ИП 2014-2019'!AY51</f>
        <v>0.45</v>
      </c>
      <c r="AH46" s="5"/>
      <c r="AI46" s="47"/>
      <c r="AJ46" s="47"/>
      <c r="AK46" s="47"/>
      <c r="AL46" s="47"/>
    </row>
    <row r="47" spans="1:38" s="2" customFormat="1" ht="51" hidden="1" outlineLevel="1" x14ac:dyDescent="0.2">
      <c r="A47" s="6" t="e">
        <f>#REF!+1</f>
        <v>#REF!</v>
      </c>
      <c r="B47" s="6" t="str">
        <f>'Утв. ИП 2014-2019'!B52</f>
        <v>2.1.1.2</v>
      </c>
      <c r="C47" s="7" t="str">
        <f>'Утв. ИП 2014-2019'!C52</f>
        <v>Строительство КЛ-6 кВ ЦРП "Город" яч. 12 - ТП-101 яч. 6</v>
      </c>
      <c r="D47" s="5"/>
      <c r="E47" s="5"/>
      <c r="F47" s="5"/>
      <c r="G47" s="5"/>
      <c r="H47" s="25" t="s">
        <v>930</v>
      </c>
      <c r="I47" s="8">
        <v>30</v>
      </c>
      <c r="J47" s="25" t="s">
        <v>212</v>
      </c>
      <c r="K47" s="8" t="s">
        <v>931</v>
      </c>
      <c r="L47" s="25" t="s">
        <v>932</v>
      </c>
      <c r="M47" s="5"/>
      <c r="N47" s="5">
        <f>'Утв. ИП 2014-2019'!U52</f>
        <v>0</v>
      </c>
      <c r="O47" s="5"/>
      <c r="P47" s="5">
        <f>N47*0.6</f>
        <v>0</v>
      </c>
      <c r="Q47" s="5">
        <f>N47*0.4</f>
        <v>0</v>
      </c>
      <c r="R47" s="5">
        <f>N47-O47-P47-Q47</f>
        <v>0</v>
      </c>
      <c r="S47" s="92">
        <f>'Утв. ИП 2014-2019'!U52</f>
        <v>0</v>
      </c>
      <c r="T47" s="92">
        <f>0.1*S47</f>
        <v>0</v>
      </c>
      <c r="U47" s="92">
        <f>S47-T47</f>
        <v>0</v>
      </c>
      <c r="V47" s="5">
        <f>'Утв. ИП 2014-2019'!AI52</f>
        <v>0</v>
      </c>
      <c r="W47" s="5"/>
      <c r="X47" s="5">
        <f>V47</f>
        <v>0</v>
      </c>
      <c r="Y47" s="5"/>
      <c r="Z47" s="5"/>
      <c r="AA47" s="5"/>
      <c r="AB47" s="5"/>
      <c r="AC47" s="23">
        <f>'Утв. ИП 2014-2019'!G52</f>
        <v>2015</v>
      </c>
      <c r="AD47" s="25" t="s">
        <v>214</v>
      </c>
      <c r="AE47" s="8" t="s">
        <v>212</v>
      </c>
      <c r="AF47" s="8" t="s">
        <v>213</v>
      </c>
      <c r="AG47" s="5">
        <f>'Утв. ИП 2014-2019'!AY52</f>
        <v>0.78</v>
      </c>
      <c r="AH47" s="49"/>
      <c r="AI47" s="47"/>
      <c r="AJ47" s="47"/>
      <c r="AK47" s="47"/>
      <c r="AL47" s="47"/>
    </row>
    <row r="48" spans="1:38" s="2" customFormat="1" ht="51" hidden="1" outlineLevel="1" x14ac:dyDescent="0.2">
      <c r="A48" s="6" t="e">
        <f>A72+1</f>
        <v>#REF!</v>
      </c>
      <c r="B48" s="6" t="str">
        <f>'Утв. ИП 2014-2019'!B53</f>
        <v>2.1.1.3</v>
      </c>
      <c r="C48" s="7" t="str">
        <f>'Утв. ИП 2014-2019'!C53</f>
        <v xml:space="preserve">Строительство КЛ-6 кВ сети электроснабжения от ТП-27 до ТП-127 </v>
      </c>
      <c r="D48" s="5"/>
      <c r="E48" s="5"/>
      <c r="F48" s="5"/>
      <c r="G48" s="5"/>
      <c r="H48" s="25" t="s">
        <v>89</v>
      </c>
      <c r="I48" s="8">
        <v>30</v>
      </c>
      <c r="J48" s="25" t="s">
        <v>212</v>
      </c>
      <c r="K48" s="8" t="s">
        <v>90</v>
      </c>
      <c r="L48" s="25" t="s">
        <v>91</v>
      </c>
      <c r="M48" s="5"/>
      <c r="N48" s="5">
        <f>'Утв. ИП 2014-2019'!U53</f>
        <v>0</v>
      </c>
      <c r="O48" s="5">
        <f>N48*0.1</f>
        <v>0</v>
      </c>
      <c r="P48" s="5">
        <f>(N48-O48)*0.6</f>
        <v>0</v>
      </c>
      <c r="Q48" s="5">
        <f>(N48-O48)*0.4</f>
        <v>0</v>
      </c>
      <c r="R48" s="5">
        <f>N48-O48-P48-Q48</f>
        <v>0</v>
      </c>
      <c r="S48" s="92">
        <f>'Утв. ИП 2014-2019'!U53</f>
        <v>0</v>
      </c>
      <c r="T48" s="92">
        <f>0.1*S48</f>
        <v>0</v>
      </c>
      <c r="U48" s="92">
        <f>S48-T48</f>
        <v>0</v>
      </c>
      <c r="V48" s="5">
        <f>'Утв. ИП 2014-2019'!AI53</f>
        <v>0</v>
      </c>
      <c r="W48" s="5"/>
      <c r="X48" s="5">
        <f>V48</f>
        <v>0</v>
      </c>
      <c r="Y48" s="12"/>
      <c r="Z48" s="12"/>
      <c r="AA48" s="12"/>
      <c r="AB48" s="12"/>
      <c r="AC48" s="23">
        <f>'Утв. ИП 2014-2019'!G53</f>
        <v>2014</v>
      </c>
      <c r="AD48" s="25" t="s">
        <v>214</v>
      </c>
      <c r="AE48" s="8" t="s">
        <v>212</v>
      </c>
      <c r="AF48" s="8" t="s">
        <v>213</v>
      </c>
      <c r="AG48" s="5">
        <f>'Утв. ИП 2014-2019'!AY53</f>
        <v>0.85</v>
      </c>
      <c r="AH48" s="5"/>
    </row>
    <row r="49" spans="1:34" s="2" customFormat="1" ht="38.25" hidden="1" outlineLevel="1" x14ac:dyDescent="0.2">
      <c r="A49" s="6" t="e">
        <f>#REF!+1</f>
        <v>#REF!</v>
      </c>
      <c r="B49" s="6" t="str">
        <f>'Утв. ИП 2014-2019'!B54</f>
        <v>2.1.1.4</v>
      </c>
      <c r="C49" s="7" t="str">
        <f>'Утв. ИП 2014-2019'!C54</f>
        <v>Диспансерное отделение областной психоневрологической больницы по ул. Аксакова, 4</v>
      </c>
      <c r="D49" s="25" t="s">
        <v>111</v>
      </c>
      <c r="E49" s="8">
        <v>25</v>
      </c>
      <c r="F49" s="25" t="s">
        <v>129</v>
      </c>
      <c r="G49" s="8" t="s">
        <v>110</v>
      </c>
      <c r="H49" s="25" t="s">
        <v>114</v>
      </c>
      <c r="I49" s="8">
        <v>25</v>
      </c>
      <c r="J49" s="25" t="s">
        <v>115</v>
      </c>
      <c r="K49" s="8" t="s">
        <v>116</v>
      </c>
      <c r="L49" s="25" t="s">
        <v>117</v>
      </c>
      <c r="M49" s="5"/>
      <c r="N49" s="5">
        <f>'Утв. ИП 2014-2019'!U54</f>
        <v>0</v>
      </c>
      <c r="O49" s="5"/>
      <c r="P49" s="5">
        <f>N49*0.6</f>
        <v>0</v>
      </c>
      <c r="Q49" s="5">
        <f>N49*0.4</f>
        <v>0</v>
      </c>
      <c r="R49" s="5">
        <f>N49-O49-P49-Q49</f>
        <v>0</v>
      </c>
      <c r="S49" s="92">
        <f>'Утв. ИП 2014-2019'!U54</f>
        <v>0</v>
      </c>
      <c r="T49" s="92">
        <f>0.1*S49</f>
        <v>0</v>
      </c>
      <c r="U49" s="92">
        <f>S49-T49</f>
        <v>0</v>
      </c>
      <c r="V49" s="5">
        <f>'Утв. ИП 2014-2019'!AI54</f>
        <v>0</v>
      </c>
      <c r="W49" s="5"/>
      <c r="X49" s="5">
        <f>V49</f>
        <v>0</v>
      </c>
      <c r="Y49" s="23">
        <f>'Утв. ИП 2014-2019'!G54</f>
        <v>2014</v>
      </c>
      <c r="Z49" s="25" t="s">
        <v>205</v>
      </c>
      <c r="AA49" s="8">
        <v>2</v>
      </c>
      <c r="AB49" s="25" t="s">
        <v>112</v>
      </c>
      <c r="AC49" s="23">
        <f>'Утв. ИП 2014-2019'!G54</f>
        <v>2014</v>
      </c>
      <c r="AD49" s="25" t="s">
        <v>214</v>
      </c>
      <c r="AE49" s="8"/>
      <c r="AF49" s="25" t="s">
        <v>113</v>
      </c>
      <c r="AG49" s="5">
        <f>'Утв. ИП 2014-2019'!AY54</f>
        <v>0.47</v>
      </c>
      <c r="AH49" s="5"/>
    </row>
    <row r="50" spans="1:34" s="2" customFormat="1" ht="33.75" hidden="1" outlineLevel="1" x14ac:dyDescent="0.2">
      <c r="A50" s="6" t="e">
        <f t="shared" ref="A50:A57" si="11">A49+1</f>
        <v>#REF!</v>
      </c>
      <c r="B50" s="6"/>
      <c r="C50" s="97" t="str">
        <f>'Утв. ИП 2014-2019'!C55</f>
        <v>Строительство комплектной трансформаторной подстанции с демонтажем ТП-402 на пл. Аксакова</v>
      </c>
      <c r="D50" s="25"/>
      <c r="E50" s="8"/>
      <c r="F50" s="25"/>
      <c r="G50" s="8"/>
      <c r="H50" s="25"/>
      <c r="I50" s="8"/>
      <c r="J50" s="25"/>
      <c r="K50" s="8"/>
      <c r="L50" s="25"/>
      <c r="M50" s="5"/>
      <c r="N50" s="5">
        <f>'Утв. ИП 2014-2019'!U55</f>
        <v>0</v>
      </c>
      <c r="O50" s="13"/>
      <c r="P50" s="5"/>
      <c r="Q50" s="5"/>
      <c r="R50" s="5"/>
      <c r="S50" s="5">
        <f>'Утв. ИП 2014-2019'!U55</f>
        <v>0</v>
      </c>
      <c r="T50" s="5"/>
      <c r="U50" s="5"/>
      <c r="V50" s="5">
        <f>'Утв. ИП 2014-2019'!AI55</f>
        <v>0</v>
      </c>
      <c r="W50" s="5"/>
      <c r="X50" s="5"/>
      <c r="Y50" s="8"/>
      <c r="Z50" s="25"/>
      <c r="AA50" s="8"/>
      <c r="AB50" s="25"/>
      <c r="AC50" s="8"/>
      <c r="AD50" s="25"/>
      <c r="AE50" s="8"/>
      <c r="AF50" s="25"/>
      <c r="AG50" s="8"/>
      <c r="AH50" s="5"/>
    </row>
    <row r="51" spans="1:34" s="2" customFormat="1" ht="33.75" hidden="1" outlineLevel="1" x14ac:dyDescent="0.2">
      <c r="A51" s="6" t="e">
        <f t="shared" si="11"/>
        <v>#REF!</v>
      </c>
      <c r="B51" s="6"/>
      <c r="C51" s="97" t="str">
        <f>'Утв. ИП 2014-2019'!C56</f>
        <v>Строительство КЛ-0,4 кВ от КТП до здания диспансерного отделения на пл. Аксакова, 4</v>
      </c>
      <c r="D51" s="25"/>
      <c r="E51" s="8"/>
      <c r="F51" s="25"/>
      <c r="G51" s="8"/>
      <c r="H51" s="25"/>
      <c r="I51" s="8"/>
      <c r="J51" s="25"/>
      <c r="K51" s="8"/>
      <c r="L51" s="25"/>
      <c r="M51" s="5"/>
      <c r="N51" s="5">
        <f>'Утв. ИП 2014-2019'!U56</f>
        <v>0</v>
      </c>
      <c r="O51" s="13"/>
      <c r="P51" s="5"/>
      <c r="Q51" s="5"/>
      <c r="R51" s="5"/>
      <c r="S51" s="5">
        <f>'Утв. ИП 2014-2019'!U56</f>
        <v>0</v>
      </c>
      <c r="T51" s="5"/>
      <c r="U51" s="5"/>
      <c r="V51" s="5">
        <f>'Утв. ИП 2014-2019'!AI56</f>
        <v>0</v>
      </c>
      <c r="W51" s="5"/>
      <c r="X51" s="5"/>
      <c r="Y51" s="8"/>
      <c r="Z51" s="25"/>
      <c r="AA51" s="8"/>
      <c r="AB51" s="25"/>
      <c r="AC51" s="8"/>
      <c r="AD51" s="25"/>
      <c r="AE51" s="8"/>
      <c r="AF51" s="25"/>
      <c r="AG51" s="8"/>
      <c r="AH51" s="5"/>
    </row>
    <row r="52" spans="1:34" s="2" customFormat="1" ht="22.5" hidden="1" outlineLevel="1" x14ac:dyDescent="0.2">
      <c r="A52" s="6" t="e">
        <f t="shared" si="11"/>
        <v>#REF!</v>
      </c>
      <c r="B52" s="6"/>
      <c r="C52" s="97" t="str">
        <f>'Утв. ИП 2014-2019'!C57</f>
        <v>Монтаж оборудования РУ-6 кВ во вновь смонтированной КТП</v>
      </c>
      <c r="D52" s="25"/>
      <c r="E52" s="8"/>
      <c r="F52" s="25"/>
      <c r="G52" s="8"/>
      <c r="H52" s="25"/>
      <c r="I52" s="8"/>
      <c r="J52" s="25"/>
      <c r="K52" s="8"/>
      <c r="L52" s="25"/>
      <c r="M52" s="5"/>
      <c r="N52" s="5">
        <f>'Утв. ИП 2014-2019'!U57</f>
        <v>0</v>
      </c>
      <c r="O52" s="13"/>
      <c r="P52" s="5"/>
      <c r="Q52" s="5"/>
      <c r="R52" s="5"/>
      <c r="S52" s="5">
        <f>'Утв. ИП 2014-2019'!U57</f>
        <v>0</v>
      </c>
      <c r="T52" s="5"/>
      <c r="U52" s="5"/>
      <c r="V52" s="5">
        <f>'Утв. ИП 2014-2019'!AI57</f>
        <v>0</v>
      </c>
      <c r="W52" s="5"/>
      <c r="X52" s="5"/>
      <c r="Y52" s="8"/>
      <c r="Z52" s="25"/>
      <c r="AA52" s="8"/>
      <c r="AB52" s="25"/>
      <c r="AC52" s="8"/>
      <c r="AD52" s="25"/>
      <c r="AE52" s="8"/>
      <c r="AF52" s="25"/>
      <c r="AG52" s="8"/>
      <c r="AH52" s="5"/>
    </row>
    <row r="53" spans="1:34" s="2" customFormat="1" ht="22.5" hidden="1" outlineLevel="1" x14ac:dyDescent="0.2">
      <c r="A53" s="6" t="e">
        <f t="shared" si="11"/>
        <v>#REF!</v>
      </c>
      <c r="B53" s="6"/>
      <c r="C53" s="97" t="str">
        <f>'Утв. ИП 2014-2019'!C58</f>
        <v>Монтаж оборудования РУ-0,4 кВ во вновь смонтированной КТП</v>
      </c>
      <c r="D53" s="25"/>
      <c r="E53" s="8"/>
      <c r="F53" s="25"/>
      <c r="G53" s="8"/>
      <c r="H53" s="25"/>
      <c r="I53" s="8"/>
      <c r="J53" s="25"/>
      <c r="K53" s="8"/>
      <c r="L53" s="25"/>
      <c r="M53" s="5"/>
      <c r="N53" s="5">
        <f>'Утв. ИП 2014-2019'!U58</f>
        <v>0</v>
      </c>
      <c r="O53" s="13"/>
      <c r="P53" s="5"/>
      <c r="Q53" s="5"/>
      <c r="R53" s="5"/>
      <c r="S53" s="5">
        <f>'Утв. ИП 2014-2019'!U58</f>
        <v>0</v>
      </c>
      <c r="T53" s="5"/>
      <c r="U53" s="5"/>
      <c r="V53" s="5">
        <f>'Утв. ИП 2014-2019'!AI58</f>
        <v>0</v>
      </c>
      <c r="W53" s="5"/>
      <c r="X53" s="5"/>
      <c r="Y53" s="8"/>
      <c r="Z53" s="25"/>
      <c r="AA53" s="8"/>
      <c r="AB53" s="25"/>
      <c r="AC53" s="8"/>
      <c r="AD53" s="25"/>
      <c r="AE53" s="8"/>
      <c r="AF53" s="25"/>
      <c r="AG53" s="8"/>
      <c r="AH53" s="5"/>
    </row>
    <row r="54" spans="1:34" s="2" customFormat="1" ht="22.5" hidden="1" outlineLevel="1" x14ac:dyDescent="0.2">
      <c r="A54" s="6" t="e">
        <f t="shared" si="11"/>
        <v>#REF!</v>
      </c>
      <c r="B54" s="6"/>
      <c r="C54" s="97" t="str">
        <f>'Утв. ИП 2014-2019'!C59</f>
        <v>Монтаж трансформатора №1 во вновь смонтированной КТП</v>
      </c>
      <c r="D54" s="25"/>
      <c r="E54" s="8"/>
      <c r="F54" s="25"/>
      <c r="G54" s="8"/>
      <c r="H54" s="25"/>
      <c r="I54" s="8"/>
      <c r="J54" s="25"/>
      <c r="K54" s="8"/>
      <c r="L54" s="25"/>
      <c r="M54" s="5"/>
      <c r="N54" s="5">
        <f>'Утв. ИП 2014-2019'!U59</f>
        <v>0</v>
      </c>
      <c r="O54" s="13"/>
      <c r="P54" s="5"/>
      <c r="Q54" s="5"/>
      <c r="R54" s="5"/>
      <c r="S54" s="5">
        <f>'Утв. ИП 2014-2019'!U59</f>
        <v>0</v>
      </c>
      <c r="T54" s="5"/>
      <c r="U54" s="5"/>
      <c r="V54" s="5">
        <f>'Утв. ИП 2014-2019'!AI59</f>
        <v>0</v>
      </c>
      <c r="W54" s="5"/>
      <c r="X54" s="5"/>
      <c r="Y54" s="8"/>
      <c r="Z54" s="25"/>
      <c r="AA54" s="8"/>
      <c r="AB54" s="25"/>
      <c r="AC54" s="8"/>
      <c r="AD54" s="25"/>
      <c r="AE54" s="8"/>
      <c r="AF54" s="25"/>
      <c r="AG54" s="8"/>
      <c r="AH54" s="5"/>
    </row>
    <row r="55" spans="1:34" s="2" customFormat="1" ht="22.5" hidden="1" outlineLevel="1" x14ac:dyDescent="0.2">
      <c r="A55" s="6" t="e">
        <f t="shared" si="11"/>
        <v>#REF!</v>
      </c>
      <c r="B55" s="6"/>
      <c r="C55" s="97" t="str">
        <f>'Утв. ИП 2014-2019'!C60</f>
        <v>Монтаж трансформатора №2 во вновь смонтированной КТП</v>
      </c>
      <c r="D55" s="25"/>
      <c r="E55" s="8"/>
      <c r="F55" s="25"/>
      <c r="G55" s="8"/>
      <c r="H55" s="25"/>
      <c r="I55" s="8"/>
      <c r="J55" s="25"/>
      <c r="K55" s="8"/>
      <c r="L55" s="25"/>
      <c r="M55" s="5"/>
      <c r="N55" s="5">
        <f>'Утв. ИП 2014-2019'!U60</f>
        <v>0</v>
      </c>
      <c r="O55" s="13"/>
      <c r="P55" s="5"/>
      <c r="Q55" s="5"/>
      <c r="R55" s="5"/>
      <c r="S55" s="5">
        <f>'Утв. ИП 2014-2019'!U60</f>
        <v>0</v>
      </c>
      <c r="T55" s="5"/>
      <c r="U55" s="5"/>
      <c r="V55" s="5">
        <f>'Утв. ИП 2014-2019'!AI60</f>
        <v>0</v>
      </c>
      <c r="W55" s="5"/>
      <c r="X55" s="5"/>
      <c r="Y55" s="8"/>
      <c r="Z55" s="25"/>
      <c r="AA55" s="8"/>
      <c r="AB55" s="25"/>
      <c r="AC55" s="8"/>
      <c r="AD55" s="25"/>
      <c r="AE55" s="8"/>
      <c r="AF55" s="25"/>
      <c r="AG55" s="8"/>
      <c r="AH55" s="5"/>
    </row>
    <row r="56" spans="1:34" s="2" customFormat="1" ht="22.5" hidden="1" outlineLevel="1" x14ac:dyDescent="0.2">
      <c r="A56" s="6" t="e">
        <f t="shared" si="11"/>
        <v>#REF!</v>
      </c>
      <c r="B56" s="6"/>
      <c r="C56" s="97" t="str">
        <f>'Утв. ИП 2014-2019'!C61</f>
        <v>Монтаж узла учета во вновь смонтированной КТП</v>
      </c>
      <c r="D56" s="25"/>
      <c r="E56" s="8"/>
      <c r="F56" s="25"/>
      <c r="G56" s="8"/>
      <c r="H56" s="25"/>
      <c r="I56" s="8"/>
      <c r="J56" s="25"/>
      <c r="K56" s="8"/>
      <c r="L56" s="25"/>
      <c r="M56" s="5"/>
      <c r="N56" s="5">
        <f>'Утв. ИП 2014-2019'!U61</f>
        <v>0</v>
      </c>
      <c r="O56" s="13"/>
      <c r="P56" s="5"/>
      <c r="Q56" s="5"/>
      <c r="R56" s="5"/>
      <c r="S56" s="5">
        <f>'Утв. ИП 2014-2019'!U61</f>
        <v>0</v>
      </c>
      <c r="T56" s="5"/>
      <c r="U56" s="5"/>
      <c r="V56" s="5">
        <f>'Утв. ИП 2014-2019'!AI61</f>
        <v>0</v>
      </c>
      <c r="W56" s="5"/>
      <c r="X56" s="5"/>
      <c r="Y56" s="8"/>
      <c r="Z56" s="25"/>
      <c r="AA56" s="8"/>
      <c r="AB56" s="25"/>
      <c r="AC56" s="8"/>
      <c r="AD56" s="25"/>
      <c r="AE56" s="8"/>
      <c r="AF56" s="25"/>
      <c r="AG56" s="8"/>
      <c r="AH56" s="5"/>
    </row>
    <row r="57" spans="1:34" s="2" customFormat="1" ht="33.75" hidden="1" outlineLevel="1" x14ac:dyDescent="0.2">
      <c r="A57" s="6" t="e">
        <f t="shared" si="11"/>
        <v>#REF!</v>
      </c>
      <c r="B57" s="6"/>
      <c r="C57" s="97" t="str">
        <f>'Утв. ИП 2014-2019'!C62</f>
        <v>Монтаж охранно-пожарной сигнализации во вновь смонтированной КТП</v>
      </c>
      <c r="D57" s="25"/>
      <c r="E57" s="8"/>
      <c r="F57" s="25"/>
      <c r="G57" s="8"/>
      <c r="H57" s="25"/>
      <c r="I57" s="8"/>
      <c r="J57" s="25"/>
      <c r="K57" s="8"/>
      <c r="L57" s="25"/>
      <c r="M57" s="5"/>
      <c r="N57" s="5">
        <f>'Утв. ИП 2014-2019'!U62</f>
        <v>0</v>
      </c>
      <c r="O57" s="13"/>
      <c r="P57" s="5"/>
      <c r="Q57" s="5"/>
      <c r="R57" s="5"/>
      <c r="S57" s="5">
        <f>'Утв. ИП 2014-2019'!U62</f>
        <v>0</v>
      </c>
      <c r="T57" s="5"/>
      <c r="U57" s="5"/>
      <c r="V57" s="5">
        <f>'Утв. ИП 2014-2019'!AI62</f>
        <v>0</v>
      </c>
      <c r="W57" s="5"/>
      <c r="X57" s="5"/>
      <c r="Y57" s="8"/>
      <c r="Z57" s="25"/>
      <c r="AA57" s="8"/>
      <c r="AB57" s="25"/>
      <c r="AC57" s="8"/>
      <c r="AD57" s="25"/>
      <c r="AE57" s="8"/>
      <c r="AF57" s="25"/>
      <c r="AG57" s="8"/>
      <c r="AH57" s="5"/>
    </row>
    <row r="58" spans="1:34" s="2" customFormat="1" ht="51" hidden="1" outlineLevel="1" x14ac:dyDescent="0.2">
      <c r="A58" s="6" t="e">
        <f>A48+1</f>
        <v>#REF!</v>
      </c>
      <c r="B58" s="6" t="str">
        <f>'Утв. ИП 2014-2019'!B63</f>
        <v>2.1.1.5</v>
      </c>
      <c r="C58" s="7" t="str">
        <f>'Утв. ИП 2014-2019'!C63</f>
        <v>Строительство КЛ-10 кВ от ПС "Правобережная" яч.19 до РП-17 яч.9; от ПС "Правобережная" яч.10 до РП-17 яч.7</v>
      </c>
      <c r="D58" s="5"/>
      <c r="E58" s="5"/>
      <c r="F58" s="5"/>
      <c r="G58" s="5"/>
      <c r="H58" s="25" t="s">
        <v>92</v>
      </c>
      <c r="I58" s="8">
        <v>30</v>
      </c>
      <c r="J58" s="25" t="s">
        <v>212</v>
      </c>
      <c r="K58" s="8" t="s">
        <v>90</v>
      </c>
      <c r="L58" s="25" t="s">
        <v>93</v>
      </c>
      <c r="M58" s="5"/>
      <c r="N58" s="5">
        <f>'Утв. ИП 2014-2019'!U63</f>
        <v>0</v>
      </c>
      <c r="O58" s="5">
        <f t="shared" ref="O58:O66" si="12">N58*0.1</f>
        <v>0</v>
      </c>
      <c r="P58" s="5">
        <f t="shared" ref="P58:P66" si="13">(N58-O58)*0.6</f>
        <v>0</v>
      </c>
      <c r="Q58" s="5">
        <f t="shared" ref="Q58:Q66" si="14">(N58-O58)*0.4</f>
        <v>0</v>
      </c>
      <c r="R58" s="5">
        <f t="shared" ref="R58:R66" si="15">N58-O58-P58-Q58</f>
        <v>0</v>
      </c>
      <c r="S58" s="92">
        <f>'Утв. ИП 2014-2019'!U63</f>
        <v>0</v>
      </c>
      <c r="T58" s="92">
        <f t="shared" ref="T58:T67" si="16">0.1*S58</f>
        <v>0</v>
      </c>
      <c r="U58" s="92">
        <f t="shared" ref="U58:U67" si="17">S58-T58</f>
        <v>0</v>
      </c>
      <c r="V58" s="5">
        <f>'Утв. ИП 2014-2019'!AI63</f>
        <v>0</v>
      </c>
      <c r="W58" s="5"/>
      <c r="X58" s="5">
        <f t="shared" ref="X58:X67" si="18">V58</f>
        <v>0</v>
      </c>
      <c r="Y58" s="5"/>
      <c r="Z58" s="5"/>
      <c r="AA58" s="5"/>
      <c r="AB58" s="5"/>
      <c r="AC58" s="23">
        <f>'Утв. ИП 2014-2019'!G63</f>
        <v>2016</v>
      </c>
      <c r="AD58" s="25" t="s">
        <v>214</v>
      </c>
      <c r="AE58" s="8" t="s">
        <v>212</v>
      </c>
      <c r="AF58" s="25" t="s">
        <v>82</v>
      </c>
      <c r="AG58" s="5">
        <f>'Утв. ИП 2014-2019'!AY63</f>
        <v>7.2</v>
      </c>
      <c r="AH58" s="5"/>
    </row>
    <row r="59" spans="1:34" s="2" customFormat="1" ht="51" collapsed="1" x14ac:dyDescent="0.2">
      <c r="A59" s="6" t="e">
        <f>A60+1</f>
        <v>#REF!</v>
      </c>
      <c r="B59" s="6" t="str">
        <f>'Утв. ИП 2014-2019'!B64</f>
        <v>2.1.1.6</v>
      </c>
      <c r="C59" s="7" t="str">
        <f>'Утв. ИП 2014-2019'!C64</f>
        <v>Строительство ВЛ-10 кВ и КЛ-10 кВ сети электроснабжения от ПС "Правобережная" яч. 9 до ТП-616</v>
      </c>
      <c r="D59" s="5"/>
      <c r="E59" s="5"/>
      <c r="F59" s="5"/>
      <c r="G59" s="5"/>
      <c r="H59" s="25" t="s">
        <v>98</v>
      </c>
      <c r="I59" s="8">
        <v>25</v>
      </c>
      <c r="J59" s="25" t="s">
        <v>95</v>
      </c>
      <c r="K59" s="8" t="s">
        <v>198</v>
      </c>
      <c r="L59" s="25" t="s">
        <v>99</v>
      </c>
      <c r="M59" s="5"/>
      <c r="N59" s="5">
        <f>'Утв. ИП 2014-2019'!U64</f>
        <v>15.34</v>
      </c>
      <c r="O59" s="5">
        <f t="shared" si="12"/>
        <v>1.534</v>
      </c>
      <c r="P59" s="5">
        <f t="shared" si="13"/>
        <v>8.2835999999999999</v>
      </c>
      <c r="Q59" s="5">
        <f t="shared" si="14"/>
        <v>5.5224000000000002</v>
      </c>
      <c r="R59" s="5">
        <f t="shared" si="15"/>
        <v>0</v>
      </c>
      <c r="S59" s="92">
        <f>'Утв. ИП 2014-2019'!U64</f>
        <v>15.34</v>
      </c>
      <c r="T59" s="92">
        <f t="shared" si="16"/>
        <v>1.534</v>
      </c>
      <c r="U59" s="92">
        <f t="shared" si="17"/>
        <v>13.805999999999999</v>
      </c>
      <c r="V59" s="5">
        <f>'Утв. ИП 2014-2019'!AI64</f>
        <v>0</v>
      </c>
      <c r="W59" s="5"/>
      <c r="X59" s="5">
        <f t="shared" si="18"/>
        <v>0</v>
      </c>
      <c r="Y59" s="5"/>
      <c r="Z59" s="5"/>
      <c r="AA59" s="5"/>
      <c r="AB59" s="5"/>
      <c r="AC59" s="23">
        <f>'Утв. ИП 2014-2019'!G64</f>
        <v>2018</v>
      </c>
      <c r="AD59" s="25" t="s">
        <v>214</v>
      </c>
      <c r="AE59" s="5" t="s">
        <v>201</v>
      </c>
      <c r="AF59" s="25" t="s">
        <v>97</v>
      </c>
      <c r="AG59" s="5">
        <f>'Утв. ИП 2014-2019'!AY64</f>
        <v>3.22</v>
      </c>
      <c r="AH59" s="5"/>
    </row>
    <row r="60" spans="1:34" s="2" customFormat="1" ht="51" x14ac:dyDescent="0.2">
      <c r="A60" s="6" t="e">
        <f>#REF!+1</f>
        <v>#REF!</v>
      </c>
      <c r="B60" s="6" t="str">
        <f>'Утв. ИП 2014-2019'!B65</f>
        <v>2.1.1.7</v>
      </c>
      <c r="C60" s="7" t="str">
        <f>'Утв. ИП 2014-2019'!C65</f>
        <v>Строительство ВЛ-10 кВ и КЛ-10 кВ сети электроснабжения от ПС "Правобережная" яч. 18 до ТП-616</v>
      </c>
      <c r="D60" s="5"/>
      <c r="E60" s="5"/>
      <c r="F60" s="5"/>
      <c r="G60" s="5"/>
      <c r="H60" s="25" t="s">
        <v>94</v>
      </c>
      <c r="I60" s="8">
        <v>25</v>
      </c>
      <c r="J60" s="25" t="s">
        <v>95</v>
      </c>
      <c r="K60" s="8" t="s">
        <v>198</v>
      </c>
      <c r="L60" s="25" t="s">
        <v>96</v>
      </c>
      <c r="M60" s="5"/>
      <c r="N60" s="5">
        <f>'Утв. ИП 2014-2019'!U65</f>
        <v>15.612399999999997</v>
      </c>
      <c r="O60" s="5">
        <f t="shared" si="12"/>
        <v>1.5612399999999997</v>
      </c>
      <c r="P60" s="5">
        <f t="shared" si="13"/>
        <v>8.4306959999999975</v>
      </c>
      <c r="Q60" s="5">
        <f t="shared" si="14"/>
        <v>5.6204639999999992</v>
      </c>
      <c r="R60" s="5">
        <f t="shared" si="15"/>
        <v>0</v>
      </c>
      <c r="S60" s="92">
        <f>'Утв. ИП 2014-2019'!U65</f>
        <v>15.612399999999997</v>
      </c>
      <c r="T60" s="92">
        <f t="shared" si="16"/>
        <v>1.5612399999999997</v>
      </c>
      <c r="U60" s="92">
        <f t="shared" si="17"/>
        <v>14.051159999999998</v>
      </c>
      <c r="V60" s="5">
        <f>'Утв. ИП 2014-2019'!AI65</f>
        <v>30.3</v>
      </c>
      <c r="W60" s="5"/>
      <c r="X60" s="5">
        <f t="shared" si="18"/>
        <v>30.3</v>
      </c>
      <c r="Y60" s="5"/>
      <c r="Z60" s="5"/>
      <c r="AA60" s="5"/>
      <c r="AB60" s="5"/>
      <c r="AC60" s="23">
        <f>'Утв. ИП 2014-2019'!G65</f>
        <v>2017</v>
      </c>
      <c r="AD60" s="25" t="s">
        <v>214</v>
      </c>
      <c r="AE60" s="5" t="s">
        <v>201</v>
      </c>
      <c r="AF60" s="25" t="s">
        <v>97</v>
      </c>
      <c r="AG60" s="5">
        <f>'Утв. ИП 2014-2019'!AY65</f>
        <v>3.38</v>
      </c>
      <c r="AH60" s="5"/>
    </row>
    <row r="61" spans="1:34" s="2" customFormat="1" ht="51" x14ac:dyDescent="0.2">
      <c r="A61" s="6"/>
      <c r="B61" s="6" t="str">
        <f>'Утв. ИП 2014-2019'!B66</f>
        <v>2.1.1.8</v>
      </c>
      <c r="C61" s="7" t="str">
        <f>'Утв. ИП 2014-2019'!C66</f>
        <v>Строительство КЛ-10 кВ от ГПП-1 яч. 21 до РП-9 яч. 9</v>
      </c>
      <c r="D61" s="5"/>
      <c r="E61" s="5"/>
      <c r="F61" s="5"/>
      <c r="G61" s="5"/>
      <c r="H61" s="25" t="s">
        <v>83</v>
      </c>
      <c r="I61" s="8">
        <v>30</v>
      </c>
      <c r="J61" s="25" t="s">
        <v>212</v>
      </c>
      <c r="K61" s="8" t="s">
        <v>1445</v>
      </c>
      <c r="L61" s="25" t="s">
        <v>1446</v>
      </c>
      <c r="M61" s="5"/>
      <c r="N61" s="5">
        <f>'Утв. ИП 2014-2019'!U66</f>
        <v>11.703300000000002</v>
      </c>
      <c r="O61" s="5"/>
      <c r="P61" s="5">
        <f t="shared" si="13"/>
        <v>7.021980000000001</v>
      </c>
      <c r="Q61" s="5">
        <f t="shared" si="14"/>
        <v>4.6813200000000013</v>
      </c>
      <c r="R61" s="5">
        <f t="shared" si="15"/>
        <v>0</v>
      </c>
      <c r="S61" s="92">
        <f>'Утв. ИП 2014-2019'!U66</f>
        <v>11.703300000000002</v>
      </c>
      <c r="T61" s="92">
        <f t="shared" si="16"/>
        <v>1.1703300000000003</v>
      </c>
      <c r="U61" s="92">
        <f t="shared" si="17"/>
        <v>10.532970000000002</v>
      </c>
      <c r="V61" s="5">
        <f>'Утв. ИП 2014-2019'!AI66</f>
        <v>21.903300000000002</v>
      </c>
      <c r="W61" s="5"/>
      <c r="X61" s="5">
        <f t="shared" si="18"/>
        <v>21.903300000000002</v>
      </c>
      <c r="Y61" s="5"/>
      <c r="Z61" s="5"/>
      <c r="AA61" s="5"/>
      <c r="AB61" s="5"/>
      <c r="AC61" s="23">
        <f>'Утв. ИП 2014-2019'!G66</f>
        <v>2017</v>
      </c>
      <c r="AD61" s="8">
        <v>30</v>
      </c>
      <c r="AE61" s="25" t="s">
        <v>212</v>
      </c>
      <c r="AF61" s="25" t="s">
        <v>82</v>
      </c>
      <c r="AG61" s="5">
        <f>'Утв. ИП 2014-2019'!AY66</f>
        <v>2.7</v>
      </c>
      <c r="AH61" s="5"/>
    </row>
    <row r="62" spans="1:34" s="2" customFormat="1" ht="51" x14ac:dyDescent="0.2">
      <c r="A62" s="6"/>
      <c r="B62" s="6" t="str">
        <f>'Утв. ИП 2014-2019'!B67</f>
        <v>2.1.1.9</v>
      </c>
      <c r="C62" s="7" t="str">
        <f>'Утв. ИП 2014-2019'!C67</f>
        <v>Строительство КЛ-10 кВ от ГПП-9 яч. 97 до РП-9 яч. 5</v>
      </c>
      <c r="D62" s="5"/>
      <c r="E62" s="5"/>
      <c r="F62" s="5"/>
      <c r="G62" s="5"/>
      <c r="H62" s="25" t="s">
        <v>114</v>
      </c>
      <c r="I62" s="8">
        <v>30</v>
      </c>
      <c r="J62" s="25" t="s">
        <v>212</v>
      </c>
      <c r="K62" s="8" t="s">
        <v>1447</v>
      </c>
      <c r="L62" s="25" t="s">
        <v>1448</v>
      </c>
      <c r="M62" s="5"/>
      <c r="N62" s="5">
        <f>'Утв. ИП 2014-2019'!U67</f>
        <v>15.1898</v>
      </c>
      <c r="O62" s="5"/>
      <c r="P62" s="5">
        <f t="shared" si="13"/>
        <v>9.11388</v>
      </c>
      <c r="Q62" s="5">
        <f t="shared" si="14"/>
        <v>6.07592</v>
      </c>
      <c r="R62" s="5">
        <f t="shared" si="15"/>
        <v>0</v>
      </c>
      <c r="S62" s="92">
        <f>'Утв. ИП 2014-2019'!U67</f>
        <v>15.1898</v>
      </c>
      <c r="T62" s="92">
        <f t="shared" si="16"/>
        <v>1.51898</v>
      </c>
      <c r="U62" s="92">
        <f t="shared" si="17"/>
        <v>13.670819999999999</v>
      </c>
      <c r="V62" s="5">
        <f>'Утв. ИП 2014-2019'!AI67</f>
        <v>28.2698</v>
      </c>
      <c r="W62" s="5"/>
      <c r="X62" s="5">
        <f t="shared" si="18"/>
        <v>28.2698</v>
      </c>
      <c r="Y62" s="5"/>
      <c r="Z62" s="5"/>
      <c r="AA62" s="5"/>
      <c r="AB62" s="5"/>
      <c r="AC62" s="23">
        <f>'Утв. ИП 2014-2019'!G67</f>
        <v>2017</v>
      </c>
      <c r="AD62" s="8">
        <v>30</v>
      </c>
      <c r="AE62" s="25" t="s">
        <v>212</v>
      </c>
      <c r="AF62" s="25" t="s">
        <v>82</v>
      </c>
      <c r="AG62" s="5">
        <f>'Утв. ИП 2014-2019'!AY67</f>
        <v>3.5</v>
      </c>
      <c r="AH62" s="5"/>
    </row>
    <row r="63" spans="1:34" s="2" customFormat="1" ht="51" x14ac:dyDescent="0.2">
      <c r="A63" s="6"/>
      <c r="B63" s="6" t="str">
        <f>'Утв. ИП 2014-2019'!B68</f>
        <v>2.1.1.10</v>
      </c>
      <c r="C63" s="7" t="str">
        <f>'Утв. ИП 2014-2019'!C68</f>
        <v>Строительство КЛ-6 кВ РП-36 Св. Сокол яч.2 - РП-25 яч.1 и КЛ-6 кВ РП-36 Св. Сокол яч.12 - РП-25 яч.2</v>
      </c>
      <c r="D63" s="5"/>
      <c r="E63" s="5"/>
      <c r="F63" s="5"/>
      <c r="G63" s="5"/>
      <c r="H63" s="25" t="s">
        <v>1449</v>
      </c>
      <c r="I63" s="8">
        <v>30</v>
      </c>
      <c r="J63" s="25" t="s">
        <v>212</v>
      </c>
      <c r="K63" s="8" t="s">
        <v>1450</v>
      </c>
      <c r="L63" s="25" t="s">
        <v>1451</v>
      </c>
      <c r="M63" s="5"/>
      <c r="N63" s="5">
        <f>'Утв. ИП 2014-2019'!U68</f>
        <v>13.4512</v>
      </c>
      <c r="O63" s="5">
        <f t="shared" si="12"/>
        <v>1.3451200000000001</v>
      </c>
      <c r="P63" s="5">
        <f t="shared" si="13"/>
        <v>7.2636479999999999</v>
      </c>
      <c r="Q63" s="5">
        <f t="shared" si="14"/>
        <v>4.8424320000000005</v>
      </c>
      <c r="R63" s="5">
        <f t="shared" si="15"/>
        <v>0</v>
      </c>
      <c r="S63" s="92">
        <f>'Утв. ИП 2014-2019'!U68</f>
        <v>13.4512</v>
      </c>
      <c r="T63" s="92">
        <f t="shared" si="16"/>
        <v>1.3451200000000001</v>
      </c>
      <c r="U63" s="92">
        <f t="shared" si="17"/>
        <v>12.10608</v>
      </c>
      <c r="V63" s="5">
        <f>'Утв. ИП 2014-2019'!AI68</f>
        <v>0</v>
      </c>
      <c r="W63" s="5"/>
      <c r="X63" s="5">
        <f t="shared" si="18"/>
        <v>0</v>
      </c>
      <c r="Y63" s="5"/>
      <c r="Z63" s="5"/>
      <c r="AA63" s="5"/>
      <c r="AB63" s="5"/>
      <c r="AC63" s="23">
        <f>'Утв. ИП 2014-2019'!G68</f>
        <v>2018</v>
      </c>
      <c r="AD63" s="8">
        <v>30</v>
      </c>
      <c r="AE63" s="25" t="s">
        <v>212</v>
      </c>
      <c r="AF63" s="25" t="s">
        <v>82</v>
      </c>
      <c r="AG63" s="5">
        <f>'Утв. ИП 2014-2019'!AY68</f>
        <v>1.8</v>
      </c>
      <c r="AH63" s="5"/>
    </row>
    <row r="64" spans="1:34" s="2" customFormat="1" ht="51" hidden="1" outlineLevel="1" x14ac:dyDescent="0.2">
      <c r="A64" s="6"/>
      <c r="B64" s="6" t="str">
        <f>'Утв. ИП 2014-2019'!B69</f>
        <v>2.1.1.11</v>
      </c>
      <c r="C64" s="7" t="str">
        <f>'Утв. ИП 2014-2019'!C69</f>
        <v>Строительство КЛ-6 кВ ПС-2 Св. Сокол яч.217 - КТП-426</v>
      </c>
      <c r="D64" s="5"/>
      <c r="E64" s="5"/>
      <c r="F64" s="5"/>
      <c r="G64" s="5"/>
      <c r="H64" s="25" t="s">
        <v>89</v>
      </c>
      <c r="I64" s="8">
        <v>30</v>
      </c>
      <c r="J64" s="25" t="s">
        <v>212</v>
      </c>
      <c r="K64" s="8" t="s">
        <v>1453</v>
      </c>
      <c r="L64" s="25" t="s">
        <v>1454</v>
      </c>
      <c r="M64" s="5"/>
      <c r="N64" s="5">
        <f>'Утв. ИП 2014-2019'!U69</f>
        <v>0</v>
      </c>
      <c r="O64" s="5">
        <f t="shared" si="12"/>
        <v>0</v>
      </c>
      <c r="P64" s="5">
        <f t="shared" si="13"/>
        <v>0</v>
      </c>
      <c r="Q64" s="5">
        <f t="shared" si="14"/>
        <v>0</v>
      </c>
      <c r="R64" s="5">
        <f t="shared" si="15"/>
        <v>0</v>
      </c>
      <c r="S64" s="92">
        <f>'Утв. ИП 2014-2019'!U69</f>
        <v>0</v>
      </c>
      <c r="T64" s="92">
        <f t="shared" si="16"/>
        <v>0</v>
      </c>
      <c r="U64" s="92">
        <f t="shared" si="17"/>
        <v>0</v>
      </c>
      <c r="V64" s="5">
        <f>'Утв. ИП 2014-2019'!AI69</f>
        <v>0</v>
      </c>
      <c r="W64" s="5"/>
      <c r="X64" s="5">
        <f t="shared" si="18"/>
        <v>0</v>
      </c>
      <c r="Y64" s="5"/>
      <c r="Z64" s="5"/>
      <c r="AA64" s="5"/>
      <c r="AB64" s="5"/>
      <c r="AC64" s="23">
        <f>'Утв. ИП 2014-2019'!G69</f>
        <v>2016</v>
      </c>
      <c r="AD64" s="8">
        <v>30</v>
      </c>
      <c r="AE64" s="25" t="s">
        <v>212</v>
      </c>
      <c r="AF64" s="25" t="s">
        <v>82</v>
      </c>
      <c r="AG64" s="5">
        <f>'Утв. ИП 2014-2019'!AY69</f>
        <v>0.7</v>
      </c>
      <c r="AH64" s="5"/>
    </row>
    <row r="65" spans="1:38" s="2" customFormat="1" ht="51" hidden="1" outlineLevel="1" x14ac:dyDescent="0.2">
      <c r="A65" s="6" t="e">
        <f>A47+1</f>
        <v>#REF!</v>
      </c>
      <c r="B65" s="6" t="str">
        <f>'Утв. ИП 2014-2019'!B70</f>
        <v>2.1.1.12</v>
      </c>
      <c r="C65" s="7" t="str">
        <f>'Утв. ИП 2014-2019'!C70</f>
        <v>Строительство КЛ-6 кВ от РП-Вилли Огнева до ТП-732</v>
      </c>
      <c r="D65" s="5"/>
      <c r="E65" s="5"/>
      <c r="F65" s="5"/>
      <c r="G65" s="5"/>
      <c r="H65" s="25"/>
      <c r="I65" s="8"/>
      <c r="J65" s="25"/>
      <c r="K65" s="8"/>
      <c r="L65" s="25"/>
      <c r="M65" s="5"/>
      <c r="N65" s="5">
        <f>'Утв. ИП 2014-2019'!U70</f>
        <v>0</v>
      </c>
      <c r="O65" s="5">
        <f t="shared" si="12"/>
        <v>0</v>
      </c>
      <c r="P65" s="5">
        <f t="shared" si="13"/>
        <v>0</v>
      </c>
      <c r="Q65" s="5">
        <f t="shared" si="14"/>
        <v>0</v>
      </c>
      <c r="R65" s="5">
        <f t="shared" si="15"/>
        <v>0</v>
      </c>
      <c r="S65" s="92">
        <f>'Утв. ИП 2014-2019'!U70</f>
        <v>0</v>
      </c>
      <c r="T65" s="92">
        <f t="shared" si="16"/>
        <v>0</v>
      </c>
      <c r="U65" s="92">
        <f t="shared" si="17"/>
        <v>0</v>
      </c>
      <c r="V65" s="5">
        <f>'Утв. ИП 2014-2019'!AI70</f>
        <v>0</v>
      </c>
      <c r="W65" s="5"/>
      <c r="X65" s="5">
        <f t="shared" si="18"/>
        <v>0</v>
      </c>
      <c r="Y65" s="5"/>
      <c r="Z65" s="5"/>
      <c r="AA65" s="5"/>
      <c r="AB65" s="5"/>
      <c r="AC65" s="23">
        <f>'Утв. ИП 2014-2019'!G70</f>
        <v>2019</v>
      </c>
      <c r="AD65" s="25" t="s">
        <v>214</v>
      </c>
      <c r="AE65" s="8" t="s">
        <v>212</v>
      </c>
      <c r="AF65" s="8" t="s">
        <v>213</v>
      </c>
      <c r="AG65" s="5">
        <f>'Утв. ИП 2014-2019'!AY70</f>
        <v>0.3</v>
      </c>
      <c r="AH65" s="12"/>
      <c r="AI65" s="47"/>
      <c r="AJ65" s="47"/>
      <c r="AK65" s="47"/>
      <c r="AL65" s="47"/>
    </row>
    <row r="66" spans="1:38" s="2" customFormat="1" ht="51" hidden="1" outlineLevel="1" x14ac:dyDescent="0.2">
      <c r="A66" s="6" t="e">
        <f>A65+1</f>
        <v>#REF!</v>
      </c>
      <c r="B66" s="6" t="str">
        <f>'Утв. ИП 2014-2019'!B71</f>
        <v>2.1.1.13</v>
      </c>
      <c r="C66" s="7" t="str">
        <f>'Утв. ИП 2014-2019'!C71</f>
        <v>Строительство КЛ-6 кВ от РП-Вилли Огнева до КТП-725</v>
      </c>
      <c r="D66" s="5"/>
      <c r="E66" s="5"/>
      <c r="F66" s="5"/>
      <c r="G66" s="5"/>
      <c r="H66" s="25"/>
      <c r="I66" s="8"/>
      <c r="J66" s="25"/>
      <c r="K66" s="8"/>
      <c r="L66" s="25"/>
      <c r="M66" s="5"/>
      <c r="N66" s="5">
        <f>'Утв. ИП 2014-2019'!U71</f>
        <v>0</v>
      </c>
      <c r="O66" s="5">
        <f t="shared" si="12"/>
        <v>0</v>
      </c>
      <c r="P66" s="5">
        <f t="shared" si="13"/>
        <v>0</v>
      </c>
      <c r="Q66" s="5">
        <f t="shared" si="14"/>
        <v>0</v>
      </c>
      <c r="R66" s="5">
        <f t="shared" si="15"/>
        <v>0</v>
      </c>
      <c r="S66" s="92">
        <f>'Утв. ИП 2014-2019'!U71</f>
        <v>0</v>
      </c>
      <c r="T66" s="92">
        <f t="shared" si="16"/>
        <v>0</v>
      </c>
      <c r="U66" s="92">
        <f t="shared" si="17"/>
        <v>0</v>
      </c>
      <c r="V66" s="5">
        <f>'Утв. ИП 2014-2019'!AI71</f>
        <v>0</v>
      </c>
      <c r="W66" s="5"/>
      <c r="X66" s="5">
        <f t="shared" si="18"/>
        <v>0</v>
      </c>
      <c r="Y66" s="5"/>
      <c r="Z66" s="5"/>
      <c r="AA66" s="5"/>
      <c r="AB66" s="5"/>
      <c r="AC66" s="23">
        <f>'Утв. ИП 2014-2019'!G71</f>
        <v>2019</v>
      </c>
      <c r="AD66" s="25" t="s">
        <v>214</v>
      </c>
      <c r="AE66" s="8"/>
      <c r="AF66" s="8" t="s">
        <v>213</v>
      </c>
      <c r="AG66" s="5">
        <f>'Утв. ИП 2014-2019'!AY71</f>
        <v>0.2</v>
      </c>
      <c r="AH66" s="12"/>
      <c r="AI66" s="47"/>
      <c r="AJ66" s="47"/>
      <c r="AK66" s="47"/>
      <c r="AL66" s="47"/>
    </row>
    <row r="67" spans="1:38" s="2" customFormat="1" ht="51" hidden="1" outlineLevel="1" x14ac:dyDescent="0.2">
      <c r="A67" s="6" t="e">
        <f>A45+1</f>
        <v>#REF!</v>
      </c>
      <c r="B67" s="6" t="str">
        <f>'Утв. ИП 2014-2019'!B72</f>
        <v>2.1.1.14</v>
      </c>
      <c r="C67" s="7" t="str">
        <f>'Утв. ИП 2014-2019'!C72</f>
        <v>Строительство ВЛ, КЛ-35 кВ от ПС "Бугор" до ПС "Город" с отпайкой на ПС "Водозабор №2"</v>
      </c>
      <c r="D67" s="5"/>
      <c r="E67" s="5"/>
      <c r="F67" s="5"/>
      <c r="G67" s="5"/>
      <c r="H67" s="25" t="s">
        <v>83</v>
      </c>
      <c r="I67" s="25" t="s">
        <v>214</v>
      </c>
      <c r="J67" s="25" t="s">
        <v>84</v>
      </c>
      <c r="K67" s="25" t="s">
        <v>85</v>
      </c>
      <c r="L67" s="25" t="s">
        <v>86</v>
      </c>
      <c r="M67" s="5"/>
      <c r="N67" s="5">
        <f>'Утв. ИП 2014-2019'!U72</f>
        <v>0</v>
      </c>
      <c r="O67" s="5"/>
      <c r="P67" s="5">
        <f>N67*0.6</f>
        <v>0</v>
      </c>
      <c r="Q67" s="5">
        <f>N67*0.4</f>
        <v>0</v>
      </c>
      <c r="R67" s="5">
        <f>N67-O67-P67-Q67</f>
        <v>0</v>
      </c>
      <c r="S67" s="92">
        <f>'Утв. ИП 2014-2019'!U72</f>
        <v>0</v>
      </c>
      <c r="T67" s="92">
        <f t="shared" si="16"/>
        <v>0</v>
      </c>
      <c r="U67" s="92">
        <f t="shared" si="17"/>
        <v>0</v>
      </c>
      <c r="V67" s="5">
        <f>'Утв. ИП 2014-2019'!AI72</f>
        <v>0</v>
      </c>
      <c r="W67" s="5"/>
      <c r="X67" s="5">
        <f t="shared" si="18"/>
        <v>0</v>
      </c>
      <c r="Y67" s="23">
        <f>'Утв. ИП 2014-2019'!G72</f>
        <v>2021</v>
      </c>
      <c r="Z67" s="25" t="s">
        <v>205</v>
      </c>
      <c r="AA67" s="25" t="s">
        <v>212</v>
      </c>
      <c r="AB67" s="25" t="s">
        <v>87</v>
      </c>
      <c r="AC67" s="23">
        <f>'Утв. ИП 2014-2019'!G72</f>
        <v>2021</v>
      </c>
      <c r="AD67" s="25" t="s">
        <v>214</v>
      </c>
      <c r="AE67" s="25" t="s">
        <v>212</v>
      </c>
      <c r="AF67" s="25" t="s">
        <v>82</v>
      </c>
      <c r="AG67" s="5">
        <f>'Утв. ИП 2014-2019'!AY72</f>
        <v>0</v>
      </c>
      <c r="AH67" s="25" t="s">
        <v>88</v>
      </c>
    </row>
    <row r="68" spans="1:38" s="2" customFormat="1" ht="45" hidden="1" outlineLevel="1" x14ac:dyDescent="0.2">
      <c r="A68" s="6" t="e">
        <f>A67+1</f>
        <v>#REF!</v>
      </c>
      <c r="B68" s="10"/>
      <c r="C68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68" s="5"/>
      <c r="E68" s="5"/>
      <c r="F68" s="5"/>
      <c r="G68" s="5"/>
      <c r="H68" s="25"/>
      <c r="I68" s="25"/>
      <c r="J68" s="25"/>
      <c r="K68" s="25"/>
      <c r="L68" s="25"/>
      <c r="M68" s="5"/>
      <c r="N68" s="5">
        <f>'Утв. ИП 2014-2019'!U73</f>
        <v>0</v>
      </c>
      <c r="O68" s="13"/>
      <c r="P68" s="5"/>
      <c r="Q68" s="5"/>
      <c r="R68" s="5"/>
      <c r="S68" s="50">
        <f>'Утв. ИП 2014-2019'!U73</f>
        <v>0</v>
      </c>
      <c r="T68" s="5"/>
      <c r="U68" s="5"/>
      <c r="V68" s="5">
        <f>'Утв. ИП 2014-2019'!AI73</f>
        <v>0</v>
      </c>
      <c r="W68" s="5"/>
      <c r="X68" s="5"/>
      <c r="Y68" s="44"/>
      <c r="Z68" s="25"/>
      <c r="AA68" s="25"/>
      <c r="AB68" s="25"/>
      <c r="AC68" s="8"/>
      <c r="AD68" s="25"/>
      <c r="AE68" s="25"/>
      <c r="AF68" s="25"/>
      <c r="AG68" s="15"/>
      <c r="AH68" s="25"/>
    </row>
    <row r="69" spans="1:38" s="2" customFormat="1" ht="22.5" hidden="1" outlineLevel="1" x14ac:dyDescent="0.2">
      <c r="A69" s="6" t="e">
        <f>A68+1</f>
        <v>#REF!</v>
      </c>
      <c r="B69" s="10"/>
      <c r="C69" s="97" t="str">
        <f>'Утв. ИП 2014-2019'!C74</f>
        <v>Строительство ЗРУ - 35 кВ ПС Водозабор № 2</v>
      </c>
      <c r="D69" s="5"/>
      <c r="E69" s="5"/>
      <c r="F69" s="5"/>
      <c r="G69" s="5"/>
      <c r="H69" s="25"/>
      <c r="I69" s="25"/>
      <c r="J69" s="25"/>
      <c r="K69" s="25"/>
      <c r="L69" s="25"/>
      <c r="M69" s="5"/>
      <c r="N69" s="5">
        <f>'Утв. ИП 2014-2019'!U74</f>
        <v>0</v>
      </c>
      <c r="O69" s="13"/>
      <c r="P69" s="5"/>
      <c r="Q69" s="5"/>
      <c r="R69" s="5"/>
      <c r="S69" s="50">
        <f>'Утв. ИП 2014-2019'!U74</f>
        <v>0</v>
      </c>
      <c r="T69" s="5"/>
      <c r="U69" s="5"/>
      <c r="V69" s="5">
        <f>'Утв. ИП 2014-2019'!AI74</f>
        <v>0</v>
      </c>
      <c r="W69" s="5"/>
      <c r="X69" s="5"/>
      <c r="Y69" s="44"/>
      <c r="Z69" s="25"/>
      <c r="AA69" s="25"/>
      <c r="AB69" s="25"/>
      <c r="AC69" s="8"/>
      <c r="AD69" s="25"/>
      <c r="AE69" s="25"/>
      <c r="AF69" s="25"/>
      <c r="AG69" s="15"/>
      <c r="AH69" s="25"/>
    </row>
    <row r="70" spans="1:38" s="2" customFormat="1" ht="22.5" hidden="1" outlineLevel="1" x14ac:dyDescent="0.2">
      <c r="A70" s="6" t="e">
        <f>A69+1</f>
        <v>#REF!</v>
      </c>
      <c r="B70" s="10"/>
      <c r="C70" s="97" t="str">
        <f>'Утв. ИП 2014-2019'!C75</f>
        <v>Строительство КЛ 35 кВ от ПС "Бугор" до ПС Водозабор № 2</v>
      </c>
      <c r="D70" s="5"/>
      <c r="E70" s="5"/>
      <c r="F70" s="5"/>
      <c r="G70" s="5"/>
      <c r="H70" s="25"/>
      <c r="I70" s="25"/>
      <c r="J70" s="25"/>
      <c r="K70" s="25"/>
      <c r="L70" s="25"/>
      <c r="M70" s="5"/>
      <c r="N70" s="5">
        <f>'Утв. ИП 2014-2019'!U75</f>
        <v>0</v>
      </c>
      <c r="O70" s="13"/>
      <c r="P70" s="5"/>
      <c r="Q70" s="5"/>
      <c r="R70" s="5"/>
      <c r="S70" s="50">
        <f>'Утв. ИП 2014-2019'!U75</f>
        <v>0</v>
      </c>
      <c r="T70" s="5"/>
      <c r="U70" s="5"/>
      <c r="V70" s="5">
        <f>'Утв. ИП 2014-2019'!AI75</f>
        <v>0</v>
      </c>
      <c r="W70" s="5"/>
      <c r="X70" s="5"/>
      <c r="Y70" s="44"/>
      <c r="Z70" s="25"/>
      <c r="AA70" s="25"/>
      <c r="AB70" s="25"/>
      <c r="AC70" s="8"/>
      <c r="AD70" s="25"/>
      <c r="AE70" s="25"/>
      <c r="AF70" s="25"/>
      <c r="AG70" s="15"/>
      <c r="AH70" s="25"/>
    </row>
    <row r="71" spans="1:38" s="2" customFormat="1" ht="22.5" hidden="1" outlineLevel="1" x14ac:dyDescent="0.2">
      <c r="A71" s="6" t="e">
        <f>A70+1</f>
        <v>#REF!</v>
      </c>
      <c r="B71" s="10"/>
      <c r="C71" s="97" t="str">
        <f>'Утв. ИП 2014-2019'!C76</f>
        <v>Строительство КЛ 35 кВ от ПС Водозабор № 2 до ЦРП "Город"</v>
      </c>
      <c r="D71" s="5"/>
      <c r="E71" s="5"/>
      <c r="F71" s="5"/>
      <c r="G71" s="5"/>
      <c r="H71" s="25"/>
      <c r="I71" s="25"/>
      <c r="J71" s="25"/>
      <c r="K71" s="25"/>
      <c r="L71" s="25"/>
      <c r="M71" s="5"/>
      <c r="N71" s="5">
        <f>'Утв. ИП 2014-2019'!U76</f>
        <v>0</v>
      </c>
      <c r="O71" s="13"/>
      <c r="P71" s="5"/>
      <c r="Q71" s="5"/>
      <c r="R71" s="5"/>
      <c r="S71" s="50">
        <f>'Утв. ИП 2014-2019'!U76</f>
        <v>0</v>
      </c>
      <c r="T71" s="5"/>
      <c r="U71" s="5"/>
      <c r="V71" s="5">
        <f>'Утв. ИП 2014-2019'!AI76</f>
        <v>0</v>
      </c>
      <c r="W71" s="5"/>
      <c r="X71" s="5"/>
      <c r="Y71" s="44"/>
      <c r="Z71" s="25"/>
      <c r="AA71" s="25"/>
      <c r="AB71" s="25"/>
      <c r="AC71" s="8"/>
      <c r="AD71" s="25"/>
      <c r="AE71" s="25"/>
      <c r="AF71" s="25"/>
      <c r="AG71" s="15"/>
      <c r="AH71" s="25"/>
    </row>
    <row r="72" spans="1:38" s="2" customFormat="1" ht="22.5" hidden="1" outlineLevel="1" x14ac:dyDescent="0.2">
      <c r="A72" s="6" t="e">
        <f>A71+1</f>
        <v>#REF!</v>
      </c>
      <c r="B72" s="10"/>
      <c r="C72" s="97" t="str">
        <f>'Утв. ИП 2014-2019'!C77</f>
        <v>Демонтаж ВЛ 35 кВ от ПС "Бугор" до ЦРП "Город"</v>
      </c>
      <c r="D72" s="5"/>
      <c r="E72" s="5"/>
      <c r="F72" s="5"/>
      <c r="G72" s="5"/>
      <c r="H72" s="25"/>
      <c r="I72" s="25"/>
      <c r="J72" s="25"/>
      <c r="K72" s="25"/>
      <c r="L72" s="25"/>
      <c r="M72" s="5"/>
      <c r="N72" s="5">
        <f>'Утв. ИП 2014-2019'!U77</f>
        <v>0</v>
      </c>
      <c r="O72" s="13"/>
      <c r="P72" s="5"/>
      <c r="Q72" s="5"/>
      <c r="R72" s="5"/>
      <c r="S72" s="50">
        <f>'Утв. ИП 2014-2019'!U77</f>
        <v>0</v>
      </c>
      <c r="T72" s="5"/>
      <c r="U72" s="5"/>
      <c r="V72" s="5">
        <f>'Утв. ИП 2014-2019'!AI77</f>
        <v>0</v>
      </c>
      <c r="W72" s="5"/>
      <c r="X72" s="5"/>
      <c r="Y72" s="44"/>
      <c r="Z72" s="25"/>
      <c r="AA72" s="25"/>
      <c r="AB72" s="25"/>
      <c r="AC72" s="8"/>
      <c r="AD72" s="25"/>
      <c r="AE72" s="25"/>
      <c r="AF72" s="25"/>
      <c r="AG72" s="15"/>
      <c r="AH72" s="25"/>
    </row>
    <row r="73" spans="1:38" s="53" customFormat="1" ht="19.5" customHeight="1" collapsed="1" x14ac:dyDescent="0.2">
      <c r="A73" s="28" t="e">
        <f>A46+1</f>
        <v>#REF!</v>
      </c>
      <c r="B73" s="28" t="str">
        <f>'Утв. ИП 2014-2019'!B78</f>
        <v>2.1.2</v>
      </c>
      <c r="C73" s="29" t="str">
        <f>'Утв. ИП 2014-2019'!C78</f>
        <v>Сети низкого напряжения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>
        <f>'Утв. ИП 2014-2019'!U78</f>
        <v>2.0747999999999998</v>
      </c>
      <c r="O73" s="31">
        <f>SUM(O74:O77)</f>
        <v>0</v>
      </c>
      <c r="P73" s="31">
        <f>SUM(P74:P77)</f>
        <v>1.24488</v>
      </c>
      <c r="Q73" s="31">
        <f>SUM(Q74:Q77)</f>
        <v>0.82991999999999999</v>
      </c>
      <c r="R73" s="31">
        <f>SUM(R74:R77)</f>
        <v>0</v>
      </c>
      <c r="S73" s="31">
        <f>'Утв. ИП 2014-2019'!U78</f>
        <v>2.0747999999999998</v>
      </c>
      <c r="T73" s="31">
        <f>SUM(T74:T77)</f>
        <v>0.20748</v>
      </c>
      <c r="U73" s="31">
        <f>SUM(U74:U77)</f>
        <v>1.8673199999999999</v>
      </c>
      <c r="V73" s="31">
        <f>'Утв. ИП 2014-2019'!AI78</f>
        <v>2.0747999999999998</v>
      </c>
      <c r="W73" s="31">
        <f>SUM(W74:W77)</f>
        <v>0</v>
      </c>
      <c r="X73" s="31">
        <f>SUM(X74:X77)</f>
        <v>2.0747999999999998</v>
      </c>
      <c r="Y73" s="31"/>
      <c r="Z73" s="31"/>
      <c r="AA73" s="31"/>
      <c r="AB73" s="31"/>
      <c r="AC73" s="31"/>
      <c r="AD73" s="31"/>
      <c r="AE73" s="31"/>
      <c r="AF73" s="31"/>
      <c r="AG73" s="31"/>
      <c r="AH73" s="31"/>
    </row>
    <row r="74" spans="1:38" s="2" customFormat="1" ht="51" hidden="1" outlineLevel="1" x14ac:dyDescent="0.2">
      <c r="A74" s="6" t="e">
        <f>#REF!+1</f>
        <v>#REF!</v>
      </c>
      <c r="B74" s="6" t="str">
        <f>'Утв. ИП 2014-2019'!B79</f>
        <v>2.1.2.1</v>
      </c>
      <c r="C74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D74" s="5"/>
      <c r="E74" s="5"/>
      <c r="F74" s="5"/>
      <c r="G74" s="5"/>
      <c r="H74" s="25" t="s">
        <v>105</v>
      </c>
      <c r="I74" s="8">
        <v>30</v>
      </c>
      <c r="J74" s="25" t="s">
        <v>212</v>
      </c>
      <c r="K74" s="8" t="s">
        <v>102</v>
      </c>
      <c r="L74" s="25" t="s">
        <v>104</v>
      </c>
      <c r="M74" s="5"/>
      <c r="N74" s="5">
        <f>'Утв. ИП 2014-2019'!U79</f>
        <v>0</v>
      </c>
      <c r="O74" s="5"/>
      <c r="P74" s="5">
        <f>0.6*N74</f>
        <v>0</v>
      </c>
      <c r="Q74" s="5">
        <f>0.4*N74</f>
        <v>0</v>
      </c>
      <c r="R74" s="5">
        <f t="shared" ref="R74:R83" si="19">N74-O74-P74-Q74</f>
        <v>0</v>
      </c>
      <c r="S74" s="92">
        <f>'Утв. ИП 2014-2019'!U79</f>
        <v>0</v>
      </c>
      <c r="T74" s="92">
        <f t="shared" ref="T74:T83" si="20">0.1*S74</f>
        <v>0</v>
      </c>
      <c r="U74" s="92">
        <f>S74-T74</f>
        <v>0</v>
      </c>
      <c r="V74" s="5">
        <f>'Утв. ИП 2014-2019'!AI79</f>
        <v>0</v>
      </c>
      <c r="W74" s="5"/>
      <c r="X74" s="5">
        <f>V74</f>
        <v>0</v>
      </c>
      <c r="Y74" s="5"/>
      <c r="Z74" s="5"/>
      <c r="AA74" s="5"/>
      <c r="AB74" s="5"/>
      <c r="AC74" s="23">
        <f>'Утв. ИП 2014-2019'!G79</f>
        <v>2015</v>
      </c>
      <c r="AD74" s="25" t="s">
        <v>214</v>
      </c>
      <c r="AE74" s="8" t="s">
        <v>212</v>
      </c>
      <c r="AF74" s="8" t="s">
        <v>108</v>
      </c>
      <c r="AG74" s="5">
        <f>'Утв. ИП 2014-2019'!AY79</f>
        <v>0.215</v>
      </c>
      <c r="AH74" s="5"/>
    </row>
    <row r="75" spans="1:38" s="2" customFormat="1" ht="76.5" hidden="1" outlineLevel="1" x14ac:dyDescent="0.2">
      <c r="A75" s="6" t="e">
        <f>A73+1</f>
        <v>#REF!</v>
      </c>
      <c r="B75" s="6" t="str">
        <f>'Утв. ИП 2014-2019'!B80</f>
        <v>2.1.2.2</v>
      </c>
      <c r="C75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5" s="5"/>
      <c r="E75" s="5"/>
      <c r="F75" s="5"/>
      <c r="G75" s="5"/>
      <c r="H75" s="25" t="s">
        <v>101</v>
      </c>
      <c r="I75" s="8">
        <v>30</v>
      </c>
      <c r="J75" s="25" t="s">
        <v>212</v>
      </c>
      <c r="K75" s="8" t="s">
        <v>102</v>
      </c>
      <c r="L75" s="25" t="s">
        <v>103</v>
      </c>
      <c r="M75" s="5"/>
      <c r="N75" s="5">
        <f>'Утв. ИП 2014-2019'!U80</f>
        <v>0</v>
      </c>
      <c r="O75" s="5"/>
      <c r="P75" s="5">
        <f>0.6*N75</f>
        <v>0</v>
      </c>
      <c r="Q75" s="5">
        <f>0.4*N75</f>
        <v>0</v>
      </c>
      <c r="R75" s="5">
        <f t="shared" si="19"/>
        <v>0</v>
      </c>
      <c r="S75" s="92">
        <f>'Утв. ИП 2014-2019'!U80</f>
        <v>0</v>
      </c>
      <c r="T75" s="92">
        <f t="shared" si="20"/>
        <v>0</v>
      </c>
      <c r="U75" s="92">
        <f>S75-T75</f>
        <v>0</v>
      </c>
      <c r="V75" s="5">
        <f>'Утв. ИП 2014-2019'!AI80</f>
        <v>0</v>
      </c>
      <c r="W75" s="5"/>
      <c r="X75" s="5">
        <f>V75</f>
        <v>0</v>
      </c>
      <c r="Y75" s="5"/>
      <c r="Z75" s="5"/>
      <c r="AA75" s="5"/>
      <c r="AB75" s="5"/>
      <c r="AC75" s="23">
        <f>'Утв. ИП 2014-2019'!G80</f>
        <v>2016</v>
      </c>
      <c r="AD75" s="25" t="s">
        <v>214</v>
      </c>
      <c r="AE75" s="8" t="s">
        <v>212</v>
      </c>
      <c r="AF75" s="8" t="s">
        <v>108</v>
      </c>
      <c r="AG75" s="5">
        <f>'Утв. ИП 2014-2019'!AY80</f>
        <v>0.115</v>
      </c>
      <c r="AH75" s="5"/>
    </row>
    <row r="76" spans="1:38" s="2" customFormat="1" ht="51" collapsed="1" x14ac:dyDescent="0.2">
      <c r="A76" s="6" t="e">
        <f>A74+1</f>
        <v>#REF!</v>
      </c>
      <c r="B76" s="6" t="str">
        <f>'Утв. ИП 2014-2019'!B81</f>
        <v>2.1.2.3</v>
      </c>
      <c r="C76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76" s="5"/>
      <c r="E76" s="5"/>
      <c r="F76" s="5"/>
      <c r="G76" s="5"/>
      <c r="H76" s="25" t="s">
        <v>106</v>
      </c>
      <c r="I76" s="8">
        <v>30</v>
      </c>
      <c r="J76" s="25" t="s">
        <v>212</v>
      </c>
      <c r="K76" s="8" t="s">
        <v>102</v>
      </c>
      <c r="L76" s="25" t="s">
        <v>107</v>
      </c>
      <c r="M76" s="5"/>
      <c r="N76" s="5">
        <f>'Утв. ИП 2014-2019'!U81</f>
        <v>0.64349999999999996</v>
      </c>
      <c r="O76" s="5"/>
      <c r="P76" s="5">
        <f>0.6*N76</f>
        <v>0.38609999999999994</v>
      </c>
      <c r="Q76" s="5">
        <f>0.4*N76</f>
        <v>0.25740000000000002</v>
      </c>
      <c r="R76" s="5">
        <f t="shared" si="19"/>
        <v>0</v>
      </c>
      <c r="S76" s="92">
        <f>'Утв. ИП 2014-2019'!U81</f>
        <v>0.64349999999999996</v>
      </c>
      <c r="T76" s="92">
        <f t="shared" si="20"/>
        <v>6.4350000000000004E-2</v>
      </c>
      <c r="U76" s="92">
        <f>S76-T76</f>
        <v>0.57914999999999994</v>
      </c>
      <c r="V76" s="5">
        <f>'Утв. ИП 2014-2019'!AI81</f>
        <v>0.64349999999999996</v>
      </c>
      <c r="W76" s="5"/>
      <c r="X76" s="5">
        <f>V76</f>
        <v>0.64349999999999996</v>
      </c>
      <c r="Y76" s="5"/>
      <c r="Z76" s="5"/>
      <c r="AA76" s="5"/>
      <c r="AB76" s="5"/>
      <c r="AC76" s="23">
        <f>'Утв. ИП 2014-2019'!G81</f>
        <v>2017</v>
      </c>
      <c r="AD76" s="25" t="s">
        <v>214</v>
      </c>
      <c r="AE76" s="8" t="s">
        <v>212</v>
      </c>
      <c r="AF76" s="8" t="s">
        <v>108</v>
      </c>
      <c r="AG76" s="5">
        <f>'Утв. ИП 2014-2019'!AY81</f>
        <v>0.3</v>
      </c>
      <c r="AH76" s="5"/>
    </row>
    <row r="77" spans="1:38" s="2" customFormat="1" ht="51" x14ac:dyDescent="0.2">
      <c r="A77" s="6" t="e">
        <f>A76+1</f>
        <v>#REF!</v>
      </c>
      <c r="B77" s="6" t="str">
        <f>'Утв. ИП 2014-2019'!B82</f>
        <v>2.1.2.4</v>
      </c>
      <c r="C77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D77" s="5"/>
      <c r="E77" s="5"/>
      <c r="F77" s="5"/>
      <c r="G77" s="5"/>
      <c r="H77" s="25"/>
      <c r="I77" s="8"/>
      <c r="J77" s="25"/>
      <c r="K77" s="8"/>
      <c r="L77" s="25"/>
      <c r="M77" s="5"/>
      <c r="N77" s="5">
        <f>'Утв. ИП 2014-2019'!U82</f>
        <v>1.4313</v>
      </c>
      <c r="O77" s="5"/>
      <c r="P77" s="5">
        <f>0.6*N77</f>
        <v>0.85877999999999999</v>
      </c>
      <c r="Q77" s="5">
        <f>0.4*N77</f>
        <v>0.57252000000000003</v>
      </c>
      <c r="R77" s="5">
        <f t="shared" si="19"/>
        <v>0</v>
      </c>
      <c r="S77" s="92">
        <f>'Утв. ИП 2014-2019'!U82</f>
        <v>1.4313</v>
      </c>
      <c r="T77" s="92">
        <f t="shared" si="20"/>
        <v>0.14313000000000001</v>
      </c>
      <c r="U77" s="92">
        <f>S77-T77</f>
        <v>1.28817</v>
      </c>
      <c r="V77" s="5">
        <f>'Утв. ИП 2014-2019'!AI82</f>
        <v>1.4313</v>
      </c>
      <c r="W77" s="5"/>
      <c r="X77" s="5">
        <f>V77</f>
        <v>1.4313</v>
      </c>
      <c r="Y77" s="5"/>
      <c r="Z77" s="5"/>
      <c r="AA77" s="5"/>
      <c r="AB77" s="5"/>
      <c r="AC77" s="23">
        <f>'Утв. ИП 2014-2019'!G82</f>
        <v>2017</v>
      </c>
      <c r="AD77" s="25"/>
      <c r="AE77" s="8"/>
      <c r="AF77" s="8"/>
      <c r="AG77" s="5">
        <f>'Утв. ИП 2014-2019'!AY82</f>
        <v>0.4</v>
      </c>
      <c r="AH77" s="5"/>
    </row>
    <row r="78" spans="1:38" s="32" customFormat="1" ht="25.5" x14ac:dyDescent="0.2">
      <c r="A78" s="28" t="e">
        <f>A77+1</f>
        <v>#REF!</v>
      </c>
      <c r="B78" s="28" t="str">
        <f>'Утв. ИП 2014-2019'!B83</f>
        <v>2.1.3</v>
      </c>
      <c r="C78" s="29" t="str">
        <f>'Утв. ИП 2014-2019'!C83</f>
        <v>Объекты электросетевого хозяйства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>
        <f>'Утв. ИП 2014-2019'!U83</f>
        <v>15.42</v>
      </c>
      <c r="O78" s="31">
        <f>SUM(O79:O83)</f>
        <v>0</v>
      </c>
      <c r="P78" s="31">
        <f>SUM(P79:P83)</f>
        <v>7.7459999999999996</v>
      </c>
      <c r="Q78" s="31">
        <f>SUM(Q79:Q83)</f>
        <v>5.1640000000000006</v>
      </c>
      <c r="R78" s="31">
        <f>SUM(R79:R83)</f>
        <v>2.5099999999999998</v>
      </c>
      <c r="S78" s="31">
        <f>'Утв. ИП 2014-2019'!U83</f>
        <v>15.42</v>
      </c>
      <c r="T78" s="31">
        <f>SUM(T79:T83)</f>
        <v>1.5420000000000003</v>
      </c>
      <c r="U78" s="31">
        <f>SUM(U79:U83)</f>
        <v>13.878</v>
      </c>
      <c r="V78" s="31">
        <f>'Утв. ИП 2014-2019'!AI83</f>
        <v>16.649999999999999</v>
      </c>
      <c r="W78" s="31">
        <f>SUM(W79:W83)</f>
        <v>0</v>
      </c>
      <c r="X78" s="31">
        <f>SUM(X79:X83)</f>
        <v>16.649999999999999</v>
      </c>
      <c r="Y78" s="31"/>
      <c r="Z78" s="31"/>
      <c r="AA78" s="31"/>
      <c r="AB78" s="31"/>
      <c r="AC78" s="31"/>
      <c r="AD78" s="31"/>
      <c r="AE78" s="31"/>
      <c r="AF78" s="31"/>
      <c r="AG78" s="31"/>
      <c r="AH78" s="31"/>
    </row>
    <row r="79" spans="1:38" s="2" customFormat="1" ht="63.75" hidden="1" outlineLevel="1" x14ac:dyDescent="0.2">
      <c r="A79" s="6" t="e">
        <f>A80+1</f>
        <v>#REF!</v>
      </c>
      <c r="B79" s="6" t="str">
        <f>'Утв. ИП 2014-2019'!B84</f>
        <v>2.1.3.1</v>
      </c>
      <c r="C79" s="79" t="str">
        <f>'Утв. ИП 2014-2019'!C84</f>
        <v xml:space="preserve">Строительство нового РП-4 по ул. Папина </v>
      </c>
      <c r="D79" s="25" t="s">
        <v>203</v>
      </c>
      <c r="E79" s="8">
        <v>25</v>
      </c>
      <c r="F79" s="25" t="s">
        <v>160</v>
      </c>
      <c r="G79" s="8" t="s">
        <v>204</v>
      </c>
      <c r="H79" s="5"/>
      <c r="I79" s="5"/>
      <c r="J79" s="5"/>
      <c r="K79" s="5"/>
      <c r="L79" s="5"/>
      <c r="M79" s="5"/>
      <c r="N79" s="5">
        <f>'Утв. ИП 2014-2019'!U84</f>
        <v>0</v>
      </c>
      <c r="O79" s="5"/>
      <c r="P79" s="5"/>
      <c r="Q79" s="5"/>
      <c r="R79" s="5">
        <f t="shared" si="19"/>
        <v>0</v>
      </c>
      <c r="S79" s="92">
        <f>'Утв. ИП 2014-2019'!U84</f>
        <v>0</v>
      </c>
      <c r="T79" s="92">
        <f t="shared" si="20"/>
        <v>0</v>
      </c>
      <c r="U79" s="92">
        <f>S79-T79</f>
        <v>0</v>
      </c>
      <c r="V79" s="5">
        <f>'Утв. ИП 2014-2019'!AI84</f>
        <v>0</v>
      </c>
      <c r="W79" s="5"/>
      <c r="X79" s="5">
        <f>V79</f>
        <v>0</v>
      </c>
      <c r="Y79" s="23">
        <f>'Утв. ИП 2014-2019'!G84</f>
        <v>2014</v>
      </c>
      <c r="Z79" s="8" t="s">
        <v>205</v>
      </c>
      <c r="AA79" s="25">
        <v>2</v>
      </c>
      <c r="AB79" s="8" t="s">
        <v>1276</v>
      </c>
      <c r="AC79" s="5"/>
      <c r="AD79" s="5"/>
      <c r="AE79" s="5"/>
      <c r="AF79" s="5"/>
      <c r="AG79" s="5"/>
      <c r="AH79" s="5"/>
    </row>
    <row r="80" spans="1:38" s="2" customFormat="1" ht="38.25" hidden="1" outlineLevel="1" x14ac:dyDescent="0.2">
      <c r="A80" s="6" t="e">
        <f>A82+1</f>
        <v>#REF!</v>
      </c>
      <c r="B80" s="6" t="str">
        <f>'Утв. ИП 2014-2019'!B85</f>
        <v>2.1.3.2</v>
      </c>
      <c r="C80" s="79" t="str">
        <f>'Утв. ИП 2014-2019'!C85</f>
        <v>Строительство КТП взамен существующей МТП-802 в пос.Северный Рудник</v>
      </c>
      <c r="D80" s="25" t="s">
        <v>100</v>
      </c>
      <c r="E80" s="8">
        <v>25</v>
      </c>
      <c r="F80" s="25" t="s">
        <v>129</v>
      </c>
      <c r="G80" s="8" t="s">
        <v>146</v>
      </c>
      <c r="H80" s="5"/>
      <c r="I80" s="5"/>
      <c r="J80" s="5"/>
      <c r="K80" s="5"/>
      <c r="L80" s="5"/>
      <c r="M80" s="5"/>
      <c r="N80" s="5">
        <f>'Утв. ИП 2014-2019'!U85</f>
        <v>0</v>
      </c>
      <c r="O80" s="5"/>
      <c r="P80" s="5"/>
      <c r="Q80" s="5"/>
      <c r="R80" s="5">
        <f t="shared" si="19"/>
        <v>0</v>
      </c>
      <c r="S80" s="92">
        <f>'Утв. ИП 2014-2019'!U85</f>
        <v>0</v>
      </c>
      <c r="T80" s="92">
        <f t="shared" si="20"/>
        <v>0</v>
      </c>
      <c r="U80" s="92">
        <f>S80-T80</f>
        <v>0</v>
      </c>
      <c r="V80" s="5">
        <f>'Утв. ИП 2014-2019'!AI85</f>
        <v>0</v>
      </c>
      <c r="W80" s="5"/>
      <c r="X80" s="5">
        <f>V80</f>
        <v>0</v>
      </c>
      <c r="Y80" s="23">
        <f>'Утв. ИП 2014-2019'!G85</f>
        <v>2015</v>
      </c>
      <c r="Z80" s="8">
        <v>25</v>
      </c>
      <c r="AA80" s="25" t="s">
        <v>129</v>
      </c>
      <c r="AB80" s="8" t="s">
        <v>146</v>
      </c>
      <c r="AC80" s="5"/>
      <c r="AD80" s="5"/>
      <c r="AE80" s="5"/>
      <c r="AF80" s="5"/>
      <c r="AG80" s="5"/>
      <c r="AH80" s="5"/>
    </row>
    <row r="81" spans="1:38" s="2" customFormat="1" ht="25.5" collapsed="1" x14ac:dyDescent="0.2">
      <c r="A81" s="6"/>
      <c r="B81" s="6" t="str">
        <f>'Утв. ИП 2014-2019'!B86</f>
        <v>2.1.3.3</v>
      </c>
      <c r="C81" s="79" t="str">
        <f>'Утв. ИП 2014-2019'!C86</f>
        <v>Строительство новой КТП взамен существующей КТП-426</v>
      </c>
      <c r="D81" s="25" t="s">
        <v>1452</v>
      </c>
      <c r="E81" s="8">
        <v>25</v>
      </c>
      <c r="F81" s="25" t="s">
        <v>129</v>
      </c>
      <c r="G81" s="8" t="s">
        <v>146</v>
      </c>
      <c r="H81" s="5"/>
      <c r="I81" s="5"/>
      <c r="J81" s="5"/>
      <c r="K81" s="5"/>
      <c r="L81" s="5"/>
      <c r="M81" s="5"/>
      <c r="N81" s="5">
        <f>'Утв. ИП 2014-2019'!U86</f>
        <v>2.5099999999999998</v>
      </c>
      <c r="O81" s="5"/>
      <c r="P81" s="5"/>
      <c r="Q81" s="5"/>
      <c r="R81" s="5">
        <f t="shared" si="19"/>
        <v>2.5099999999999998</v>
      </c>
      <c r="S81" s="92">
        <f>'Утв. ИП 2014-2019'!U86</f>
        <v>2.5099999999999998</v>
      </c>
      <c r="T81" s="92">
        <f t="shared" si="20"/>
        <v>0.251</v>
      </c>
      <c r="U81" s="92">
        <f>S81-T81</f>
        <v>2.2589999999999999</v>
      </c>
      <c r="V81" s="5">
        <f>'Утв. ИП 2014-2019'!AI86</f>
        <v>3.11</v>
      </c>
      <c r="W81" s="5"/>
      <c r="X81" s="5">
        <f>V81</f>
        <v>3.11</v>
      </c>
      <c r="Y81" s="23">
        <f>'Утв. ИП 2014-2019'!G86</f>
        <v>2017</v>
      </c>
      <c r="Z81" s="8">
        <v>25</v>
      </c>
      <c r="AA81" s="25" t="s">
        <v>129</v>
      </c>
      <c r="AB81" s="8" t="s">
        <v>146</v>
      </c>
      <c r="AC81" s="5"/>
      <c r="AD81" s="5"/>
      <c r="AE81" s="5"/>
      <c r="AF81" s="5"/>
      <c r="AG81" s="5"/>
      <c r="AH81" s="5"/>
    </row>
    <row r="82" spans="1:38" s="2" customFormat="1" ht="51" x14ac:dyDescent="0.2">
      <c r="A82" s="6" t="e">
        <f>A78+1</f>
        <v>#REF!</v>
      </c>
      <c r="B82" s="6" t="str">
        <f>'Утв. ИП 2014-2019'!B87</f>
        <v>2.1.3.4</v>
      </c>
      <c r="C82" s="265" t="str">
        <f>'Утв. ИП 2014-2019'!C87</f>
        <v>Строительство ТП-612 по ул. Исполкомовская (с демонтажем старого здания)</v>
      </c>
      <c r="D82" s="25" t="s">
        <v>109</v>
      </c>
      <c r="E82" s="8">
        <v>25</v>
      </c>
      <c r="F82" s="25" t="s">
        <v>160</v>
      </c>
      <c r="G82" s="8" t="s">
        <v>206</v>
      </c>
      <c r="H82" s="5"/>
      <c r="I82" s="5"/>
      <c r="J82" s="5"/>
      <c r="K82" s="5"/>
      <c r="L82" s="5"/>
      <c r="M82" s="5"/>
      <c r="N82" s="5">
        <f>'Утв. ИП 2014-2019'!U87</f>
        <v>12.91</v>
      </c>
      <c r="O82" s="5"/>
      <c r="P82" s="5">
        <f>N82*0.6</f>
        <v>7.7459999999999996</v>
      </c>
      <c r="Q82" s="5">
        <f>N82*0.4</f>
        <v>5.1640000000000006</v>
      </c>
      <c r="R82" s="5">
        <f t="shared" si="19"/>
        <v>0</v>
      </c>
      <c r="S82" s="92">
        <f>'Утв. ИП 2014-2019'!U87</f>
        <v>12.91</v>
      </c>
      <c r="T82" s="92">
        <f t="shared" si="20"/>
        <v>1.2910000000000001</v>
      </c>
      <c r="U82" s="92">
        <f>S82-T82</f>
        <v>11.619</v>
      </c>
      <c r="V82" s="5">
        <f>'Утв. ИП 2014-2019'!AI87</f>
        <v>13.54</v>
      </c>
      <c r="W82" s="5"/>
      <c r="X82" s="5">
        <f>V82</f>
        <v>13.54</v>
      </c>
      <c r="Y82" s="23">
        <f>'Утв. ИП 2014-2019'!G87</f>
        <v>2017</v>
      </c>
      <c r="Z82" s="25" t="s">
        <v>205</v>
      </c>
      <c r="AA82" s="8">
        <v>2</v>
      </c>
      <c r="AB82" s="8" t="s">
        <v>206</v>
      </c>
      <c r="AC82" s="5"/>
      <c r="AD82" s="5"/>
      <c r="AE82" s="5"/>
      <c r="AF82" s="5"/>
      <c r="AG82" s="5"/>
      <c r="AH82" s="5"/>
    </row>
    <row r="83" spans="1:38" s="2" customFormat="1" ht="25.5" hidden="1" outlineLevel="1" x14ac:dyDescent="0.2">
      <c r="A83" s="6" t="e">
        <f>A79+1</f>
        <v>#REF!</v>
      </c>
      <c r="B83" s="6" t="str">
        <f>'Утв. ИП 2014-2019'!B88</f>
        <v>2.1.3.5</v>
      </c>
      <c r="C83" s="266" t="str">
        <f>'Утв. ИП 2014-2019'!C88</f>
        <v>Строительство новой БКТП взамен КТП-725</v>
      </c>
      <c r="D83" s="25" t="e">
        <f>#REF!</f>
        <v>#REF!</v>
      </c>
      <c r="E83" s="8" t="e">
        <f>#REF!</f>
        <v>#REF!</v>
      </c>
      <c r="F83" s="25" t="e">
        <f>#REF!</f>
        <v>#REF!</v>
      </c>
      <c r="G83" s="8" t="e">
        <f>#REF!</f>
        <v>#REF!</v>
      </c>
      <c r="H83" s="5"/>
      <c r="I83" s="5"/>
      <c r="J83" s="5"/>
      <c r="K83" s="5"/>
      <c r="L83" s="5"/>
      <c r="M83" s="5"/>
      <c r="N83" s="5">
        <f>'Утв. ИП 2014-2019'!U88</f>
        <v>0</v>
      </c>
      <c r="O83" s="5"/>
      <c r="P83" s="5"/>
      <c r="Q83" s="5"/>
      <c r="R83" s="5">
        <f t="shared" si="19"/>
        <v>0</v>
      </c>
      <c r="S83" s="92">
        <f>'Утв. ИП 2014-2019'!U88</f>
        <v>0</v>
      </c>
      <c r="T83" s="92">
        <f t="shared" si="20"/>
        <v>0</v>
      </c>
      <c r="U83" s="92">
        <f>S83-T83</f>
        <v>0</v>
      </c>
      <c r="V83" s="5">
        <f>'Утв. ИП 2014-2019'!AI88</f>
        <v>0</v>
      </c>
      <c r="W83" s="5"/>
      <c r="X83" s="5">
        <f>V83</f>
        <v>0</v>
      </c>
      <c r="Y83" s="23">
        <f>'Утв. ИП 2014-2019'!G88</f>
        <v>2019</v>
      </c>
      <c r="Z83" s="8">
        <v>25</v>
      </c>
      <c r="AA83" s="25" t="s">
        <v>129</v>
      </c>
      <c r="AB83" s="8" t="s">
        <v>146</v>
      </c>
      <c r="AC83" s="5"/>
      <c r="AD83" s="5"/>
      <c r="AE83" s="5"/>
      <c r="AF83" s="5"/>
      <c r="AG83" s="5"/>
      <c r="AH83" s="5"/>
    </row>
    <row r="84" spans="1:38" s="32" customFormat="1" ht="28.5" customHeight="1" collapsed="1" x14ac:dyDescent="0.2">
      <c r="A84" s="28" t="e">
        <f>A83+1</f>
        <v>#REF!</v>
      </c>
      <c r="B84" s="28" t="str">
        <f>'Утв. ИП 2014-2019'!B89</f>
        <v>2.1.4</v>
      </c>
      <c r="C84" s="29" t="str">
        <f>'Утв. ИП 2014-2019'!C89</f>
        <v>Расширение существующей системы учета электроэнергии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>
        <f>'Утв. ИП 2014-2019'!U89</f>
        <v>0</v>
      </c>
      <c r="O84" s="31">
        <f>0</f>
        <v>0</v>
      </c>
      <c r="P84" s="31">
        <f>0</f>
        <v>0</v>
      </c>
      <c r="Q84" s="31">
        <f>0</f>
        <v>0</v>
      </c>
      <c r="R84" s="31">
        <f>0</f>
        <v>0</v>
      </c>
      <c r="S84" s="31">
        <f>'Утв. ИП 2014-2019'!U89</f>
        <v>0</v>
      </c>
      <c r="T84" s="31">
        <f>0</f>
        <v>0</v>
      </c>
      <c r="U84" s="31">
        <f>0</f>
        <v>0</v>
      </c>
      <c r="V84" s="31">
        <f>'Утв. ИП 2014-2019'!AI89</f>
        <v>0</v>
      </c>
      <c r="W84" s="31">
        <f>0</f>
        <v>0</v>
      </c>
      <c r="X84" s="31">
        <f>0</f>
        <v>0</v>
      </c>
      <c r="Y84" s="31"/>
      <c r="Z84" s="31"/>
      <c r="AA84" s="31"/>
      <c r="AB84" s="31"/>
      <c r="AC84" s="31"/>
      <c r="AD84" s="31"/>
      <c r="AE84" s="31"/>
      <c r="AF84" s="31"/>
      <c r="AG84" s="31"/>
      <c r="AH84" s="31"/>
    </row>
    <row r="85" spans="1:38" s="32" customFormat="1" ht="38.25" customHeight="1" x14ac:dyDescent="0.2">
      <c r="A85" s="28" t="e">
        <f>A57+1</f>
        <v>#REF!</v>
      </c>
      <c r="B85" s="28" t="str">
        <f>'Утв. ИП 2014-2019'!B90</f>
        <v>2.2</v>
      </c>
      <c r="C85" s="29" t="str">
        <f>'Утв. ИП 2014-2019'!C90</f>
        <v>Приведение объектов компании к требуемой категории надежности электроснабжения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>
        <f>'Утв. ИП 2014-2019'!U90</f>
        <v>0</v>
      </c>
      <c r="O85" s="31">
        <f>0</f>
        <v>0</v>
      </c>
      <c r="P85" s="31">
        <f>0</f>
        <v>0</v>
      </c>
      <c r="Q85" s="31">
        <f>0</f>
        <v>0</v>
      </c>
      <c r="R85" s="31">
        <f>0</f>
        <v>0</v>
      </c>
      <c r="S85" s="31">
        <f>'Утв. ИП 2014-2019'!U90</f>
        <v>0</v>
      </c>
      <c r="T85" s="31">
        <f>0</f>
        <v>0</v>
      </c>
      <c r="U85" s="31">
        <f>0</f>
        <v>0</v>
      </c>
      <c r="V85" s="31">
        <f>'Утв. ИП 2014-2019'!AI90</f>
        <v>0</v>
      </c>
      <c r="W85" s="31">
        <f>0</f>
        <v>0</v>
      </c>
      <c r="X85" s="31">
        <f>0</f>
        <v>0</v>
      </c>
      <c r="Y85" s="31"/>
      <c r="Z85" s="31"/>
      <c r="AA85" s="31"/>
      <c r="AB85" s="31"/>
      <c r="AC85" s="31"/>
      <c r="AD85" s="31"/>
      <c r="AE85" s="31"/>
      <c r="AF85" s="31"/>
      <c r="AG85" s="31"/>
      <c r="AH85" s="31"/>
    </row>
    <row r="86" spans="1:38" s="32" customFormat="1" ht="27.75" customHeight="1" x14ac:dyDescent="0.2">
      <c r="A86" s="28" t="e">
        <f>#REF!+1</f>
        <v>#REF!</v>
      </c>
      <c r="B86" s="28" t="str">
        <f>'Утв. ИП 2014-2019'!B91</f>
        <v>2.3</v>
      </c>
      <c r="C86" s="29" t="str">
        <f>'Утв. ИП 2014-2019'!C91</f>
        <v>Прочее новое строительство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>
        <f>'Утв. ИП 2014-2019'!U91</f>
        <v>0</v>
      </c>
      <c r="O86" s="31">
        <f>O87</f>
        <v>0</v>
      </c>
      <c r="P86" s="31">
        <f>P87</f>
        <v>0</v>
      </c>
      <c r="Q86" s="31">
        <f>Q87</f>
        <v>0</v>
      </c>
      <c r="R86" s="31">
        <f>R87</f>
        <v>0</v>
      </c>
      <c r="S86" s="31">
        <f>'Утв. ИП 2014-2019'!U91</f>
        <v>0</v>
      </c>
      <c r="T86" s="31">
        <f>T87</f>
        <v>0</v>
      </c>
      <c r="U86" s="31">
        <f>U87</f>
        <v>0</v>
      </c>
      <c r="V86" s="31">
        <f>'Утв. ИП 2014-2019'!AI91</f>
        <v>0</v>
      </c>
      <c r="W86" s="31">
        <f>W87</f>
        <v>0</v>
      </c>
      <c r="X86" s="31">
        <f>X87</f>
        <v>0</v>
      </c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spans="1:38" s="2" customFormat="1" ht="51" hidden="1" outlineLevel="1" x14ac:dyDescent="0.2">
      <c r="A87" s="6" t="e">
        <f>A86+1</f>
        <v>#REF!</v>
      </c>
      <c r="B87" s="6" t="str">
        <f>'Утв. ИП 2014-2019'!B92</f>
        <v>2.3.1</v>
      </c>
      <c r="C87" s="79" t="str">
        <f>'Утв. ИП 2014-2019'!C92</f>
        <v>Строительство РП "Новая Гагарина" и кабельной сети 6 кВ от ПС "Трубная 2"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f>'Утв. ИП 2014-2019'!U92</f>
        <v>0</v>
      </c>
      <c r="O87" s="5"/>
      <c r="P87" s="5">
        <f>0.4*N87</f>
        <v>0</v>
      </c>
      <c r="Q87" s="5">
        <f>0.6*N87</f>
        <v>0</v>
      </c>
      <c r="R87" s="5">
        <f>N87-O87-P87-Q87</f>
        <v>0</v>
      </c>
      <c r="S87" s="92">
        <f>'Утв. ИП 2014-2019'!U92</f>
        <v>0</v>
      </c>
      <c r="T87" s="92">
        <f>0.1*S87</f>
        <v>0</v>
      </c>
      <c r="U87" s="92">
        <f>S87-T87</f>
        <v>0</v>
      </c>
      <c r="V87" s="5">
        <f>'Утв. ИП 2014-2019'!AI92</f>
        <v>0</v>
      </c>
      <c r="W87" s="5"/>
      <c r="X87" s="5">
        <f>V87</f>
        <v>0</v>
      </c>
      <c r="Y87" s="23">
        <f>'Утв. ИП 2014-2019'!G92</f>
        <v>2016</v>
      </c>
      <c r="Z87" s="25" t="s">
        <v>205</v>
      </c>
      <c r="AA87" s="8" t="s">
        <v>212</v>
      </c>
      <c r="AB87" s="25" t="s">
        <v>449</v>
      </c>
      <c r="AC87" s="23">
        <f>'Утв. ИП 2014-2019'!G92</f>
        <v>2016</v>
      </c>
      <c r="AD87" s="25" t="s">
        <v>214</v>
      </c>
      <c r="AE87" s="8" t="s">
        <v>212</v>
      </c>
      <c r="AF87" s="25" t="s">
        <v>82</v>
      </c>
      <c r="AG87" s="5">
        <f>'Утв. ИП 2014-2019'!AY92</f>
        <v>7.6</v>
      </c>
      <c r="AH87" s="5"/>
    </row>
    <row r="88" spans="1:38" s="14" customFormat="1" ht="22.5" hidden="1" outlineLevel="1" x14ac:dyDescent="0.2">
      <c r="A88" s="6" t="e">
        <f>A87+1</f>
        <v>#REF!</v>
      </c>
      <c r="B88" s="10"/>
      <c r="C88" s="97" t="str">
        <f>'Утв. ИП 2014-2019'!C93</f>
        <v>Строительство РП "Новая Гагарина" 6 кВ по ул. Гагарина</v>
      </c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>
        <f>'Утв. ИП 2014-2019'!U93</f>
        <v>0</v>
      </c>
      <c r="O88" s="50"/>
      <c r="P88" s="5"/>
      <c r="Q88" s="5"/>
      <c r="R88" s="50"/>
      <c r="S88" s="5">
        <f>'Утв. ИП 2014-2019'!U93</f>
        <v>0</v>
      </c>
      <c r="T88" s="5"/>
      <c r="U88" s="5"/>
      <c r="V88" s="5">
        <f>'Утв. ИП 2014-2019'!AI93</f>
        <v>0</v>
      </c>
      <c r="W88" s="50"/>
      <c r="X88" s="50"/>
      <c r="Y88" s="8"/>
      <c r="Z88" s="50"/>
      <c r="AA88" s="50"/>
      <c r="AB88" s="50"/>
      <c r="AC88" s="8"/>
      <c r="AD88" s="50"/>
      <c r="AE88" s="50"/>
      <c r="AF88" s="50"/>
      <c r="AG88" s="50"/>
      <c r="AH88" s="50"/>
    </row>
    <row r="89" spans="1:38" s="14" customFormat="1" ht="33.75" hidden="1" outlineLevel="1" x14ac:dyDescent="0.2">
      <c r="A89" s="6" t="e">
        <f>A88+1</f>
        <v>#REF!</v>
      </c>
      <c r="B89" s="10"/>
      <c r="C89" s="97" t="str">
        <f>'Утв. ИП 2014-2019'!C94</f>
        <v>Строительство КЛ-6 кВ сети электроснабжения от ПС "Трубная-2" до РП по ул. Гагарина</v>
      </c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>
        <f>'Утв. ИП 2014-2019'!U94</f>
        <v>0</v>
      </c>
      <c r="O89" s="50"/>
      <c r="P89" s="5"/>
      <c r="Q89" s="5"/>
      <c r="R89" s="50"/>
      <c r="S89" s="5">
        <f>'Утв. ИП 2014-2019'!U94</f>
        <v>0</v>
      </c>
      <c r="T89" s="5"/>
      <c r="U89" s="5"/>
      <c r="V89" s="5">
        <f>'Утв. ИП 2014-2019'!AI94</f>
        <v>0</v>
      </c>
      <c r="W89" s="50"/>
      <c r="X89" s="50"/>
      <c r="Y89" s="8"/>
      <c r="Z89" s="50"/>
      <c r="AA89" s="50"/>
      <c r="AB89" s="50"/>
      <c r="AC89" s="8"/>
      <c r="AD89" s="50"/>
      <c r="AE89" s="50"/>
      <c r="AF89" s="50"/>
      <c r="AG89" s="50"/>
      <c r="AH89" s="50"/>
    </row>
    <row r="90" spans="1:38" s="32" customFormat="1" ht="25.5" collapsed="1" x14ac:dyDescent="0.2">
      <c r="A90" s="28" t="e">
        <f>#REF!+1</f>
        <v>#REF!</v>
      </c>
      <c r="B90" s="28" t="str">
        <f>'Утв. ИП 2014-2019'!B95</f>
        <v>2.4</v>
      </c>
      <c r="C90" s="29" t="str">
        <f>'Утв. ИП 2014-2019'!C95</f>
        <v>Оборудование, не входящее в сметы строек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>
        <f>'Утв. ИП 2014-2019'!U95</f>
        <v>0</v>
      </c>
      <c r="O90" s="31">
        <f>SUM(O91:O98)</f>
        <v>0</v>
      </c>
      <c r="P90" s="31">
        <f>SUM(P91:P98)</f>
        <v>0</v>
      </c>
      <c r="Q90" s="31">
        <f>SUM(Q91:Q98)</f>
        <v>0</v>
      </c>
      <c r="R90" s="31">
        <f>SUM(R91:R98)</f>
        <v>0</v>
      </c>
      <c r="S90" s="31">
        <f>'Утв. ИП 2014-2019'!U95</f>
        <v>0</v>
      </c>
      <c r="T90" s="31">
        <f>SUM(T91:T98)</f>
        <v>0</v>
      </c>
      <c r="U90" s="31">
        <f>SUM(U91:U98)</f>
        <v>0</v>
      </c>
      <c r="V90" s="31">
        <f>'Утв. ИП 2014-2019'!AI95</f>
        <v>0</v>
      </c>
      <c r="W90" s="31">
        <f>SUM(W91:W98)</f>
        <v>0</v>
      </c>
      <c r="X90" s="31">
        <f>SUM(X91:X98)</f>
        <v>0</v>
      </c>
      <c r="Y90" s="31"/>
      <c r="Z90" s="31"/>
      <c r="AA90" s="31"/>
      <c r="AB90" s="31"/>
      <c r="AC90" s="31"/>
      <c r="AD90" s="31"/>
      <c r="AE90" s="31"/>
      <c r="AF90" s="31"/>
      <c r="AG90" s="31"/>
      <c r="AH90" s="31"/>
    </row>
    <row r="91" spans="1:38" s="2" customFormat="1" ht="51" hidden="1" outlineLevel="1" x14ac:dyDescent="0.2">
      <c r="A91" s="6"/>
      <c r="B91" s="6" t="str">
        <f>'Утв. ИП 2014-2019'!B96</f>
        <v>2.4.1</v>
      </c>
      <c r="C91" s="79" t="str">
        <f>'Утв. ИП 2014-2019'!C96</f>
        <v>Модернизация прибора для измерения показания качества эл. энергии - "Ресурс-UF2M-3T64-3000", инв. № 433101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>
        <f>'Утв. ИП 2014-2019'!U96</f>
        <v>0</v>
      </c>
      <c r="O91" s="5"/>
      <c r="P91" s="5"/>
      <c r="Q91" s="5">
        <f t="shared" ref="Q91:Q98" si="21">N91</f>
        <v>0</v>
      </c>
      <c r="R91" s="5">
        <f t="shared" ref="R91:R98" si="22">N91-O91-P91-Q91</f>
        <v>0</v>
      </c>
      <c r="S91" s="92">
        <f>'Утв. ИП 2014-2019'!U96</f>
        <v>0</v>
      </c>
      <c r="T91" s="92"/>
      <c r="U91" s="92">
        <f t="shared" ref="U91:U98" si="23">S91-T91</f>
        <v>0</v>
      </c>
      <c r="V91" s="5">
        <f>'Утв. ИП 2014-2019'!AI96</f>
        <v>0</v>
      </c>
      <c r="W91" s="5"/>
      <c r="X91" s="5">
        <f t="shared" ref="X91:X98" si="24">V91</f>
        <v>0</v>
      </c>
      <c r="Y91" s="5"/>
      <c r="Z91" s="5"/>
      <c r="AA91" s="5"/>
      <c r="AB91" s="5"/>
      <c r="AC91" s="5"/>
      <c r="AD91" s="5"/>
      <c r="AE91" s="5"/>
      <c r="AF91" s="5"/>
      <c r="AG91" s="5"/>
      <c r="AH91" s="5">
        <f>'Утв. ИП 2014-2019'!N96</f>
        <v>0</v>
      </c>
      <c r="AI91" s="47"/>
      <c r="AJ91" s="47"/>
      <c r="AK91" s="47"/>
      <c r="AL91" s="47"/>
    </row>
    <row r="92" spans="1:38" s="2" customFormat="1" ht="51" hidden="1" outlineLevel="1" x14ac:dyDescent="0.2">
      <c r="A92" s="6"/>
      <c r="B92" s="6" t="str">
        <f>'Утв. ИП 2014-2019'!B97</f>
        <v>2.4.2</v>
      </c>
      <c r="C92" s="79" t="str">
        <f>'Утв. ИП 2014-2019'!C97</f>
        <v>Модернизация прибора для измерения показания качества эл. энергии - "Ресурс-UF2M-3T64-3000", инв. № 433103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>
        <f>'Утв. ИП 2014-2019'!U97</f>
        <v>0</v>
      </c>
      <c r="O92" s="5"/>
      <c r="P92" s="5"/>
      <c r="Q92" s="5">
        <f t="shared" si="21"/>
        <v>0</v>
      </c>
      <c r="R92" s="5">
        <f t="shared" si="22"/>
        <v>0</v>
      </c>
      <c r="S92" s="92">
        <f>'Утв. ИП 2014-2019'!U97</f>
        <v>0</v>
      </c>
      <c r="T92" s="92"/>
      <c r="U92" s="92">
        <f t="shared" si="23"/>
        <v>0</v>
      </c>
      <c r="V92" s="5">
        <f>'Утв. ИП 2014-2019'!AI97</f>
        <v>0</v>
      </c>
      <c r="W92" s="5"/>
      <c r="X92" s="5">
        <f t="shared" si="24"/>
        <v>0</v>
      </c>
      <c r="Y92" s="5"/>
      <c r="Z92" s="5"/>
      <c r="AA92" s="5"/>
      <c r="AB92" s="5"/>
      <c r="AC92" s="5"/>
      <c r="AD92" s="5"/>
      <c r="AE92" s="5"/>
      <c r="AF92" s="5"/>
      <c r="AG92" s="5"/>
      <c r="AH92" s="5">
        <f>'Утв. ИП 2014-2019'!N97</f>
        <v>0</v>
      </c>
      <c r="AI92" s="47"/>
      <c r="AJ92" s="47"/>
      <c r="AK92" s="47"/>
      <c r="AL92" s="47"/>
    </row>
    <row r="93" spans="1:38" s="2" customFormat="1" hidden="1" outlineLevel="1" x14ac:dyDescent="0.2">
      <c r="A93" s="6"/>
      <c r="B93" s="6" t="str">
        <f>'Утв. ИП 2014-2019'!B98</f>
        <v>2.4.3</v>
      </c>
      <c r="C93" s="79" t="str">
        <f>'Утв. ИП 2014-2019'!C98</f>
        <v>Поисковый комплект КП-100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>
        <f>'Утв. ИП 2014-2019'!U98</f>
        <v>0</v>
      </c>
      <c r="O93" s="5"/>
      <c r="P93" s="5"/>
      <c r="Q93" s="5">
        <f t="shared" si="21"/>
        <v>0</v>
      </c>
      <c r="R93" s="5">
        <f t="shared" si="22"/>
        <v>0</v>
      </c>
      <c r="S93" s="92">
        <f>'Утв. ИП 2014-2019'!U98</f>
        <v>0</v>
      </c>
      <c r="T93" s="92"/>
      <c r="U93" s="92">
        <f t="shared" si="23"/>
        <v>0</v>
      </c>
      <c r="V93" s="5">
        <f>'Утв. ИП 2014-2019'!AI98</f>
        <v>0</v>
      </c>
      <c r="W93" s="5"/>
      <c r="X93" s="5">
        <f t="shared" si="24"/>
        <v>0</v>
      </c>
      <c r="Y93" s="5"/>
      <c r="Z93" s="5"/>
      <c r="AA93" s="5"/>
      <c r="AB93" s="5"/>
      <c r="AC93" s="5"/>
      <c r="AD93" s="5"/>
      <c r="AE93" s="5"/>
      <c r="AF93" s="5"/>
      <c r="AG93" s="5"/>
      <c r="AH93" s="5">
        <f>'Утв. ИП 2014-2019'!N98</f>
        <v>0</v>
      </c>
      <c r="AI93" s="47"/>
      <c r="AJ93" s="47"/>
      <c r="AK93" s="47"/>
      <c r="AL93" s="47"/>
    </row>
    <row r="94" spans="1:38" s="2" customFormat="1" hidden="1" outlineLevel="1" x14ac:dyDescent="0.2">
      <c r="A94" s="6"/>
      <c r="B94" s="6" t="str">
        <f>'Утв. ИП 2014-2019'!B99</f>
        <v>2.4.4</v>
      </c>
      <c r="C94" s="79" t="str">
        <f>'Утв. ИП 2014-2019'!C99</f>
        <v>Установка поверки счетчиков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f>'Утв. ИП 2014-2019'!U99</f>
        <v>0</v>
      </c>
      <c r="O94" s="5"/>
      <c r="P94" s="5"/>
      <c r="Q94" s="5">
        <f t="shared" si="21"/>
        <v>0</v>
      </c>
      <c r="R94" s="5">
        <f t="shared" si="22"/>
        <v>0</v>
      </c>
      <c r="S94" s="92">
        <f>'Утв. ИП 2014-2019'!U99</f>
        <v>0</v>
      </c>
      <c r="T94" s="92"/>
      <c r="U94" s="92">
        <f t="shared" si="23"/>
        <v>0</v>
      </c>
      <c r="V94" s="5">
        <f>'Утв. ИП 2014-2019'!AI99</f>
        <v>0</v>
      </c>
      <c r="W94" s="5"/>
      <c r="X94" s="5">
        <f t="shared" si="24"/>
        <v>0</v>
      </c>
      <c r="Y94" s="5"/>
      <c r="Z94" s="5"/>
      <c r="AA94" s="5"/>
      <c r="AB94" s="5"/>
      <c r="AC94" s="5"/>
      <c r="AD94" s="5"/>
      <c r="AE94" s="5"/>
      <c r="AF94" s="5"/>
      <c r="AG94" s="5"/>
      <c r="AH94" s="5">
        <f>'Утв. ИП 2014-2019'!N99</f>
        <v>0</v>
      </c>
      <c r="AI94" s="47"/>
      <c r="AJ94" s="47"/>
      <c r="AK94" s="47"/>
      <c r="AL94" s="47"/>
    </row>
    <row r="95" spans="1:38" s="2" customFormat="1" ht="25.5" hidden="1" outlineLevel="1" x14ac:dyDescent="0.2">
      <c r="A95" s="6"/>
      <c r="B95" s="6" t="str">
        <f>'Утв. ИП 2014-2019'!B100</f>
        <v>2.4.5</v>
      </c>
      <c r="C95" s="79" t="str">
        <f>'Утв. ИП 2014-2019'!C100</f>
        <v>Прибор для поиска однофазных замыканий на КЛ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>
        <f>'Утв. ИП 2014-2019'!U100</f>
        <v>0</v>
      </c>
      <c r="O95" s="5"/>
      <c r="P95" s="5"/>
      <c r="Q95" s="5">
        <f t="shared" si="21"/>
        <v>0</v>
      </c>
      <c r="R95" s="5">
        <f t="shared" si="22"/>
        <v>0</v>
      </c>
      <c r="S95" s="92">
        <f>'Утв. ИП 2014-2019'!U100</f>
        <v>0</v>
      </c>
      <c r="T95" s="92"/>
      <c r="U95" s="92">
        <f t="shared" si="23"/>
        <v>0</v>
      </c>
      <c r="V95" s="5">
        <f>'Утв. ИП 2014-2019'!AI100</f>
        <v>0</v>
      </c>
      <c r="W95" s="5"/>
      <c r="X95" s="5">
        <f t="shared" si="24"/>
        <v>0</v>
      </c>
      <c r="Y95" s="5"/>
      <c r="Z95" s="5"/>
      <c r="AA95" s="5"/>
      <c r="AB95" s="5"/>
      <c r="AC95" s="5"/>
      <c r="AD95" s="5"/>
      <c r="AE95" s="5"/>
      <c r="AF95" s="5"/>
      <c r="AG95" s="5"/>
      <c r="AH95" s="5">
        <f>'Утв. ИП 2014-2019'!N100</f>
        <v>0</v>
      </c>
      <c r="AI95" s="47"/>
      <c r="AJ95" s="47"/>
      <c r="AK95" s="47"/>
      <c r="AL95" s="47"/>
    </row>
    <row r="96" spans="1:38" s="2" customFormat="1" hidden="1" outlineLevel="1" x14ac:dyDescent="0.2">
      <c r="A96" s="6"/>
      <c r="B96" s="6" t="str">
        <f>'Утв. ИП 2014-2019'!B101</f>
        <v>2.4.6</v>
      </c>
      <c r="C96" s="79" t="str">
        <f>'Утв. ИП 2014-2019'!C101</f>
        <v>Прибор "Энергомонитор"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>
        <f>'Утв. ИП 2014-2019'!U101</f>
        <v>0</v>
      </c>
      <c r="O96" s="5"/>
      <c r="P96" s="5"/>
      <c r="Q96" s="5">
        <f t="shared" si="21"/>
        <v>0</v>
      </c>
      <c r="R96" s="5">
        <f t="shared" si="22"/>
        <v>0</v>
      </c>
      <c r="S96" s="92">
        <f>'Утв. ИП 2014-2019'!U101</f>
        <v>0</v>
      </c>
      <c r="T96" s="92"/>
      <c r="U96" s="92">
        <f t="shared" si="23"/>
        <v>0</v>
      </c>
      <c r="V96" s="5">
        <f>'Утв. ИП 2014-2019'!AI101</f>
        <v>0</v>
      </c>
      <c r="W96" s="5"/>
      <c r="X96" s="5">
        <f t="shared" si="24"/>
        <v>0</v>
      </c>
      <c r="Y96" s="5"/>
      <c r="Z96" s="5"/>
      <c r="AA96" s="5"/>
      <c r="AB96" s="5"/>
      <c r="AC96" s="5"/>
      <c r="AD96" s="5"/>
      <c r="AE96" s="5"/>
      <c r="AF96" s="5"/>
      <c r="AG96" s="5"/>
      <c r="AH96" s="5">
        <f>'Утв. ИП 2014-2019'!N101</f>
        <v>0</v>
      </c>
      <c r="AI96" s="47"/>
      <c r="AJ96" s="47"/>
      <c r="AK96" s="47"/>
      <c r="AL96" s="47"/>
    </row>
    <row r="97" spans="1:38" s="2" customFormat="1" hidden="1" outlineLevel="1" x14ac:dyDescent="0.2">
      <c r="A97" s="6" t="e">
        <f>A90+1</f>
        <v>#REF!</v>
      </c>
      <c r="B97" s="6" t="str">
        <f>'Утв. ИП 2014-2019'!B102</f>
        <v>2.4.7</v>
      </c>
      <c r="C97" s="79" t="str">
        <f>'Утв. ИП 2014-2019'!C102</f>
        <v>Асфальторезная машина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>
        <f>'Утв. ИП 2014-2019'!U102</f>
        <v>0</v>
      </c>
      <c r="O97" s="5"/>
      <c r="P97" s="5"/>
      <c r="Q97" s="5">
        <f t="shared" si="21"/>
        <v>0</v>
      </c>
      <c r="R97" s="5">
        <f t="shared" si="22"/>
        <v>0</v>
      </c>
      <c r="S97" s="92">
        <f>'Утв. ИП 2014-2019'!U102</f>
        <v>0</v>
      </c>
      <c r="T97" s="92"/>
      <c r="U97" s="92">
        <f t="shared" si="23"/>
        <v>0</v>
      </c>
      <c r="V97" s="5">
        <f>'Утв. ИП 2014-2019'!AI102</f>
        <v>0</v>
      </c>
      <c r="W97" s="5"/>
      <c r="X97" s="5">
        <f t="shared" si="24"/>
        <v>0</v>
      </c>
      <c r="Y97" s="5"/>
      <c r="Z97" s="5"/>
      <c r="AA97" s="5"/>
      <c r="AB97" s="5"/>
      <c r="AC97" s="5"/>
      <c r="AD97" s="5"/>
      <c r="AE97" s="5"/>
      <c r="AF97" s="5"/>
      <c r="AG97" s="5"/>
      <c r="AH97" s="5">
        <f>'Утв. ИП 2014-2019'!N102</f>
        <v>0</v>
      </c>
      <c r="AI97" s="47"/>
      <c r="AJ97" s="47"/>
      <c r="AK97" s="47"/>
      <c r="AL97" s="47"/>
    </row>
    <row r="98" spans="1:38" s="2" customFormat="1" hidden="1" outlineLevel="1" x14ac:dyDescent="0.2">
      <c r="A98" s="6" t="e">
        <f>A97+1</f>
        <v>#REF!</v>
      </c>
      <c r="B98" s="6" t="str">
        <f>'Утв. ИП 2014-2019'!B103</f>
        <v>2.4.8</v>
      </c>
      <c r="C98" s="79" t="str">
        <f>'Утв. ИП 2014-2019'!C103</f>
        <v>Палатка кабельщика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>
        <f>'Утв. ИП 2014-2019'!U103</f>
        <v>0</v>
      </c>
      <c r="O98" s="5"/>
      <c r="P98" s="5"/>
      <c r="Q98" s="5">
        <f t="shared" si="21"/>
        <v>0</v>
      </c>
      <c r="R98" s="5">
        <f t="shared" si="22"/>
        <v>0</v>
      </c>
      <c r="S98" s="92">
        <f>'Утв. ИП 2014-2019'!U103</f>
        <v>0</v>
      </c>
      <c r="T98" s="92"/>
      <c r="U98" s="92">
        <f t="shared" si="23"/>
        <v>0</v>
      </c>
      <c r="V98" s="5">
        <f>'Утв. ИП 2014-2019'!AI103</f>
        <v>0</v>
      </c>
      <c r="W98" s="5"/>
      <c r="X98" s="5">
        <f t="shared" si="24"/>
        <v>0</v>
      </c>
      <c r="Y98" s="5"/>
      <c r="Z98" s="5"/>
      <c r="AA98" s="5"/>
      <c r="AB98" s="5"/>
      <c r="AC98" s="5"/>
      <c r="AD98" s="5"/>
      <c r="AE98" s="5"/>
      <c r="AF98" s="5"/>
      <c r="AG98" s="5"/>
      <c r="AH98" s="5">
        <f>'Утв. ИП 2014-2019'!N103</f>
        <v>0</v>
      </c>
      <c r="AI98" s="47"/>
      <c r="AJ98" s="47"/>
      <c r="AK98" s="47"/>
      <c r="AL98" s="47"/>
    </row>
    <row r="99" spans="1:38" s="2" customFormat="1" ht="25.5" hidden="1" outlineLevel="1" x14ac:dyDescent="0.2">
      <c r="A99" s="6"/>
      <c r="B99" s="6" t="str">
        <f>'Утв. ИП 2014-2019'!B104</f>
        <v>2.4.9</v>
      </c>
      <c r="C99" s="79" t="str">
        <f>'Утв. ИП 2014-2019'!C104</f>
        <v>Приобретение силовых трансформаторов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>
        <f>'Утв. ИП 2014-2019'!U104</f>
        <v>0</v>
      </c>
      <c r="O99" s="5"/>
      <c r="P99" s="5"/>
      <c r="Q99" s="5">
        <f>N99</f>
        <v>0</v>
      </c>
      <c r="R99" s="5">
        <f>N99-O99-P99-Q99</f>
        <v>0</v>
      </c>
      <c r="S99" s="92">
        <f>'Утв. ИП 2014-2019'!U104</f>
        <v>0</v>
      </c>
      <c r="T99" s="92"/>
      <c r="U99" s="92">
        <f>S99-T99</f>
        <v>0</v>
      </c>
      <c r="V99" s="5">
        <f>'Утв. ИП 2014-2019'!AI104</f>
        <v>0</v>
      </c>
      <c r="W99" s="5"/>
      <c r="X99" s="5">
        <f>V99</f>
        <v>0</v>
      </c>
      <c r="Y99" s="5"/>
      <c r="Z99" s="5"/>
      <c r="AA99" s="5"/>
      <c r="AB99" s="5"/>
      <c r="AC99" s="5"/>
      <c r="AD99" s="5"/>
      <c r="AE99" s="5"/>
      <c r="AF99" s="5"/>
      <c r="AG99" s="5"/>
      <c r="AH99" s="5">
        <f>'Утв. ИП 2014-2019'!N104</f>
        <v>0</v>
      </c>
      <c r="AI99" s="47"/>
      <c r="AJ99" s="47"/>
      <c r="AK99" s="47"/>
      <c r="AL99" s="47"/>
    </row>
    <row r="100" spans="1:38" s="2" customFormat="1" ht="38.25" hidden="1" outlineLevel="1" x14ac:dyDescent="0.2">
      <c r="A100" s="6"/>
      <c r="B100" s="6" t="str">
        <f>'Утв. ИП 2014-2019'!B105</f>
        <v>2.4.10</v>
      </c>
      <c r="C100" s="79" t="str">
        <f>'Утв. ИП 2014-2019'!C105</f>
        <v>Аппарат для определения температуры вспышки в закрытом тигле ТВЗ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>
        <f>'Утв. ИП 2014-2019'!U105</f>
        <v>0</v>
      </c>
      <c r="O100" s="5"/>
      <c r="P100" s="5"/>
      <c r="Q100" s="5">
        <f>N100</f>
        <v>0</v>
      </c>
      <c r="R100" s="5">
        <f>N100-O100-P100-Q100</f>
        <v>0</v>
      </c>
      <c r="S100" s="92">
        <f>'Утв. ИП 2014-2019'!U105</f>
        <v>0</v>
      </c>
      <c r="T100" s="92"/>
      <c r="U100" s="92">
        <f>S100-T100</f>
        <v>0</v>
      </c>
      <c r="V100" s="5">
        <f>'Утв. ИП 2014-2019'!AI105</f>
        <v>0</v>
      </c>
      <c r="W100" s="5"/>
      <c r="X100" s="5">
        <f>V100</f>
        <v>0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>
        <f>'Утв. ИП 2014-2019'!N105</f>
        <v>0</v>
      </c>
      <c r="AI100" s="47"/>
      <c r="AJ100" s="47"/>
      <c r="AK100" s="47"/>
      <c r="AL100" s="47"/>
    </row>
    <row r="101" spans="1:38" s="32" customFormat="1" ht="22.5" customHeight="1" collapsed="1" x14ac:dyDescent="0.2">
      <c r="A101" s="28" t="e">
        <f>#REF!+1</f>
        <v>#REF!</v>
      </c>
      <c r="B101" s="28" t="str">
        <f>'Утв. ИП 2014-2019'!B106</f>
        <v>2.5</v>
      </c>
      <c r="C101" s="29" t="str">
        <f>'Утв. ИП 2014-2019'!C106</f>
        <v>Автотранспортное обеспечение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>
        <f>'Утв. ИП 2014-2019'!U106</f>
        <v>1.1399999999999999</v>
      </c>
      <c r="O101" s="31">
        <f>SUM(O102:O115)</f>
        <v>0</v>
      </c>
      <c r="P101" s="31">
        <f>SUM(P102:P115)</f>
        <v>0</v>
      </c>
      <c r="Q101" s="31">
        <f>SUM(Q102:Q115)</f>
        <v>0</v>
      </c>
      <c r="R101" s="31">
        <f>SUM(R102:R115)</f>
        <v>1.1399999999999999</v>
      </c>
      <c r="S101" s="31">
        <f>'Утв. ИП 2014-2019'!U106</f>
        <v>1.1399999999999999</v>
      </c>
      <c r="T101" s="31">
        <f>SUM(T102:T115)</f>
        <v>0</v>
      </c>
      <c r="U101" s="31">
        <f>SUM(U102:U115)</f>
        <v>1.1399999999999999</v>
      </c>
      <c r="V101" s="31">
        <f>'Утв. ИП 2014-2019'!AI106</f>
        <v>1.1399999999999999</v>
      </c>
      <c r="W101" s="31">
        <f>SUM(W102:W115)</f>
        <v>0</v>
      </c>
      <c r="X101" s="31">
        <f>SUM(X102:X115)</f>
        <v>1.1399999999999999</v>
      </c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</row>
    <row r="102" spans="1:38" s="2" customFormat="1" ht="25.5" hidden="1" outlineLevel="1" x14ac:dyDescent="0.2">
      <c r="A102" s="6" t="e">
        <f>A112+1</f>
        <v>#REF!</v>
      </c>
      <c r="B102" s="6" t="str">
        <f>'Утв. ИП 2014-2019'!B107</f>
        <v>2.5.1</v>
      </c>
      <c r="C102" s="79" t="str">
        <f>'Утв. ИП 2014-2019'!C107</f>
        <v>Экскаватор-погрузчик Volvo BL71B с гидромолотом</v>
      </c>
      <c r="D102" s="5"/>
      <c r="E102" s="5"/>
      <c r="F102" s="5"/>
      <c r="G102" s="5"/>
      <c r="H102" s="5"/>
      <c r="I102" s="5"/>
      <c r="J102" s="5"/>
      <c r="K102" s="5"/>
      <c r="L102" s="5"/>
      <c r="M102" s="8"/>
      <c r="N102" s="5">
        <f>'Утв. ИП 2014-2019'!U107</f>
        <v>0</v>
      </c>
      <c r="O102" s="5"/>
      <c r="P102" s="5"/>
      <c r="Q102" s="5"/>
      <c r="R102" s="5">
        <f t="shared" ref="R102:R115" si="25">N102</f>
        <v>0</v>
      </c>
      <c r="S102" s="92">
        <f>'Утв. ИП 2014-2019'!U107</f>
        <v>0</v>
      </c>
      <c r="T102" s="92"/>
      <c r="U102" s="92">
        <f t="shared" ref="U102:U115" si="26">S102-T102</f>
        <v>0</v>
      </c>
      <c r="V102" s="5">
        <f>'Утв. ИП 2014-2019'!AI107</f>
        <v>0</v>
      </c>
      <c r="W102" s="5"/>
      <c r="X102" s="5">
        <f t="shared" ref="X102:X115" si="27">V102</f>
        <v>0</v>
      </c>
      <c r="Y102" s="5"/>
      <c r="Z102" s="5"/>
      <c r="AA102" s="5"/>
      <c r="AB102" s="5"/>
      <c r="AC102" s="5"/>
      <c r="AD102" s="5"/>
      <c r="AE102" s="5"/>
      <c r="AF102" s="5"/>
      <c r="AG102" s="5"/>
      <c r="AH102" s="5">
        <f>'Утв. ИП 2014-2019'!N107</f>
        <v>0</v>
      </c>
    </row>
    <row r="103" spans="1:38" s="2" customFormat="1" hidden="1" outlineLevel="1" x14ac:dyDescent="0.2">
      <c r="A103" s="6" t="e">
        <f>A113+1</f>
        <v>#REF!</v>
      </c>
      <c r="B103" s="6" t="str">
        <f>'Утв. ИП 2014-2019'!B108</f>
        <v>2.5.2</v>
      </c>
      <c r="C103" s="79" t="str">
        <f>'Утв. ИП 2014-2019'!C108</f>
        <v xml:space="preserve">Автолаборатория </v>
      </c>
      <c r="D103" s="5"/>
      <c r="E103" s="5"/>
      <c r="F103" s="5"/>
      <c r="G103" s="5"/>
      <c r="H103" s="5"/>
      <c r="I103" s="5"/>
      <c r="J103" s="5"/>
      <c r="K103" s="5"/>
      <c r="L103" s="5"/>
      <c r="M103" s="8"/>
      <c r="N103" s="5">
        <f>'Утв. ИП 2014-2019'!U108</f>
        <v>0</v>
      </c>
      <c r="O103" s="5"/>
      <c r="P103" s="5"/>
      <c r="Q103" s="5"/>
      <c r="R103" s="5">
        <f t="shared" si="25"/>
        <v>0</v>
      </c>
      <c r="S103" s="92">
        <f>'Утв. ИП 2014-2019'!U108</f>
        <v>0</v>
      </c>
      <c r="T103" s="92"/>
      <c r="U103" s="92">
        <f t="shared" si="26"/>
        <v>0</v>
      </c>
      <c r="V103" s="5">
        <f>'Утв. ИП 2014-2019'!AI108</f>
        <v>0</v>
      </c>
      <c r="W103" s="5"/>
      <c r="X103" s="5">
        <f t="shared" si="27"/>
        <v>0</v>
      </c>
      <c r="Y103" s="5"/>
      <c r="Z103" s="5"/>
      <c r="AA103" s="5"/>
      <c r="AB103" s="5"/>
      <c r="AC103" s="5"/>
      <c r="AD103" s="5"/>
      <c r="AE103" s="5"/>
      <c r="AF103" s="5"/>
      <c r="AG103" s="5"/>
      <c r="AH103" s="5">
        <f>'Утв. ИП 2014-2019'!N108</f>
        <v>0</v>
      </c>
      <c r="AI103" s="47"/>
      <c r="AJ103" s="47"/>
      <c r="AK103" s="47"/>
      <c r="AL103" s="47"/>
    </row>
    <row r="104" spans="1:38" s="2" customFormat="1" ht="63.75" hidden="1" outlineLevel="1" x14ac:dyDescent="0.2">
      <c r="A104" s="6" t="e">
        <f>A103+1</f>
        <v>#REF!</v>
      </c>
      <c r="B104" s="6" t="str">
        <f>'Утв. ИП 2014-2019'!B109</f>
        <v>2.5.3</v>
      </c>
      <c r="C104" s="79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4" s="5"/>
      <c r="E104" s="5"/>
      <c r="F104" s="5"/>
      <c r="G104" s="5"/>
      <c r="H104" s="5"/>
      <c r="I104" s="5"/>
      <c r="J104" s="5"/>
      <c r="K104" s="5"/>
      <c r="L104" s="5"/>
      <c r="M104" s="8"/>
      <c r="N104" s="5">
        <f>'Утв. ИП 2014-2019'!U109</f>
        <v>0</v>
      </c>
      <c r="O104" s="5"/>
      <c r="P104" s="5"/>
      <c r="Q104" s="5"/>
      <c r="R104" s="5">
        <f t="shared" si="25"/>
        <v>0</v>
      </c>
      <c r="S104" s="92">
        <f>'Утв. ИП 2014-2019'!U109</f>
        <v>0</v>
      </c>
      <c r="T104" s="92"/>
      <c r="U104" s="92">
        <f t="shared" si="26"/>
        <v>0</v>
      </c>
      <c r="V104" s="5">
        <f>'Утв. ИП 2014-2019'!AI109</f>
        <v>0</v>
      </c>
      <c r="W104" s="5"/>
      <c r="X104" s="5">
        <f t="shared" si="27"/>
        <v>0</v>
      </c>
      <c r="Y104" s="5"/>
      <c r="Z104" s="5"/>
      <c r="AA104" s="5"/>
      <c r="AB104" s="5"/>
      <c r="AC104" s="5"/>
      <c r="AD104" s="5"/>
      <c r="AE104" s="5"/>
      <c r="AF104" s="5"/>
      <c r="AG104" s="5"/>
      <c r="AH104" s="5">
        <f>'Утв. ИП 2014-2019'!N109</f>
        <v>0</v>
      </c>
    </row>
    <row r="105" spans="1:38" s="2" customFormat="1" hidden="1" outlineLevel="1" x14ac:dyDescent="0.2">
      <c r="A105" s="6"/>
      <c r="B105" s="6" t="str">
        <f>'Утв. ИП 2014-2019'!B110</f>
        <v>2.5.4</v>
      </c>
      <c r="C105" s="79" t="str">
        <f>'Утв. ИП 2014-2019'!C110</f>
        <v>Автоподъемник АПТЛ-17</v>
      </c>
      <c r="D105" s="5"/>
      <c r="E105" s="5"/>
      <c r="F105" s="5"/>
      <c r="G105" s="5"/>
      <c r="H105" s="5"/>
      <c r="I105" s="5"/>
      <c r="J105" s="5"/>
      <c r="K105" s="5"/>
      <c r="L105" s="5"/>
      <c r="M105" s="8"/>
      <c r="N105" s="5">
        <f>'Утв. ИП 2014-2019'!U110</f>
        <v>0</v>
      </c>
      <c r="O105" s="5"/>
      <c r="P105" s="5"/>
      <c r="Q105" s="5"/>
      <c r="R105" s="5">
        <f t="shared" si="25"/>
        <v>0</v>
      </c>
      <c r="S105" s="92">
        <f>'Утв. ИП 2014-2019'!U110</f>
        <v>0</v>
      </c>
      <c r="T105" s="92"/>
      <c r="U105" s="92">
        <f t="shared" si="26"/>
        <v>0</v>
      </c>
      <c r="V105" s="5">
        <f>'Утв. ИП 2014-2019'!AI110</f>
        <v>0</v>
      </c>
      <c r="W105" s="5"/>
      <c r="X105" s="5">
        <f t="shared" si="27"/>
        <v>0</v>
      </c>
      <c r="Y105" s="5"/>
      <c r="Z105" s="5"/>
      <c r="AA105" s="5"/>
      <c r="AB105" s="5"/>
      <c r="AC105" s="5"/>
      <c r="AD105" s="5"/>
      <c r="AE105" s="5"/>
      <c r="AF105" s="5"/>
      <c r="AG105" s="5"/>
      <c r="AH105" s="5">
        <f>'Утв. ИП 2014-2019'!N110</f>
        <v>0</v>
      </c>
    </row>
    <row r="106" spans="1:38" s="2" customFormat="1" ht="25.5" hidden="1" outlineLevel="1" x14ac:dyDescent="0.2">
      <c r="A106" s="6"/>
      <c r="B106" s="6" t="str">
        <f>'Утв. ИП 2014-2019'!B111</f>
        <v>2.5.5</v>
      </c>
      <c r="C106" s="79" t="str">
        <f>'Утв. ИП 2014-2019'!C111</f>
        <v>Автомобиль Газель полноприводная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5">
        <f>'Утв. ИП 2014-2019'!U111</f>
        <v>0</v>
      </c>
      <c r="O106" s="5"/>
      <c r="P106" s="5"/>
      <c r="Q106" s="5"/>
      <c r="R106" s="5">
        <f t="shared" si="25"/>
        <v>0</v>
      </c>
      <c r="S106" s="92">
        <f>'Утв. ИП 2014-2019'!U111</f>
        <v>0</v>
      </c>
      <c r="T106" s="92"/>
      <c r="U106" s="92">
        <f t="shared" si="26"/>
        <v>0</v>
      </c>
      <c r="V106" s="5">
        <f>'Утв. ИП 2014-2019'!AI111</f>
        <v>0</v>
      </c>
      <c r="W106" s="5"/>
      <c r="X106" s="5">
        <f t="shared" si="27"/>
        <v>0</v>
      </c>
      <c r="Y106" s="5"/>
      <c r="Z106" s="5"/>
      <c r="AA106" s="5"/>
      <c r="AB106" s="5"/>
      <c r="AC106" s="5"/>
      <c r="AD106" s="5"/>
      <c r="AE106" s="5"/>
      <c r="AF106" s="5"/>
      <c r="AG106" s="5"/>
      <c r="AH106" s="5">
        <f>'Утв. ИП 2014-2019'!N111</f>
        <v>0</v>
      </c>
    </row>
    <row r="107" spans="1:38" s="2" customFormat="1" ht="76.5" collapsed="1" x14ac:dyDescent="0.2">
      <c r="A107" s="6" t="e">
        <f>A114+1</f>
        <v>#REF!</v>
      </c>
      <c r="B107" s="6" t="str">
        <f>'Утв. ИП 2014-2019'!B112</f>
        <v>2.5.6</v>
      </c>
      <c r="C107" s="79" t="str">
        <f>'Утв. ИП 2014-2019'!C112</f>
        <v>Автомастерская на базе ГАЗ-3309</v>
      </c>
      <c r="D107" s="5"/>
      <c r="E107" s="5"/>
      <c r="F107" s="5"/>
      <c r="G107" s="5"/>
      <c r="H107" s="5"/>
      <c r="I107" s="5"/>
      <c r="J107" s="5"/>
      <c r="K107" s="5"/>
      <c r="L107" s="5"/>
      <c r="M107" s="8" t="s">
        <v>2393</v>
      </c>
      <c r="N107" s="5">
        <f>'Утв. ИП 2014-2019'!U112</f>
        <v>1.1399999999999999</v>
      </c>
      <c r="O107" s="5"/>
      <c r="P107" s="5"/>
      <c r="Q107" s="5"/>
      <c r="R107" s="5">
        <f t="shared" si="25"/>
        <v>1.1399999999999999</v>
      </c>
      <c r="S107" s="92">
        <f>'Утв. ИП 2014-2019'!U112</f>
        <v>1.1399999999999999</v>
      </c>
      <c r="T107" s="92"/>
      <c r="U107" s="92">
        <f t="shared" si="26"/>
        <v>1.1399999999999999</v>
      </c>
      <c r="V107" s="5">
        <f>'Утв. ИП 2014-2019'!AI112</f>
        <v>1.1399999999999999</v>
      </c>
      <c r="W107" s="5"/>
      <c r="X107" s="5">
        <f t="shared" si="27"/>
        <v>1.1399999999999999</v>
      </c>
      <c r="Y107" s="5"/>
      <c r="Z107" s="5"/>
      <c r="AA107" s="5"/>
      <c r="AB107" s="5"/>
      <c r="AC107" s="5"/>
      <c r="AD107" s="5"/>
      <c r="AE107" s="5"/>
      <c r="AF107" s="5"/>
      <c r="AG107" s="5"/>
      <c r="AH107" s="5" t="str">
        <f>'Утв. ИП 2014-2019'!N112</f>
        <v>1 шт.</v>
      </c>
    </row>
    <row r="108" spans="1:38" s="2" customFormat="1" hidden="1" outlineLevel="1" x14ac:dyDescent="0.2">
      <c r="A108" s="6"/>
      <c r="B108" s="6" t="str">
        <f>'Утв. ИП 2014-2019'!B113</f>
        <v>2.5.7</v>
      </c>
      <c r="C108" s="79" t="str">
        <f>'Утв. ИП 2014-2019'!C113</f>
        <v>Лада "Нива" 21214</v>
      </c>
      <c r="D108" s="5"/>
      <c r="E108" s="5"/>
      <c r="F108" s="5"/>
      <c r="G108" s="5"/>
      <c r="H108" s="5"/>
      <c r="I108" s="5"/>
      <c r="J108" s="5"/>
      <c r="K108" s="5"/>
      <c r="L108" s="5"/>
      <c r="M108" s="8"/>
      <c r="N108" s="5">
        <f>'Утв. ИП 2014-2019'!U113</f>
        <v>0</v>
      </c>
      <c r="O108" s="5"/>
      <c r="P108" s="5"/>
      <c r="Q108" s="5"/>
      <c r="R108" s="5">
        <f t="shared" si="25"/>
        <v>0</v>
      </c>
      <c r="S108" s="92">
        <f>'Утв. ИП 2014-2019'!U113</f>
        <v>0</v>
      </c>
      <c r="T108" s="92"/>
      <c r="U108" s="92">
        <f t="shared" si="26"/>
        <v>0</v>
      </c>
      <c r="V108" s="5">
        <f>'Утв. ИП 2014-2019'!AI113</f>
        <v>0</v>
      </c>
      <c r="W108" s="5"/>
      <c r="X108" s="5">
        <f t="shared" si="27"/>
        <v>0</v>
      </c>
      <c r="Y108" s="5"/>
      <c r="Z108" s="5"/>
      <c r="AA108" s="5"/>
      <c r="AB108" s="5"/>
      <c r="AC108" s="5"/>
      <c r="AD108" s="5"/>
      <c r="AE108" s="5"/>
      <c r="AF108" s="5"/>
      <c r="AG108" s="5"/>
      <c r="AH108" s="5">
        <f>'Утв. ИП 2014-2019'!N113</f>
        <v>0</v>
      </c>
    </row>
    <row r="109" spans="1:38" s="2" customFormat="1" hidden="1" outlineLevel="1" x14ac:dyDescent="0.2">
      <c r="A109" s="6" t="e">
        <f>#REF!+1</f>
        <v>#REF!</v>
      </c>
      <c r="B109" s="6" t="str">
        <f>'Утв. ИП 2014-2019'!B114</f>
        <v>2.5.8</v>
      </c>
      <c r="C109" s="79" t="str">
        <f>'Утв. ИП 2014-2019'!C114</f>
        <v xml:space="preserve">УАЗ-39099 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>
        <f>'Утв. ИП 2014-2019'!U114</f>
        <v>0</v>
      </c>
      <c r="O109" s="5"/>
      <c r="P109" s="5"/>
      <c r="Q109" s="5"/>
      <c r="R109" s="5">
        <f t="shared" si="25"/>
        <v>0</v>
      </c>
      <c r="S109" s="92">
        <f>'Утв. ИП 2014-2019'!U114</f>
        <v>0</v>
      </c>
      <c r="T109" s="92"/>
      <c r="U109" s="92">
        <f t="shared" si="26"/>
        <v>0</v>
      </c>
      <c r="V109" s="5">
        <f>'Утв. ИП 2014-2019'!AI114</f>
        <v>0</v>
      </c>
      <c r="W109" s="5"/>
      <c r="X109" s="5">
        <f t="shared" si="27"/>
        <v>0</v>
      </c>
      <c r="Y109" s="5"/>
      <c r="Z109" s="5"/>
      <c r="AA109" s="5"/>
      <c r="AB109" s="5"/>
      <c r="AC109" s="5"/>
      <c r="AD109" s="5"/>
      <c r="AE109" s="5"/>
      <c r="AF109" s="5"/>
      <c r="AG109" s="5"/>
      <c r="AH109" s="5">
        <f>'Утв. ИП 2014-2019'!N114</f>
        <v>0</v>
      </c>
    </row>
    <row r="110" spans="1:38" s="2" customFormat="1" ht="25.5" hidden="1" outlineLevel="1" x14ac:dyDescent="0.2">
      <c r="A110" s="6" t="e">
        <f>A109+1</f>
        <v>#REF!</v>
      </c>
      <c r="B110" s="6" t="str">
        <f>'Утв. ИП 2014-2019'!B115</f>
        <v>2.5.9</v>
      </c>
      <c r="C110" s="79" t="str">
        <f>'Утв. ИП 2014-2019'!C115</f>
        <v>Бурильно-крановая установка БМ-302 на базе МТЗ-82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>
        <f>'Утв. ИП 2014-2019'!U115</f>
        <v>0</v>
      </c>
      <c r="O110" s="5"/>
      <c r="P110" s="5"/>
      <c r="Q110" s="5"/>
      <c r="R110" s="5">
        <f t="shared" si="25"/>
        <v>0</v>
      </c>
      <c r="S110" s="92">
        <f>'Утв. ИП 2014-2019'!U115</f>
        <v>0</v>
      </c>
      <c r="T110" s="92"/>
      <c r="U110" s="92">
        <f t="shared" si="26"/>
        <v>0</v>
      </c>
      <c r="V110" s="5">
        <f>'Утв. ИП 2014-2019'!AI115</f>
        <v>0</v>
      </c>
      <c r="W110" s="5"/>
      <c r="X110" s="5">
        <f t="shared" si="27"/>
        <v>0</v>
      </c>
      <c r="Y110" s="5"/>
      <c r="Z110" s="5"/>
      <c r="AA110" s="5"/>
      <c r="AB110" s="5"/>
      <c r="AC110" s="5"/>
      <c r="AD110" s="5"/>
      <c r="AE110" s="5"/>
      <c r="AF110" s="5"/>
      <c r="AG110" s="5"/>
      <c r="AH110" s="5">
        <f>'Утв. ИП 2014-2019'!N115</f>
        <v>0</v>
      </c>
    </row>
    <row r="111" spans="1:38" s="2" customFormat="1" ht="25.5" hidden="1" outlineLevel="1" x14ac:dyDescent="0.2">
      <c r="A111" s="6" t="e">
        <f>A101+1</f>
        <v>#REF!</v>
      </c>
      <c r="B111" s="6" t="str">
        <f>'Утв. ИП 2014-2019'!B116</f>
        <v>2.5.10</v>
      </c>
      <c r="C111" s="79" t="str">
        <f>'Утв. ИП 2014-2019'!C116</f>
        <v>Самосвал КАМАЗ-53605</v>
      </c>
      <c r="D111" s="5"/>
      <c r="E111" s="5"/>
      <c r="F111" s="5"/>
      <c r="G111" s="5"/>
      <c r="H111" s="5"/>
      <c r="I111" s="5"/>
      <c r="J111" s="5"/>
      <c r="K111" s="5"/>
      <c r="L111" s="5"/>
      <c r="M111" s="8" t="s">
        <v>2397</v>
      </c>
      <c r="N111" s="5">
        <f>'Утв. ИП 2014-2019'!U116</f>
        <v>0</v>
      </c>
      <c r="O111" s="5"/>
      <c r="P111" s="5"/>
      <c r="Q111" s="5"/>
      <c r="R111" s="5">
        <f t="shared" si="25"/>
        <v>0</v>
      </c>
      <c r="S111" s="92">
        <f>'Утв. ИП 2014-2019'!U116</f>
        <v>0</v>
      </c>
      <c r="T111" s="92"/>
      <c r="U111" s="92">
        <f t="shared" si="26"/>
        <v>0</v>
      </c>
      <c r="V111" s="5">
        <f>'Утв. ИП 2014-2019'!AI116</f>
        <v>0</v>
      </c>
      <c r="W111" s="5"/>
      <c r="X111" s="5">
        <f t="shared" si="27"/>
        <v>0</v>
      </c>
      <c r="Y111" s="5"/>
      <c r="Z111" s="5"/>
      <c r="AA111" s="5"/>
      <c r="AB111" s="5"/>
      <c r="AC111" s="5"/>
      <c r="AD111" s="5"/>
      <c r="AE111" s="5"/>
      <c r="AF111" s="5"/>
      <c r="AG111" s="5"/>
      <c r="AH111" s="5">
        <f>'Утв. ИП 2014-2019'!N116</f>
        <v>0</v>
      </c>
    </row>
    <row r="112" spans="1:38" s="2" customFormat="1" hidden="1" outlineLevel="1" x14ac:dyDescent="0.2">
      <c r="A112" s="6" t="e">
        <f>A111+1</f>
        <v>#REF!</v>
      </c>
      <c r="B112" s="6" t="str">
        <f>'Утв. ИП 2014-2019'!B117</f>
        <v>2.5.11</v>
      </c>
      <c r="C112" s="79" t="str">
        <f>'Утв. ИП 2014-2019'!C117</f>
        <v>Бортовой КАМАЗ-53215</v>
      </c>
      <c r="D112" s="5"/>
      <c r="E112" s="5"/>
      <c r="F112" s="5"/>
      <c r="G112" s="5"/>
      <c r="H112" s="5"/>
      <c r="I112" s="5"/>
      <c r="J112" s="5"/>
      <c r="K112" s="5"/>
      <c r="L112" s="5"/>
      <c r="M112" s="8"/>
      <c r="N112" s="5">
        <f>'Утв. ИП 2014-2019'!U117</f>
        <v>0</v>
      </c>
      <c r="O112" s="5"/>
      <c r="P112" s="5"/>
      <c r="Q112" s="5"/>
      <c r="R112" s="5">
        <f t="shared" si="25"/>
        <v>0</v>
      </c>
      <c r="S112" s="92">
        <f>'Утв. ИП 2014-2019'!U117</f>
        <v>0</v>
      </c>
      <c r="T112" s="92"/>
      <c r="U112" s="92">
        <f t="shared" si="26"/>
        <v>0</v>
      </c>
      <c r="V112" s="5">
        <f>'Утв. ИП 2014-2019'!AI117</f>
        <v>0</v>
      </c>
      <c r="W112" s="5"/>
      <c r="X112" s="5">
        <f t="shared" si="27"/>
        <v>0</v>
      </c>
      <c r="Y112" s="5"/>
      <c r="Z112" s="5"/>
      <c r="AA112" s="5"/>
      <c r="AB112" s="5"/>
      <c r="AC112" s="5"/>
      <c r="AD112" s="5"/>
      <c r="AE112" s="5"/>
      <c r="AF112" s="5"/>
      <c r="AG112" s="5"/>
      <c r="AH112" s="5">
        <f>'Утв. ИП 2014-2019'!N117</f>
        <v>0</v>
      </c>
    </row>
    <row r="113" spans="1:64" s="2" customFormat="1" ht="25.5" hidden="1" outlineLevel="1" x14ac:dyDescent="0.2">
      <c r="A113" s="6" t="e">
        <f>A102+1</f>
        <v>#REF!</v>
      </c>
      <c r="B113" s="6" t="str">
        <f>'Утв. ИП 2014-2019'!B118</f>
        <v>2.5.12</v>
      </c>
      <c r="C113" s="79" t="str">
        <f>'Утв. ИП 2014-2019'!C118</f>
        <v>Бортовой КАМАЗ с манипулятором</v>
      </c>
      <c r="D113" s="5"/>
      <c r="E113" s="5"/>
      <c r="F113" s="5"/>
      <c r="G113" s="5"/>
      <c r="H113" s="5"/>
      <c r="I113" s="5"/>
      <c r="J113" s="5"/>
      <c r="K113" s="5"/>
      <c r="L113" s="5"/>
      <c r="M113" s="8"/>
      <c r="N113" s="5">
        <f>'Утв. ИП 2014-2019'!U118</f>
        <v>0</v>
      </c>
      <c r="O113" s="5"/>
      <c r="P113" s="5"/>
      <c r="Q113" s="5"/>
      <c r="R113" s="5">
        <f t="shared" si="25"/>
        <v>0</v>
      </c>
      <c r="S113" s="92">
        <f>'Утв. ИП 2014-2019'!U118</f>
        <v>0</v>
      </c>
      <c r="T113" s="92"/>
      <c r="U113" s="92">
        <f t="shared" si="26"/>
        <v>0</v>
      </c>
      <c r="V113" s="5">
        <f>'Утв. ИП 2014-2019'!AI118</f>
        <v>0</v>
      </c>
      <c r="W113" s="5"/>
      <c r="X113" s="5">
        <f t="shared" si="27"/>
        <v>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>
        <f>'Утв. ИП 2014-2019'!N118</f>
        <v>0</v>
      </c>
    </row>
    <row r="114" spans="1:64" s="2" customFormat="1" hidden="1" outlineLevel="1" x14ac:dyDescent="0.2">
      <c r="A114" s="6" t="e">
        <f>A104+1</f>
        <v>#REF!</v>
      </c>
      <c r="B114" s="6" t="str">
        <f>'Утв. ИП 2014-2019'!B119</f>
        <v>2.5.13</v>
      </c>
      <c r="C114" s="79" t="str">
        <f>'Утв. ИП 2014-2019'!C119</f>
        <v>Грузопассажирский УАЗ-390994</v>
      </c>
      <c r="D114" s="5"/>
      <c r="E114" s="5"/>
      <c r="F114" s="5"/>
      <c r="G114" s="5"/>
      <c r="H114" s="5"/>
      <c r="I114" s="5"/>
      <c r="J114" s="5"/>
      <c r="K114" s="5"/>
      <c r="L114" s="5"/>
      <c r="M114" s="8"/>
      <c r="N114" s="5">
        <f>'Утв. ИП 2014-2019'!U119</f>
        <v>0</v>
      </c>
      <c r="O114" s="5"/>
      <c r="P114" s="5"/>
      <c r="Q114" s="12"/>
      <c r="R114" s="5">
        <f t="shared" si="25"/>
        <v>0</v>
      </c>
      <c r="S114" s="92">
        <f>'Утв. ИП 2014-2019'!U119</f>
        <v>0</v>
      </c>
      <c r="T114" s="92"/>
      <c r="U114" s="92">
        <f t="shared" si="26"/>
        <v>0</v>
      </c>
      <c r="V114" s="5">
        <f>'Утв. ИП 2014-2019'!AI119</f>
        <v>0</v>
      </c>
      <c r="W114" s="5"/>
      <c r="X114" s="5">
        <f t="shared" si="27"/>
        <v>0</v>
      </c>
      <c r="Y114" s="5"/>
      <c r="Z114" s="5"/>
      <c r="AA114" s="5"/>
      <c r="AB114" s="5"/>
      <c r="AC114" s="5"/>
      <c r="AD114" s="5"/>
      <c r="AE114" s="5"/>
      <c r="AF114" s="5"/>
      <c r="AG114" s="5"/>
      <c r="AH114" s="5">
        <f>'Утв. ИП 2014-2019'!N119</f>
        <v>0</v>
      </c>
    </row>
    <row r="115" spans="1:64" s="2" customFormat="1" hidden="1" outlineLevel="1" x14ac:dyDescent="0.2">
      <c r="A115" s="6" t="e">
        <f>#REF!+1</f>
        <v>#REF!</v>
      </c>
      <c r="B115" s="6" t="str">
        <f>'Утв. ИП 2014-2019'!B120</f>
        <v>2.5.14</v>
      </c>
      <c r="C115" s="79" t="str">
        <f>'Утв. ИП 2014-2019'!C120</f>
        <v>Автокран МАЗ-5337 А2 КС-35715</v>
      </c>
      <c r="D115" s="5"/>
      <c r="E115" s="5"/>
      <c r="F115" s="5"/>
      <c r="G115" s="5"/>
      <c r="H115" s="5"/>
      <c r="I115" s="5"/>
      <c r="J115" s="5"/>
      <c r="K115" s="5"/>
      <c r="L115" s="5"/>
      <c r="M115" s="163"/>
      <c r="N115" s="5">
        <f>'Утв. ИП 2014-2019'!U120</f>
        <v>0</v>
      </c>
      <c r="O115" s="5"/>
      <c r="P115" s="5"/>
      <c r="Q115" s="12"/>
      <c r="R115" s="5">
        <f t="shared" si="25"/>
        <v>0</v>
      </c>
      <c r="S115" s="92">
        <f>'Утв. ИП 2014-2019'!U120</f>
        <v>0</v>
      </c>
      <c r="T115" s="92"/>
      <c r="U115" s="92">
        <f t="shared" si="26"/>
        <v>0</v>
      </c>
      <c r="V115" s="5">
        <f>'Утв. ИП 2014-2019'!AI120</f>
        <v>0</v>
      </c>
      <c r="W115" s="5"/>
      <c r="X115" s="5">
        <f t="shared" si="27"/>
        <v>0</v>
      </c>
      <c r="Y115" s="5"/>
      <c r="Z115" s="5"/>
      <c r="AA115" s="5"/>
      <c r="AB115" s="5"/>
      <c r="AC115" s="5"/>
      <c r="AD115" s="5"/>
      <c r="AE115" s="5"/>
      <c r="AF115" s="5"/>
      <c r="AG115" s="5"/>
      <c r="AH115" s="5">
        <f>'Утв. ИП 2014-2019'!N120</f>
        <v>0</v>
      </c>
    </row>
    <row r="116" spans="1:64" s="42" customFormat="1" ht="27.75" customHeight="1" collapsed="1" x14ac:dyDescent="0.2">
      <c r="A116" s="39" t="e">
        <f>#REF!+1</f>
        <v>#REF!</v>
      </c>
      <c r="B116" s="39" t="str">
        <f>'Утв. ИП 2014-2019'!B121</f>
        <v>3.</v>
      </c>
      <c r="C116" s="40" t="str">
        <f>'Утв. ИП 2014-2019'!C121</f>
        <v>Объекты техприсоединения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>
        <f>'Утв. ИП 2014-2019'!U121</f>
        <v>335.70860000000005</v>
      </c>
      <c r="O116" s="41">
        <f>O117+O118+O119</f>
        <v>16.785430000000002</v>
      </c>
      <c r="P116" s="41">
        <f>P117+P118+P119</f>
        <v>184.63973000000004</v>
      </c>
      <c r="Q116" s="41">
        <f>Q117+Q118+Q119</f>
        <v>0</v>
      </c>
      <c r="R116" s="41">
        <f>R117+R118+R119</f>
        <v>134.28343999999998</v>
      </c>
      <c r="S116" s="41">
        <f>'Утв. ИП 2014-2019'!U121</f>
        <v>335.70860000000005</v>
      </c>
      <c r="T116" s="41">
        <f>T117+T118+T119</f>
        <v>134.28344000000001</v>
      </c>
      <c r="U116" s="41">
        <f>U117+U118+U119</f>
        <v>201.42516000000001</v>
      </c>
      <c r="V116" s="41">
        <f>'Утв. ИП 2014-2019'!AI121</f>
        <v>461.89574999999996</v>
      </c>
      <c r="W116" s="41">
        <f>W117+W118+W119</f>
        <v>161.66351249999997</v>
      </c>
      <c r="X116" s="41">
        <f>X117+X118+X119</f>
        <v>300.2322375</v>
      </c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:64" s="32" customFormat="1" ht="74.25" customHeight="1" x14ac:dyDescent="0.2">
      <c r="A117" s="28" t="e">
        <f>A116+1</f>
        <v>#REF!</v>
      </c>
      <c r="B117" s="37" t="s">
        <v>428</v>
      </c>
      <c r="C117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>
        <f>'Утв. ИП 2014-2019'!U122</f>
        <v>169.30860000000001</v>
      </c>
      <c r="O117" s="36">
        <f>0.05*N117</f>
        <v>8.4654300000000013</v>
      </c>
      <c r="P117" s="36">
        <f>0.55*N117</f>
        <v>93.119730000000018</v>
      </c>
      <c r="Q117" s="36"/>
      <c r="R117" s="36">
        <f>N117-O117-P117-Q117</f>
        <v>67.723439999999997</v>
      </c>
      <c r="S117" s="36">
        <f>'Утв. ИП 2014-2019'!U122</f>
        <v>169.30860000000001</v>
      </c>
      <c r="T117" s="36">
        <f>S117*0.4</f>
        <v>67.723440000000011</v>
      </c>
      <c r="U117" s="36">
        <f>S117-T117</f>
        <v>101.58516</v>
      </c>
      <c r="V117" s="36">
        <f>'Утв. ИП 2014-2019'!AI122</f>
        <v>166.99574999999996</v>
      </c>
      <c r="W117" s="36">
        <f>V117*0.35</f>
        <v>58.448512499999978</v>
      </c>
      <c r="X117" s="36">
        <f>V117-W117</f>
        <v>108.54723749999998</v>
      </c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</row>
    <row r="118" spans="1:64" s="32" customFormat="1" ht="102" x14ac:dyDescent="0.2">
      <c r="A118" s="28" t="e">
        <f>A117+1</f>
        <v>#REF!</v>
      </c>
      <c r="B118" s="37" t="s">
        <v>461</v>
      </c>
      <c r="C118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>
        <f>'Утв. ИП 2014-2019'!U243</f>
        <v>126.4</v>
      </c>
      <c r="O118" s="36">
        <f>0.05*N118</f>
        <v>6.32</v>
      </c>
      <c r="P118" s="36">
        <f>0.55*N118</f>
        <v>69.52000000000001</v>
      </c>
      <c r="Q118" s="36"/>
      <c r="R118" s="36">
        <f>N118-O118-P118-Q118</f>
        <v>50.56</v>
      </c>
      <c r="S118" s="36">
        <f>'Утв. ИП 2014-2019'!U243</f>
        <v>126.4</v>
      </c>
      <c r="T118" s="36">
        <f>S118*0.4</f>
        <v>50.56</v>
      </c>
      <c r="U118" s="36">
        <f>S118-T118</f>
        <v>75.84</v>
      </c>
      <c r="V118" s="36">
        <f>'Утв. ИП 2014-2019'!AI243</f>
        <v>254.9</v>
      </c>
      <c r="W118" s="36">
        <f>V118*0.35</f>
        <v>89.215000000000003</v>
      </c>
      <c r="X118" s="36">
        <f>V118-W118</f>
        <v>165.685</v>
      </c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</row>
    <row r="119" spans="1:64" s="32" customFormat="1" ht="28.5" customHeight="1" collapsed="1" x14ac:dyDescent="0.2">
      <c r="A119" s="28" t="e">
        <f>A118+1</f>
        <v>#REF!</v>
      </c>
      <c r="B119" s="37" t="s">
        <v>442</v>
      </c>
      <c r="C119" s="38" t="str">
        <f>'Утв. ИП 2014-2019'!C1333</f>
        <v>Выполнение объектов за счет платы за технологическое присоединение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>
        <f>'Утв. ИП 2014-2019'!U1333</f>
        <v>40</v>
      </c>
      <c r="O119" s="36">
        <f>0.05*N119</f>
        <v>2</v>
      </c>
      <c r="P119" s="36">
        <f>0.55*N119</f>
        <v>22</v>
      </c>
      <c r="Q119" s="36"/>
      <c r="R119" s="36">
        <f>N119-O119-P119-Q119</f>
        <v>16</v>
      </c>
      <c r="S119" s="36">
        <f>'Утв. ИП 2014-2019'!U1333</f>
        <v>40</v>
      </c>
      <c r="T119" s="36">
        <f>S119*0.4</f>
        <v>16</v>
      </c>
      <c r="U119" s="36">
        <f>S119-T119</f>
        <v>24</v>
      </c>
      <c r="V119" s="36">
        <f>'Утв. ИП 2014-2019'!AI1333</f>
        <v>40</v>
      </c>
      <c r="W119" s="36">
        <f>V119*0.35</f>
        <v>14</v>
      </c>
      <c r="X119" s="36">
        <f>V119-W119</f>
        <v>26</v>
      </c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</row>
    <row r="120" spans="1:64" s="21" customFormat="1" ht="15.75" x14ac:dyDescent="0.25">
      <c r="A120" s="62"/>
      <c r="B120" s="21" t="s">
        <v>1463</v>
      </c>
    </row>
    <row r="121" spans="1:64" s="51" customFormat="1" ht="3.75" customHeight="1" x14ac:dyDescent="0.2">
      <c r="B121" s="851" t="s">
        <v>2</v>
      </c>
      <c r="C121" s="851"/>
      <c r="D121" s="851"/>
      <c r="E121" s="851"/>
      <c r="F121" s="851"/>
      <c r="G121" s="851"/>
      <c r="H121" s="851"/>
      <c r="I121" s="851"/>
      <c r="J121" s="851"/>
      <c r="K121" s="851"/>
      <c r="L121" s="851"/>
      <c r="M121" s="851"/>
      <c r="N121" s="851"/>
      <c r="O121" s="851"/>
      <c r="P121" s="851"/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  <c r="AA121" s="851"/>
      <c r="AB121" s="851"/>
      <c r="AC121" s="851"/>
      <c r="AD121" s="851"/>
      <c r="AE121" s="851"/>
      <c r="AF121" s="851"/>
      <c r="AG121" s="851"/>
      <c r="AH121" s="851"/>
      <c r="AI121" s="47"/>
      <c r="AJ121" s="47"/>
      <c r="AK121" s="47"/>
      <c r="AL121" s="47"/>
      <c r="AM121" s="83"/>
      <c r="AN121" s="83"/>
      <c r="AO121" s="86"/>
      <c r="AP121" s="86"/>
      <c r="AQ121" s="83"/>
      <c r="AR121" s="83"/>
      <c r="AS121" s="86"/>
      <c r="AT121" s="86"/>
      <c r="AU121" s="83"/>
      <c r="AV121" s="83"/>
      <c r="AW121" s="83"/>
      <c r="AX121" s="83"/>
      <c r="BF121" s="155"/>
      <c r="BG121" s="155"/>
      <c r="BL121" s="155"/>
    </row>
    <row r="122" spans="1:64" ht="12.75" customHeight="1" x14ac:dyDescent="0.2">
      <c r="A122" s="1"/>
      <c r="B122" s="851"/>
      <c r="C122" s="851"/>
      <c r="D122" s="851"/>
      <c r="E122" s="851"/>
      <c r="F122" s="851"/>
      <c r="G122" s="851"/>
      <c r="H122" s="851"/>
      <c r="I122" s="851"/>
      <c r="J122" s="851"/>
      <c r="K122" s="851"/>
      <c r="L122" s="851"/>
      <c r="M122" s="851"/>
      <c r="N122" s="851"/>
      <c r="O122" s="851"/>
      <c r="P122" s="851"/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  <c r="AA122" s="851"/>
      <c r="AB122" s="851"/>
      <c r="AC122" s="851"/>
      <c r="AD122" s="851"/>
      <c r="AE122" s="851"/>
      <c r="AF122" s="851"/>
      <c r="AG122" s="851"/>
      <c r="AH122" s="851"/>
      <c r="AI122" s="2"/>
      <c r="AJ122" s="2"/>
      <c r="AK122" s="2"/>
      <c r="AL122" s="47"/>
      <c r="AM122" s="83"/>
      <c r="AN122" s="83"/>
      <c r="AO122" s="86"/>
      <c r="AP122" s="86"/>
      <c r="AQ122" s="83"/>
      <c r="AR122" s="83"/>
      <c r="AS122" s="86"/>
      <c r="AT122" s="86"/>
      <c r="AU122" s="83"/>
      <c r="AV122" s="83"/>
      <c r="AW122" s="83"/>
      <c r="AX122" s="83"/>
      <c r="AY122" s="51"/>
      <c r="BC122" s="51"/>
      <c r="BD122" s="51"/>
      <c r="BF122" s="64"/>
      <c r="BG122" s="64"/>
      <c r="BL122" s="64"/>
    </row>
    <row r="123" spans="1:64" ht="13.5" customHeight="1" x14ac:dyDescent="0.2">
      <c r="A123" s="1"/>
      <c r="B123" s="851"/>
      <c r="C123" s="851"/>
      <c r="D123" s="851"/>
      <c r="E123" s="851"/>
      <c r="F123" s="851"/>
      <c r="G123" s="851"/>
      <c r="H123" s="851"/>
      <c r="I123" s="851"/>
      <c r="J123" s="851"/>
      <c r="K123" s="851"/>
      <c r="L123" s="851"/>
      <c r="M123" s="851"/>
      <c r="N123" s="851"/>
      <c r="O123" s="851"/>
      <c r="P123" s="851"/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  <c r="AA123" s="851"/>
      <c r="AB123" s="851"/>
      <c r="AC123" s="851"/>
      <c r="AD123" s="851"/>
      <c r="AE123" s="851"/>
      <c r="AF123" s="851"/>
      <c r="AG123" s="851"/>
      <c r="AH123" s="851"/>
      <c r="AI123" s="2"/>
      <c r="AJ123" s="2"/>
      <c r="AK123" s="2"/>
      <c r="AL123" s="47"/>
      <c r="AM123" s="83"/>
      <c r="AN123" s="83"/>
      <c r="AO123" s="86"/>
      <c r="AP123" s="86"/>
      <c r="AQ123" s="83"/>
      <c r="AR123" s="83"/>
      <c r="AS123" s="86"/>
      <c r="AT123" s="86"/>
      <c r="AU123" s="83"/>
      <c r="AV123" s="83"/>
      <c r="AW123" s="83"/>
      <c r="AX123" s="83"/>
      <c r="AY123" s="51"/>
      <c r="BC123" s="51"/>
      <c r="BD123" s="51"/>
      <c r="BF123" s="64"/>
      <c r="BG123" s="64"/>
      <c r="BL123" s="64"/>
    </row>
    <row r="124" spans="1:64" ht="18.75" hidden="1" customHeight="1" outlineLevel="1" x14ac:dyDescent="0.3">
      <c r="C124" s="849"/>
      <c r="D124" s="849"/>
      <c r="E124" s="849"/>
      <c r="F124" s="849"/>
      <c r="G124" s="849"/>
      <c r="H124" s="849"/>
      <c r="I124" s="849"/>
      <c r="J124" s="849"/>
      <c r="K124" s="849"/>
      <c r="N124" s="117">
        <f t="shared" ref="N124:X124" si="28">N20+N26+N40+N59+N60+N61+N62+N63+N76+N77+N81+N82+N107+N116</f>
        <v>452.40000000000003</v>
      </c>
      <c r="O124" s="117">
        <f t="shared" si="28"/>
        <v>22.800435</v>
      </c>
      <c r="P124" s="117">
        <f t="shared" si="28"/>
        <v>248.61956700000005</v>
      </c>
      <c r="Q124" s="117">
        <f t="shared" si="28"/>
        <v>43.046557999999997</v>
      </c>
      <c r="R124" s="117">
        <f t="shared" si="28"/>
        <v>137.93343999999999</v>
      </c>
      <c r="S124" s="117">
        <f t="shared" si="28"/>
        <v>452.40000000000003</v>
      </c>
      <c r="T124" s="117">
        <f t="shared" si="28"/>
        <v>145.83858000000001</v>
      </c>
      <c r="U124" s="117">
        <f t="shared" si="28"/>
        <v>306.56142</v>
      </c>
      <c r="V124" s="117">
        <f t="shared" si="28"/>
        <v>568.54665</v>
      </c>
      <c r="W124" s="117">
        <f t="shared" si="28"/>
        <v>161.66351249999997</v>
      </c>
      <c r="X124" s="117">
        <f t="shared" si="28"/>
        <v>406.88313749999998</v>
      </c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</row>
    <row r="125" spans="1:64" ht="18.75" hidden="1" outlineLevel="1" x14ac:dyDescent="0.2">
      <c r="C125" s="20"/>
      <c r="N125" s="117">
        <f>N10</f>
        <v>452.40000000000003</v>
      </c>
      <c r="O125" s="117">
        <f t="shared" ref="O125:X125" si="29">O10</f>
        <v>22.800435</v>
      </c>
      <c r="P125" s="117">
        <f t="shared" si="29"/>
        <v>248.61956700000005</v>
      </c>
      <c r="Q125" s="117">
        <f t="shared" si="29"/>
        <v>43.046558000000005</v>
      </c>
      <c r="R125" s="117">
        <f t="shared" si="29"/>
        <v>137.93343999999999</v>
      </c>
      <c r="S125" s="117">
        <f t="shared" si="29"/>
        <v>452.40000000000003</v>
      </c>
      <c r="T125" s="117">
        <f t="shared" si="29"/>
        <v>145.83858000000001</v>
      </c>
      <c r="U125" s="117">
        <f t="shared" si="29"/>
        <v>306.56142</v>
      </c>
      <c r="V125" s="117">
        <f t="shared" si="29"/>
        <v>568.54665</v>
      </c>
      <c r="W125" s="117">
        <f t="shared" si="29"/>
        <v>161.66351249999997</v>
      </c>
      <c r="X125" s="117">
        <f t="shared" si="29"/>
        <v>406.88313749999998</v>
      </c>
    </row>
    <row r="126" spans="1:64" ht="18.75" hidden="1" outlineLevel="1" x14ac:dyDescent="0.2">
      <c r="C126" s="20"/>
      <c r="M126" s="1" t="s">
        <v>509</v>
      </c>
      <c r="N126" s="117">
        <f>N124-N125</f>
        <v>0</v>
      </c>
      <c r="O126" s="117">
        <f t="shared" ref="O126:X126" si="30">O124-O125</f>
        <v>0</v>
      </c>
      <c r="P126" s="117">
        <f t="shared" si="30"/>
        <v>0</v>
      </c>
      <c r="Q126" s="117">
        <f t="shared" si="30"/>
        <v>0</v>
      </c>
      <c r="R126" s="117">
        <f t="shared" si="30"/>
        <v>0</v>
      </c>
      <c r="S126" s="117">
        <f t="shared" si="30"/>
        <v>0</v>
      </c>
      <c r="T126" s="117">
        <f t="shared" si="30"/>
        <v>0</v>
      </c>
      <c r="U126" s="117">
        <f t="shared" si="30"/>
        <v>0</v>
      </c>
      <c r="V126" s="117">
        <f t="shared" si="30"/>
        <v>0</v>
      </c>
      <c r="W126" s="117">
        <f t="shared" si="30"/>
        <v>0</v>
      </c>
      <c r="X126" s="117">
        <f t="shared" si="30"/>
        <v>0</v>
      </c>
    </row>
    <row r="127" spans="1:64" ht="18.75" hidden="1" outlineLevel="1" x14ac:dyDescent="0.2">
      <c r="C127" s="20"/>
      <c r="M127" s="1" t="s">
        <v>509</v>
      </c>
      <c r="N127" s="117">
        <f>N124-O124-P124-Q124-R124</f>
        <v>0</v>
      </c>
      <c r="S127" s="117">
        <f>S124-T124-U124</f>
        <v>0</v>
      </c>
      <c r="V127" s="117">
        <f>V124-W124-X124</f>
        <v>0</v>
      </c>
    </row>
    <row r="128" spans="1:64" collapsed="1" x14ac:dyDescent="0.2"/>
  </sheetData>
  <mergeCells count="22">
    <mergeCell ref="C124:K124"/>
    <mergeCell ref="H7:L7"/>
    <mergeCell ref="M7:M8"/>
    <mergeCell ref="N7:R7"/>
    <mergeCell ref="D7:G7"/>
    <mergeCell ref="B121:AH123"/>
    <mergeCell ref="AH7:AH8"/>
    <mergeCell ref="B4:AH4"/>
    <mergeCell ref="V6:X6"/>
    <mergeCell ref="Y7:AB7"/>
    <mergeCell ref="S6:U6"/>
    <mergeCell ref="Y6:AH6"/>
    <mergeCell ref="T7:U7"/>
    <mergeCell ref="V7:V8"/>
    <mergeCell ref="AC7:AG7"/>
    <mergeCell ref="S7:S8"/>
    <mergeCell ref="W7:X7"/>
    <mergeCell ref="A6:A8"/>
    <mergeCell ref="B6:B8"/>
    <mergeCell ref="C6:C8"/>
    <mergeCell ref="D6:M6"/>
    <mergeCell ref="N6:R6"/>
  </mergeCells>
  <phoneticPr fontId="12" type="noConversion"/>
  <printOptions horizontalCentered="1"/>
  <pageMargins left="0.19685039370078741" right="0.19685039370078741" top="0.39370078740157483" bottom="0.47244094488188981" header="0" footer="0.19685039370078741"/>
  <pageSetup paperSize="8" scale="50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L131"/>
  <sheetViews>
    <sheetView view="pageBreakPreview" zoomScale="70" zoomScaleSheetLayoutView="70" workbookViewId="0">
      <pane xSplit="3" ySplit="8" topLeftCell="D86" activePane="bottomRight" state="frozen"/>
      <selection activeCell="C33" sqref="C33"/>
      <selection pane="topRight" activeCell="C33" sqref="C33"/>
      <selection pane="bottomLeft" activeCell="C33" sqref="C33"/>
      <selection pane="bottomRight" activeCell="H118" sqref="H118"/>
    </sheetView>
  </sheetViews>
  <sheetFormatPr defaultRowHeight="12.75" outlineLevelRow="1" outlineLevelCol="1" x14ac:dyDescent="0.2"/>
  <cols>
    <col min="1" max="1" width="9.140625" style="61" hidden="1" customWidth="1" outlineLevel="1"/>
    <col min="2" max="2" width="10.42578125" style="1" customWidth="1" collapsed="1"/>
    <col min="3" max="3" width="30.42578125" style="1" customWidth="1"/>
    <col min="4" max="5" width="9.28515625" style="1" customWidth="1"/>
    <col min="6" max="6" width="11.7109375" style="1" customWidth="1"/>
    <col min="7" max="7" width="12.140625" style="1" customWidth="1"/>
    <col min="8" max="8" width="10.5703125" style="1" customWidth="1"/>
    <col min="9" max="9" width="9.28515625" style="1" bestFit="1" customWidth="1"/>
    <col min="10" max="10" width="12.42578125" style="1" customWidth="1"/>
    <col min="11" max="11" width="13.28515625" style="1" customWidth="1"/>
    <col min="12" max="12" width="10.140625" style="1" customWidth="1"/>
    <col min="13" max="13" width="12.42578125" style="1" customWidth="1"/>
    <col min="14" max="14" width="11.5703125" style="1" bestFit="1" customWidth="1"/>
    <col min="15" max="15" width="13" style="1" customWidth="1"/>
    <col min="16" max="16" width="16.42578125" style="1" customWidth="1"/>
    <col min="17" max="17" width="14.5703125" style="1" customWidth="1"/>
    <col min="18" max="18" width="16.140625" style="1" customWidth="1"/>
    <col min="19" max="19" width="14" style="1" customWidth="1"/>
    <col min="20" max="20" width="12" style="1" customWidth="1"/>
    <col min="21" max="21" width="12.140625" style="1" customWidth="1"/>
    <col min="22" max="23" width="12" style="1" customWidth="1"/>
    <col min="24" max="24" width="12.5703125" style="1" customWidth="1"/>
    <col min="25" max="25" width="9.28515625" style="1" bestFit="1" customWidth="1"/>
    <col min="26" max="26" width="14.28515625" style="1" customWidth="1"/>
    <col min="27" max="27" width="12.5703125" style="1" customWidth="1"/>
    <col min="28" max="28" width="16.28515625" style="1" customWidth="1"/>
    <col min="29" max="29" width="11.5703125" style="1" bestFit="1" customWidth="1"/>
    <col min="30" max="30" width="9.28515625" style="1" bestFit="1" customWidth="1"/>
    <col min="31" max="31" width="9.140625" style="1"/>
    <col min="32" max="32" width="16.28515625" style="1" customWidth="1"/>
    <col min="33" max="33" width="10.7109375" style="1" customWidth="1"/>
    <col min="34" max="34" width="10" style="1" customWidth="1"/>
    <col min="35" max="16384" width="9.140625" style="1"/>
  </cols>
  <sheetData>
    <row r="1" spans="1:39" ht="15.75" outlineLevel="1" x14ac:dyDescent="0.2">
      <c r="A1" s="1"/>
      <c r="AD1" s="46" t="s">
        <v>2600</v>
      </c>
    </row>
    <row r="2" spans="1:39" ht="15.75" outlineLevel="1" x14ac:dyDescent="0.2">
      <c r="A2" s="1"/>
      <c r="AD2" s="46" t="s">
        <v>438</v>
      </c>
    </row>
    <row r="3" spans="1:39" ht="15.75" outlineLevel="1" x14ac:dyDescent="0.2">
      <c r="A3" s="1"/>
      <c r="AD3" s="46" t="s">
        <v>497</v>
      </c>
    </row>
    <row r="4" spans="1:39" ht="39.75" customHeight="1" x14ac:dyDescent="0.3">
      <c r="B4" s="848" t="s">
        <v>1393</v>
      </c>
      <c r="C4" s="848"/>
      <c r="D4" s="848"/>
      <c r="E4" s="848"/>
      <c r="F4" s="848"/>
      <c r="G4" s="848"/>
      <c r="H4" s="848"/>
      <c r="I4" s="848"/>
      <c r="J4" s="848"/>
      <c r="K4" s="848"/>
      <c r="L4" s="848"/>
      <c r="M4" s="848"/>
      <c r="N4" s="848"/>
      <c r="O4" s="848"/>
      <c r="P4" s="848"/>
      <c r="Q4" s="848"/>
      <c r="R4" s="848"/>
      <c r="S4" s="848"/>
      <c r="T4" s="848"/>
      <c r="U4" s="848"/>
      <c r="V4" s="848"/>
      <c r="W4" s="848"/>
      <c r="X4" s="848"/>
      <c r="Y4" s="848"/>
      <c r="Z4" s="848"/>
      <c r="AA4" s="848"/>
      <c r="AB4" s="848"/>
      <c r="AC4" s="848"/>
      <c r="AD4" s="848"/>
      <c r="AE4" s="848"/>
      <c r="AF4" s="848"/>
      <c r="AG4" s="848"/>
      <c r="AH4" s="848"/>
    </row>
    <row r="6" spans="1:39" ht="12.75" customHeight="1" x14ac:dyDescent="0.2">
      <c r="A6" s="846" t="s">
        <v>1493</v>
      </c>
      <c r="B6" s="847" t="s">
        <v>1494</v>
      </c>
      <c r="C6" s="847" t="s">
        <v>119</v>
      </c>
      <c r="D6" s="847" t="s">
        <v>210</v>
      </c>
      <c r="E6" s="847"/>
      <c r="F6" s="847"/>
      <c r="G6" s="847"/>
      <c r="H6" s="847"/>
      <c r="I6" s="847"/>
      <c r="J6" s="847"/>
      <c r="K6" s="847"/>
      <c r="L6" s="847"/>
      <c r="M6" s="847"/>
      <c r="N6" s="847" t="s">
        <v>1464</v>
      </c>
      <c r="O6" s="847"/>
      <c r="P6" s="847"/>
      <c r="Q6" s="847"/>
      <c r="R6" s="847"/>
      <c r="S6" s="847" t="s">
        <v>1468</v>
      </c>
      <c r="T6" s="847"/>
      <c r="U6" s="847"/>
      <c r="V6" s="847" t="s">
        <v>430</v>
      </c>
      <c r="W6" s="847"/>
      <c r="X6" s="847"/>
      <c r="Y6" s="847" t="s">
        <v>448</v>
      </c>
      <c r="Z6" s="847"/>
      <c r="AA6" s="847"/>
      <c r="AB6" s="847"/>
      <c r="AC6" s="847"/>
      <c r="AD6" s="847"/>
      <c r="AE6" s="847"/>
      <c r="AF6" s="847"/>
      <c r="AG6" s="847"/>
      <c r="AH6" s="847"/>
      <c r="AI6" s="26"/>
      <c r="AJ6" s="26"/>
      <c r="AK6" s="26"/>
      <c r="AL6" s="26"/>
    </row>
    <row r="7" spans="1:39" ht="12.75" customHeight="1" x14ac:dyDescent="0.2">
      <c r="A7" s="846"/>
      <c r="B7" s="847"/>
      <c r="C7" s="847"/>
      <c r="D7" s="847" t="s">
        <v>1465</v>
      </c>
      <c r="E7" s="847"/>
      <c r="F7" s="847"/>
      <c r="G7" s="847"/>
      <c r="H7" s="847" t="s">
        <v>1066</v>
      </c>
      <c r="I7" s="847"/>
      <c r="J7" s="847"/>
      <c r="K7" s="847"/>
      <c r="L7" s="847"/>
      <c r="M7" s="850" t="s">
        <v>1067</v>
      </c>
      <c r="N7" s="847" t="s">
        <v>1394</v>
      </c>
      <c r="O7" s="847"/>
      <c r="P7" s="847"/>
      <c r="Q7" s="847"/>
      <c r="R7" s="847"/>
      <c r="S7" s="847" t="s">
        <v>1394</v>
      </c>
      <c r="T7" s="847" t="s">
        <v>440</v>
      </c>
      <c r="U7" s="847"/>
      <c r="V7" s="847" t="s">
        <v>1394</v>
      </c>
      <c r="W7" s="847" t="s">
        <v>440</v>
      </c>
      <c r="X7" s="847"/>
      <c r="Y7" s="847" t="s">
        <v>1465</v>
      </c>
      <c r="Z7" s="847"/>
      <c r="AA7" s="847"/>
      <c r="AB7" s="847"/>
      <c r="AC7" s="847" t="s">
        <v>1066</v>
      </c>
      <c r="AD7" s="847"/>
      <c r="AE7" s="847"/>
      <c r="AF7" s="847"/>
      <c r="AG7" s="847"/>
      <c r="AH7" s="850" t="s">
        <v>1067</v>
      </c>
    </row>
    <row r="8" spans="1:39" ht="63.75" customHeight="1" x14ac:dyDescent="0.2">
      <c r="A8" s="846"/>
      <c r="B8" s="847"/>
      <c r="C8" s="847"/>
      <c r="D8" s="3" t="s">
        <v>1068</v>
      </c>
      <c r="E8" s="3" t="s">
        <v>1069</v>
      </c>
      <c r="F8" s="3" t="s">
        <v>1070</v>
      </c>
      <c r="G8" s="3" t="s">
        <v>1071</v>
      </c>
      <c r="H8" s="3" t="s">
        <v>1068</v>
      </c>
      <c r="I8" s="3" t="s">
        <v>1069</v>
      </c>
      <c r="J8" s="3" t="s">
        <v>1072</v>
      </c>
      <c r="K8" s="3" t="s">
        <v>1073</v>
      </c>
      <c r="L8" s="3" t="s">
        <v>1074</v>
      </c>
      <c r="M8" s="850"/>
      <c r="N8" s="3" t="s">
        <v>466</v>
      </c>
      <c r="O8" s="3" t="s">
        <v>1075</v>
      </c>
      <c r="P8" s="3" t="s">
        <v>1076</v>
      </c>
      <c r="Q8" s="3" t="s">
        <v>1077</v>
      </c>
      <c r="R8" s="3" t="s">
        <v>1078</v>
      </c>
      <c r="S8" s="847"/>
      <c r="T8" s="3" t="s">
        <v>456</v>
      </c>
      <c r="U8" s="3" t="s">
        <v>457</v>
      </c>
      <c r="V8" s="847"/>
      <c r="W8" s="3" t="s">
        <v>456</v>
      </c>
      <c r="X8" s="3" t="s">
        <v>457</v>
      </c>
      <c r="Y8" s="3" t="s">
        <v>1068</v>
      </c>
      <c r="Z8" s="3" t="s">
        <v>1069</v>
      </c>
      <c r="AA8" s="3" t="s">
        <v>1070</v>
      </c>
      <c r="AB8" s="3" t="s">
        <v>1071</v>
      </c>
      <c r="AC8" s="3" t="s">
        <v>1068</v>
      </c>
      <c r="AD8" s="3" t="s">
        <v>1069</v>
      </c>
      <c r="AE8" s="3" t="s">
        <v>1072</v>
      </c>
      <c r="AF8" s="3" t="s">
        <v>1073</v>
      </c>
      <c r="AG8" s="3" t="s">
        <v>1074</v>
      </c>
      <c r="AH8" s="850"/>
    </row>
    <row r="9" spans="1:39" ht="21.75" customHeight="1" x14ac:dyDescent="0.2">
      <c r="A9" s="60">
        <v>1</v>
      </c>
      <c r="B9" s="3" t="s">
        <v>129</v>
      </c>
      <c r="C9" s="3" t="s">
        <v>160</v>
      </c>
      <c r="D9" s="3" t="s">
        <v>99</v>
      </c>
      <c r="E9" s="3" t="s">
        <v>1472</v>
      </c>
      <c r="F9" s="3" t="s">
        <v>1473</v>
      </c>
      <c r="G9" s="3" t="s">
        <v>1474</v>
      </c>
      <c r="H9" s="3" t="s">
        <v>1475</v>
      </c>
      <c r="I9" s="3" t="s">
        <v>1476</v>
      </c>
      <c r="J9" s="3" t="s">
        <v>1477</v>
      </c>
      <c r="K9" s="3" t="s">
        <v>1478</v>
      </c>
      <c r="L9" s="3" t="s">
        <v>1479</v>
      </c>
      <c r="M9" s="3" t="s">
        <v>1480</v>
      </c>
      <c r="N9" s="3" t="s">
        <v>1481</v>
      </c>
      <c r="O9" s="3" t="s">
        <v>1482</v>
      </c>
      <c r="P9" s="3" t="s">
        <v>1483</v>
      </c>
      <c r="Q9" s="3" t="s">
        <v>1484</v>
      </c>
      <c r="R9" s="3" t="s">
        <v>1485</v>
      </c>
      <c r="S9" s="3" t="s">
        <v>1486</v>
      </c>
      <c r="T9" s="3" t="s">
        <v>1487</v>
      </c>
      <c r="U9" s="3" t="s">
        <v>1488</v>
      </c>
      <c r="V9" s="3" t="s">
        <v>1489</v>
      </c>
      <c r="W9" s="3" t="s">
        <v>1490</v>
      </c>
      <c r="X9" s="3" t="s">
        <v>1491</v>
      </c>
      <c r="Y9" s="3" t="s">
        <v>1492</v>
      </c>
      <c r="Z9" s="3" t="s">
        <v>205</v>
      </c>
      <c r="AA9" s="3" t="s">
        <v>1495</v>
      </c>
      <c r="AB9" s="3" t="s">
        <v>1496</v>
      </c>
      <c r="AC9" s="3" t="s">
        <v>1497</v>
      </c>
      <c r="AD9" s="3" t="s">
        <v>1498</v>
      </c>
      <c r="AE9" s="3" t="s">
        <v>214</v>
      </c>
      <c r="AF9" s="3" t="s">
        <v>1499</v>
      </c>
      <c r="AG9" s="3" t="s">
        <v>1500</v>
      </c>
      <c r="AH9" s="3" t="s">
        <v>1501</v>
      </c>
    </row>
    <row r="10" spans="1:39" ht="15.75" x14ac:dyDescent="0.2">
      <c r="A10" s="60">
        <v>2</v>
      </c>
      <c r="B10" s="18"/>
      <c r="C10" s="18" t="str">
        <f>'Утв. ИП 2014-2019'!C15</f>
        <v>ВСЕГО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>
        <f>'Утв. ИП 2014-2019'!V15</f>
        <v>464.70000000000005</v>
      </c>
      <c r="O10" s="17">
        <f>O11+O43+O116</f>
        <v>20.499750000000002</v>
      </c>
      <c r="P10" s="17">
        <f>P11+P43+P116</f>
        <v>257.97555</v>
      </c>
      <c r="Q10" s="17">
        <f>Q11+Q43+Q116</f>
        <v>45.032699999999991</v>
      </c>
      <c r="R10" s="17">
        <f>R11+R43+R116</f>
        <v>141.19199999999995</v>
      </c>
      <c r="S10" s="17">
        <f>'Утв. ИП 2014-2019'!V15</f>
        <v>464.70000000000005</v>
      </c>
      <c r="T10" s="17">
        <f>T11+T43+T116</f>
        <v>151.089</v>
      </c>
      <c r="U10" s="17">
        <f>U11+U43+U116</f>
        <v>313.61099999999999</v>
      </c>
      <c r="V10" s="17">
        <f>'Утв. ИП 2014-2019'!AJ15</f>
        <v>491.36194999999992</v>
      </c>
      <c r="W10" s="17">
        <f>W11+W43+W116</f>
        <v>199.06971249999998</v>
      </c>
      <c r="X10" s="17">
        <f>X11+X43+X116</f>
        <v>292.2922375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1:39" s="42" customFormat="1" ht="25.5" x14ac:dyDescent="0.2">
      <c r="A11" s="39">
        <f>A10+1</f>
        <v>3</v>
      </c>
      <c r="B11" s="39" t="str">
        <f>'Утв. ИП 2014-2019'!B16</f>
        <v>1</v>
      </c>
      <c r="C11" s="40" t="str">
        <f>'Утв. ИП 2014-2019'!C16</f>
        <v>Техническое перевооружение и реконструкция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f>'Утв. ИП 2014-2019'!V16</f>
        <v>112.75</v>
      </c>
      <c r="O11" s="41">
        <f>O12+O32+O36</f>
        <v>2.97925</v>
      </c>
      <c r="P11" s="41">
        <f>P12+P32+P36</f>
        <v>65.202449999999999</v>
      </c>
      <c r="Q11" s="41">
        <f>Q12+Q32+Q36</f>
        <v>44.568299999999994</v>
      </c>
      <c r="R11" s="41">
        <f>R12+R32+R36</f>
        <v>0</v>
      </c>
      <c r="S11" s="41">
        <f>'Утв. ИП 2014-2019'!V16</f>
        <v>112.75</v>
      </c>
      <c r="T11" s="41">
        <f>T12+T32+T36</f>
        <v>11.274999999999999</v>
      </c>
      <c r="U11" s="41">
        <f>U12+U32+U36</f>
        <v>101.47499999999999</v>
      </c>
      <c r="V11" s="41">
        <f>'Утв. ИП 2014-2019'!AJ16</f>
        <v>0.89500000000000002</v>
      </c>
      <c r="W11" s="41">
        <f>W12+W32+W36</f>
        <v>0</v>
      </c>
      <c r="X11" s="41">
        <f>X12+X32+X36</f>
        <v>0.89500000000000002</v>
      </c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9" s="53" customFormat="1" ht="25.5" x14ac:dyDescent="0.2">
      <c r="A12" s="28">
        <f>A11+1</f>
        <v>4</v>
      </c>
      <c r="B12" s="28" t="str">
        <f>'Утв. ИП 2014-2019'!B17</f>
        <v>1.1</v>
      </c>
      <c r="C12" s="29" t="str">
        <f>'Утв. ИП 2014-2019'!C17</f>
        <v>Энергосбережение и повышение энергетической эффективности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>
        <f>'Утв. ИП 2014-2019'!V17</f>
        <v>111.5</v>
      </c>
      <c r="O12" s="31">
        <f>O13+O22+O25</f>
        <v>2.97925</v>
      </c>
      <c r="P12" s="31">
        <f>P13+P22+P25</f>
        <v>65.112449999999995</v>
      </c>
      <c r="Q12" s="31">
        <f>Q13+Q22+Q25</f>
        <v>43.408299999999997</v>
      </c>
      <c r="R12" s="31">
        <f>R13+R22+R25</f>
        <v>0</v>
      </c>
      <c r="S12" s="31">
        <f>'Утв. ИП 2014-2019'!V17</f>
        <v>111.5</v>
      </c>
      <c r="T12" s="31">
        <f>T13+T22+T25</f>
        <v>11.149999999999999</v>
      </c>
      <c r="U12" s="31">
        <f>U13+U22+U25</f>
        <v>100.35</v>
      </c>
      <c r="V12" s="31">
        <f>'Утв. ИП 2014-2019'!AJ17</f>
        <v>9.5000000000000001E-2</v>
      </c>
      <c r="W12" s="31">
        <f>W13+W22+W25</f>
        <v>0</v>
      </c>
      <c r="X12" s="31">
        <f>X13+X22+X25</f>
        <v>9.5000000000000001E-2</v>
      </c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63"/>
      <c r="AJ12" s="63"/>
      <c r="AK12" s="63"/>
      <c r="AL12" s="63"/>
      <c r="AM12" s="55"/>
    </row>
    <row r="13" spans="1:39" s="53" customFormat="1" x14ac:dyDescent="0.2">
      <c r="A13" s="28">
        <f>A12+1</f>
        <v>5</v>
      </c>
      <c r="B13" s="28" t="str">
        <f>'Утв. ИП 2014-2019'!B18</f>
        <v>1.1.1</v>
      </c>
      <c r="C13" s="29" t="str">
        <f>'Утв. ИП 2014-2019'!C18</f>
        <v>Сети среднего напряжения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>
        <f>'Утв. ИП 2014-2019'!V18</f>
        <v>59.519999999999996</v>
      </c>
      <c r="O13" s="31">
        <f>SUM(O14:O21)</f>
        <v>2.9712499999999999</v>
      </c>
      <c r="P13" s="31">
        <f>SUM(P14:P21)</f>
        <v>33.929250000000003</v>
      </c>
      <c r="Q13" s="31">
        <f>SUM(Q14:Q21)</f>
        <v>22.619500000000002</v>
      </c>
      <c r="R13" s="31">
        <f>SUM(R14:R21)</f>
        <v>0</v>
      </c>
      <c r="S13" s="31">
        <f>'Утв. ИП 2014-2019'!V18</f>
        <v>59.519999999999996</v>
      </c>
      <c r="T13" s="31">
        <f>SUM(T14:T21)</f>
        <v>5.952</v>
      </c>
      <c r="U13" s="31">
        <f>SUM(U14:U21)</f>
        <v>53.567999999999998</v>
      </c>
      <c r="V13" s="31">
        <f>'Утв. ИП 2014-2019'!AJ18</f>
        <v>9.5000000000000001E-2</v>
      </c>
      <c r="W13" s="31">
        <f>SUM(W14:W21)</f>
        <v>0</v>
      </c>
      <c r="X13" s="31">
        <f>SUM(X14:X21)</f>
        <v>9.5000000000000001E-2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63"/>
      <c r="AJ13" s="63"/>
      <c r="AK13" s="63"/>
      <c r="AL13" s="63"/>
      <c r="AM13" s="55"/>
    </row>
    <row r="14" spans="1:39" s="2" customFormat="1" ht="51.75" customHeight="1" x14ac:dyDescent="0.2">
      <c r="A14" s="6">
        <f>A13+1</f>
        <v>6</v>
      </c>
      <c r="B14" s="114" t="str">
        <f>'Утв. ИП 2014-2019'!B19</f>
        <v>1.1.1.1</v>
      </c>
      <c r="C14" s="7" t="str">
        <f>'Утв. ИП 2014-2019'!C19</f>
        <v>Реконструкция ВЛ-35 кВ от ПС "Цементная" до ПС "Студеновская" со строительством канала связи</v>
      </c>
      <c r="D14" s="5"/>
      <c r="E14" s="5"/>
      <c r="F14" s="5"/>
      <c r="G14" s="5"/>
      <c r="H14" s="23">
        <v>1967</v>
      </c>
      <c r="I14" s="23">
        <v>45</v>
      </c>
      <c r="J14" s="23" t="s">
        <v>84</v>
      </c>
      <c r="K14" s="23" t="s">
        <v>198</v>
      </c>
      <c r="L14" s="23">
        <v>5.53</v>
      </c>
      <c r="M14" s="5"/>
      <c r="N14" s="5">
        <f>'Утв. ИП 2014-2019'!V19</f>
        <v>59.424999999999997</v>
      </c>
      <c r="O14" s="5">
        <f>N14*0.05</f>
        <v>2.9712499999999999</v>
      </c>
      <c r="P14" s="5">
        <f>(N14-O14)*0.6</f>
        <v>33.872250000000001</v>
      </c>
      <c r="Q14" s="5">
        <f>(N14-O14)*0.4</f>
        <v>22.581500000000002</v>
      </c>
      <c r="R14" s="5">
        <f t="shared" ref="R14:R21" si="0">N14-O14-P14-Q14</f>
        <v>0</v>
      </c>
      <c r="S14" s="92">
        <f>'Утв. ИП 2014-2019'!V19</f>
        <v>59.424999999999997</v>
      </c>
      <c r="T14" s="92">
        <f>0.1*S14</f>
        <v>5.9424999999999999</v>
      </c>
      <c r="U14" s="92">
        <f>S14-T14</f>
        <v>53.482499999999995</v>
      </c>
      <c r="V14" s="5">
        <f>'Утв. ИП 2014-2019'!AJ19</f>
        <v>0</v>
      </c>
      <c r="W14" s="5"/>
      <c r="X14" s="5">
        <f>V14</f>
        <v>0</v>
      </c>
      <c r="Y14" s="5"/>
      <c r="Z14" s="5"/>
      <c r="AA14" s="5"/>
      <c r="AB14" s="5"/>
      <c r="AC14" s="23">
        <f>'Утв. ИП 2014-2019'!G19</f>
        <v>2020</v>
      </c>
      <c r="AD14" s="23">
        <v>30</v>
      </c>
      <c r="AE14" s="5" t="s">
        <v>212</v>
      </c>
      <c r="AF14" s="5" t="s">
        <v>199</v>
      </c>
      <c r="AG14" s="5">
        <f>'Утв. ИП 2014-2019'!AY19</f>
        <v>0</v>
      </c>
      <c r="AH14" s="5"/>
      <c r="AI14" s="47"/>
      <c r="AJ14" s="47"/>
      <c r="AK14" s="47"/>
      <c r="AL14" s="47"/>
    </row>
    <row r="15" spans="1:39" s="2" customFormat="1" ht="38.25" hidden="1" outlineLevel="1" x14ac:dyDescent="0.2">
      <c r="A15" s="6"/>
      <c r="B15" s="114" t="str">
        <f>'Утв. ИП 2014-2019'!B20</f>
        <v>1.1.1.2</v>
      </c>
      <c r="C15" s="7" t="str">
        <f>'Утв. ИП 2014-2019'!C20</f>
        <v xml:space="preserve">Реконструкция КЛ-10 кВ от РП-15 яч. 10 до ТП-505 яч. 4 (инв. № 340869) </v>
      </c>
      <c r="D15" s="5"/>
      <c r="E15" s="5"/>
      <c r="F15" s="5"/>
      <c r="G15" s="5"/>
      <c r="H15" s="23">
        <v>1975</v>
      </c>
      <c r="I15" s="23">
        <v>30</v>
      </c>
      <c r="J15" s="23"/>
      <c r="K15" s="23" t="s">
        <v>200</v>
      </c>
      <c r="L15" s="23">
        <v>0.7</v>
      </c>
      <c r="M15" s="5"/>
      <c r="N15" s="5">
        <f>'Утв. ИП 2014-2019'!V20</f>
        <v>0</v>
      </c>
      <c r="O15" s="5"/>
      <c r="P15" s="5">
        <f>N15*0.6</f>
        <v>0</v>
      </c>
      <c r="Q15" s="5">
        <f>N15*0.4</f>
        <v>0</v>
      </c>
      <c r="R15" s="5">
        <f t="shared" si="0"/>
        <v>0</v>
      </c>
      <c r="S15" s="92">
        <f>'Утв. ИП 2014-2019'!V20</f>
        <v>0</v>
      </c>
      <c r="T15" s="92">
        <f t="shared" ref="T15:T23" si="1">0.1*S15</f>
        <v>0</v>
      </c>
      <c r="U15" s="92">
        <f t="shared" ref="U15:U21" si="2">S15-T15</f>
        <v>0</v>
      </c>
      <c r="V15" s="5">
        <f>'Утв. ИП 2014-2019'!AJ20</f>
        <v>0</v>
      </c>
      <c r="W15" s="5"/>
      <c r="X15" s="5">
        <f t="shared" ref="X15:X21" si="3">V15</f>
        <v>0</v>
      </c>
      <c r="Y15" s="5"/>
      <c r="Z15" s="5"/>
      <c r="AA15" s="5"/>
      <c r="AB15" s="5"/>
      <c r="AC15" s="23">
        <f>'Утв. ИП 2014-2019'!G20</f>
        <v>2014</v>
      </c>
      <c r="AD15" s="23">
        <v>30</v>
      </c>
      <c r="AE15" s="5" t="s">
        <v>212</v>
      </c>
      <c r="AF15" s="5" t="s">
        <v>200</v>
      </c>
      <c r="AG15" s="5">
        <f>'Утв. ИП 2014-2019'!AY20</f>
        <v>0.56899999999999995</v>
      </c>
      <c r="AH15" s="5"/>
      <c r="AI15" s="47"/>
      <c r="AJ15" s="47"/>
      <c r="AK15" s="47"/>
      <c r="AL15" s="47"/>
    </row>
    <row r="16" spans="1:39" s="2" customFormat="1" ht="38.25" hidden="1" outlineLevel="1" x14ac:dyDescent="0.2">
      <c r="A16" s="6"/>
      <c r="B16" s="114" t="str">
        <f>'Утв. ИП 2014-2019'!B21</f>
        <v>1.1.1.3</v>
      </c>
      <c r="C16" s="7" t="str">
        <f>'Утв. ИП 2014-2019'!C21</f>
        <v>Реконструкция ВЛ 6 кВ РП-25 – ТП-404 с монтажем РЛНД на отпайке в сторону ТП-429</v>
      </c>
      <c r="D16" s="5"/>
      <c r="E16" s="5"/>
      <c r="F16" s="5"/>
      <c r="G16" s="5"/>
      <c r="H16" s="23">
        <v>1959</v>
      </c>
      <c r="I16" s="8">
        <v>25</v>
      </c>
      <c r="J16" s="23" t="s">
        <v>201</v>
      </c>
      <c r="K16" s="8" t="s">
        <v>943</v>
      </c>
      <c r="L16" s="23">
        <v>2.2000000000000002</v>
      </c>
      <c r="M16" s="5"/>
      <c r="N16" s="5">
        <f>'Утв. ИП 2014-2019'!V21</f>
        <v>0</v>
      </c>
      <c r="O16" s="5">
        <f>N16*0.1</f>
        <v>0</v>
      </c>
      <c r="P16" s="5">
        <f>(N16-O16)*0.6</f>
        <v>0</v>
      </c>
      <c r="Q16" s="5">
        <f>(N16-O16)*0.4</f>
        <v>0</v>
      </c>
      <c r="R16" s="5">
        <f t="shared" si="0"/>
        <v>0</v>
      </c>
      <c r="S16" s="92">
        <f>'Утв. ИП 2014-2019'!V21</f>
        <v>0</v>
      </c>
      <c r="T16" s="92">
        <f t="shared" si="1"/>
        <v>0</v>
      </c>
      <c r="U16" s="92">
        <f t="shared" si="2"/>
        <v>0</v>
      </c>
      <c r="V16" s="5">
        <f>'Утв. ИП 2014-2019'!AJ21</f>
        <v>0</v>
      </c>
      <c r="W16" s="5"/>
      <c r="X16" s="5">
        <f t="shared" si="3"/>
        <v>0</v>
      </c>
      <c r="Y16" s="5"/>
      <c r="Z16" s="5"/>
      <c r="AA16" s="5"/>
      <c r="AB16" s="5"/>
      <c r="AC16" s="23">
        <f>'Утв. ИП 2014-2019'!G21</f>
        <v>2016</v>
      </c>
      <c r="AD16" s="23">
        <v>25</v>
      </c>
      <c r="AE16" s="5" t="s">
        <v>201</v>
      </c>
      <c r="AF16" s="8" t="s">
        <v>943</v>
      </c>
      <c r="AG16" s="5">
        <f>'Утв. ИП 2014-2019'!AY21</f>
        <v>0</v>
      </c>
      <c r="AH16" s="5"/>
      <c r="AI16" s="47"/>
      <c r="AJ16" s="47"/>
      <c r="AK16" s="47"/>
      <c r="AL16" s="47"/>
    </row>
    <row r="17" spans="1:39" s="2" customFormat="1" ht="51" hidden="1" outlineLevel="1" x14ac:dyDescent="0.2">
      <c r="A17" s="6"/>
      <c r="B17" s="114" t="str">
        <f>'Утв. ИП 2014-2019'!B22</f>
        <v>1.1.1.4</v>
      </c>
      <c r="C17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D17" s="5"/>
      <c r="E17" s="5"/>
      <c r="F17" s="5"/>
      <c r="G17" s="5"/>
      <c r="H17" s="23">
        <v>1973</v>
      </c>
      <c r="I17" s="8">
        <v>25</v>
      </c>
      <c r="J17" s="23" t="s">
        <v>201</v>
      </c>
      <c r="K17" s="8" t="s">
        <v>943</v>
      </c>
      <c r="L17" s="23">
        <v>0.5</v>
      </c>
      <c r="M17" s="5"/>
      <c r="N17" s="5">
        <f>'Утв. ИП 2014-2019'!V22</f>
        <v>0</v>
      </c>
      <c r="O17" s="5">
        <f>N17*0.1</f>
        <v>0</v>
      </c>
      <c r="P17" s="5">
        <f>(N17-O17)*0.6</f>
        <v>0</v>
      </c>
      <c r="Q17" s="5">
        <f>(N17-O17)*0.4</f>
        <v>0</v>
      </c>
      <c r="R17" s="5">
        <f t="shared" si="0"/>
        <v>0</v>
      </c>
      <c r="S17" s="92">
        <f>'Утв. ИП 2014-2019'!V22</f>
        <v>0</v>
      </c>
      <c r="T17" s="92">
        <f t="shared" si="1"/>
        <v>0</v>
      </c>
      <c r="U17" s="92">
        <f t="shared" si="2"/>
        <v>0</v>
      </c>
      <c r="V17" s="5">
        <f>'Утв. ИП 2014-2019'!AJ22</f>
        <v>0</v>
      </c>
      <c r="W17" s="5"/>
      <c r="X17" s="5">
        <f t="shared" si="3"/>
        <v>0</v>
      </c>
      <c r="Y17" s="5"/>
      <c r="Z17" s="5"/>
      <c r="AA17" s="5"/>
      <c r="AB17" s="5"/>
      <c r="AC17" s="23">
        <f>'Утв. ИП 2014-2019'!G22</f>
        <v>2016</v>
      </c>
      <c r="AD17" s="23">
        <v>25</v>
      </c>
      <c r="AE17" s="5" t="s">
        <v>201</v>
      </c>
      <c r="AF17" s="8" t="s">
        <v>943</v>
      </c>
      <c r="AG17" s="5">
        <f>'Утв. ИП 2014-2019'!AY22</f>
        <v>0</v>
      </c>
      <c r="AH17" s="5"/>
      <c r="AI17" s="47"/>
      <c r="AJ17" s="47"/>
      <c r="AK17" s="47"/>
      <c r="AL17" s="47"/>
    </row>
    <row r="18" spans="1:39" s="2" customFormat="1" ht="38.25" hidden="1" outlineLevel="1" x14ac:dyDescent="0.2">
      <c r="A18" s="6"/>
      <c r="B18" s="114" t="str">
        <f>'Утв. ИП 2014-2019'!B23</f>
        <v>1.1.1.5</v>
      </c>
      <c r="C18" s="7" t="str">
        <f>'Утв. ИП 2014-2019'!C23</f>
        <v>Реконструкция кабельно-воздушной линии 6 кВ РП-25 яч.7 - ТП-404</v>
      </c>
      <c r="D18" s="5"/>
      <c r="E18" s="5"/>
      <c r="F18" s="5"/>
      <c r="G18" s="5"/>
      <c r="H18" s="23">
        <v>1959</v>
      </c>
      <c r="I18" s="8">
        <v>25</v>
      </c>
      <c r="J18" s="23" t="s">
        <v>201</v>
      </c>
      <c r="K18" s="8" t="s">
        <v>943</v>
      </c>
      <c r="L18" s="23">
        <v>2.2000000000000002</v>
      </c>
      <c r="M18" s="5"/>
      <c r="N18" s="5">
        <f>'Утв. ИП 2014-2019'!V23</f>
        <v>0</v>
      </c>
      <c r="O18" s="5">
        <f>N18*0.1</f>
        <v>0</v>
      </c>
      <c r="P18" s="5">
        <f>(N18-O18)*0.6</f>
        <v>0</v>
      </c>
      <c r="Q18" s="5">
        <f>(N18-O18)*0.4</f>
        <v>0</v>
      </c>
      <c r="R18" s="5">
        <f t="shared" si="0"/>
        <v>0</v>
      </c>
      <c r="S18" s="92">
        <f>'Утв. ИП 2014-2019'!V23</f>
        <v>0</v>
      </c>
      <c r="T18" s="92">
        <f t="shared" si="1"/>
        <v>0</v>
      </c>
      <c r="U18" s="92">
        <f t="shared" si="2"/>
        <v>0</v>
      </c>
      <c r="V18" s="5">
        <f>'Утв. ИП 2014-2019'!AJ23</f>
        <v>0</v>
      </c>
      <c r="W18" s="5"/>
      <c r="X18" s="5">
        <f t="shared" si="3"/>
        <v>0</v>
      </c>
      <c r="Y18" s="5"/>
      <c r="Z18" s="5"/>
      <c r="AA18" s="5"/>
      <c r="AB18" s="5"/>
      <c r="AC18" s="23">
        <f>'Утв. ИП 2014-2019'!G23</f>
        <v>2016</v>
      </c>
      <c r="AD18" s="23">
        <v>25</v>
      </c>
      <c r="AE18" s="5" t="s">
        <v>201</v>
      </c>
      <c r="AF18" s="5" t="s">
        <v>1433</v>
      </c>
      <c r="AG18" s="5">
        <f>'Утв. ИП 2014-2019'!AY23</f>
        <v>2.7770000000000001</v>
      </c>
      <c r="AH18" s="5"/>
      <c r="AI18" s="47"/>
      <c r="AJ18" s="47"/>
      <c r="AK18" s="47"/>
      <c r="AL18" s="47"/>
    </row>
    <row r="19" spans="1:39" s="2" customFormat="1" ht="38.25" hidden="1" outlineLevel="1" x14ac:dyDescent="0.2">
      <c r="A19" s="6"/>
      <c r="B19" s="114" t="str">
        <f>'Утв. ИП 2014-2019'!B24</f>
        <v>1.1.1.6</v>
      </c>
      <c r="C19" s="7" t="str">
        <f>'Утв. ИП 2014-2019'!C24</f>
        <v>Реконструкция КЛ-6 кВ РП-8 яч.7 - ТП-414</v>
      </c>
      <c r="D19" s="5"/>
      <c r="E19" s="5"/>
      <c r="F19" s="5"/>
      <c r="G19" s="5"/>
      <c r="H19" s="23">
        <v>1956</v>
      </c>
      <c r="I19" s="8">
        <v>30</v>
      </c>
      <c r="J19" s="23" t="s">
        <v>212</v>
      </c>
      <c r="K19" s="8" t="s">
        <v>1443</v>
      </c>
      <c r="L19" s="23">
        <v>0.9</v>
      </c>
      <c r="M19" s="5"/>
      <c r="N19" s="5">
        <f>'Утв. ИП 2014-2019'!V24</f>
        <v>0</v>
      </c>
      <c r="O19" s="5">
        <f>N19*0.1</f>
        <v>0</v>
      </c>
      <c r="P19" s="5">
        <f>(N19-O19)*0.6</f>
        <v>0</v>
      </c>
      <c r="Q19" s="5">
        <f>(N19-O19)*0.4</f>
        <v>0</v>
      </c>
      <c r="R19" s="5">
        <f t="shared" si="0"/>
        <v>0</v>
      </c>
      <c r="S19" s="92">
        <f>'Утв. ИП 2014-2019'!V24</f>
        <v>0</v>
      </c>
      <c r="T19" s="92">
        <f t="shared" si="1"/>
        <v>0</v>
      </c>
      <c r="U19" s="92">
        <f t="shared" si="2"/>
        <v>0</v>
      </c>
      <c r="V19" s="5">
        <f>'Утв. ИП 2014-2019'!AJ24</f>
        <v>0</v>
      </c>
      <c r="W19" s="5"/>
      <c r="X19" s="5">
        <f t="shared" si="3"/>
        <v>0</v>
      </c>
      <c r="Y19" s="5"/>
      <c r="Z19" s="5"/>
      <c r="AA19" s="5"/>
      <c r="AB19" s="5"/>
      <c r="AC19" s="23">
        <f>'Утв. ИП 2014-2019'!G24</f>
        <v>2016</v>
      </c>
      <c r="AD19" s="23">
        <v>30</v>
      </c>
      <c r="AE19" s="5" t="s">
        <v>212</v>
      </c>
      <c r="AF19" s="5" t="s">
        <v>1389</v>
      </c>
      <c r="AG19" s="5">
        <f>'Утв. ИП 2014-2019'!AY24</f>
        <v>1.712</v>
      </c>
      <c r="AH19" s="5"/>
      <c r="AI19" s="47"/>
      <c r="AJ19" s="47"/>
      <c r="AK19" s="47"/>
      <c r="AL19" s="47"/>
    </row>
    <row r="20" spans="1:39" s="2" customFormat="1" ht="38.25" hidden="1" outlineLevel="1" x14ac:dyDescent="0.2">
      <c r="A20" s="6">
        <f>A14+1</f>
        <v>7</v>
      </c>
      <c r="B20" s="114" t="str">
        <f>'Утв. ИП 2014-2019'!B25</f>
        <v>1.1.1.7</v>
      </c>
      <c r="C20" s="7" t="str">
        <f>'Утв. ИП 2014-2019'!C25</f>
        <v>Реконструкция КЛ-6 кВ РП-25 яч.9 - ТП-402</v>
      </c>
      <c r="D20" s="5"/>
      <c r="E20" s="5"/>
      <c r="F20" s="5"/>
      <c r="G20" s="5"/>
      <c r="H20" s="23">
        <v>1993</v>
      </c>
      <c r="I20" s="8">
        <v>30</v>
      </c>
      <c r="J20" s="23" t="s">
        <v>212</v>
      </c>
      <c r="K20" s="8" t="s">
        <v>1444</v>
      </c>
      <c r="L20" s="23">
        <v>0.8</v>
      </c>
      <c r="M20" s="5"/>
      <c r="N20" s="5">
        <f>'Утв. ИП 2014-2019'!V25</f>
        <v>0</v>
      </c>
      <c r="O20" s="5">
        <f>N20*0.1</f>
        <v>0</v>
      </c>
      <c r="P20" s="5">
        <f>(N20-O20)*0.6</f>
        <v>0</v>
      </c>
      <c r="Q20" s="5">
        <f>(N20-O20)*0.4</f>
        <v>0</v>
      </c>
      <c r="R20" s="5">
        <f t="shared" si="0"/>
        <v>0</v>
      </c>
      <c r="S20" s="92">
        <f>'Утв. ИП 2014-2019'!V25</f>
        <v>0</v>
      </c>
      <c r="T20" s="92">
        <f t="shared" si="1"/>
        <v>0</v>
      </c>
      <c r="U20" s="92">
        <f t="shared" si="2"/>
        <v>0</v>
      </c>
      <c r="V20" s="5">
        <f>'Утв. ИП 2014-2019'!AJ25</f>
        <v>0</v>
      </c>
      <c r="W20" s="5"/>
      <c r="X20" s="5">
        <f t="shared" si="3"/>
        <v>0</v>
      </c>
      <c r="Y20" s="5"/>
      <c r="Z20" s="5"/>
      <c r="AA20" s="5"/>
      <c r="AB20" s="5"/>
      <c r="AC20" s="23">
        <f>'Утв. ИП 2014-2019'!G25</f>
        <v>2017</v>
      </c>
      <c r="AD20" s="23">
        <v>30</v>
      </c>
      <c r="AE20" s="5" t="s">
        <v>212</v>
      </c>
      <c r="AF20" s="5" t="s">
        <v>1389</v>
      </c>
      <c r="AG20" s="5">
        <f>'Утв. ИП 2014-2019'!AY25</f>
        <v>0.8</v>
      </c>
      <c r="AH20" s="5"/>
      <c r="AI20" s="47"/>
      <c r="AJ20" s="47"/>
      <c r="AK20" s="47"/>
      <c r="AL20" s="47"/>
    </row>
    <row r="21" spans="1:39" s="2" customFormat="1" ht="38.25" collapsed="1" x14ac:dyDescent="0.2">
      <c r="A21" s="6">
        <f>A20+1</f>
        <v>8</v>
      </c>
      <c r="B21" s="114" t="str">
        <f>'Утв. ИП 2014-2019'!B26</f>
        <v>1.1.1.8</v>
      </c>
      <c r="C21" s="7" t="str">
        <f>'Утв. ИП 2014-2019'!C26</f>
        <v>Реконструкция (перезавод) КЛ-6 кВ в ТП-731 на разные секции шин</v>
      </c>
      <c r="D21" s="5"/>
      <c r="E21" s="5"/>
      <c r="F21" s="5"/>
      <c r="G21" s="5"/>
      <c r="H21" s="23">
        <v>1974</v>
      </c>
      <c r="I21" s="23">
        <v>30</v>
      </c>
      <c r="J21" s="23"/>
      <c r="K21" s="23" t="s">
        <v>200</v>
      </c>
      <c r="L21" s="23">
        <v>0.05</v>
      </c>
      <c r="M21" s="5"/>
      <c r="N21" s="5">
        <f>'Утв. ИП 2014-2019'!V26</f>
        <v>9.5000000000000001E-2</v>
      </c>
      <c r="O21" s="5"/>
      <c r="P21" s="5">
        <f>N21*0.6</f>
        <v>5.6999999999999995E-2</v>
      </c>
      <c r="Q21" s="5">
        <f>N21*0.4</f>
        <v>3.8000000000000006E-2</v>
      </c>
      <c r="R21" s="5">
        <f t="shared" si="0"/>
        <v>0</v>
      </c>
      <c r="S21" s="92">
        <f>'Утв. ИП 2014-2019'!V26</f>
        <v>9.5000000000000001E-2</v>
      </c>
      <c r="T21" s="92">
        <f t="shared" si="1"/>
        <v>9.5000000000000015E-3</v>
      </c>
      <c r="U21" s="92">
        <f t="shared" si="2"/>
        <v>8.5499999999999993E-2</v>
      </c>
      <c r="V21" s="5">
        <f>'Утв. ИП 2014-2019'!AJ26</f>
        <v>9.5000000000000001E-2</v>
      </c>
      <c r="W21" s="5"/>
      <c r="X21" s="5">
        <f t="shared" si="3"/>
        <v>9.5000000000000001E-2</v>
      </c>
      <c r="Y21" s="5"/>
      <c r="Z21" s="5"/>
      <c r="AA21" s="5"/>
      <c r="AB21" s="5"/>
      <c r="AC21" s="23">
        <f>'Утв. ИП 2014-2019'!G26</f>
        <v>2018</v>
      </c>
      <c r="AD21" s="23">
        <v>30</v>
      </c>
      <c r="AE21" s="5" t="s">
        <v>212</v>
      </c>
      <c r="AF21" s="5" t="s">
        <v>1389</v>
      </c>
      <c r="AG21" s="5">
        <f>'Утв. ИП 2014-2019'!AY26</f>
        <v>0.05</v>
      </c>
      <c r="AH21" s="5"/>
      <c r="AI21" s="47"/>
      <c r="AJ21" s="47"/>
      <c r="AK21" s="47"/>
      <c r="AL21" s="47"/>
    </row>
    <row r="22" spans="1:39" s="53" customFormat="1" x14ac:dyDescent="0.2">
      <c r="A22" s="28">
        <f>A31+1</f>
        <v>11</v>
      </c>
      <c r="B22" s="28" t="str">
        <f>'Утв. ИП 2014-2019'!B27</f>
        <v>1.1.2</v>
      </c>
      <c r="C22" s="33" t="str">
        <f>'Утв. ИП 2014-2019'!C27</f>
        <v>Сети низкого напряжения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>
        <f>'Утв. ИП 2014-2019'!V27</f>
        <v>0</v>
      </c>
      <c r="O22" s="31">
        <f>SUM(O23:O24)</f>
        <v>0</v>
      </c>
      <c r="P22" s="31">
        <f>SUM(P23:P24)</f>
        <v>0</v>
      </c>
      <c r="Q22" s="31">
        <f>SUM(Q23:Q24)</f>
        <v>0</v>
      </c>
      <c r="R22" s="31">
        <f>SUM(R23:R24)</f>
        <v>0</v>
      </c>
      <c r="S22" s="31">
        <f>'Утв. ИП 2014-2019'!V27</f>
        <v>0</v>
      </c>
      <c r="T22" s="31">
        <f>SUM(T23:T24)</f>
        <v>0</v>
      </c>
      <c r="U22" s="31">
        <f>SUM(U23:U24)</f>
        <v>0</v>
      </c>
      <c r="V22" s="31">
        <f>'Утв. ИП 2014-2019'!AJ27</f>
        <v>0</v>
      </c>
      <c r="W22" s="31">
        <f>SUM(W23:W24)</f>
        <v>0</v>
      </c>
      <c r="X22" s="31">
        <f>SUM(X23:X24)</f>
        <v>0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63"/>
      <c r="AJ22" s="63"/>
      <c r="AK22" s="63"/>
      <c r="AL22" s="63"/>
      <c r="AM22" s="55"/>
    </row>
    <row r="23" spans="1:39" s="2" customFormat="1" ht="192" hidden="1" customHeight="1" outlineLevel="1" x14ac:dyDescent="0.2">
      <c r="A23" s="6">
        <f>A22+1</f>
        <v>12</v>
      </c>
      <c r="B23" s="114" t="str">
        <f>'Утв. ИП 2014-2019'!B28</f>
        <v>1.1.2.1</v>
      </c>
      <c r="C23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3" s="48"/>
      <c r="E23" s="48"/>
      <c r="F23" s="48"/>
      <c r="G23" s="48"/>
      <c r="H23" s="23" t="s">
        <v>1390</v>
      </c>
      <c r="I23" s="23">
        <v>25</v>
      </c>
      <c r="J23" s="23" t="s">
        <v>202</v>
      </c>
      <c r="K23" s="23" t="s">
        <v>1469</v>
      </c>
      <c r="L23" s="23">
        <v>20</v>
      </c>
      <c r="M23" s="48"/>
      <c r="N23" s="5">
        <f>'Утв. ИП 2014-2019'!V28</f>
        <v>0</v>
      </c>
      <c r="O23" s="48"/>
      <c r="P23" s="5">
        <f>N23*0.6</f>
        <v>0</v>
      </c>
      <c r="Q23" s="5">
        <f>N23*0.4</f>
        <v>0</v>
      </c>
      <c r="R23" s="5">
        <f>N23-O23-P23-Q23</f>
        <v>0</v>
      </c>
      <c r="S23" s="92">
        <f>'Утв. ИП 2014-2019'!V28</f>
        <v>0</v>
      </c>
      <c r="T23" s="92">
        <f t="shared" si="1"/>
        <v>0</v>
      </c>
      <c r="U23" s="92">
        <f>S23-T23</f>
        <v>0</v>
      </c>
      <c r="V23" s="5">
        <f>'Утв. ИП 2014-2019'!AJ28</f>
        <v>0</v>
      </c>
      <c r="W23" s="5"/>
      <c r="X23" s="5">
        <f t="shared" ref="X23:X28" si="4">V23</f>
        <v>0</v>
      </c>
      <c r="Y23" s="48"/>
      <c r="Z23" s="48"/>
      <c r="AA23" s="48"/>
      <c r="AB23" s="48"/>
      <c r="AC23" s="23">
        <f>'Утв. ИП 2014-2019'!G28</f>
        <v>2015</v>
      </c>
      <c r="AD23" s="49">
        <v>30</v>
      </c>
      <c r="AE23" s="5" t="s">
        <v>201</v>
      </c>
      <c r="AF23" s="5" t="s">
        <v>209</v>
      </c>
      <c r="AG23" s="5">
        <f>'Утв. ИП 2014-2019'!AY28</f>
        <v>20</v>
      </c>
      <c r="AH23" s="48"/>
      <c r="AI23" s="47"/>
      <c r="AJ23" s="47"/>
      <c r="AK23" s="47"/>
      <c r="AL23" s="47"/>
    </row>
    <row r="24" spans="1:39" s="2" customFormat="1" ht="55.5" hidden="1" customHeight="1" outlineLevel="1" x14ac:dyDescent="0.2">
      <c r="A24" s="6"/>
      <c r="B24" s="114" t="str">
        <f>'Утв. ИП 2014-2019'!B29</f>
        <v>1.1.2.2</v>
      </c>
      <c r="C24" s="7" t="str">
        <f>'Утв. ИП 2014-2019'!C29</f>
        <v>Реконструкция (перенос опоры) ВЛ-0,4 кВ по ул. Новотепличная от ТП-317 (инв. № 346211)</v>
      </c>
      <c r="D24" s="48"/>
      <c r="E24" s="48"/>
      <c r="F24" s="48"/>
      <c r="G24" s="48"/>
      <c r="H24" s="23"/>
      <c r="I24" s="23"/>
      <c r="J24" s="23"/>
      <c r="K24" s="23"/>
      <c r="L24" s="23"/>
      <c r="M24" s="48"/>
      <c r="N24" s="5">
        <f>'Утв. ИП 2014-2019'!V29</f>
        <v>0</v>
      </c>
      <c r="O24" s="115"/>
      <c r="P24" s="115">
        <f>N24*0.6</f>
        <v>0</v>
      </c>
      <c r="Q24" s="115">
        <f>N24*0.4</f>
        <v>0</v>
      </c>
      <c r="R24" s="115">
        <f>N24-O24-P24-Q24</f>
        <v>0</v>
      </c>
      <c r="S24" s="92">
        <f>'Утв. ИП 2014-2019'!V29</f>
        <v>0</v>
      </c>
      <c r="T24" s="92">
        <v>0</v>
      </c>
      <c r="U24" s="92">
        <f>S24-T24</f>
        <v>0</v>
      </c>
      <c r="V24" s="5">
        <f>'Утв. ИП 2014-2019'!AJ29</f>
        <v>0</v>
      </c>
      <c r="W24" s="5"/>
      <c r="X24" s="5">
        <f t="shared" si="4"/>
        <v>0</v>
      </c>
      <c r="Y24" s="48"/>
      <c r="Z24" s="48"/>
      <c r="AA24" s="48"/>
      <c r="AB24" s="48"/>
      <c r="AC24" s="23">
        <f>'Утв. ИП 2014-2019'!G29</f>
        <v>2015</v>
      </c>
      <c r="AD24" s="49"/>
      <c r="AE24" s="5"/>
      <c r="AF24" s="5"/>
      <c r="AG24" s="5">
        <f>'Утв. ИП 2014-2019'!AY29</f>
        <v>0</v>
      </c>
      <c r="AH24" s="48"/>
      <c r="AI24" s="47"/>
      <c r="AJ24" s="47"/>
      <c r="AK24" s="47"/>
      <c r="AL24" s="47"/>
    </row>
    <row r="25" spans="1:39" s="53" customFormat="1" ht="25.5" customHeight="1" collapsed="1" x14ac:dyDescent="0.2">
      <c r="A25" s="28" t="e">
        <f>#REF!+1</f>
        <v>#REF!</v>
      </c>
      <c r="B25" s="28" t="str">
        <f>'Утв. ИП 2014-2019'!B30</f>
        <v>1.1.3</v>
      </c>
      <c r="C25" s="29" t="str">
        <f>'Утв. ИП 2014-2019'!C30</f>
        <v>Объекты электросетевого хозяйства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>
        <f>'Утв. ИП 2014-2019'!V30</f>
        <v>51.98</v>
      </c>
      <c r="O25" s="31">
        <f>SUM(O26:O31)</f>
        <v>8.0000000000000002E-3</v>
      </c>
      <c r="P25" s="31">
        <f>SUM(P26:P31)</f>
        <v>31.183199999999996</v>
      </c>
      <c r="Q25" s="31">
        <f>SUM(Q26:Q31)</f>
        <v>20.788799999999998</v>
      </c>
      <c r="R25" s="31">
        <f>SUM(R26:R31)</f>
        <v>0</v>
      </c>
      <c r="S25" s="31">
        <f>'Утв. ИП 2014-2019'!V30</f>
        <v>51.98</v>
      </c>
      <c r="T25" s="31">
        <f>SUM(T26:T31)</f>
        <v>5.1979999999999995</v>
      </c>
      <c r="U25" s="31">
        <f>SUM(U26:U31)</f>
        <v>46.782000000000004</v>
      </c>
      <c r="V25" s="31">
        <f>'Утв. ИП 2014-2019'!AJ30</f>
        <v>0</v>
      </c>
      <c r="W25" s="31">
        <f>SUM(W26:W31)</f>
        <v>0</v>
      </c>
      <c r="X25" s="31">
        <f>SUM(X26:X31)</f>
        <v>0</v>
      </c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63"/>
      <c r="AJ25" s="63"/>
      <c r="AK25" s="63"/>
      <c r="AL25" s="63"/>
      <c r="AM25" s="55"/>
    </row>
    <row r="26" spans="1:39" s="2" customFormat="1" ht="51" x14ac:dyDescent="0.2">
      <c r="A26" s="6" t="e">
        <f>A25+1</f>
        <v>#REF!</v>
      </c>
      <c r="B26" s="6" t="str">
        <f>'Утв. ИП 2014-2019'!B31</f>
        <v>1.1.3.1</v>
      </c>
      <c r="C26" s="7" t="str">
        <f>'Утв. ИП 2014-2019'!C31</f>
        <v>Реконструкция ПС-35/6 кВ "Студеновская" (замена оборудования) (инв. № 400641, 400640, 400639, 416043А)</v>
      </c>
      <c r="D26" s="25">
        <v>1980</v>
      </c>
      <c r="E26" s="8">
        <v>25</v>
      </c>
      <c r="F26" s="25" t="s">
        <v>160</v>
      </c>
      <c r="G26" s="8" t="s">
        <v>207</v>
      </c>
      <c r="H26" s="5"/>
      <c r="I26" s="5"/>
      <c r="J26" s="5"/>
      <c r="K26" s="5"/>
      <c r="L26" s="5"/>
      <c r="M26" s="5"/>
      <c r="N26" s="5">
        <f>'Утв. ИП 2014-2019'!V31</f>
        <v>51.9</v>
      </c>
      <c r="O26" s="48"/>
      <c r="P26" s="5">
        <f>N26*0.6</f>
        <v>31.139999999999997</v>
      </c>
      <c r="Q26" s="5">
        <f>N26*0.4</f>
        <v>20.76</v>
      </c>
      <c r="R26" s="5">
        <f t="shared" ref="R26:R31" si="5">N26-O26-P26-Q26</f>
        <v>0</v>
      </c>
      <c r="S26" s="92">
        <f>'Утв. ИП 2014-2019'!V31</f>
        <v>51.9</v>
      </c>
      <c r="T26" s="92">
        <f t="shared" ref="T26:T42" si="6">0.1*S26</f>
        <v>5.19</v>
      </c>
      <c r="U26" s="92">
        <f t="shared" ref="U26:U31" si="7">S26-T26</f>
        <v>46.71</v>
      </c>
      <c r="V26" s="5">
        <f>'Утв. ИП 2014-2019'!AJ31</f>
        <v>0</v>
      </c>
      <c r="W26" s="5"/>
      <c r="X26" s="5">
        <f t="shared" si="4"/>
        <v>0</v>
      </c>
      <c r="Y26" s="23">
        <f>'Утв. ИП 2014-2019'!G31</f>
        <v>2020</v>
      </c>
      <c r="Z26" s="25" t="s">
        <v>205</v>
      </c>
      <c r="AA26" s="25">
        <v>2</v>
      </c>
      <c r="AB26" s="8" t="s">
        <v>208</v>
      </c>
      <c r="AC26" s="5"/>
      <c r="AD26" s="5"/>
      <c r="AE26" s="5"/>
      <c r="AF26" s="5"/>
      <c r="AG26" s="5"/>
      <c r="AH26" s="5"/>
    </row>
    <row r="27" spans="1:39" s="2" customFormat="1" ht="51" hidden="1" outlineLevel="1" x14ac:dyDescent="0.2">
      <c r="A27" s="6"/>
      <c r="B27" s="6" t="str">
        <f>'Утв. ИП 2014-2019'!B32</f>
        <v>1.1.3.2</v>
      </c>
      <c r="C27" s="7" t="str">
        <f>'Утв. ИП 2014-2019'!C32</f>
        <v>Реконструкция РП-30 (инв. № 400662)</v>
      </c>
      <c r="D27" s="23" t="s">
        <v>211</v>
      </c>
      <c r="E27" s="8">
        <v>25</v>
      </c>
      <c r="F27" s="25" t="s">
        <v>160</v>
      </c>
      <c r="G27" s="8" t="s">
        <v>206</v>
      </c>
      <c r="H27" s="5"/>
      <c r="I27" s="5"/>
      <c r="J27" s="5"/>
      <c r="K27" s="5"/>
      <c r="L27" s="5"/>
      <c r="M27" s="5"/>
      <c r="N27" s="5">
        <f>'Утв. ИП 2014-2019'!V32</f>
        <v>0</v>
      </c>
      <c r="O27" s="5"/>
      <c r="P27" s="5"/>
      <c r="Q27" s="5"/>
      <c r="R27" s="5">
        <f t="shared" si="5"/>
        <v>0</v>
      </c>
      <c r="S27" s="92">
        <f>'Утв. ИП 2014-2019'!V32</f>
        <v>0</v>
      </c>
      <c r="T27" s="92">
        <f t="shared" si="6"/>
        <v>0</v>
      </c>
      <c r="U27" s="92">
        <f t="shared" si="7"/>
        <v>0</v>
      </c>
      <c r="V27" s="5">
        <f>'Утв. ИП 2014-2019'!AJ32</f>
        <v>0</v>
      </c>
      <c r="W27" s="5"/>
      <c r="X27" s="5">
        <f t="shared" si="4"/>
        <v>0</v>
      </c>
      <c r="Y27" s="23">
        <f>'Утв. ИП 2014-2019'!G32</f>
        <v>2015</v>
      </c>
      <c r="Z27" s="25" t="s">
        <v>205</v>
      </c>
      <c r="AA27" s="25">
        <v>2</v>
      </c>
      <c r="AB27" s="8" t="s">
        <v>206</v>
      </c>
      <c r="AC27" s="5"/>
      <c r="AD27" s="5"/>
      <c r="AE27" s="5"/>
      <c r="AF27" s="5"/>
      <c r="AG27" s="5"/>
      <c r="AH27" s="5"/>
    </row>
    <row r="28" spans="1:39" s="2" customFormat="1" ht="51" hidden="1" outlineLevel="1" x14ac:dyDescent="0.2">
      <c r="A28" s="6" t="e">
        <f>A26+1</f>
        <v>#REF!</v>
      </c>
      <c r="B28" s="6" t="str">
        <f>'Утв. ИП 2014-2019'!B33</f>
        <v>1.1.3.3</v>
      </c>
      <c r="C28" s="7" t="str">
        <f>'Утв. ИП 2014-2019'!C33</f>
        <v>Реконструкция РП-17 водозабора № 5 (замена оборудования) (инв. № 416019А)</v>
      </c>
      <c r="D28" s="23">
        <v>1980</v>
      </c>
      <c r="E28" s="23">
        <v>25</v>
      </c>
      <c r="F28" s="5" t="s">
        <v>926</v>
      </c>
      <c r="G28" s="8" t="s">
        <v>927</v>
      </c>
      <c r="H28" s="5"/>
      <c r="I28" s="5"/>
      <c r="J28" s="5"/>
      <c r="K28" s="5"/>
      <c r="L28" s="5"/>
      <c r="M28" s="5"/>
      <c r="N28" s="5">
        <f>'Утв. ИП 2014-2019'!V33</f>
        <v>0</v>
      </c>
      <c r="O28" s="48"/>
      <c r="P28" s="5"/>
      <c r="Q28" s="5"/>
      <c r="R28" s="5">
        <f t="shared" si="5"/>
        <v>0</v>
      </c>
      <c r="S28" s="92">
        <f>'Утв. ИП 2014-2019'!V33</f>
        <v>0</v>
      </c>
      <c r="T28" s="92">
        <f t="shared" si="6"/>
        <v>0</v>
      </c>
      <c r="U28" s="92">
        <f t="shared" si="7"/>
        <v>0</v>
      </c>
      <c r="V28" s="5">
        <f>'Утв. ИП 2014-2019'!AJ33</f>
        <v>0</v>
      </c>
      <c r="W28" s="5"/>
      <c r="X28" s="5">
        <f t="shared" si="4"/>
        <v>0</v>
      </c>
      <c r="Y28" s="23">
        <f>'Утв. ИП 2014-2019'!G33</f>
        <v>2019</v>
      </c>
      <c r="Z28" s="8" t="s">
        <v>928</v>
      </c>
      <c r="AA28" s="25" t="s">
        <v>929</v>
      </c>
      <c r="AB28" s="8" t="s">
        <v>927</v>
      </c>
      <c r="AC28" s="5"/>
      <c r="AD28" s="5"/>
      <c r="AE28" s="5"/>
      <c r="AF28" s="5"/>
      <c r="AG28" s="5"/>
      <c r="AH28" s="5"/>
      <c r="AI28" s="47"/>
      <c r="AJ28" s="47"/>
      <c r="AK28" s="47"/>
      <c r="AL28" s="47"/>
    </row>
    <row r="29" spans="1:39" s="2" customFormat="1" ht="38.25" hidden="1" outlineLevel="1" x14ac:dyDescent="0.2">
      <c r="A29" s="6"/>
      <c r="B29" s="114" t="str">
        <f>'Утв. ИП 2014-2019'!B34</f>
        <v>1.1.3.4</v>
      </c>
      <c r="C29" s="7" t="str">
        <f>'Утв. ИП 2014-2019'!C34</f>
        <v>Реконструкция РУ-6 кВ РП-45 (инв. № 400671)</v>
      </c>
      <c r="D29" s="23">
        <v>1991</v>
      </c>
      <c r="E29" s="23">
        <v>25</v>
      </c>
      <c r="F29" s="5"/>
      <c r="G29" s="5"/>
      <c r="H29" s="23"/>
      <c r="J29" s="23"/>
      <c r="K29" s="23"/>
      <c r="L29" s="23"/>
      <c r="M29" s="5"/>
      <c r="N29" s="5">
        <f>'Утв. ИП 2014-2019'!V34</f>
        <v>0</v>
      </c>
      <c r="O29" s="5">
        <f>N29*0.1</f>
        <v>0</v>
      </c>
      <c r="P29" s="5">
        <f>(N29-O29)*0.6</f>
        <v>0</v>
      </c>
      <c r="Q29" s="5">
        <f>(N29-O29)*0.4</f>
        <v>0</v>
      </c>
      <c r="R29" s="5">
        <f t="shared" si="5"/>
        <v>0</v>
      </c>
      <c r="S29" s="92">
        <f>'Утв. ИП 2014-2019'!V34</f>
        <v>0</v>
      </c>
      <c r="T29" s="92">
        <f>0.1*S29</f>
        <v>0</v>
      </c>
      <c r="U29" s="92">
        <f t="shared" si="7"/>
        <v>0</v>
      </c>
      <c r="V29" s="5">
        <f>'Утв. ИП 2014-2019'!AJ34</f>
        <v>0</v>
      </c>
      <c r="W29" s="5"/>
      <c r="X29" s="5">
        <f>V29</f>
        <v>0</v>
      </c>
      <c r="Y29" s="23">
        <f>'Утв. ИП 2014-2019'!G34</f>
        <v>2015</v>
      </c>
      <c r="Z29" s="8" t="s">
        <v>928</v>
      </c>
      <c r="AA29" s="5" t="s">
        <v>212</v>
      </c>
      <c r="AB29" s="5" t="s">
        <v>212</v>
      </c>
      <c r="AC29" s="23"/>
      <c r="AD29" s="23"/>
      <c r="AE29" s="5"/>
      <c r="AF29" s="5"/>
      <c r="AG29" s="5"/>
      <c r="AH29" s="5"/>
      <c r="AI29" s="47"/>
      <c r="AJ29" s="47"/>
      <c r="AK29" s="47"/>
      <c r="AL29" s="47"/>
    </row>
    <row r="30" spans="1:39" s="2" customFormat="1" collapsed="1" x14ac:dyDescent="0.2">
      <c r="A30" s="6">
        <f>A21+1</f>
        <v>9</v>
      </c>
      <c r="B30" s="114" t="str">
        <f>'Утв. ИП 2014-2019'!B35</f>
        <v>1.1.3.5</v>
      </c>
      <c r="C30" s="7" t="str">
        <f>'Утв. ИП 2014-2019'!C35</f>
        <v>Реконструкция РУ-6 кВ ТП-732</v>
      </c>
      <c r="D30" s="23">
        <v>1978</v>
      </c>
      <c r="E30" s="23">
        <v>25</v>
      </c>
      <c r="F30" s="5"/>
      <c r="G30" s="5"/>
      <c r="H30" s="23"/>
      <c r="I30" s="23"/>
      <c r="J30" s="23"/>
      <c r="K30" s="23"/>
      <c r="L30" s="23"/>
      <c r="M30" s="5"/>
      <c r="N30" s="5">
        <f>'Утв. ИП 2014-2019'!V35</f>
        <v>0.04</v>
      </c>
      <c r="O30" s="5">
        <f>N30*0.1</f>
        <v>4.0000000000000001E-3</v>
      </c>
      <c r="P30" s="5">
        <f>(N30-O30)*0.6</f>
        <v>2.1600000000000001E-2</v>
      </c>
      <c r="Q30" s="5">
        <f>(N30-O30)*0.4</f>
        <v>1.4400000000000003E-2</v>
      </c>
      <c r="R30" s="5">
        <f t="shared" si="5"/>
        <v>0</v>
      </c>
      <c r="S30" s="92">
        <f>'Утв. ИП 2014-2019'!V35</f>
        <v>0.04</v>
      </c>
      <c r="T30" s="92">
        <f>0.1*S30</f>
        <v>4.0000000000000001E-3</v>
      </c>
      <c r="U30" s="92">
        <f t="shared" si="7"/>
        <v>3.6000000000000004E-2</v>
      </c>
      <c r="V30" s="5">
        <f>'Утв. ИП 2014-2019'!AJ35</f>
        <v>0</v>
      </c>
      <c r="W30" s="5"/>
      <c r="X30" s="5">
        <f>V30</f>
        <v>0</v>
      </c>
      <c r="Y30" s="23">
        <f>'Утв. ИП 2014-2019'!G35</f>
        <v>2019</v>
      </c>
      <c r="Z30" s="23">
        <v>25</v>
      </c>
      <c r="AA30" s="5"/>
      <c r="AB30" s="5"/>
      <c r="AC30" s="23"/>
      <c r="AD30" s="12"/>
      <c r="AE30" s="5"/>
      <c r="AF30" s="5"/>
      <c r="AG30" s="5"/>
      <c r="AH30" s="5"/>
      <c r="AI30" s="47"/>
      <c r="AJ30" s="47"/>
      <c r="AK30" s="47"/>
      <c r="AL30" s="47"/>
    </row>
    <row r="31" spans="1:39" s="2" customFormat="1" x14ac:dyDescent="0.2">
      <c r="A31" s="6">
        <f>A30+1</f>
        <v>10</v>
      </c>
      <c r="B31" s="114" t="str">
        <f>'Утв. ИП 2014-2019'!B36</f>
        <v>1.1.3.6</v>
      </c>
      <c r="C31" s="7" t="str">
        <f>'Утв. ИП 2014-2019'!C36</f>
        <v>Реконструкция РУ-6 кВ ТП-709</v>
      </c>
      <c r="D31" s="23">
        <v>1989</v>
      </c>
      <c r="E31" s="23">
        <v>25</v>
      </c>
      <c r="F31" s="5"/>
      <c r="G31" s="5"/>
      <c r="H31" s="23"/>
      <c r="I31" s="23"/>
      <c r="J31" s="23"/>
      <c r="K31" s="23"/>
      <c r="L31" s="23"/>
      <c r="M31" s="5"/>
      <c r="N31" s="5">
        <f>'Утв. ИП 2014-2019'!V36</f>
        <v>0.04</v>
      </c>
      <c r="O31" s="5">
        <f>N31*0.1</f>
        <v>4.0000000000000001E-3</v>
      </c>
      <c r="P31" s="5">
        <f>(N31-O31)*0.6</f>
        <v>2.1600000000000001E-2</v>
      </c>
      <c r="Q31" s="5">
        <f>(N31-O31)*0.4</f>
        <v>1.4400000000000003E-2</v>
      </c>
      <c r="R31" s="5">
        <f t="shared" si="5"/>
        <v>0</v>
      </c>
      <c r="S31" s="92">
        <f>'Утв. ИП 2014-2019'!V36</f>
        <v>0.04</v>
      </c>
      <c r="T31" s="92">
        <f>0.1*S31</f>
        <v>4.0000000000000001E-3</v>
      </c>
      <c r="U31" s="92">
        <f t="shared" si="7"/>
        <v>3.6000000000000004E-2</v>
      </c>
      <c r="V31" s="5">
        <f>'Утв. ИП 2014-2019'!AJ36</f>
        <v>0</v>
      </c>
      <c r="W31" s="5"/>
      <c r="X31" s="5">
        <f>V31</f>
        <v>0</v>
      </c>
      <c r="Y31" s="23">
        <f>'Утв. ИП 2014-2019'!G36</f>
        <v>2019</v>
      </c>
      <c r="Z31" s="23">
        <v>25</v>
      </c>
      <c r="AA31" s="5"/>
      <c r="AB31" s="5"/>
      <c r="AC31" s="23"/>
      <c r="AD31" s="12"/>
      <c r="AE31" s="5"/>
      <c r="AF31" s="5"/>
      <c r="AG31" s="5"/>
      <c r="AH31" s="5"/>
      <c r="AI31" s="47"/>
      <c r="AJ31" s="47"/>
      <c r="AK31" s="47"/>
      <c r="AL31" s="47"/>
    </row>
    <row r="32" spans="1:39" s="32" customFormat="1" ht="51" customHeight="1" x14ac:dyDescent="0.2">
      <c r="A32" s="28" t="e">
        <f>A28+1</f>
        <v>#REF!</v>
      </c>
      <c r="B32" s="28" t="str">
        <f>'Утв. ИП 2014-2019'!B37</f>
        <v>1.2</v>
      </c>
      <c r="C32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>
        <f>'Утв. ИП 2014-2019'!V37</f>
        <v>0</v>
      </c>
      <c r="O32" s="31">
        <f>SUM(O33:O35)</f>
        <v>0</v>
      </c>
      <c r="P32" s="31">
        <f>SUM(P33:P35)</f>
        <v>0</v>
      </c>
      <c r="Q32" s="31">
        <f>SUM(Q33:Q35)</f>
        <v>0</v>
      </c>
      <c r="R32" s="31">
        <f>SUM(R33:R35)</f>
        <v>0</v>
      </c>
      <c r="S32" s="31">
        <f>'Утв. ИП 2014-2019'!V37</f>
        <v>0</v>
      </c>
      <c r="T32" s="31">
        <f>SUM(T33:T35)</f>
        <v>0</v>
      </c>
      <c r="U32" s="31">
        <f>SUM(U33:U35)</f>
        <v>0</v>
      </c>
      <c r="V32" s="31">
        <f>'Утв. ИП 2014-2019'!AJ37</f>
        <v>0</v>
      </c>
      <c r="W32" s="31">
        <f>SUM(W33:W35)</f>
        <v>0</v>
      </c>
      <c r="X32" s="31">
        <f>SUM(X33:X35)</f>
        <v>0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</row>
    <row r="33" spans="1:38" s="2" customFormat="1" ht="25.5" hidden="1" outlineLevel="1" x14ac:dyDescent="0.2">
      <c r="A33" s="6" t="e">
        <f>A32+1</f>
        <v>#REF!</v>
      </c>
      <c r="B33" s="6" t="str">
        <f>'Утв. ИП 2014-2019'!B38</f>
        <v>1.2.1</v>
      </c>
      <c r="C33" s="7" t="str">
        <f>'Утв. ИП 2014-2019'!C38</f>
        <v>Монтаж устройств сбора-передачи данных (УСПД)</v>
      </c>
      <c r="D33" s="5"/>
      <c r="E33" s="5"/>
      <c r="F33" s="5"/>
      <c r="G33" s="5"/>
      <c r="H33" s="5"/>
      <c r="I33" s="12"/>
      <c r="J33" s="12"/>
      <c r="K33" s="12"/>
      <c r="L33" s="5"/>
      <c r="M33" s="5"/>
      <c r="N33" s="5">
        <f>'Утв. ИП 2014-2019'!V38</f>
        <v>0</v>
      </c>
      <c r="O33" s="5">
        <f>0.05*N33</f>
        <v>0</v>
      </c>
      <c r="P33" s="5">
        <f>0.2*N33</f>
        <v>0</v>
      </c>
      <c r="Q33" s="5">
        <f>0.75*N33</f>
        <v>0</v>
      </c>
      <c r="R33" s="5">
        <f>N33-O33-P33-Q33</f>
        <v>0</v>
      </c>
      <c r="S33" s="92">
        <f>'Утв. ИП 2014-2019'!V38</f>
        <v>0</v>
      </c>
      <c r="T33" s="92">
        <f t="shared" si="6"/>
        <v>0</v>
      </c>
      <c r="U33" s="92">
        <f>S33-T33</f>
        <v>0</v>
      </c>
      <c r="V33" s="5">
        <f>'Утв. ИП 2014-2019'!AJ38</f>
        <v>0</v>
      </c>
      <c r="W33" s="5"/>
      <c r="X33" s="5">
        <f>V33</f>
        <v>0</v>
      </c>
      <c r="Y33" s="5"/>
      <c r="Z33" s="5"/>
      <c r="AA33" s="5"/>
      <c r="AB33" s="5"/>
      <c r="AC33" s="23">
        <f>'Утв. ИП 2014-2019'!G38</f>
        <v>2014</v>
      </c>
      <c r="AD33" s="5"/>
      <c r="AE33" s="5"/>
      <c r="AF33" s="5"/>
      <c r="AG33" s="5">
        <f>'Утв. ИП 2014-2019'!AY38</f>
        <v>0</v>
      </c>
      <c r="AH33" s="5">
        <f>'Утв. ИП 2014-2019'!O38</f>
        <v>0</v>
      </c>
    </row>
    <row r="34" spans="1:38" s="2" customFormat="1" ht="38.25" hidden="1" outlineLevel="1" x14ac:dyDescent="0.2">
      <c r="A34" s="6" t="e">
        <f>A33+1</f>
        <v>#REF!</v>
      </c>
      <c r="B34" s="6" t="str">
        <f>'Утв. ИП 2014-2019'!B39</f>
        <v>1.2.2</v>
      </c>
      <c r="C34" s="7" t="str">
        <f>'Утв. ИП 2014-2019'!C39</f>
        <v>Монтаж приборов коммерческого учета и ввод в эксплуатацию АСКУЭ района с. Сселки</v>
      </c>
      <c r="D34" s="5"/>
      <c r="E34" s="5"/>
      <c r="F34" s="5"/>
      <c r="G34" s="5"/>
      <c r="H34" s="5"/>
      <c r="I34" s="5">
        <v>25</v>
      </c>
      <c r="J34" s="5" t="s">
        <v>202</v>
      </c>
      <c r="K34" s="5" t="s">
        <v>1469</v>
      </c>
      <c r="L34" s="5">
        <v>41.6</v>
      </c>
      <c r="M34" s="5" t="s">
        <v>447</v>
      </c>
      <c r="N34" s="5">
        <f>'Утв. ИП 2014-2019'!V39</f>
        <v>0</v>
      </c>
      <c r="O34" s="5">
        <f>0.05*N34</f>
        <v>0</v>
      </c>
      <c r="P34" s="5">
        <f>0.2*N34</f>
        <v>0</v>
      </c>
      <c r="Q34" s="5">
        <f>0.75*N34</f>
        <v>0</v>
      </c>
      <c r="R34" s="5">
        <f>N34-O34-P34-Q34</f>
        <v>0</v>
      </c>
      <c r="S34" s="92">
        <f>'Утв. ИП 2014-2019'!V39</f>
        <v>0</v>
      </c>
      <c r="T34" s="92">
        <f t="shared" si="6"/>
        <v>0</v>
      </c>
      <c r="U34" s="92">
        <f>S34-T34</f>
        <v>0</v>
      </c>
      <c r="V34" s="5">
        <f>'Утв. ИП 2014-2019'!AJ39</f>
        <v>0</v>
      </c>
      <c r="W34" s="5"/>
      <c r="X34" s="5">
        <f>V34</f>
        <v>0</v>
      </c>
      <c r="Y34" s="5"/>
      <c r="Z34" s="5"/>
      <c r="AA34" s="5"/>
      <c r="AB34" s="5"/>
      <c r="AC34" s="23">
        <f>'Утв. ИП 2014-2019'!G39</f>
        <v>2015</v>
      </c>
      <c r="AD34" s="45">
        <v>30</v>
      </c>
      <c r="AE34" s="5" t="s">
        <v>201</v>
      </c>
      <c r="AF34" s="5" t="s">
        <v>209</v>
      </c>
      <c r="AG34" s="5">
        <f>'Утв. ИП 2014-2019'!AY39</f>
        <v>0</v>
      </c>
      <c r="AH34" s="5">
        <f>'Утв. ИП 2014-2019'!O39</f>
        <v>0</v>
      </c>
    </row>
    <row r="35" spans="1:38" s="2" customFormat="1" ht="51" hidden="1" outlineLevel="1" x14ac:dyDescent="0.2">
      <c r="A35" s="6" t="e">
        <f>#REF!+1</f>
        <v>#REF!</v>
      </c>
      <c r="B35" s="6" t="str">
        <f>'Утв. ИП 2014-2019'!B40</f>
        <v>1.2.3</v>
      </c>
      <c r="C35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5" s="5"/>
      <c r="E35" s="5"/>
      <c r="F35" s="5"/>
      <c r="G35" s="5"/>
      <c r="H35" s="5"/>
      <c r="I35" s="5">
        <v>25</v>
      </c>
      <c r="J35" s="5" t="s">
        <v>202</v>
      </c>
      <c r="K35" s="5"/>
      <c r="L35" s="5">
        <v>20.62</v>
      </c>
      <c r="M35" s="5" t="s">
        <v>1391</v>
      </c>
      <c r="N35" s="5">
        <f>'Утв. ИП 2014-2019'!V40</f>
        <v>0</v>
      </c>
      <c r="O35" s="5"/>
      <c r="P35" s="5"/>
      <c r="Q35" s="5"/>
      <c r="R35" s="5">
        <f>N35-O35-P35-Q35</f>
        <v>0</v>
      </c>
      <c r="S35" s="92">
        <f>'Утв. ИП 2014-2019'!V40</f>
        <v>0</v>
      </c>
      <c r="T35" s="92">
        <f t="shared" si="6"/>
        <v>0</v>
      </c>
      <c r="U35" s="92">
        <f>S35-T35</f>
        <v>0</v>
      </c>
      <c r="V35" s="5">
        <f>'Утв. ИП 2014-2019'!AJ40</f>
        <v>0</v>
      </c>
      <c r="W35" s="5"/>
      <c r="X35" s="5">
        <f>V35</f>
        <v>0</v>
      </c>
      <c r="Y35" s="5"/>
      <c r="Z35" s="5"/>
      <c r="AA35" s="5"/>
      <c r="AB35" s="5"/>
      <c r="AC35" s="23">
        <f>'Утв. ИП 2014-2019'!G40</f>
        <v>2014</v>
      </c>
      <c r="AD35" s="45">
        <v>30</v>
      </c>
      <c r="AE35" s="5" t="s">
        <v>201</v>
      </c>
      <c r="AF35" s="5" t="s">
        <v>209</v>
      </c>
      <c r="AG35" s="5">
        <f>'Утв. ИП 2014-2019'!AY40</f>
        <v>28.742999999999999</v>
      </c>
      <c r="AH35" s="5">
        <f>'Утв. ИП 2014-2019'!O40</f>
        <v>0</v>
      </c>
    </row>
    <row r="36" spans="1:38" s="32" customFormat="1" ht="25.5" collapsed="1" x14ac:dyDescent="0.2">
      <c r="A36" s="28" t="e">
        <f>A35+1</f>
        <v>#REF!</v>
      </c>
      <c r="B36" s="28" t="str">
        <f>'Утв. ИП 2014-2019'!B41</f>
        <v>1.3</v>
      </c>
      <c r="C36" s="29" t="str">
        <f>'Утв. ИП 2014-2019'!C41</f>
        <v>Создание систем телемеханики и связи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>
        <f>'Утв. ИП 2014-2019'!V41</f>
        <v>1.25</v>
      </c>
      <c r="O36" s="31">
        <f>SUM(O37:O42)</f>
        <v>0</v>
      </c>
      <c r="P36" s="31">
        <f>SUM(P37:P42)</f>
        <v>9.0000000000000011E-2</v>
      </c>
      <c r="Q36" s="31">
        <f>SUM(Q37:Q42)</f>
        <v>1.1600000000000001</v>
      </c>
      <c r="R36" s="31">
        <f>SUM(R37:R42)</f>
        <v>0</v>
      </c>
      <c r="S36" s="31">
        <f>'Утв. ИП 2014-2019'!V41</f>
        <v>1.25</v>
      </c>
      <c r="T36" s="31">
        <f>SUM(T37:T42)</f>
        <v>0.12500000000000003</v>
      </c>
      <c r="U36" s="31">
        <f>SUM(U37:U42)</f>
        <v>1.125</v>
      </c>
      <c r="V36" s="31">
        <f>'Утв. ИП 2014-2019'!AJ41</f>
        <v>0.8</v>
      </c>
      <c r="W36" s="31">
        <f>SUM(W37:W42)</f>
        <v>0</v>
      </c>
      <c r="X36" s="31">
        <f>SUM(X37:X42)</f>
        <v>0.8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</row>
    <row r="37" spans="1:38" s="11" customFormat="1" ht="38.25" hidden="1" outlineLevel="1" x14ac:dyDescent="0.2">
      <c r="A37" s="6" t="e">
        <f>#REF!+1</f>
        <v>#REF!</v>
      </c>
      <c r="B37" s="6" t="str">
        <f>'Утв. ИП 2014-2019'!B42</f>
        <v>1.3.1</v>
      </c>
      <c r="C37" s="7" t="str">
        <f>'Утв. ИП 2014-2019'!C42</f>
        <v>Монтаж систем охранно-пожарной сигнализации здания по ул. Кузнечная, 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>
        <f>'Утв. ИП 2014-2019'!V42</f>
        <v>0</v>
      </c>
      <c r="O37" s="5">
        <f>0.1*N37</f>
        <v>0</v>
      </c>
      <c r="P37" s="5">
        <f>N37-O37</f>
        <v>0</v>
      </c>
      <c r="Q37" s="5"/>
      <c r="R37" s="5">
        <f t="shared" ref="R37:R42" si="8">N37-O37-P37-Q37</f>
        <v>0</v>
      </c>
      <c r="S37" s="92">
        <f>'Утв. ИП 2014-2019'!V42</f>
        <v>0</v>
      </c>
      <c r="T37" s="92">
        <f t="shared" si="6"/>
        <v>0</v>
      </c>
      <c r="U37" s="92">
        <f t="shared" ref="U37:U42" si="9">S37-T37</f>
        <v>0</v>
      </c>
      <c r="V37" s="5">
        <f>'Утв. ИП 2014-2019'!AJ42</f>
        <v>0</v>
      </c>
      <c r="W37" s="5"/>
      <c r="X37" s="5">
        <f t="shared" ref="X37:X42" si="10">V37</f>
        <v>0</v>
      </c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8" s="11" customFormat="1" ht="25.5" hidden="1" outlineLevel="1" x14ac:dyDescent="0.2">
      <c r="A38" s="6"/>
      <c r="B38" s="6" t="str">
        <f>'Утв. ИП 2014-2019'!B43</f>
        <v>1.3.2</v>
      </c>
      <c r="C38" s="7" t="str">
        <f>'Утв. ИП 2014-2019'!C43</f>
        <v>Приобретение программного обеспечения "Стек-Энерго"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f>'Утв. ИП 2014-2019'!V43</f>
        <v>0</v>
      </c>
      <c r="O38" s="5"/>
      <c r="P38" s="5"/>
      <c r="Q38" s="5">
        <f>N38</f>
        <v>0</v>
      </c>
      <c r="R38" s="5">
        <f t="shared" si="8"/>
        <v>0</v>
      </c>
      <c r="S38" s="92">
        <f>'Утв. ИП 2014-2019'!V43</f>
        <v>0</v>
      </c>
      <c r="T38" s="92">
        <f t="shared" si="6"/>
        <v>0</v>
      </c>
      <c r="U38" s="92">
        <f t="shared" si="9"/>
        <v>0</v>
      </c>
      <c r="V38" s="5">
        <f>'Утв. ИП 2014-2019'!AJ43</f>
        <v>0</v>
      </c>
      <c r="W38" s="5"/>
      <c r="X38" s="5">
        <f t="shared" si="10"/>
        <v>0</v>
      </c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8" s="11" customFormat="1" ht="38.25" hidden="1" outlineLevel="1" x14ac:dyDescent="0.2">
      <c r="A39" s="6"/>
      <c r="B39" s="6" t="str">
        <f>'Утв. ИП 2014-2019'!B44</f>
        <v>1.3.3</v>
      </c>
      <c r="C39" s="7" t="str">
        <f>'Утв. ИП 2014-2019'!C44</f>
        <v>Монтаж отказоустойчивого кластера для системы АСКУЭ "Smart"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f>'Утв. ИП 2014-2019'!V44</f>
        <v>0</v>
      </c>
      <c r="O39" s="5"/>
      <c r="P39" s="5">
        <f>N39*0.2</f>
        <v>0</v>
      </c>
      <c r="Q39" s="5">
        <f>N39*0.8</f>
        <v>0</v>
      </c>
      <c r="R39" s="5">
        <f t="shared" si="8"/>
        <v>0</v>
      </c>
      <c r="S39" s="92">
        <f>'Утв. ИП 2014-2019'!V44</f>
        <v>0</v>
      </c>
      <c r="T39" s="92">
        <f t="shared" si="6"/>
        <v>0</v>
      </c>
      <c r="U39" s="92">
        <f t="shared" si="9"/>
        <v>0</v>
      </c>
      <c r="V39" s="5">
        <f>'Утв. ИП 2014-2019'!AJ44</f>
        <v>0</v>
      </c>
      <c r="W39" s="5"/>
      <c r="X39" s="5">
        <f t="shared" si="10"/>
        <v>0</v>
      </c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8" s="11" customFormat="1" ht="38.25" hidden="1" outlineLevel="1" x14ac:dyDescent="0.2">
      <c r="A40" s="6" t="e">
        <f>A37+1</f>
        <v>#REF!</v>
      </c>
      <c r="B40" s="6" t="str">
        <f>'Утв. ИП 2014-2019'!B45</f>
        <v>1.3.4</v>
      </c>
      <c r="C40" s="7" t="str">
        <f>'Утв. ИП 2014-2019'!C45</f>
        <v>Монтаж системы охранного видеонаблюдения здания по ул. Кузнечная, 1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f>'Утв. ИП 2014-2019'!V45</f>
        <v>0</v>
      </c>
      <c r="O40" s="5"/>
      <c r="P40" s="5">
        <f>N40*0.2</f>
        <v>0</v>
      </c>
      <c r="Q40" s="5">
        <f>N40*0.8</f>
        <v>0</v>
      </c>
      <c r="R40" s="5">
        <f t="shared" si="8"/>
        <v>0</v>
      </c>
      <c r="S40" s="92">
        <f>'Утв. ИП 2014-2019'!V45</f>
        <v>0</v>
      </c>
      <c r="T40" s="92">
        <f t="shared" si="6"/>
        <v>0</v>
      </c>
      <c r="U40" s="92">
        <f t="shared" si="9"/>
        <v>0</v>
      </c>
      <c r="V40" s="5">
        <f>'Утв. ИП 2014-2019'!AJ45</f>
        <v>0</v>
      </c>
      <c r="W40" s="5"/>
      <c r="X40" s="5">
        <f t="shared" si="10"/>
        <v>0</v>
      </c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8" s="11" customFormat="1" ht="25.5" collapsed="1" x14ac:dyDescent="0.2">
      <c r="A41" s="6"/>
      <c r="B41" s="6" t="str">
        <f>'Утв. ИП 2014-2019'!B46</f>
        <v>1.3.5</v>
      </c>
      <c r="C41" s="7" t="str">
        <f>'Утв. ИП 2014-2019'!C46</f>
        <v>Внедрение системы контроля и управления доступом к МФУ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f>'Утв. ИП 2014-2019'!V46</f>
        <v>0.45</v>
      </c>
      <c r="O41" s="5"/>
      <c r="P41" s="5">
        <f>N41*0.2</f>
        <v>9.0000000000000011E-2</v>
      </c>
      <c r="Q41" s="5">
        <f>N41*0.8</f>
        <v>0.36000000000000004</v>
      </c>
      <c r="R41" s="5">
        <f t="shared" si="8"/>
        <v>0</v>
      </c>
      <c r="S41" s="92">
        <f>'Утв. ИП 2014-2019'!V46</f>
        <v>0.45</v>
      </c>
      <c r="T41" s="92">
        <f t="shared" si="6"/>
        <v>4.5000000000000005E-2</v>
      </c>
      <c r="U41" s="92">
        <f t="shared" si="9"/>
        <v>0.40500000000000003</v>
      </c>
      <c r="V41" s="5">
        <f>'Утв. ИП 2014-2019'!AJ46</f>
        <v>0</v>
      </c>
      <c r="W41" s="5"/>
      <c r="X41" s="5">
        <f t="shared" si="10"/>
        <v>0</v>
      </c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8" s="11" customFormat="1" ht="25.5" x14ac:dyDescent="0.2">
      <c r="A42" s="6"/>
      <c r="B42" s="6" t="str">
        <f>'Утв. ИП 2014-2019'!B47</f>
        <v>1.3.6</v>
      </c>
      <c r="C42" s="7" t="str">
        <f>'Утв. ИП 2014-2019'!C47</f>
        <v>Приобретение серверного и коммутационного оборудования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>
        <f>'Утв. ИП 2014-2019'!V47</f>
        <v>0.8</v>
      </c>
      <c r="O42" s="5"/>
      <c r="P42" s="5"/>
      <c r="Q42" s="5">
        <f>N42</f>
        <v>0.8</v>
      </c>
      <c r="R42" s="5">
        <f t="shared" si="8"/>
        <v>0</v>
      </c>
      <c r="S42" s="92">
        <f>'Утв. ИП 2014-2019'!V47</f>
        <v>0.8</v>
      </c>
      <c r="T42" s="92">
        <f t="shared" si="6"/>
        <v>8.0000000000000016E-2</v>
      </c>
      <c r="U42" s="92">
        <f t="shared" si="9"/>
        <v>0.72</v>
      </c>
      <c r="V42" s="5">
        <f>'Утв. ИП 2014-2019'!AJ47</f>
        <v>0.8</v>
      </c>
      <c r="W42" s="5"/>
      <c r="X42" s="5">
        <f t="shared" si="10"/>
        <v>0.8</v>
      </c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8" s="42" customFormat="1" ht="22.5" customHeight="1" x14ac:dyDescent="0.2">
      <c r="A43" s="39" t="e">
        <f>#REF!+1</f>
        <v>#REF!</v>
      </c>
      <c r="B43" s="39" t="str">
        <f>'Утв. ИП 2014-2019'!B48</f>
        <v>2</v>
      </c>
      <c r="C43" s="43" t="str">
        <f>'Утв. ИП 2014-2019'!C48</f>
        <v>Новое строительство</v>
      </c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>
        <f>'Утв. ИП 2014-2019'!V48</f>
        <v>2.7199999999999998</v>
      </c>
      <c r="O43" s="41">
        <f>O44+O85+O86+O90+O101</f>
        <v>5.8999999999999997E-2</v>
      </c>
      <c r="P43" s="41">
        <f>P44+P85+P86+P90+P101</f>
        <v>0.6966</v>
      </c>
      <c r="Q43" s="41">
        <f>Q44+Q85+Q86+Q90+Q101</f>
        <v>0.46440000000000003</v>
      </c>
      <c r="R43" s="41">
        <f>R44+R85+R86+R90+R101</f>
        <v>1.5</v>
      </c>
      <c r="S43" s="41">
        <f>'Утв. ИП 2014-2019'!V48</f>
        <v>2.7199999999999998</v>
      </c>
      <c r="T43" s="41">
        <f>T44+T85+T86+T90+T101</f>
        <v>0.122</v>
      </c>
      <c r="U43" s="41">
        <f>U44+U85+U86+U90+U101</f>
        <v>2.5979999999999999</v>
      </c>
      <c r="V43" s="41">
        <f>'Утв. ИП 2014-2019'!AJ48</f>
        <v>44.471200000000003</v>
      </c>
      <c r="W43" s="41">
        <f>W44+W85+W86+W90+W101</f>
        <v>42.971200000000003</v>
      </c>
      <c r="X43" s="41">
        <f>X44+X85+X86+X90+X101</f>
        <v>1.5</v>
      </c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:38" s="32" customFormat="1" ht="25.5" x14ac:dyDescent="0.2">
      <c r="A44" s="28" t="e">
        <f>A43+1</f>
        <v>#REF!</v>
      </c>
      <c r="B44" s="28" t="str">
        <f>'Утв. ИП 2014-2019'!B49</f>
        <v>2.1</v>
      </c>
      <c r="C44" s="29" t="str">
        <f>'Утв. ИП 2014-2019'!C49</f>
        <v>Энергосбережение и повышение энергетической эффективности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>
        <f>'Утв. ИП 2014-2019'!V49</f>
        <v>1.22</v>
      </c>
      <c r="O44" s="31">
        <f>O45+O73+O78+O84</f>
        <v>5.8999999999999997E-2</v>
      </c>
      <c r="P44" s="31">
        <f>P45+P73+P78+P84</f>
        <v>0.6966</v>
      </c>
      <c r="Q44" s="31">
        <f>Q45+Q73+Q78+Q84</f>
        <v>0.46440000000000003</v>
      </c>
      <c r="R44" s="31">
        <f>R45+R73+R78+R84</f>
        <v>0</v>
      </c>
      <c r="S44" s="31">
        <f>'Утв. ИП 2014-2019'!V49</f>
        <v>1.22</v>
      </c>
      <c r="T44" s="31">
        <f>T45+T73+T78+T84</f>
        <v>0.122</v>
      </c>
      <c r="U44" s="31">
        <f>U45+U73+U78+U84</f>
        <v>1.0979999999999999</v>
      </c>
      <c r="V44" s="31">
        <f>'Утв. ИП 2014-2019'!AJ49</f>
        <v>42.971200000000003</v>
      </c>
      <c r="W44" s="31">
        <f>W45+W73+W78+W84</f>
        <v>42.971200000000003</v>
      </c>
      <c r="X44" s="31">
        <f>X45+X73+X78+X84</f>
        <v>0</v>
      </c>
      <c r="Y44" s="31"/>
      <c r="Z44" s="31"/>
      <c r="AA44" s="31"/>
      <c r="AB44" s="31"/>
      <c r="AC44" s="31"/>
      <c r="AD44" s="31"/>
      <c r="AE44" s="31"/>
      <c r="AF44" s="31"/>
      <c r="AG44" s="31"/>
      <c r="AH44" s="31"/>
    </row>
    <row r="45" spans="1:38" s="32" customFormat="1" x14ac:dyDescent="0.2">
      <c r="A45" s="28" t="e">
        <f>A44+1</f>
        <v>#REF!</v>
      </c>
      <c r="B45" s="28" t="str">
        <f>'Утв. ИП 2014-2019'!B50</f>
        <v>2.1.1</v>
      </c>
      <c r="C45" s="29" t="str">
        <f>'Утв. ИП 2014-2019'!C50</f>
        <v>Сети среднего напряжения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>
        <f>'Утв. ИП 2014-2019'!V50</f>
        <v>0.59</v>
      </c>
      <c r="O45" s="31">
        <f>SUM(O46:O72)</f>
        <v>5.8999999999999997E-2</v>
      </c>
      <c r="P45" s="31">
        <f>SUM(P46:P72)</f>
        <v>0.31859999999999999</v>
      </c>
      <c r="Q45" s="31">
        <f>SUM(Q46:Q72)</f>
        <v>0.21240000000000003</v>
      </c>
      <c r="R45" s="31">
        <f>SUM(R46:R72)</f>
        <v>0</v>
      </c>
      <c r="S45" s="31">
        <f>'Утв. ИП 2014-2019'!V50</f>
        <v>0.59</v>
      </c>
      <c r="T45" s="31">
        <f>SUM(T46:T72)</f>
        <v>5.8999999999999997E-2</v>
      </c>
      <c r="U45" s="31">
        <f>SUM(U46:U72)</f>
        <v>0.53100000000000003</v>
      </c>
      <c r="V45" s="31">
        <f>'Утв. ИП 2014-2019'!AJ50</f>
        <v>42.971200000000003</v>
      </c>
      <c r="W45" s="31">
        <f>SUM(W46:W72)</f>
        <v>42.971200000000003</v>
      </c>
      <c r="X45" s="31">
        <f>SUM(X46:X72)</f>
        <v>0</v>
      </c>
      <c r="Y45" s="31"/>
      <c r="Z45" s="31"/>
      <c r="AA45" s="31"/>
      <c r="AB45" s="31"/>
      <c r="AC45" s="31"/>
      <c r="AD45" s="31"/>
      <c r="AE45" s="31"/>
      <c r="AF45" s="31"/>
      <c r="AG45" s="31"/>
      <c r="AH45" s="31"/>
    </row>
    <row r="46" spans="1:38" s="2" customFormat="1" ht="51" hidden="1" outlineLevel="1" x14ac:dyDescent="0.2">
      <c r="A46" s="6" t="e">
        <f>A66+1</f>
        <v>#REF!</v>
      </c>
      <c r="B46" s="6" t="str">
        <f>'Утв. ИП 2014-2019'!B51</f>
        <v>2.1.1.1</v>
      </c>
      <c r="C46" s="7" t="str">
        <f>'Утв. ИП 2014-2019'!C51</f>
        <v xml:space="preserve">Строительство КЛ-6 кВ сети электроснабжения от ТП-93 до ТП-101 </v>
      </c>
      <c r="D46" s="5"/>
      <c r="E46" s="5"/>
      <c r="F46" s="5"/>
      <c r="G46" s="5"/>
      <c r="H46" s="25"/>
      <c r="I46" s="8"/>
      <c r="J46" s="25"/>
      <c r="K46" s="8"/>
      <c r="L46" s="25"/>
      <c r="M46" s="5"/>
      <c r="N46" s="5">
        <f>'Утв. ИП 2014-2019'!V51</f>
        <v>0</v>
      </c>
      <c r="O46" s="5"/>
      <c r="P46" s="5">
        <f>N46*0.6</f>
        <v>0</v>
      </c>
      <c r="Q46" s="5">
        <f>N46*0.4</f>
        <v>0</v>
      </c>
      <c r="R46" s="5">
        <f>N46-O46-P46-Q46</f>
        <v>0</v>
      </c>
      <c r="S46" s="92">
        <f>'Утв. ИП 2014-2019'!V51</f>
        <v>0</v>
      </c>
      <c r="T46" s="92">
        <f>0.1*S46</f>
        <v>0</v>
      </c>
      <c r="U46" s="92">
        <f>S46-T46</f>
        <v>0</v>
      </c>
      <c r="V46" s="5">
        <f>'Утв. ИП 2014-2019'!AJ51</f>
        <v>0</v>
      </c>
      <c r="W46" s="5"/>
      <c r="X46" s="5">
        <f>V46</f>
        <v>0</v>
      </c>
      <c r="Y46" s="5"/>
      <c r="Z46" s="5"/>
      <c r="AA46" s="5"/>
      <c r="AB46" s="5"/>
      <c r="AC46" s="23">
        <f>'Утв. ИП 2014-2019'!G51</f>
        <v>2015</v>
      </c>
      <c r="AD46" s="25" t="s">
        <v>214</v>
      </c>
      <c r="AE46" s="8" t="s">
        <v>212</v>
      </c>
      <c r="AF46" s="8" t="s">
        <v>213</v>
      </c>
      <c r="AG46" s="5">
        <f>'Утв. ИП 2014-2019'!AY51</f>
        <v>0.45</v>
      </c>
      <c r="AH46" s="5"/>
      <c r="AI46" s="47"/>
      <c r="AJ46" s="47"/>
      <c r="AK46" s="47"/>
      <c r="AL46" s="47"/>
    </row>
    <row r="47" spans="1:38" s="2" customFormat="1" ht="51" hidden="1" outlineLevel="1" x14ac:dyDescent="0.2">
      <c r="A47" s="6" t="e">
        <f>#REF!+1</f>
        <v>#REF!</v>
      </c>
      <c r="B47" s="6" t="str">
        <f>'Утв. ИП 2014-2019'!B52</f>
        <v>2.1.1.2</v>
      </c>
      <c r="C47" s="7" t="str">
        <f>'Утв. ИП 2014-2019'!C52</f>
        <v>Строительство КЛ-6 кВ ЦРП "Город" яч. 12 - ТП-101 яч. 6</v>
      </c>
      <c r="D47" s="5"/>
      <c r="E47" s="5"/>
      <c r="F47" s="5"/>
      <c r="G47" s="5"/>
      <c r="H47" s="25" t="s">
        <v>930</v>
      </c>
      <c r="I47" s="8">
        <v>30</v>
      </c>
      <c r="J47" s="25" t="s">
        <v>212</v>
      </c>
      <c r="K47" s="8" t="s">
        <v>931</v>
      </c>
      <c r="L47" s="25" t="s">
        <v>932</v>
      </c>
      <c r="M47" s="5"/>
      <c r="N47" s="5">
        <f>'Утв. ИП 2014-2019'!V52</f>
        <v>0</v>
      </c>
      <c r="O47" s="5"/>
      <c r="P47" s="5">
        <f>N47*0.6</f>
        <v>0</v>
      </c>
      <c r="Q47" s="5">
        <f>N47*0.4</f>
        <v>0</v>
      </c>
      <c r="R47" s="5">
        <f>N47-O47-P47-Q47</f>
        <v>0</v>
      </c>
      <c r="S47" s="92">
        <f>'Утв. ИП 2014-2019'!V52</f>
        <v>0</v>
      </c>
      <c r="T47" s="92">
        <f>0.1*S47</f>
        <v>0</v>
      </c>
      <c r="U47" s="92">
        <f>S47-T47</f>
        <v>0</v>
      </c>
      <c r="V47" s="5">
        <f>'Утв. ИП 2014-2019'!AJ52</f>
        <v>0</v>
      </c>
      <c r="W47" s="5"/>
      <c r="X47" s="5">
        <f>V47</f>
        <v>0</v>
      </c>
      <c r="Y47" s="5"/>
      <c r="Z47" s="5"/>
      <c r="AA47" s="5"/>
      <c r="AB47" s="5"/>
      <c r="AC47" s="23">
        <f>'Утв. ИП 2014-2019'!G52</f>
        <v>2015</v>
      </c>
      <c r="AD47" s="25" t="s">
        <v>214</v>
      </c>
      <c r="AE47" s="8" t="s">
        <v>212</v>
      </c>
      <c r="AF47" s="8" t="s">
        <v>213</v>
      </c>
      <c r="AG47" s="5">
        <f>'Утв. ИП 2014-2019'!AY52</f>
        <v>0.78</v>
      </c>
      <c r="AH47" s="49"/>
      <c r="AI47" s="47"/>
      <c r="AJ47" s="47"/>
      <c r="AK47" s="47"/>
      <c r="AL47" s="47"/>
    </row>
    <row r="48" spans="1:38" s="2" customFormat="1" ht="51" hidden="1" outlineLevel="1" x14ac:dyDescent="0.2">
      <c r="A48" s="6" t="e">
        <f>A72+1</f>
        <v>#REF!</v>
      </c>
      <c r="B48" s="6" t="str">
        <f>'Утв. ИП 2014-2019'!B53</f>
        <v>2.1.1.3</v>
      </c>
      <c r="C48" s="7" t="str">
        <f>'Утв. ИП 2014-2019'!C53</f>
        <v xml:space="preserve">Строительство КЛ-6 кВ сети электроснабжения от ТП-27 до ТП-127 </v>
      </c>
      <c r="D48" s="5"/>
      <c r="E48" s="5"/>
      <c r="F48" s="5"/>
      <c r="G48" s="5"/>
      <c r="H48" s="25" t="s">
        <v>89</v>
      </c>
      <c r="I48" s="8">
        <v>30</v>
      </c>
      <c r="J48" s="25" t="s">
        <v>212</v>
      </c>
      <c r="K48" s="8" t="s">
        <v>90</v>
      </c>
      <c r="L48" s="25" t="s">
        <v>91</v>
      </c>
      <c r="M48" s="5"/>
      <c r="N48" s="5">
        <f>'Утв. ИП 2014-2019'!V53</f>
        <v>0</v>
      </c>
      <c r="O48" s="5">
        <f>N48*0.1</f>
        <v>0</v>
      </c>
      <c r="P48" s="5">
        <f>(N48-O48)*0.6</f>
        <v>0</v>
      </c>
      <c r="Q48" s="5">
        <f>(N48-O48)*0.4</f>
        <v>0</v>
      </c>
      <c r="R48" s="5">
        <f>N48-O48-P48-Q48</f>
        <v>0</v>
      </c>
      <c r="S48" s="92">
        <f>'Утв. ИП 2014-2019'!V53</f>
        <v>0</v>
      </c>
      <c r="T48" s="92">
        <f>0.1*S48</f>
        <v>0</v>
      </c>
      <c r="U48" s="92">
        <f>S48-T48</f>
        <v>0</v>
      </c>
      <c r="V48" s="5">
        <f>'Утв. ИП 2014-2019'!AJ53</f>
        <v>0</v>
      </c>
      <c r="W48" s="5"/>
      <c r="X48" s="5">
        <f>V48</f>
        <v>0</v>
      </c>
      <c r="Y48" s="12"/>
      <c r="Z48" s="12"/>
      <c r="AA48" s="12"/>
      <c r="AB48" s="12"/>
      <c r="AC48" s="23">
        <f>'Утв. ИП 2014-2019'!G53</f>
        <v>2014</v>
      </c>
      <c r="AD48" s="25" t="s">
        <v>214</v>
      </c>
      <c r="AE48" s="8" t="s">
        <v>212</v>
      </c>
      <c r="AF48" s="8" t="s">
        <v>213</v>
      </c>
      <c r="AG48" s="5">
        <f>'Утв. ИП 2014-2019'!AY53</f>
        <v>0.85</v>
      </c>
      <c r="AH48" s="5"/>
    </row>
    <row r="49" spans="1:34" s="2" customFormat="1" ht="38.25" hidden="1" outlineLevel="1" x14ac:dyDescent="0.2">
      <c r="A49" s="6" t="e">
        <f>#REF!+1</f>
        <v>#REF!</v>
      </c>
      <c r="B49" s="6" t="str">
        <f>'Утв. ИП 2014-2019'!B54</f>
        <v>2.1.1.4</v>
      </c>
      <c r="C49" s="7" t="str">
        <f>'Утв. ИП 2014-2019'!C54</f>
        <v>Диспансерное отделение областной психоневрологической больницы по ул. Аксакова, 4</v>
      </c>
      <c r="D49" s="25" t="s">
        <v>111</v>
      </c>
      <c r="E49" s="8">
        <v>25</v>
      </c>
      <c r="F49" s="25" t="s">
        <v>129</v>
      </c>
      <c r="G49" s="8" t="s">
        <v>110</v>
      </c>
      <c r="H49" s="25" t="s">
        <v>114</v>
      </c>
      <c r="I49" s="8">
        <v>25</v>
      </c>
      <c r="J49" s="25" t="s">
        <v>115</v>
      </c>
      <c r="K49" s="8" t="s">
        <v>116</v>
      </c>
      <c r="L49" s="25" t="s">
        <v>117</v>
      </c>
      <c r="M49" s="5"/>
      <c r="N49" s="5">
        <f>'Утв. ИП 2014-2019'!V54</f>
        <v>0</v>
      </c>
      <c r="O49" s="5"/>
      <c r="P49" s="5">
        <f>N49*0.6</f>
        <v>0</v>
      </c>
      <c r="Q49" s="5">
        <f>N49*0.4</f>
        <v>0</v>
      </c>
      <c r="R49" s="5">
        <f>N49-O49-P49-Q49</f>
        <v>0</v>
      </c>
      <c r="S49" s="92">
        <f>'Утв. ИП 2014-2019'!V54</f>
        <v>0</v>
      </c>
      <c r="T49" s="92">
        <f>0.1*S49</f>
        <v>0</v>
      </c>
      <c r="U49" s="92">
        <f>S49-T49</f>
        <v>0</v>
      </c>
      <c r="V49" s="5">
        <f>'Утв. ИП 2014-2019'!AJ54</f>
        <v>0</v>
      </c>
      <c r="W49" s="5"/>
      <c r="X49" s="5">
        <f>V49</f>
        <v>0</v>
      </c>
      <c r="Y49" s="23">
        <f>'Утв. ИП 2014-2019'!G54</f>
        <v>2014</v>
      </c>
      <c r="Z49" s="25" t="s">
        <v>205</v>
      </c>
      <c r="AA49" s="8">
        <v>2</v>
      </c>
      <c r="AB49" s="25" t="s">
        <v>112</v>
      </c>
      <c r="AC49" s="23">
        <f>'Утв. ИП 2014-2019'!G54</f>
        <v>2014</v>
      </c>
      <c r="AD49" s="25" t="s">
        <v>214</v>
      </c>
      <c r="AE49" s="8"/>
      <c r="AF49" s="25" t="s">
        <v>113</v>
      </c>
      <c r="AG49" s="5">
        <f>'Утв. ИП 2014-2019'!AY54</f>
        <v>0.47</v>
      </c>
      <c r="AH49" s="5"/>
    </row>
    <row r="50" spans="1:34" s="2" customFormat="1" ht="33.75" hidden="1" outlineLevel="1" x14ac:dyDescent="0.2">
      <c r="A50" s="6" t="e">
        <f t="shared" ref="A50:A57" si="11">A49+1</f>
        <v>#REF!</v>
      </c>
      <c r="B50" s="6"/>
      <c r="C50" s="97" t="str">
        <f>'Утв. ИП 2014-2019'!C55</f>
        <v>Строительство комплектной трансформаторной подстанции с демонтажем ТП-402 на пл. Аксакова</v>
      </c>
      <c r="D50" s="25"/>
      <c r="E50" s="8"/>
      <c r="F50" s="25"/>
      <c r="G50" s="8"/>
      <c r="H50" s="25"/>
      <c r="I50" s="8"/>
      <c r="J50" s="25"/>
      <c r="K50" s="8"/>
      <c r="L50" s="25"/>
      <c r="M50" s="5"/>
      <c r="N50" s="5">
        <f>'Утв. ИП 2014-2019'!V55</f>
        <v>0</v>
      </c>
      <c r="O50" s="13"/>
      <c r="P50" s="5"/>
      <c r="Q50" s="5"/>
      <c r="R50" s="5"/>
      <c r="S50" s="5">
        <f>'Утв. ИП 2014-2019'!V55</f>
        <v>0</v>
      </c>
      <c r="T50" s="5"/>
      <c r="U50" s="5"/>
      <c r="V50" s="5">
        <f>'Утв. ИП 2014-2019'!AJ55</f>
        <v>0</v>
      </c>
      <c r="W50" s="5"/>
      <c r="X50" s="5"/>
      <c r="Y50" s="8"/>
      <c r="Z50" s="25"/>
      <c r="AA50" s="8"/>
      <c r="AB50" s="25"/>
      <c r="AC50" s="8"/>
      <c r="AD50" s="25"/>
      <c r="AE50" s="8"/>
      <c r="AF50" s="25"/>
      <c r="AG50" s="8"/>
      <c r="AH50" s="5"/>
    </row>
    <row r="51" spans="1:34" s="2" customFormat="1" ht="33.75" hidden="1" outlineLevel="1" x14ac:dyDescent="0.2">
      <c r="A51" s="6" t="e">
        <f t="shared" si="11"/>
        <v>#REF!</v>
      </c>
      <c r="B51" s="6"/>
      <c r="C51" s="97" t="str">
        <f>'Утв. ИП 2014-2019'!C56</f>
        <v>Строительство КЛ-0,4 кВ от КТП до здания диспансерного отделения на пл. Аксакова, 4</v>
      </c>
      <c r="D51" s="25"/>
      <c r="E51" s="8"/>
      <c r="F51" s="25"/>
      <c r="G51" s="8"/>
      <c r="H51" s="25"/>
      <c r="I51" s="8"/>
      <c r="J51" s="25"/>
      <c r="K51" s="8"/>
      <c r="L51" s="25"/>
      <c r="M51" s="5"/>
      <c r="N51" s="5">
        <f>'Утв. ИП 2014-2019'!V56</f>
        <v>0</v>
      </c>
      <c r="O51" s="13"/>
      <c r="P51" s="5"/>
      <c r="Q51" s="5"/>
      <c r="R51" s="5"/>
      <c r="S51" s="5">
        <f>'Утв. ИП 2014-2019'!V56</f>
        <v>0</v>
      </c>
      <c r="T51" s="5"/>
      <c r="U51" s="5"/>
      <c r="V51" s="5">
        <f>'Утв. ИП 2014-2019'!AJ56</f>
        <v>0</v>
      </c>
      <c r="W51" s="5"/>
      <c r="X51" s="5"/>
      <c r="Y51" s="8"/>
      <c r="Z51" s="25"/>
      <c r="AA51" s="8"/>
      <c r="AB51" s="25"/>
      <c r="AC51" s="8"/>
      <c r="AD51" s="25"/>
      <c r="AE51" s="8"/>
      <c r="AF51" s="25"/>
      <c r="AG51" s="8"/>
      <c r="AH51" s="5"/>
    </row>
    <row r="52" spans="1:34" s="2" customFormat="1" ht="22.5" hidden="1" outlineLevel="1" x14ac:dyDescent="0.2">
      <c r="A52" s="6" t="e">
        <f t="shared" si="11"/>
        <v>#REF!</v>
      </c>
      <c r="B52" s="6"/>
      <c r="C52" s="97" t="str">
        <f>'Утв. ИП 2014-2019'!C57</f>
        <v>Монтаж оборудования РУ-6 кВ во вновь смонтированной КТП</v>
      </c>
      <c r="D52" s="25"/>
      <c r="E52" s="8"/>
      <c r="F52" s="25"/>
      <c r="G52" s="8"/>
      <c r="H52" s="25"/>
      <c r="I52" s="8"/>
      <c r="J52" s="25"/>
      <c r="K52" s="8"/>
      <c r="L52" s="25"/>
      <c r="M52" s="5"/>
      <c r="N52" s="5">
        <f>'Утв. ИП 2014-2019'!V57</f>
        <v>0</v>
      </c>
      <c r="O52" s="13"/>
      <c r="P52" s="5"/>
      <c r="Q52" s="5"/>
      <c r="R52" s="5"/>
      <c r="S52" s="5">
        <f>'Утв. ИП 2014-2019'!V57</f>
        <v>0</v>
      </c>
      <c r="T52" s="5"/>
      <c r="U52" s="5"/>
      <c r="V52" s="5">
        <f>'Утв. ИП 2014-2019'!AJ57</f>
        <v>0</v>
      </c>
      <c r="W52" s="5"/>
      <c r="X52" s="5"/>
      <c r="Y52" s="8"/>
      <c r="Z52" s="25"/>
      <c r="AA52" s="8"/>
      <c r="AB52" s="25"/>
      <c r="AC52" s="8"/>
      <c r="AD52" s="25"/>
      <c r="AE52" s="8"/>
      <c r="AF52" s="25"/>
      <c r="AG52" s="8"/>
      <c r="AH52" s="5"/>
    </row>
    <row r="53" spans="1:34" s="2" customFormat="1" ht="22.5" hidden="1" outlineLevel="1" x14ac:dyDescent="0.2">
      <c r="A53" s="6" t="e">
        <f t="shared" si="11"/>
        <v>#REF!</v>
      </c>
      <c r="B53" s="6"/>
      <c r="C53" s="97" t="str">
        <f>'Утв. ИП 2014-2019'!C58</f>
        <v>Монтаж оборудования РУ-0,4 кВ во вновь смонтированной КТП</v>
      </c>
      <c r="D53" s="25"/>
      <c r="E53" s="8"/>
      <c r="F53" s="25"/>
      <c r="G53" s="8"/>
      <c r="H53" s="25"/>
      <c r="I53" s="8"/>
      <c r="J53" s="25"/>
      <c r="K53" s="8"/>
      <c r="L53" s="25"/>
      <c r="M53" s="5"/>
      <c r="N53" s="5">
        <f>'Утв. ИП 2014-2019'!V58</f>
        <v>0</v>
      </c>
      <c r="O53" s="13"/>
      <c r="P53" s="5"/>
      <c r="Q53" s="5"/>
      <c r="R53" s="5"/>
      <c r="S53" s="5">
        <f>'Утв. ИП 2014-2019'!V58</f>
        <v>0</v>
      </c>
      <c r="T53" s="5"/>
      <c r="U53" s="5"/>
      <c r="V53" s="5">
        <f>'Утв. ИП 2014-2019'!AJ58</f>
        <v>0</v>
      </c>
      <c r="W53" s="5"/>
      <c r="X53" s="5"/>
      <c r="Y53" s="8"/>
      <c r="Z53" s="25"/>
      <c r="AA53" s="8"/>
      <c r="AB53" s="25"/>
      <c r="AC53" s="8"/>
      <c r="AD53" s="25"/>
      <c r="AE53" s="8"/>
      <c r="AF53" s="25"/>
      <c r="AG53" s="8"/>
      <c r="AH53" s="5"/>
    </row>
    <row r="54" spans="1:34" s="2" customFormat="1" ht="22.5" hidden="1" outlineLevel="1" x14ac:dyDescent="0.2">
      <c r="A54" s="6" t="e">
        <f t="shared" si="11"/>
        <v>#REF!</v>
      </c>
      <c r="B54" s="6"/>
      <c r="C54" s="97" t="str">
        <f>'Утв. ИП 2014-2019'!C59</f>
        <v>Монтаж трансформатора №1 во вновь смонтированной КТП</v>
      </c>
      <c r="D54" s="25"/>
      <c r="E54" s="8"/>
      <c r="F54" s="25"/>
      <c r="G54" s="8"/>
      <c r="H54" s="25"/>
      <c r="I54" s="8"/>
      <c r="J54" s="25"/>
      <c r="K54" s="8"/>
      <c r="L54" s="25"/>
      <c r="M54" s="5"/>
      <c r="N54" s="5">
        <f>'Утв. ИП 2014-2019'!V59</f>
        <v>0</v>
      </c>
      <c r="O54" s="13"/>
      <c r="P54" s="5"/>
      <c r="Q54" s="5"/>
      <c r="R54" s="5"/>
      <c r="S54" s="5">
        <f>'Утв. ИП 2014-2019'!V59</f>
        <v>0</v>
      </c>
      <c r="T54" s="5"/>
      <c r="U54" s="5"/>
      <c r="V54" s="5">
        <f>'Утв. ИП 2014-2019'!AJ59</f>
        <v>0</v>
      </c>
      <c r="W54" s="5"/>
      <c r="X54" s="5"/>
      <c r="Y54" s="8"/>
      <c r="Z54" s="25"/>
      <c r="AA54" s="8"/>
      <c r="AB54" s="25"/>
      <c r="AC54" s="8"/>
      <c r="AD54" s="25"/>
      <c r="AE54" s="8"/>
      <c r="AF54" s="25"/>
      <c r="AG54" s="8"/>
      <c r="AH54" s="5"/>
    </row>
    <row r="55" spans="1:34" s="2" customFormat="1" ht="22.5" hidden="1" outlineLevel="1" x14ac:dyDescent="0.2">
      <c r="A55" s="6" t="e">
        <f t="shared" si="11"/>
        <v>#REF!</v>
      </c>
      <c r="B55" s="6"/>
      <c r="C55" s="97" t="str">
        <f>'Утв. ИП 2014-2019'!C60</f>
        <v>Монтаж трансформатора №2 во вновь смонтированной КТП</v>
      </c>
      <c r="D55" s="25"/>
      <c r="E55" s="8"/>
      <c r="F55" s="25"/>
      <c r="G55" s="8"/>
      <c r="H55" s="25"/>
      <c r="I55" s="8"/>
      <c r="J55" s="25"/>
      <c r="K55" s="8"/>
      <c r="L55" s="25"/>
      <c r="M55" s="5"/>
      <c r="N55" s="5">
        <f>'Утв. ИП 2014-2019'!V60</f>
        <v>0</v>
      </c>
      <c r="O55" s="13"/>
      <c r="P55" s="5"/>
      <c r="Q55" s="5"/>
      <c r="R55" s="5"/>
      <c r="S55" s="5">
        <f>'Утв. ИП 2014-2019'!V60</f>
        <v>0</v>
      </c>
      <c r="T55" s="5"/>
      <c r="U55" s="5"/>
      <c r="V55" s="5">
        <f>'Утв. ИП 2014-2019'!AJ60</f>
        <v>0</v>
      </c>
      <c r="W55" s="5"/>
      <c r="X55" s="5"/>
      <c r="Y55" s="8"/>
      <c r="Z55" s="25"/>
      <c r="AA55" s="8"/>
      <c r="AB55" s="25"/>
      <c r="AC55" s="8"/>
      <c r="AD55" s="25"/>
      <c r="AE55" s="8"/>
      <c r="AF55" s="25"/>
      <c r="AG55" s="8"/>
      <c r="AH55" s="5"/>
    </row>
    <row r="56" spans="1:34" s="2" customFormat="1" ht="22.5" hidden="1" outlineLevel="1" x14ac:dyDescent="0.2">
      <c r="A56" s="6" t="e">
        <f t="shared" si="11"/>
        <v>#REF!</v>
      </c>
      <c r="B56" s="6"/>
      <c r="C56" s="97" t="str">
        <f>'Утв. ИП 2014-2019'!C61</f>
        <v>Монтаж узла учета во вновь смонтированной КТП</v>
      </c>
      <c r="D56" s="25"/>
      <c r="E56" s="8"/>
      <c r="F56" s="25"/>
      <c r="G56" s="8"/>
      <c r="H56" s="25"/>
      <c r="I56" s="8"/>
      <c r="J56" s="25"/>
      <c r="K56" s="8"/>
      <c r="L56" s="25"/>
      <c r="M56" s="5"/>
      <c r="N56" s="5">
        <f>'Утв. ИП 2014-2019'!V61</f>
        <v>0</v>
      </c>
      <c r="O56" s="13"/>
      <c r="P56" s="5"/>
      <c r="Q56" s="5"/>
      <c r="R56" s="5"/>
      <c r="S56" s="5">
        <f>'Утв. ИП 2014-2019'!V61</f>
        <v>0</v>
      </c>
      <c r="T56" s="5"/>
      <c r="U56" s="5"/>
      <c r="V56" s="5">
        <f>'Утв. ИП 2014-2019'!AJ61</f>
        <v>0</v>
      </c>
      <c r="W56" s="5"/>
      <c r="X56" s="5"/>
      <c r="Y56" s="8"/>
      <c r="Z56" s="25"/>
      <c r="AA56" s="8"/>
      <c r="AB56" s="25"/>
      <c r="AC56" s="8"/>
      <c r="AD56" s="25"/>
      <c r="AE56" s="8"/>
      <c r="AF56" s="25"/>
      <c r="AG56" s="8"/>
      <c r="AH56" s="5"/>
    </row>
    <row r="57" spans="1:34" s="2" customFormat="1" ht="33.75" hidden="1" outlineLevel="1" x14ac:dyDescent="0.2">
      <c r="A57" s="6" t="e">
        <f t="shared" si="11"/>
        <v>#REF!</v>
      </c>
      <c r="B57" s="6"/>
      <c r="C57" s="97" t="str">
        <f>'Утв. ИП 2014-2019'!C62</f>
        <v>Монтаж охранно-пожарной сигнализации во вновь смонтированной КТП</v>
      </c>
      <c r="D57" s="25"/>
      <c r="E57" s="8"/>
      <c r="F57" s="25"/>
      <c r="G57" s="8"/>
      <c r="H57" s="25"/>
      <c r="I57" s="8"/>
      <c r="J57" s="25"/>
      <c r="K57" s="8"/>
      <c r="L57" s="25"/>
      <c r="M57" s="5"/>
      <c r="N57" s="5">
        <f>'Утв. ИП 2014-2019'!V62</f>
        <v>0</v>
      </c>
      <c r="O57" s="13"/>
      <c r="P57" s="5"/>
      <c r="Q57" s="5"/>
      <c r="R57" s="5"/>
      <c r="S57" s="5">
        <f>'Утв. ИП 2014-2019'!V62</f>
        <v>0</v>
      </c>
      <c r="T57" s="5"/>
      <c r="U57" s="5"/>
      <c r="V57" s="5">
        <f>'Утв. ИП 2014-2019'!AJ62</f>
        <v>0</v>
      </c>
      <c r="W57" s="5"/>
      <c r="X57" s="5"/>
      <c r="Y57" s="8"/>
      <c r="Z57" s="25"/>
      <c r="AA57" s="8"/>
      <c r="AB57" s="25"/>
      <c r="AC57" s="8"/>
      <c r="AD57" s="25"/>
      <c r="AE57" s="8"/>
      <c r="AF57" s="25"/>
      <c r="AG57" s="8"/>
      <c r="AH57" s="5"/>
    </row>
    <row r="58" spans="1:34" s="2" customFormat="1" ht="51" hidden="1" outlineLevel="1" x14ac:dyDescent="0.2">
      <c r="A58" s="6" t="e">
        <f>A48+1</f>
        <v>#REF!</v>
      </c>
      <c r="B58" s="6" t="str">
        <f>'Утв. ИП 2014-2019'!B63</f>
        <v>2.1.1.5</v>
      </c>
      <c r="C58" s="7" t="str">
        <f>'Утв. ИП 2014-2019'!C63</f>
        <v>Строительство КЛ-10 кВ от ПС "Правобережная" яч.19 до РП-17 яч.9; от ПС "Правобережная" яч.10 до РП-17 яч.7</v>
      </c>
      <c r="D58" s="5"/>
      <c r="E58" s="5"/>
      <c r="F58" s="5"/>
      <c r="G58" s="5"/>
      <c r="H58" s="25" t="s">
        <v>92</v>
      </c>
      <c r="I58" s="8">
        <v>30</v>
      </c>
      <c r="J58" s="25" t="s">
        <v>212</v>
      </c>
      <c r="K58" s="8" t="s">
        <v>90</v>
      </c>
      <c r="L58" s="25" t="s">
        <v>93</v>
      </c>
      <c r="M58" s="5"/>
      <c r="N58" s="5">
        <f>'Утв. ИП 2014-2019'!V63</f>
        <v>0</v>
      </c>
      <c r="O58" s="5">
        <f t="shared" ref="O58:O66" si="12">N58*0.1</f>
        <v>0</v>
      </c>
      <c r="P58" s="5">
        <f t="shared" ref="P58:P66" si="13">(N58-O58)*0.6</f>
        <v>0</v>
      </c>
      <c r="Q58" s="5">
        <f t="shared" ref="Q58:Q66" si="14">(N58-O58)*0.4</f>
        <v>0</v>
      </c>
      <c r="R58" s="5">
        <f t="shared" ref="R58:R66" si="15">N58-O58-P58-Q58</f>
        <v>0</v>
      </c>
      <c r="S58" s="92">
        <f>'Утв. ИП 2014-2019'!V63</f>
        <v>0</v>
      </c>
      <c r="T58" s="92">
        <f t="shared" ref="T58:T67" si="16">0.1*S58</f>
        <v>0</v>
      </c>
      <c r="U58" s="92">
        <f t="shared" ref="U58:U67" si="17">S58-T58</f>
        <v>0</v>
      </c>
      <c r="V58" s="5">
        <f>'Утв. ИП 2014-2019'!AJ63</f>
        <v>0</v>
      </c>
      <c r="W58" s="5"/>
      <c r="X58" s="5">
        <f t="shared" ref="X58:X67" si="18">V58</f>
        <v>0</v>
      </c>
      <c r="Y58" s="5"/>
      <c r="Z58" s="5"/>
      <c r="AA58" s="5"/>
      <c r="AB58" s="5"/>
      <c r="AC58" s="23">
        <f>'Утв. ИП 2014-2019'!G63</f>
        <v>2016</v>
      </c>
      <c r="AD58" s="25" t="s">
        <v>214</v>
      </c>
      <c r="AE58" s="8" t="s">
        <v>212</v>
      </c>
      <c r="AF58" s="25" t="s">
        <v>82</v>
      </c>
      <c r="AG58" s="5">
        <f>'Утв. ИП 2014-2019'!AY63</f>
        <v>7.2</v>
      </c>
      <c r="AH58" s="5"/>
    </row>
    <row r="59" spans="1:34" s="2" customFormat="1" ht="51" collapsed="1" x14ac:dyDescent="0.2">
      <c r="A59" s="6" t="e">
        <f>A60+1</f>
        <v>#REF!</v>
      </c>
      <c r="B59" s="6" t="str">
        <f>'Утв. ИП 2014-2019'!B64</f>
        <v>2.1.1.6</v>
      </c>
      <c r="C59" s="7" t="str">
        <f>'Утв. ИП 2014-2019'!C64</f>
        <v>Строительство ВЛ-10 кВ и КЛ-10 кВ сети электроснабжения от ПС "Правобережная" яч. 9 до ТП-616</v>
      </c>
      <c r="D59" s="5"/>
      <c r="E59" s="5"/>
      <c r="F59" s="5"/>
      <c r="G59" s="5"/>
      <c r="H59" s="25" t="s">
        <v>98</v>
      </c>
      <c r="I59" s="8">
        <v>25</v>
      </c>
      <c r="J59" s="25" t="s">
        <v>95</v>
      </c>
      <c r="K59" s="8" t="s">
        <v>198</v>
      </c>
      <c r="L59" s="25" t="s">
        <v>99</v>
      </c>
      <c r="M59" s="5"/>
      <c r="N59" s="5">
        <f>'Утв. ИП 2014-2019'!V64</f>
        <v>0</v>
      </c>
      <c r="O59" s="5">
        <f t="shared" si="12"/>
        <v>0</v>
      </c>
      <c r="P59" s="5">
        <f t="shared" si="13"/>
        <v>0</v>
      </c>
      <c r="Q59" s="5">
        <f t="shared" si="14"/>
        <v>0</v>
      </c>
      <c r="R59" s="5">
        <f t="shared" si="15"/>
        <v>0</v>
      </c>
      <c r="S59" s="92">
        <f>'Утв. ИП 2014-2019'!V64</f>
        <v>0</v>
      </c>
      <c r="T59" s="92">
        <f t="shared" si="16"/>
        <v>0</v>
      </c>
      <c r="U59" s="92">
        <f t="shared" si="17"/>
        <v>0</v>
      </c>
      <c r="V59" s="5">
        <f>'Утв. ИП 2014-2019'!AJ64</f>
        <v>28.26</v>
      </c>
      <c r="W59" s="5">
        <f>V59</f>
        <v>28.26</v>
      </c>
      <c r="X59" s="5"/>
      <c r="Y59" s="5"/>
      <c r="Z59" s="5"/>
      <c r="AA59" s="5"/>
      <c r="AB59" s="5"/>
      <c r="AC59" s="23">
        <f>'Утв. ИП 2014-2019'!G64</f>
        <v>2018</v>
      </c>
      <c r="AD59" s="25" t="s">
        <v>214</v>
      </c>
      <c r="AE59" s="5" t="s">
        <v>201</v>
      </c>
      <c r="AF59" s="25" t="s">
        <v>97</v>
      </c>
      <c r="AG59" s="5">
        <f>'Утв. ИП 2014-2019'!AY64</f>
        <v>3.22</v>
      </c>
      <c r="AH59" s="5"/>
    </row>
    <row r="60" spans="1:34" s="2" customFormat="1" ht="51" hidden="1" outlineLevel="1" x14ac:dyDescent="0.2">
      <c r="A60" s="6" t="e">
        <f>#REF!+1</f>
        <v>#REF!</v>
      </c>
      <c r="B60" s="6" t="str">
        <f>'Утв. ИП 2014-2019'!B65</f>
        <v>2.1.1.7</v>
      </c>
      <c r="C60" s="7" t="str">
        <f>'Утв. ИП 2014-2019'!C65</f>
        <v>Строительство ВЛ-10 кВ и КЛ-10 кВ сети электроснабжения от ПС "Правобережная" яч. 18 до ТП-616</v>
      </c>
      <c r="D60" s="5"/>
      <c r="E60" s="5"/>
      <c r="F60" s="5"/>
      <c r="G60" s="5"/>
      <c r="H60" s="25" t="s">
        <v>94</v>
      </c>
      <c r="I60" s="8">
        <v>25</v>
      </c>
      <c r="J60" s="25" t="s">
        <v>95</v>
      </c>
      <c r="K60" s="8" t="s">
        <v>198</v>
      </c>
      <c r="L60" s="25" t="s">
        <v>96</v>
      </c>
      <c r="M60" s="5"/>
      <c r="N60" s="5">
        <f>'Утв. ИП 2014-2019'!V65</f>
        <v>0</v>
      </c>
      <c r="O60" s="5">
        <f t="shared" si="12"/>
        <v>0</v>
      </c>
      <c r="P60" s="5">
        <f t="shared" si="13"/>
        <v>0</v>
      </c>
      <c r="Q60" s="5">
        <f t="shared" si="14"/>
        <v>0</v>
      </c>
      <c r="R60" s="5">
        <f t="shared" si="15"/>
        <v>0</v>
      </c>
      <c r="S60" s="92">
        <f>'Утв. ИП 2014-2019'!V65</f>
        <v>0</v>
      </c>
      <c r="T60" s="92">
        <f t="shared" si="16"/>
        <v>0</v>
      </c>
      <c r="U60" s="92">
        <f t="shared" si="17"/>
        <v>0</v>
      </c>
      <c r="V60" s="5">
        <f>'Утв. ИП 2014-2019'!AJ65</f>
        <v>0</v>
      </c>
      <c r="W60" s="5"/>
      <c r="X60" s="5">
        <f t="shared" si="18"/>
        <v>0</v>
      </c>
      <c r="Y60" s="5"/>
      <c r="Z60" s="5"/>
      <c r="AA60" s="5"/>
      <c r="AB60" s="5"/>
      <c r="AC60" s="23">
        <f>'Утв. ИП 2014-2019'!G65</f>
        <v>2017</v>
      </c>
      <c r="AD60" s="25" t="s">
        <v>214</v>
      </c>
      <c r="AE60" s="5" t="s">
        <v>201</v>
      </c>
      <c r="AF60" s="25" t="s">
        <v>97</v>
      </c>
      <c r="AG60" s="5">
        <f>'Утв. ИП 2014-2019'!AY65</f>
        <v>3.38</v>
      </c>
      <c r="AH60" s="5"/>
    </row>
    <row r="61" spans="1:34" s="2" customFormat="1" ht="51" hidden="1" outlineLevel="1" x14ac:dyDescent="0.2">
      <c r="A61" s="6"/>
      <c r="B61" s="6" t="str">
        <f>'Утв. ИП 2014-2019'!B66</f>
        <v>2.1.1.8</v>
      </c>
      <c r="C61" s="7" t="str">
        <f>'Утв. ИП 2014-2019'!C66</f>
        <v>Строительство КЛ-10 кВ от ГПП-1 яч. 21 до РП-9 яч. 9</v>
      </c>
      <c r="D61" s="5"/>
      <c r="E61" s="5"/>
      <c r="F61" s="5"/>
      <c r="G61" s="5"/>
      <c r="H61" s="25" t="s">
        <v>83</v>
      </c>
      <c r="I61" s="8">
        <v>30</v>
      </c>
      <c r="J61" s="25" t="s">
        <v>212</v>
      </c>
      <c r="K61" s="8" t="s">
        <v>1445</v>
      </c>
      <c r="L61" s="25" t="s">
        <v>1446</v>
      </c>
      <c r="M61" s="5"/>
      <c r="N61" s="5">
        <f>'Утв. ИП 2014-2019'!V66</f>
        <v>0</v>
      </c>
      <c r="O61" s="5">
        <f t="shared" si="12"/>
        <v>0</v>
      </c>
      <c r="P61" s="5">
        <f t="shared" si="13"/>
        <v>0</v>
      </c>
      <c r="Q61" s="5">
        <f t="shared" si="14"/>
        <v>0</v>
      </c>
      <c r="R61" s="5">
        <f t="shared" si="15"/>
        <v>0</v>
      </c>
      <c r="S61" s="92">
        <f>'Утв. ИП 2014-2019'!V66</f>
        <v>0</v>
      </c>
      <c r="T61" s="92">
        <f t="shared" si="16"/>
        <v>0</v>
      </c>
      <c r="U61" s="92">
        <f t="shared" si="17"/>
        <v>0</v>
      </c>
      <c r="V61" s="5">
        <f>'Утв. ИП 2014-2019'!AJ66</f>
        <v>0</v>
      </c>
      <c r="W61" s="5"/>
      <c r="X61" s="5">
        <f t="shared" si="18"/>
        <v>0</v>
      </c>
      <c r="Y61" s="5"/>
      <c r="Z61" s="5"/>
      <c r="AA61" s="5"/>
      <c r="AB61" s="5"/>
      <c r="AC61" s="23">
        <f>'Утв. ИП 2014-2019'!G66</f>
        <v>2017</v>
      </c>
      <c r="AD61" s="8">
        <v>30</v>
      </c>
      <c r="AE61" s="25" t="s">
        <v>212</v>
      </c>
      <c r="AF61" s="25" t="s">
        <v>82</v>
      </c>
      <c r="AG61" s="5">
        <f>'Утв. ИП 2014-2019'!AY66</f>
        <v>2.7</v>
      </c>
      <c r="AH61" s="5"/>
    </row>
    <row r="62" spans="1:34" s="2" customFormat="1" ht="51" hidden="1" outlineLevel="1" x14ac:dyDescent="0.2">
      <c r="A62" s="6"/>
      <c r="B62" s="6" t="str">
        <f>'Утв. ИП 2014-2019'!B67</f>
        <v>2.1.1.9</v>
      </c>
      <c r="C62" s="7" t="str">
        <f>'Утв. ИП 2014-2019'!C67</f>
        <v>Строительство КЛ-10 кВ от ГПП-9 яч. 97 до РП-9 яч. 5</v>
      </c>
      <c r="D62" s="5"/>
      <c r="E62" s="5"/>
      <c r="F62" s="5"/>
      <c r="G62" s="5"/>
      <c r="H62" s="25" t="s">
        <v>114</v>
      </c>
      <c r="I62" s="8">
        <v>30</v>
      </c>
      <c r="J62" s="25" t="s">
        <v>212</v>
      </c>
      <c r="K62" s="8" t="s">
        <v>1447</v>
      </c>
      <c r="L62" s="25" t="s">
        <v>1448</v>
      </c>
      <c r="M62" s="5"/>
      <c r="N62" s="5">
        <f>'Утв. ИП 2014-2019'!V67</f>
        <v>0</v>
      </c>
      <c r="O62" s="5">
        <f t="shared" si="12"/>
        <v>0</v>
      </c>
      <c r="P62" s="5">
        <f t="shared" si="13"/>
        <v>0</v>
      </c>
      <c r="Q62" s="5">
        <f t="shared" si="14"/>
        <v>0</v>
      </c>
      <c r="R62" s="5">
        <f t="shared" si="15"/>
        <v>0</v>
      </c>
      <c r="S62" s="92">
        <f>'Утв. ИП 2014-2019'!V67</f>
        <v>0</v>
      </c>
      <c r="T62" s="92">
        <f t="shared" si="16"/>
        <v>0</v>
      </c>
      <c r="U62" s="92">
        <f t="shared" si="17"/>
        <v>0</v>
      </c>
      <c r="V62" s="5">
        <f>'Утв. ИП 2014-2019'!AJ67</f>
        <v>0</v>
      </c>
      <c r="W62" s="5"/>
      <c r="X62" s="5">
        <f t="shared" si="18"/>
        <v>0</v>
      </c>
      <c r="Y62" s="5"/>
      <c r="Z62" s="5"/>
      <c r="AA62" s="5"/>
      <c r="AB62" s="5"/>
      <c r="AC62" s="23">
        <f>'Утв. ИП 2014-2019'!G67</f>
        <v>2017</v>
      </c>
      <c r="AD62" s="8">
        <v>30</v>
      </c>
      <c r="AE62" s="25" t="s">
        <v>212</v>
      </c>
      <c r="AF62" s="25" t="s">
        <v>82</v>
      </c>
      <c r="AG62" s="5">
        <f>'Утв. ИП 2014-2019'!AY67</f>
        <v>3.5</v>
      </c>
      <c r="AH62" s="5"/>
    </row>
    <row r="63" spans="1:34" s="2" customFormat="1" ht="51" collapsed="1" x14ac:dyDescent="0.2">
      <c r="A63" s="6"/>
      <c r="B63" s="6" t="str">
        <f>'Утв. ИП 2014-2019'!B68</f>
        <v>2.1.1.10</v>
      </c>
      <c r="C63" s="7" t="str">
        <f>'Утв. ИП 2014-2019'!C68</f>
        <v>Строительство КЛ-6 кВ РП-36 Св. Сокол яч.2 - РП-25 яч.1 и КЛ-6 кВ РП-36 Св. Сокол яч.12 - РП-25 яч.2</v>
      </c>
      <c r="D63" s="5"/>
      <c r="E63" s="5"/>
      <c r="F63" s="5"/>
      <c r="G63" s="5"/>
      <c r="H63" s="25" t="s">
        <v>1449</v>
      </c>
      <c r="I63" s="8">
        <v>30</v>
      </c>
      <c r="J63" s="25" t="s">
        <v>212</v>
      </c>
      <c r="K63" s="8" t="s">
        <v>1450</v>
      </c>
      <c r="L63" s="25" t="s">
        <v>1451</v>
      </c>
      <c r="M63" s="5"/>
      <c r="N63" s="5">
        <f>'Утв. ИП 2014-2019'!V68</f>
        <v>0</v>
      </c>
      <c r="O63" s="5">
        <f t="shared" si="12"/>
        <v>0</v>
      </c>
      <c r="P63" s="5">
        <f t="shared" si="13"/>
        <v>0</v>
      </c>
      <c r="Q63" s="5">
        <f t="shared" si="14"/>
        <v>0</v>
      </c>
      <c r="R63" s="5">
        <f t="shared" si="15"/>
        <v>0</v>
      </c>
      <c r="S63" s="92">
        <f>'Утв. ИП 2014-2019'!V68</f>
        <v>0</v>
      </c>
      <c r="T63" s="92">
        <f t="shared" si="16"/>
        <v>0</v>
      </c>
      <c r="U63" s="92">
        <f t="shared" si="17"/>
        <v>0</v>
      </c>
      <c r="V63" s="5">
        <f>'Утв. ИП 2014-2019'!AJ68</f>
        <v>14.7112</v>
      </c>
      <c r="W63" s="5">
        <f>V63</f>
        <v>14.7112</v>
      </c>
      <c r="X63" s="5"/>
      <c r="Y63" s="5"/>
      <c r="Z63" s="5"/>
      <c r="AA63" s="5"/>
      <c r="AB63" s="5"/>
      <c r="AC63" s="23">
        <f>'Утв. ИП 2014-2019'!G68</f>
        <v>2018</v>
      </c>
      <c r="AD63" s="8">
        <v>30</v>
      </c>
      <c r="AE63" s="25" t="s">
        <v>212</v>
      </c>
      <c r="AF63" s="25" t="s">
        <v>82</v>
      </c>
      <c r="AG63" s="5">
        <f>'Утв. ИП 2014-2019'!AY68</f>
        <v>1.8</v>
      </c>
      <c r="AH63" s="5"/>
    </row>
    <row r="64" spans="1:34" s="2" customFormat="1" ht="51" hidden="1" outlineLevel="1" x14ac:dyDescent="0.2">
      <c r="A64" s="6"/>
      <c r="B64" s="6" t="str">
        <f>'Утв. ИП 2014-2019'!B69</f>
        <v>2.1.1.11</v>
      </c>
      <c r="C64" s="7" t="str">
        <f>'Утв. ИП 2014-2019'!C69</f>
        <v>Строительство КЛ-6 кВ ПС-2 Св. Сокол яч.217 - КТП-426</v>
      </c>
      <c r="D64" s="5"/>
      <c r="E64" s="5"/>
      <c r="F64" s="5"/>
      <c r="G64" s="5"/>
      <c r="H64" s="25" t="s">
        <v>89</v>
      </c>
      <c r="I64" s="8">
        <v>30</v>
      </c>
      <c r="J64" s="25" t="s">
        <v>212</v>
      </c>
      <c r="K64" s="8" t="s">
        <v>1453</v>
      </c>
      <c r="L64" s="25" t="s">
        <v>1454</v>
      </c>
      <c r="M64" s="5"/>
      <c r="N64" s="5">
        <f>'Утв. ИП 2014-2019'!V69</f>
        <v>0</v>
      </c>
      <c r="O64" s="5">
        <f t="shared" si="12"/>
        <v>0</v>
      </c>
      <c r="P64" s="5">
        <f t="shared" si="13"/>
        <v>0</v>
      </c>
      <c r="Q64" s="5">
        <f t="shared" si="14"/>
        <v>0</v>
      </c>
      <c r="R64" s="5">
        <f t="shared" si="15"/>
        <v>0</v>
      </c>
      <c r="S64" s="92">
        <f>'Утв. ИП 2014-2019'!V69</f>
        <v>0</v>
      </c>
      <c r="T64" s="92">
        <f t="shared" si="16"/>
        <v>0</v>
      </c>
      <c r="U64" s="92">
        <f t="shared" si="17"/>
        <v>0</v>
      </c>
      <c r="V64" s="5">
        <f>'Утв. ИП 2014-2019'!AJ69</f>
        <v>0</v>
      </c>
      <c r="W64" s="5"/>
      <c r="X64" s="5">
        <f t="shared" si="18"/>
        <v>0</v>
      </c>
      <c r="Y64" s="5"/>
      <c r="Z64" s="5"/>
      <c r="AA64" s="5"/>
      <c r="AB64" s="5"/>
      <c r="AC64" s="23">
        <f>'Утв. ИП 2014-2019'!G69</f>
        <v>2016</v>
      </c>
      <c r="AD64" s="8">
        <v>30</v>
      </c>
      <c r="AE64" s="25" t="s">
        <v>212</v>
      </c>
      <c r="AF64" s="25" t="s">
        <v>82</v>
      </c>
      <c r="AG64" s="5">
        <f>'Утв. ИП 2014-2019'!AY69</f>
        <v>0.7</v>
      </c>
      <c r="AH64" s="5"/>
    </row>
    <row r="65" spans="1:38" s="2" customFormat="1" ht="51" collapsed="1" x14ac:dyDescent="0.2">
      <c r="A65" s="6" t="e">
        <f>A47+1</f>
        <v>#REF!</v>
      </c>
      <c r="B65" s="6" t="str">
        <f>'Утв. ИП 2014-2019'!B70</f>
        <v>2.1.1.12</v>
      </c>
      <c r="C65" s="7" t="str">
        <f>'Утв. ИП 2014-2019'!C70</f>
        <v>Строительство КЛ-6 кВ от РП-Вилли Огнева до ТП-732</v>
      </c>
      <c r="D65" s="5"/>
      <c r="E65" s="5"/>
      <c r="F65" s="5"/>
      <c r="G65" s="5"/>
      <c r="H65" s="25"/>
      <c r="I65" s="8"/>
      <c r="J65" s="25"/>
      <c r="K65" s="8"/>
      <c r="L65" s="25"/>
      <c r="M65" s="5"/>
      <c r="N65" s="5">
        <f>'Утв. ИП 2014-2019'!V70</f>
        <v>0.3</v>
      </c>
      <c r="O65" s="5">
        <f t="shared" si="12"/>
        <v>0.03</v>
      </c>
      <c r="P65" s="5">
        <f t="shared" si="13"/>
        <v>0.16200000000000001</v>
      </c>
      <c r="Q65" s="5">
        <f t="shared" si="14"/>
        <v>0.10800000000000001</v>
      </c>
      <c r="R65" s="5">
        <f t="shared" si="15"/>
        <v>0</v>
      </c>
      <c r="S65" s="92">
        <f>'Утв. ИП 2014-2019'!V70</f>
        <v>0.3</v>
      </c>
      <c r="T65" s="92">
        <f t="shared" si="16"/>
        <v>0.03</v>
      </c>
      <c r="U65" s="92">
        <f t="shared" si="17"/>
        <v>0.27</v>
      </c>
      <c r="V65" s="5">
        <f>'Утв. ИП 2014-2019'!AJ70</f>
        <v>0</v>
      </c>
      <c r="W65" s="5"/>
      <c r="X65" s="5">
        <f t="shared" si="18"/>
        <v>0</v>
      </c>
      <c r="Y65" s="5"/>
      <c r="Z65" s="5"/>
      <c r="AA65" s="5"/>
      <c r="AB65" s="5"/>
      <c r="AC65" s="23">
        <f>'Утв. ИП 2014-2019'!G70</f>
        <v>2019</v>
      </c>
      <c r="AD65" s="25" t="s">
        <v>214</v>
      </c>
      <c r="AE65" s="8" t="s">
        <v>212</v>
      </c>
      <c r="AF65" s="8" t="s">
        <v>213</v>
      </c>
      <c r="AG65" s="5">
        <f>'Утв. ИП 2014-2019'!AY70</f>
        <v>0.3</v>
      </c>
      <c r="AH65" s="12"/>
      <c r="AI65" s="47"/>
      <c r="AJ65" s="47"/>
      <c r="AK65" s="47"/>
      <c r="AL65" s="47"/>
    </row>
    <row r="66" spans="1:38" s="2" customFormat="1" ht="51" x14ac:dyDescent="0.2">
      <c r="A66" s="6" t="e">
        <f>A65+1</f>
        <v>#REF!</v>
      </c>
      <c r="B66" s="6" t="str">
        <f>'Утв. ИП 2014-2019'!B71</f>
        <v>2.1.1.13</v>
      </c>
      <c r="C66" s="7" t="str">
        <f>'Утв. ИП 2014-2019'!C71</f>
        <v>Строительство КЛ-6 кВ от РП-Вилли Огнева до КТП-725</v>
      </c>
      <c r="D66" s="5"/>
      <c r="E66" s="5"/>
      <c r="F66" s="5"/>
      <c r="G66" s="5"/>
      <c r="H66" s="25"/>
      <c r="I66" s="8"/>
      <c r="J66" s="25"/>
      <c r="K66" s="8"/>
      <c r="L66" s="25"/>
      <c r="M66" s="5"/>
      <c r="N66" s="5">
        <f>'Утв. ИП 2014-2019'!V71</f>
        <v>0.28999999999999998</v>
      </c>
      <c r="O66" s="5">
        <f t="shared" si="12"/>
        <v>2.8999999999999998E-2</v>
      </c>
      <c r="P66" s="5">
        <f t="shared" si="13"/>
        <v>0.15659999999999999</v>
      </c>
      <c r="Q66" s="5">
        <f t="shared" si="14"/>
        <v>0.10440000000000001</v>
      </c>
      <c r="R66" s="5">
        <f t="shared" si="15"/>
        <v>0</v>
      </c>
      <c r="S66" s="92">
        <f>'Утв. ИП 2014-2019'!V71</f>
        <v>0.28999999999999998</v>
      </c>
      <c r="T66" s="92">
        <f t="shared" si="16"/>
        <v>2.8999999999999998E-2</v>
      </c>
      <c r="U66" s="92">
        <f t="shared" si="17"/>
        <v>0.26100000000000001</v>
      </c>
      <c r="V66" s="5">
        <f>'Утв. ИП 2014-2019'!AJ71</f>
        <v>0</v>
      </c>
      <c r="W66" s="5"/>
      <c r="X66" s="5">
        <f t="shared" si="18"/>
        <v>0</v>
      </c>
      <c r="Y66" s="5"/>
      <c r="Z66" s="5"/>
      <c r="AA66" s="5"/>
      <c r="AB66" s="5"/>
      <c r="AC66" s="23">
        <f>'Утв. ИП 2014-2019'!G71</f>
        <v>2019</v>
      </c>
      <c r="AD66" s="25" t="s">
        <v>214</v>
      </c>
      <c r="AE66" s="8"/>
      <c r="AF66" s="8" t="s">
        <v>213</v>
      </c>
      <c r="AG66" s="5">
        <f>'Утв. ИП 2014-2019'!AY71</f>
        <v>0.2</v>
      </c>
      <c r="AH66" s="12"/>
      <c r="AI66" s="47"/>
      <c r="AJ66" s="47"/>
      <c r="AK66" s="47"/>
      <c r="AL66" s="47"/>
    </row>
    <row r="67" spans="1:38" s="2" customFormat="1" ht="51" hidden="1" outlineLevel="1" x14ac:dyDescent="0.2">
      <c r="A67" s="6" t="e">
        <f>A45+1</f>
        <v>#REF!</v>
      </c>
      <c r="B67" s="6" t="str">
        <f>'Утв. ИП 2014-2019'!B72</f>
        <v>2.1.1.14</v>
      </c>
      <c r="C67" s="7" t="str">
        <f>'Утв. ИП 2014-2019'!C72</f>
        <v>Строительство ВЛ, КЛ-35 кВ от ПС "Бугор" до ПС "Город" с отпайкой на ПС "Водозабор №2"</v>
      </c>
      <c r="D67" s="5"/>
      <c r="E67" s="5"/>
      <c r="F67" s="5"/>
      <c r="G67" s="5"/>
      <c r="H67" s="25" t="s">
        <v>83</v>
      </c>
      <c r="I67" s="25" t="s">
        <v>214</v>
      </c>
      <c r="J67" s="25" t="s">
        <v>84</v>
      </c>
      <c r="K67" s="25" t="s">
        <v>85</v>
      </c>
      <c r="L67" s="25" t="s">
        <v>86</v>
      </c>
      <c r="M67" s="5"/>
      <c r="N67" s="5">
        <f>'Утв. ИП 2014-2019'!V72</f>
        <v>0</v>
      </c>
      <c r="O67" s="5">
        <f>N67*0.05</f>
        <v>0</v>
      </c>
      <c r="P67" s="5">
        <f>(N67-O67)*0.6</f>
        <v>0</v>
      </c>
      <c r="Q67" s="5">
        <f>(N67-O67)*0.4</f>
        <v>0</v>
      </c>
      <c r="R67" s="5">
        <f>N67-O67-P67-Q67</f>
        <v>0</v>
      </c>
      <c r="S67" s="92">
        <f>'Утв. ИП 2014-2019'!V72</f>
        <v>0</v>
      </c>
      <c r="T67" s="92">
        <f t="shared" si="16"/>
        <v>0</v>
      </c>
      <c r="U67" s="92">
        <f t="shared" si="17"/>
        <v>0</v>
      </c>
      <c r="V67" s="5">
        <f>'Утв. ИП 2014-2019'!AJ72</f>
        <v>0</v>
      </c>
      <c r="W67" s="5"/>
      <c r="X67" s="5">
        <f t="shared" si="18"/>
        <v>0</v>
      </c>
      <c r="Y67" s="23">
        <f>'Утв. ИП 2014-2019'!G72</f>
        <v>2021</v>
      </c>
      <c r="Z67" s="25" t="s">
        <v>205</v>
      </c>
      <c r="AA67" s="25" t="s">
        <v>212</v>
      </c>
      <c r="AB67" s="25" t="s">
        <v>87</v>
      </c>
      <c r="AC67" s="23">
        <f>'Утв. ИП 2014-2019'!G72</f>
        <v>2021</v>
      </c>
      <c r="AD67" s="25" t="s">
        <v>214</v>
      </c>
      <c r="AE67" s="25" t="s">
        <v>212</v>
      </c>
      <c r="AF67" s="25" t="s">
        <v>82</v>
      </c>
      <c r="AG67" s="5">
        <f>'Утв. ИП 2014-2019'!AY72</f>
        <v>0</v>
      </c>
      <c r="AH67" s="25" t="s">
        <v>88</v>
      </c>
    </row>
    <row r="68" spans="1:38" s="2" customFormat="1" ht="45" hidden="1" outlineLevel="1" x14ac:dyDescent="0.2">
      <c r="A68" s="6" t="e">
        <f>A67+1</f>
        <v>#REF!</v>
      </c>
      <c r="B68" s="10"/>
      <c r="C68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68" s="5"/>
      <c r="E68" s="5"/>
      <c r="F68" s="5"/>
      <c r="G68" s="5"/>
      <c r="H68" s="25"/>
      <c r="I68" s="25"/>
      <c r="J68" s="25"/>
      <c r="K68" s="25"/>
      <c r="L68" s="25"/>
      <c r="M68" s="5"/>
      <c r="N68" s="5"/>
      <c r="O68" s="13"/>
      <c r="P68" s="5"/>
      <c r="Q68" s="5"/>
      <c r="R68" s="5"/>
      <c r="S68" s="50"/>
      <c r="T68" s="5"/>
      <c r="U68" s="5"/>
      <c r="V68" s="5"/>
      <c r="W68" s="5"/>
      <c r="X68" s="5"/>
      <c r="Y68" s="44"/>
      <c r="Z68" s="25"/>
      <c r="AA68" s="25"/>
      <c r="AB68" s="25"/>
      <c r="AC68" s="8"/>
      <c r="AD68" s="25"/>
      <c r="AE68" s="25"/>
      <c r="AF68" s="25"/>
      <c r="AG68" s="15"/>
      <c r="AH68" s="25"/>
    </row>
    <row r="69" spans="1:38" s="2" customFormat="1" ht="22.5" hidden="1" outlineLevel="1" x14ac:dyDescent="0.2">
      <c r="A69" s="6" t="e">
        <f>A68+1</f>
        <v>#REF!</v>
      </c>
      <c r="B69" s="10"/>
      <c r="C69" s="97" t="str">
        <f>'Утв. ИП 2014-2019'!C74</f>
        <v>Строительство ЗРУ - 35 кВ ПС Водозабор № 2</v>
      </c>
      <c r="D69" s="5"/>
      <c r="E69" s="5"/>
      <c r="F69" s="5"/>
      <c r="G69" s="5"/>
      <c r="H69" s="25"/>
      <c r="I69" s="25"/>
      <c r="J69" s="25"/>
      <c r="K69" s="25"/>
      <c r="L69" s="25"/>
      <c r="M69" s="5"/>
      <c r="N69" s="5"/>
      <c r="O69" s="13"/>
      <c r="P69" s="5"/>
      <c r="Q69" s="5"/>
      <c r="R69" s="5"/>
      <c r="S69" s="50"/>
      <c r="T69" s="5"/>
      <c r="U69" s="5"/>
      <c r="V69" s="5"/>
      <c r="W69" s="5"/>
      <c r="X69" s="5"/>
      <c r="Y69" s="44"/>
      <c r="Z69" s="25"/>
      <c r="AA69" s="25"/>
      <c r="AB69" s="25"/>
      <c r="AC69" s="8"/>
      <c r="AD69" s="25"/>
      <c r="AE69" s="25"/>
      <c r="AF69" s="25"/>
      <c r="AG69" s="15"/>
      <c r="AH69" s="25"/>
    </row>
    <row r="70" spans="1:38" s="2" customFormat="1" ht="22.5" hidden="1" outlineLevel="1" x14ac:dyDescent="0.2">
      <c r="A70" s="6" t="e">
        <f>A69+1</f>
        <v>#REF!</v>
      </c>
      <c r="B70" s="10"/>
      <c r="C70" s="97" t="str">
        <f>'Утв. ИП 2014-2019'!C75</f>
        <v>Строительство КЛ 35 кВ от ПС "Бугор" до ПС Водозабор № 2</v>
      </c>
      <c r="D70" s="5"/>
      <c r="E70" s="5"/>
      <c r="F70" s="5"/>
      <c r="G70" s="5"/>
      <c r="H70" s="25"/>
      <c r="I70" s="25"/>
      <c r="J70" s="25"/>
      <c r="K70" s="25"/>
      <c r="L70" s="25"/>
      <c r="M70" s="5"/>
      <c r="N70" s="5"/>
      <c r="O70" s="13"/>
      <c r="P70" s="5"/>
      <c r="Q70" s="5"/>
      <c r="R70" s="5"/>
      <c r="S70" s="50"/>
      <c r="T70" s="5"/>
      <c r="U70" s="5"/>
      <c r="V70" s="5"/>
      <c r="W70" s="5"/>
      <c r="X70" s="5"/>
      <c r="Y70" s="44"/>
      <c r="Z70" s="25"/>
      <c r="AA70" s="25"/>
      <c r="AB70" s="25"/>
      <c r="AC70" s="8"/>
      <c r="AD70" s="25"/>
      <c r="AE70" s="25"/>
      <c r="AF70" s="25"/>
      <c r="AG70" s="15"/>
      <c r="AH70" s="25"/>
    </row>
    <row r="71" spans="1:38" s="2" customFormat="1" ht="22.5" hidden="1" outlineLevel="1" x14ac:dyDescent="0.2">
      <c r="A71" s="6" t="e">
        <f>A70+1</f>
        <v>#REF!</v>
      </c>
      <c r="B71" s="10"/>
      <c r="C71" s="97" t="str">
        <f>'Утв. ИП 2014-2019'!C76</f>
        <v>Строительство КЛ 35 кВ от ПС Водозабор № 2 до ЦРП "Город"</v>
      </c>
      <c r="D71" s="5"/>
      <c r="E71" s="5"/>
      <c r="F71" s="5"/>
      <c r="G71" s="5"/>
      <c r="H71" s="25"/>
      <c r="I71" s="25"/>
      <c r="J71" s="25"/>
      <c r="K71" s="25"/>
      <c r="L71" s="25"/>
      <c r="M71" s="5"/>
      <c r="N71" s="5"/>
      <c r="O71" s="13"/>
      <c r="P71" s="5"/>
      <c r="Q71" s="5"/>
      <c r="R71" s="5"/>
      <c r="S71" s="50"/>
      <c r="T71" s="5"/>
      <c r="U71" s="5"/>
      <c r="V71" s="5"/>
      <c r="W71" s="5"/>
      <c r="X71" s="5"/>
      <c r="Y71" s="44"/>
      <c r="Z71" s="25"/>
      <c r="AA71" s="25"/>
      <c r="AB71" s="25"/>
      <c r="AC71" s="8"/>
      <c r="AD71" s="25"/>
      <c r="AE71" s="25"/>
      <c r="AF71" s="25"/>
      <c r="AG71" s="15"/>
      <c r="AH71" s="25"/>
    </row>
    <row r="72" spans="1:38" s="2" customFormat="1" ht="22.5" hidden="1" outlineLevel="1" x14ac:dyDescent="0.2">
      <c r="A72" s="6" t="e">
        <f>A71+1</f>
        <v>#REF!</v>
      </c>
      <c r="B72" s="10"/>
      <c r="C72" s="97" t="str">
        <f>'Утв. ИП 2014-2019'!C77</f>
        <v>Демонтаж ВЛ 35 кВ от ПС "Бугор" до ЦРП "Город"</v>
      </c>
      <c r="D72" s="5"/>
      <c r="E72" s="5"/>
      <c r="F72" s="5"/>
      <c r="G72" s="5"/>
      <c r="H72" s="25"/>
      <c r="I72" s="25"/>
      <c r="J72" s="25"/>
      <c r="K72" s="25"/>
      <c r="L72" s="25"/>
      <c r="M72" s="5"/>
      <c r="N72" s="5"/>
      <c r="O72" s="13"/>
      <c r="P72" s="5"/>
      <c r="Q72" s="5"/>
      <c r="R72" s="5"/>
      <c r="S72" s="50"/>
      <c r="T72" s="5"/>
      <c r="U72" s="5"/>
      <c r="V72" s="5"/>
      <c r="W72" s="5"/>
      <c r="X72" s="5"/>
      <c r="Y72" s="44"/>
      <c r="Z72" s="25"/>
      <c r="AA72" s="25"/>
      <c r="AB72" s="25"/>
      <c r="AC72" s="8"/>
      <c r="AD72" s="25"/>
      <c r="AE72" s="25"/>
      <c r="AF72" s="25"/>
      <c r="AG72" s="15"/>
      <c r="AH72" s="25"/>
    </row>
    <row r="73" spans="1:38" s="53" customFormat="1" ht="19.5" customHeight="1" collapsed="1" x14ac:dyDescent="0.2">
      <c r="A73" s="28" t="e">
        <f>A46+1</f>
        <v>#REF!</v>
      </c>
      <c r="B73" s="28" t="str">
        <f>'Утв. ИП 2014-2019'!B78</f>
        <v>2.1.2</v>
      </c>
      <c r="C73" s="29" t="str">
        <f>'Утв. ИП 2014-2019'!C78</f>
        <v>Сети низкого напряжения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>
        <f>'Утв. ИП 2014-2019'!V78</f>
        <v>0</v>
      </c>
      <c r="O73" s="31">
        <f>SUM(O74:O77)</f>
        <v>0</v>
      </c>
      <c r="P73" s="31">
        <f>SUM(P74:P77)</f>
        <v>0</v>
      </c>
      <c r="Q73" s="31">
        <f>SUM(Q74:Q77)</f>
        <v>0</v>
      </c>
      <c r="R73" s="31">
        <f>SUM(R74:R77)</f>
        <v>0</v>
      </c>
      <c r="S73" s="31">
        <f>'Утв. ИП 2014-2019'!V78</f>
        <v>0</v>
      </c>
      <c r="T73" s="31">
        <f>SUM(T74:T77)</f>
        <v>0</v>
      </c>
      <c r="U73" s="31">
        <f>SUM(U74:U77)</f>
        <v>0</v>
      </c>
      <c r="V73" s="31">
        <f>'Утв. ИП 2014-2019'!AJ78</f>
        <v>0</v>
      </c>
      <c r="W73" s="31">
        <f>SUM(W74:W77)</f>
        <v>0</v>
      </c>
      <c r="X73" s="31">
        <f>SUM(X74:X77)</f>
        <v>0</v>
      </c>
      <c r="Y73" s="31"/>
      <c r="Z73" s="31"/>
      <c r="AA73" s="31"/>
      <c r="AB73" s="31"/>
      <c r="AC73" s="31"/>
      <c r="AD73" s="31"/>
      <c r="AE73" s="31"/>
      <c r="AF73" s="31"/>
      <c r="AG73" s="31"/>
      <c r="AH73" s="31"/>
    </row>
    <row r="74" spans="1:38" s="2" customFormat="1" ht="51" hidden="1" outlineLevel="1" x14ac:dyDescent="0.2">
      <c r="A74" s="6" t="e">
        <f>#REF!+1</f>
        <v>#REF!</v>
      </c>
      <c r="B74" s="6" t="str">
        <f>'Утв. ИП 2014-2019'!B79</f>
        <v>2.1.2.1</v>
      </c>
      <c r="C74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D74" s="5"/>
      <c r="E74" s="5"/>
      <c r="F74" s="5"/>
      <c r="G74" s="5"/>
      <c r="H74" s="25" t="s">
        <v>105</v>
      </c>
      <c r="I74" s="8">
        <v>30</v>
      </c>
      <c r="J74" s="25" t="s">
        <v>212</v>
      </c>
      <c r="K74" s="8" t="s">
        <v>102</v>
      </c>
      <c r="L74" s="25" t="s">
        <v>104</v>
      </c>
      <c r="M74" s="5"/>
      <c r="N74" s="5">
        <f>'Утв. ИП 2014-2019'!V79</f>
        <v>0</v>
      </c>
      <c r="O74" s="5"/>
      <c r="P74" s="5">
        <f>0.6*N74</f>
        <v>0</v>
      </c>
      <c r="Q74" s="5">
        <f>0.4*N74</f>
        <v>0</v>
      </c>
      <c r="R74" s="5">
        <f t="shared" ref="R74:R83" si="19">N74-O74-P74-Q74</f>
        <v>0</v>
      </c>
      <c r="S74" s="92">
        <f>'Утв. ИП 2014-2019'!V79</f>
        <v>0</v>
      </c>
      <c r="T74" s="92">
        <f t="shared" ref="T74:T83" si="20">0.1*S74</f>
        <v>0</v>
      </c>
      <c r="U74" s="92">
        <f>S74-T74</f>
        <v>0</v>
      </c>
      <c r="V74" s="5">
        <f>'Утв. ИП 2014-2019'!AJ79</f>
        <v>0</v>
      </c>
      <c r="W74" s="5"/>
      <c r="X74" s="5">
        <f>V74</f>
        <v>0</v>
      </c>
      <c r="Y74" s="5"/>
      <c r="Z74" s="5"/>
      <c r="AA74" s="5"/>
      <c r="AB74" s="5"/>
      <c r="AC74" s="23">
        <f>'Утв. ИП 2014-2019'!G79</f>
        <v>2015</v>
      </c>
      <c r="AD74" s="25" t="s">
        <v>214</v>
      </c>
      <c r="AE74" s="8" t="s">
        <v>212</v>
      </c>
      <c r="AF74" s="8" t="s">
        <v>108</v>
      </c>
      <c r="AG74" s="5">
        <f>'Утв. ИП 2014-2019'!AY79</f>
        <v>0.215</v>
      </c>
      <c r="AH74" s="5"/>
    </row>
    <row r="75" spans="1:38" s="2" customFormat="1" ht="76.5" hidden="1" outlineLevel="1" x14ac:dyDescent="0.2">
      <c r="A75" s="6" t="e">
        <f>A73+1</f>
        <v>#REF!</v>
      </c>
      <c r="B75" s="6" t="str">
        <f>'Утв. ИП 2014-2019'!B80</f>
        <v>2.1.2.2</v>
      </c>
      <c r="C75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5" s="5"/>
      <c r="E75" s="5"/>
      <c r="F75" s="5"/>
      <c r="G75" s="5"/>
      <c r="H75" s="25" t="s">
        <v>101</v>
      </c>
      <c r="I75" s="8">
        <v>30</v>
      </c>
      <c r="J75" s="25" t="s">
        <v>212</v>
      </c>
      <c r="K75" s="8" t="s">
        <v>102</v>
      </c>
      <c r="L75" s="25" t="s">
        <v>103</v>
      </c>
      <c r="M75" s="5"/>
      <c r="N75" s="5">
        <f>'Утв. ИП 2014-2019'!V80</f>
        <v>0</v>
      </c>
      <c r="O75" s="5"/>
      <c r="P75" s="5">
        <f>0.6*N75</f>
        <v>0</v>
      </c>
      <c r="Q75" s="5">
        <f>0.4*N75</f>
        <v>0</v>
      </c>
      <c r="R75" s="5">
        <f t="shared" si="19"/>
        <v>0</v>
      </c>
      <c r="S75" s="92">
        <f>'Утв. ИП 2014-2019'!V80</f>
        <v>0</v>
      </c>
      <c r="T75" s="92">
        <f t="shared" si="20"/>
        <v>0</v>
      </c>
      <c r="U75" s="92">
        <f>S75-T75</f>
        <v>0</v>
      </c>
      <c r="V75" s="5">
        <f>'Утв. ИП 2014-2019'!AJ80</f>
        <v>0</v>
      </c>
      <c r="W75" s="5"/>
      <c r="X75" s="5">
        <f>V75</f>
        <v>0</v>
      </c>
      <c r="Y75" s="5"/>
      <c r="Z75" s="5"/>
      <c r="AA75" s="5"/>
      <c r="AB75" s="5"/>
      <c r="AC75" s="23">
        <f>'Утв. ИП 2014-2019'!G80</f>
        <v>2016</v>
      </c>
      <c r="AD75" s="25" t="s">
        <v>214</v>
      </c>
      <c r="AE75" s="8" t="s">
        <v>212</v>
      </c>
      <c r="AF75" s="8" t="s">
        <v>108</v>
      </c>
      <c r="AG75" s="5">
        <f>'Утв. ИП 2014-2019'!AY80</f>
        <v>0.115</v>
      </c>
      <c r="AH75" s="5"/>
    </row>
    <row r="76" spans="1:38" s="2" customFormat="1" ht="51" hidden="1" outlineLevel="1" x14ac:dyDescent="0.2">
      <c r="A76" s="6" t="e">
        <f>A74+1</f>
        <v>#REF!</v>
      </c>
      <c r="B76" s="6" t="str">
        <f>'Утв. ИП 2014-2019'!B81</f>
        <v>2.1.2.3</v>
      </c>
      <c r="C76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76" s="5"/>
      <c r="E76" s="5"/>
      <c r="F76" s="5"/>
      <c r="G76" s="5"/>
      <c r="H76" s="25" t="s">
        <v>106</v>
      </c>
      <c r="I76" s="8">
        <v>30</v>
      </c>
      <c r="J76" s="25" t="s">
        <v>212</v>
      </c>
      <c r="K76" s="8" t="s">
        <v>102</v>
      </c>
      <c r="L76" s="25" t="s">
        <v>107</v>
      </c>
      <c r="M76" s="5"/>
      <c r="N76" s="5">
        <f>'Утв. ИП 2014-2019'!V81</f>
        <v>0</v>
      </c>
      <c r="O76" s="5"/>
      <c r="P76" s="5">
        <f>0.6*N76</f>
        <v>0</v>
      </c>
      <c r="Q76" s="5">
        <f>0.4*N76</f>
        <v>0</v>
      </c>
      <c r="R76" s="5">
        <f t="shared" si="19"/>
        <v>0</v>
      </c>
      <c r="S76" s="92">
        <f>'Утв. ИП 2014-2019'!V81</f>
        <v>0</v>
      </c>
      <c r="T76" s="92">
        <f t="shared" si="20"/>
        <v>0</v>
      </c>
      <c r="U76" s="92">
        <f>S76-T76</f>
        <v>0</v>
      </c>
      <c r="V76" s="5">
        <f>'Утв. ИП 2014-2019'!AJ81</f>
        <v>0</v>
      </c>
      <c r="W76" s="5"/>
      <c r="X76" s="5">
        <f>V76</f>
        <v>0</v>
      </c>
      <c r="Y76" s="5"/>
      <c r="Z76" s="5"/>
      <c r="AA76" s="5"/>
      <c r="AB76" s="5"/>
      <c r="AC76" s="23">
        <f>'Утв. ИП 2014-2019'!G81</f>
        <v>2017</v>
      </c>
      <c r="AD76" s="25" t="s">
        <v>214</v>
      </c>
      <c r="AE76" s="8" t="s">
        <v>212</v>
      </c>
      <c r="AF76" s="8" t="s">
        <v>108</v>
      </c>
      <c r="AG76" s="5">
        <f>'Утв. ИП 2014-2019'!AY81</f>
        <v>0.3</v>
      </c>
      <c r="AH76" s="5"/>
    </row>
    <row r="77" spans="1:38" s="2" customFormat="1" ht="51" hidden="1" outlineLevel="1" x14ac:dyDescent="0.2">
      <c r="A77" s="6" t="e">
        <f>A76+1</f>
        <v>#REF!</v>
      </c>
      <c r="B77" s="6" t="str">
        <f>'Утв. ИП 2014-2019'!B82</f>
        <v>2.1.2.4</v>
      </c>
      <c r="C77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D77" s="5"/>
      <c r="E77" s="5"/>
      <c r="F77" s="5"/>
      <c r="G77" s="5"/>
      <c r="H77" s="25"/>
      <c r="I77" s="8"/>
      <c r="J77" s="25"/>
      <c r="K77" s="8"/>
      <c r="L77" s="25"/>
      <c r="M77" s="5"/>
      <c r="N77" s="5">
        <f>'Утв. ИП 2014-2019'!V82</f>
        <v>0</v>
      </c>
      <c r="O77" s="5"/>
      <c r="P77" s="5">
        <f>0.6*N77</f>
        <v>0</v>
      </c>
      <c r="Q77" s="5">
        <f>0.4*N77</f>
        <v>0</v>
      </c>
      <c r="R77" s="5">
        <f t="shared" si="19"/>
        <v>0</v>
      </c>
      <c r="S77" s="92">
        <f>'Утв. ИП 2014-2019'!V82</f>
        <v>0</v>
      </c>
      <c r="T77" s="92">
        <f t="shared" si="20"/>
        <v>0</v>
      </c>
      <c r="U77" s="92">
        <f>S77-T77</f>
        <v>0</v>
      </c>
      <c r="V77" s="5">
        <f>'Утв. ИП 2014-2019'!AJ82</f>
        <v>0</v>
      </c>
      <c r="W77" s="5"/>
      <c r="X77" s="5">
        <f>V77</f>
        <v>0</v>
      </c>
      <c r="Y77" s="5"/>
      <c r="Z77" s="5"/>
      <c r="AA77" s="5"/>
      <c r="AB77" s="5"/>
      <c r="AC77" s="23">
        <f>'Утв. ИП 2014-2019'!G82</f>
        <v>2017</v>
      </c>
      <c r="AD77" s="25"/>
      <c r="AE77" s="8"/>
      <c r="AF77" s="8"/>
      <c r="AG77" s="5">
        <f>'Утв. ИП 2014-2019'!AY82</f>
        <v>0.4</v>
      </c>
      <c r="AH77" s="5"/>
    </row>
    <row r="78" spans="1:38" s="32" customFormat="1" ht="25.5" collapsed="1" x14ac:dyDescent="0.2">
      <c r="A78" s="28" t="e">
        <f>A77+1</f>
        <v>#REF!</v>
      </c>
      <c r="B78" s="28" t="str">
        <f>'Утв. ИП 2014-2019'!B83</f>
        <v>2.1.3</v>
      </c>
      <c r="C78" s="29" t="str">
        <f>'Утв. ИП 2014-2019'!C83</f>
        <v>Объекты электросетевого хозяйства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>
        <f>'Утв. ИП 2014-2019'!V83</f>
        <v>0.63</v>
      </c>
      <c r="O78" s="31">
        <f>SUM(O79:O83)</f>
        <v>0</v>
      </c>
      <c r="P78" s="31">
        <f>SUM(P79:P83)</f>
        <v>0.378</v>
      </c>
      <c r="Q78" s="31">
        <f>SUM(Q79:Q83)</f>
        <v>0.252</v>
      </c>
      <c r="R78" s="31">
        <f>SUM(R79:R83)</f>
        <v>0</v>
      </c>
      <c r="S78" s="31">
        <f>'Утв. ИП 2014-2019'!V83</f>
        <v>0.63</v>
      </c>
      <c r="T78" s="31">
        <f>SUM(T79:T83)</f>
        <v>6.3E-2</v>
      </c>
      <c r="U78" s="31">
        <f>SUM(U79:U83)</f>
        <v>0.56699999999999995</v>
      </c>
      <c r="V78" s="31">
        <f>'Утв. ИП 2014-2019'!AJ83</f>
        <v>0</v>
      </c>
      <c r="W78" s="31">
        <f>SUM(W79:W83)</f>
        <v>0</v>
      </c>
      <c r="X78" s="31">
        <f>SUM(X79:X83)</f>
        <v>0</v>
      </c>
      <c r="Y78" s="31"/>
      <c r="Z78" s="31"/>
      <c r="AA78" s="31"/>
      <c r="AB78" s="31"/>
      <c r="AC78" s="31"/>
      <c r="AD78" s="31"/>
      <c r="AE78" s="31"/>
      <c r="AF78" s="31"/>
      <c r="AG78" s="31"/>
      <c r="AH78" s="31"/>
    </row>
    <row r="79" spans="1:38" s="2" customFormat="1" ht="63.75" hidden="1" outlineLevel="1" x14ac:dyDescent="0.2">
      <c r="A79" s="6" t="e">
        <f>A80+1</f>
        <v>#REF!</v>
      </c>
      <c r="B79" s="6" t="str">
        <f>'Утв. ИП 2014-2019'!B84</f>
        <v>2.1.3.1</v>
      </c>
      <c r="C79" s="79" t="str">
        <f>'Утв. ИП 2014-2019'!C84</f>
        <v xml:space="preserve">Строительство нового РП-4 по ул. Папина </v>
      </c>
      <c r="D79" s="25" t="s">
        <v>203</v>
      </c>
      <c r="E79" s="8">
        <v>25</v>
      </c>
      <c r="F79" s="25" t="s">
        <v>160</v>
      </c>
      <c r="G79" s="8" t="s">
        <v>204</v>
      </c>
      <c r="H79" s="5"/>
      <c r="I79" s="5"/>
      <c r="J79" s="5"/>
      <c r="K79" s="5"/>
      <c r="L79" s="5"/>
      <c r="M79" s="5"/>
      <c r="N79" s="5">
        <f>'Утв. ИП 2014-2019'!V84</f>
        <v>0</v>
      </c>
      <c r="O79" s="5"/>
      <c r="P79" s="5"/>
      <c r="Q79" s="5"/>
      <c r="R79" s="5">
        <f t="shared" si="19"/>
        <v>0</v>
      </c>
      <c r="S79" s="92">
        <f>'Утв. ИП 2014-2019'!V84</f>
        <v>0</v>
      </c>
      <c r="T79" s="92">
        <f t="shared" si="20"/>
        <v>0</v>
      </c>
      <c r="U79" s="92">
        <f>S79-T79</f>
        <v>0</v>
      </c>
      <c r="V79" s="5">
        <f>'Утв. ИП 2014-2019'!AJ84</f>
        <v>0</v>
      </c>
      <c r="W79" s="5"/>
      <c r="X79" s="5">
        <f>V79</f>
        <v>0</v>
      </c>
      <c r="Y79" s="23">
        <f>'Утв. ИП 2014-2019'!G84</f>
        <v>2014</v>
      </c>
      <c r="Z79" s="8" t="s">
        <v>205</v>
      </c>
      <c r="AA79" s="25">
        <v>2</v>
      </c>
      <c r="AB79" s="8" t="s">
        <v>1276</v>
      </c>
      <c r="AC79" s="5"/>
      <c r="AD79" s="5"/>
      <c r="AE79" s="5"/>
      <c r="AF79" s="5"/>
      <c r="AG79" s="5"/>
      <c r="AH79" s="5"/>
    </row>
    <row r="80" spans="1:38" s="2" customFormat="1" ht="38.25" hidden="1" outlineLevel="1" x14ac:dyDescent="0.2">
      <c r="A80" s="6" t="e">
        <f>A82+1</f>
        <v>#REF!</v>
      </c>
      <c r="B80" s="6" t="str">
        <f>'Утв. ИП 2014-2019'!B85</f>
        <v>2.1.3.2</v>
      </c>
      <c r="C80" s="79" t="str">
        <f>'Утв. ИП 2014-2019'!C85</f>
        <v>Строительство КТП взамен существующей МТП-802 в пос.Северный Рудник</v>
      </c>
      <c r="D80" s="25" t="s">
        <v>100</v>
      </c>
      <c r="E80" s="8">
        <v>25</v>
      </c>
      <c r="F80" s="25" t="s">
        <v>129</v>
      </c>
      <c r="G80" s="8" t="s">
        <v>146</v>
      </c>
      <c r="H80" s="5"/>
      <c r="I80" s="5"/>
      <c r="J80" s="5"/>
      <c r="K80" s="5"/>
      <c r="L80" s="5"/>
      <c r="M80" s="5"/>
      <c r="N80" s="5">
        <f>'Утв. ИП 2014-2019'!V85</f>
        <v>0</v>
      </c>
      <c r="O80" s="5"/>
      <c r="P80" s="5"/>
      <c r="Q80" s="5"/>
      <c r="R80" s="5">
        <f t="shared" si="19"/>
        <v>0</v>
      </c>
      <c r="S80" s="92">
        <f>'Утв. ИП 2014-2019'!V85</f>
        <v>0</v>
      </c>
      <c r="T80" s="92">
        <f t="shared" si="20"/>
        <v>0</v>
      </c>
      <c r="U80" s="92">
        <f>S80-T80</f>
        <v>0</v>
      </c>
      <c r="V80" s="5">
        <f>'Утв. ИП 2014-2019'!AJ85</f>
        <v>0</v>
      </c>
      <c r="W80" s="5"/>
      <c r="X80" s="5">
        <f>V80</f>
        <v>0</v>
      </c>
      <c r="Y80" s="23">
        <f>'Утв. ИП 2014-2019'!G85</f>
        <v>2015</v>
      </c>
      <c r="Z80" s="8">
        <v>25</v>
      </c>
      <c r="AA80" s="25" t="s">
        <v>129</v>
      </c>
      <c r="AB80" s="8" t="s">
        <v>146</v>
      </c>
      <c r="AC80" s="5"/>
      <c r="AD80" s="5"/>
      <c r="AE80" s="5"/>
      <c r="AF80" s="5"/>
      <c r="AG80" s="5"/>
      <c r="AH80" s="5"/>
    </row>
    <row r="81" spans="1:38" s="2" customFormat="1" ht="25.5" hidden="1" outlineLevel="1" x14ac:dyDescent="0.2">
      <c r="A81" s="6"/>
      <c r="B81" s="6" t="str">
        <f>'Утв. ИП 2014-2019'!B86</f>
        <v>2.1.3.3</v>
      </c>
      <c r="C81" s="79" t="str">
        <f>'Утв. ИП 2014-2019'!C86</f>
        <v>Строительство новой КТП взамен существующей КТП-426</v>
      </c>
      <c r="D81" s="25" t="s">
        <v>1452</v>
      </c>
      <c r="E81" s="8">
        <v>25</v>
      </c>
      <c r="F81" s="25" t="s">
        <v>129</v>
      </c>
      <c r="G81" s="8" t="s">
        <v>146</v>
      </c>
      <c r="H81" s="5"/>
      <c r="I81" s="5"/>
      <c r="J81" s="5"/>
      <c r="K81" s="5"/>
      <c r="L81" s="5"/>
      <c r="M81" s="5"/>
      <c r="N81" s="5">
        <f>'Утв. ИП 2014-2019'!V86</f>
        <v>0</v>
      </c>
      <c r="O81" s="5"/>
      <c r="P81" s="5"/>
      <c r="Q81" s="5"/>
      <c r="R81" s="5">
        <f t="shared" si="19"/>
        <v>0</v>
      </c>
      <c r="S81" s="92">
        <f>'Утв. ИП 2014-2019'!V86</f>
        <v>0</v>
      </c>
      <c r="T81" s="92">
        <f t="shared" si="20"/>
        <v>0</v>
      </c>
      <c r="U81" s="92">
        <f>S81-T81</f>
        <v>0</v>
      </c>
      <c r="V81" s="5">
        <f>'Утв. ИП 2014-2019'!AJ86</f>
        <v>0</v>
      </c>
      <c r="W81" s="5"/>
      <c r="X81" s="5">
        <f>V81</f>
        <v>0</v>
      </c>
      <c r="Y81" s="23">
        <f>'Утв. ИП 2014-2019'!G86</f>
        <v>2017</v>
      </c>
      <c r="Z81" s="8">
        <v>25</v>
      </c>
      <c r="AA81" s="25" t="s">
        <v>129</v>
      </c>
      <c r="AB81" s="8" t="s">
        <v>146</v>
      </c>
      <c r="AC81" s="5"/>
      <c r="AD81" s="5"/>
      <c r="AE81" s="5"/>
      <c r="AF81" s="5"/>
      <c r="AG81" s="5"/>
      <c r="AH81" s="5"/>
    </row>
    <row r="82" spans="1:38" s="2" customFormat="1" ht="51" hidden="1" outlineLevel="1" x14ac:dyDescent="0.2">
      <c r="A82" s="6" t="e">
        <f>A78+1</f>
        <v>#REF!</v>
      </c>
      <c r="B82" s="6" t="str">
        <f>'Утв. ИП 2014-2019'!B87</f>
        <v>2.1.3.4</v>
      </c>
      <c r="C82" s="265" t="str">
        <f>'Утв. ИП 2014-2019'!C87</f>
        <v>Строительство ТП-612 по ул. Исполкомовская (с демонтажем старого здания)</v>
      </c>
      <c r="D82" s="25" t="s">
        <v>109</v>
      </c>
      <c r="E82" s="8">
        <v>25</v>
      </c>
      <c r="F82" s="25" t="s">
        <v>160</v>
      </c>
      <c r="G82" s="8" t="s">
        <v>206</v>
      </c>
      <c r="H82" s="5"/>
      <c r="I82" s="5"/>
      <c r="J82" s="5"/>
      <c r="K82" s="5"/>
      <c r="L82" s="5"/>
      <c r="M82" s="5"/>
      <c r="N82" s="5">
        <f>'Утв. ИП 2014-2019'!V87</f>
        <v>0</v>
      </c>
      <c r="O82" s="5"/>
      <c r="P82" s="5"/>
      <c r="Q82" s="5"/>
      <c r="R82" s="5">
        <f t="shared" si="19"/>
        <v>0</v>
      </c>
      <c r="S82" s="92">
        <f>'Утв. ИП 2014-2019'!V87</f>
        <v>0</v>
      </c>
      <c r="T82" s="92">
        <f t="shared" si="20"/>
        <v>0</v>
      </c>
      <c r="U82" s="92">
        <f>S82-T82</f>
        <v>0</v>
      </c>
      <c r="V82" s="5">
        <f>'Утв. ИП 2014-2019'!AJ87</f>
        <v>0</v>
      </c>
      <c r="W82" s="5"/>
      <c r="X82" s="5">
        <f>V82</f>
        <v>0</v>
      </c>
      <c r="Y82" s="23">
        <f>'Утв. ИП 2014-2019'!G87</f>
        <v>2017</v>
      </c>
      <c r="Z82" s="25" t="s">
        <v>205</v>
      </c>
      <c r="AA82" s="8">
        <v>2</v>
      </c>
      <c r="AB82" s="8" t="s">
        <v>206</v>
      </c>
      <c r="AC82" s="5"/>
      <c r="AD82" s="5"/>
      <c r="AE82" s="5"/>
      <c r="AF82" s="5"/>
      <c r="AG82" s="5"/>
      <c r="AH82" s="5"/>
    </row>
    <row r="83" spans="1:38" s="2" customFormat="1" ht="25.5" collapsed="1" x14ac:dyDescent="0.2">
      <c r="A83" s="6" t="e">
        <f>A79+1</f>
        <v>#REF!</v>
      </c>
      <c r="B83" s="6" t="str">
        <f>'Утв. ИП 2014-2019'!B88</f>
        <v>2.1.3.5</v>
      </c>
      <c r="C83" s="266" t="str">
        <f>'Утв. ИП 2014-2019'!C88</f>
        <v>Строительство новой БКТП взамен КТП-725</v>
      </c>
      <c r="D83" s="25" t="e">
        <f>#REF!</f>
        <v>#REF!</v>
      </c>
      <c r="E83" s="8" t="e">
        <f>#REF!</f>
        <v>#REF!</v>
      </c>
      <c r="F83" s="25" t="e">
        <f>#REF!</f>
        <v>#REF!</v>
      </c>
      <c r="G83" s="8" t="e">
        <f>#REF!</f>
        <v>#REF!</v>
      </c>
      <c r="H83" s="5"/>
      <c r="I83" s="5"/>
      <c r="J83" s="5"/>
      <c r="K83" s="5"/>
      <c r="L83" s="5"/>
      <c r="M83" s="5"/>
      <c r="N83" s="5">
        <f>'Утв. ИП 2014-2019'!V88</f>
        <v>0.63</v>
      </c>
      <c r="O83" s="5"/>
      <c r="P83" s="5">
        <f>N83*0.6</f>
        <v>0.378</v>
      </c>
      <c r="Q83" s="5">
        <f>N83*0.4</f>
        <v>0.252</v>
      </c>
      <c r="R83" s="5">
        <f t="shared" si="19"/>
        <v>0</v>
      </c>
      <c r="S83" s="92">
        <f>'Утв. ИП 2014-2019'!V88</f>
        <v>0.63</v>
      </c>
      <c r="T83" s="92">
        <f t="shared" si="20"/>
        <v>6.3E-2</v>
      </c>
      <c r="U83" s="92">
        <f>S83-T83</f>
        <v>0.56699999999999995</v>
      </c>
      <c r="V83" s="5">
        <f>'Утв. ИП 2014-2019'!AJ88</f>
        <v>0</v>
      </c>
      <c r="W83" s="5"/>
      <c r="X83" s="5">
        <f>V83</f>
        <v>0</v>
      </c>
      <c r="Y83" s="23">
        <f>'Утв. ИП 2014-2019'!G88</f>
        <v>2019</v>
      </c>
      <c r="Z83" s="8">
        <v>25</v>
      </c>
      <c r="AA83" s="25" t="s">
        <v>129</v>
      </c>
      <c r="AB83" s="8" t="s">
        <v>146</v>
      </c>
      <c r="AC83" s="5"/>
      <c r="AD83" s="5"/>
      <c r="AE83" s="5"/>
      <c r="AF83" s="5"/>
      <c r="AG83" s="5"/>
      <c r="AH83" s="5"/>
    </row>
    <row r="84" spans="1:38" s="32" customFormat="1" ht="28.5" customHeight="1" x14ac:dyDescent="0.2">
      <c r="A84" s="28" t="e">
        <f>A83+1</f>
        <v>#REF!</v>
      </c>
      <c r="B84" s="28" t="str">
        <f>'Утв. ИП 2014-2019'!B89</f>
        <v>2.1.4</v>
      </c>
      <c r="C84" s="29" t="str">
        <f>'Утв. ИП 2014-2019'!C89</f>
        <v>Расширение существующей системы учета электроэнергии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>
        <f>'Утв. ИП 2014-2019'!V89</f>
        <v>0</v>
      </c>
      <c r="O84" s="31">
        <f>0</f>
        <v>0</v>
      </c>
      <c r="P84" s="31">
        <f>0</f>
        <v>0</v>
      </c>
      <c r="Q84" s="31">
        <f>0</f>
        <v>0</v>
      </c>
      <c r="R84" s="31">
        <f>0</f>
        <v>0</v>
      </c>
      <c r="S84" s="31">
        <f>'Утв. ИП 2014-2019'!V89</f>
        <v>0</v>
      </c>
      <c r="T84" s="31">
        <f>0</f>
        <v>0</v>
      </c>
      <c r="U84" s="31">
        <f>0</f>
        <v>0</v>
      </c>
      <c r="V84" s="31">
        <f>'Утв. ИП 2014-2019'!AJ89</f>
        <v>0</v>
      </c>
      <c r="W84" s="31">
        <f>0</f>
        <v>0</v>
      </c>
      <c r="X84" s="31">
        <f>0</f>
        <v>0</v>
      </c>
      <c r="Y84" s="31"/>
      <c r="Z84" s="31"/>
      <c r="AA84" s="31"/>
      <c r="AB84" s="31"/>
      <c r="AC84" s="31"/>
      <c r="AD84" s="31"/>
      <c r="AE84" s="31"/>
      <c r="AF84" s="31"/>
      <c r="AG84" s="31"/>
      <c r="AH84" s="31"/>
    </row>
    <row r="85" spans="1:38" s="32" customFormat="1" ht="38.25" customHeight="1" x14ac:dyDescent="0.2">
      <c r="A85" s="28" t="e">
        <f>A57+1</f>
        <v>#REF!</v>
      </c>
      <c r="B85" s="28" t="str">
        <f>'Утв. ИП 2014-2019'!B90</f>
        <v>2.2</v>
      </c>
      <c r="C85" s="29" t="str">
        <f>'Утв. ИП 2014-2019'!C90</f>
        <v>Приведение объектов компании к требуемой категории надежности электроснабжения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>
        <f>'Утв. ИП 2014-2019'!V90</f>
        <v>0</v>
      </c>
      <c r="O85" s="31">
        <f>0</f>
        <v>0</v>
      </c>
      <c r="P85" s="31">
        <f>0</f>
        <v>0</v>
      </c>
      <c r="Q85" s="31">
        <f>0</f>
        <v>0</v>
      </c>
      <c r="R85" s="31">
        <f>0</f>
        <v>0</v>
      </c>
      <c r="S85" s="31">
        <f>'Утв. ИП 2014-2019'!V90</f>
        <v>0</v>
      </c>
      <c r="T85" s="31">
        <f>0</f>
        <v>0</v>
      </c>
      <c r="U85" s="31">
        <f>0</f>
        <v>0</v>
      </c>
      <c r="V85" s="31">
        <f>'Утв. ИП 2014-2019'!AJ90</f>
        <v>0</v>
      </c>
      <c r="W85" s="31">
        <f>0</f>
        <v>0</v>
      </c>
      <c r="X85" s="31">
        <f>0</f>
        <v>0</v>
      </c>
      <c r="Y85" s="31"/>
      <c r="Z85" s="31"/>
      <c r="AA85" s="31"/>
      <c r="AB85" s="31"/>
      <c r="AC85" s="31"/>
      <c r="AD85" s="31"/>
      <c r="AE85" s="31"/>
      <c r="AF85" s="31"/>
      <c r="AG85" s="31"/>
      <c r="AH85" s="31"/>
    </row>
    <row r="86" spans="1:38" s="32" customFormat="1" ht="27.75" customHeight="1" x14ac:dyDescent="0.2">
      <c r="A86" s="28" t="e">
        <f>#REF!+1</f>
        <v>#REF!</v>
      </c>
      <c r="B86" s="28" t="str">
        <f>'Утв. ИП 2014-2019'!B91</f>
        <v>2.3</v>
      </c>
      <c r="C86" s="29" t="str">
        <f>'Утв. ИП 2014-2019'!C91</f>
        <v>Прочее новое строительство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>
        <f>'Утв. ИП 2014-2019'!V91</f>
        <v>0</v>
      </c>
      <c r="O86" s="31">
        <f>O87</f>
        <v>0</v>
      </c>
      <c r="P86" s="31">
        <f>P87</f>
        <v>0</v>
      </c>
      <c r="Q86" s="31">
        <f>Q87</f>
        <v>0</v>
      </c>
      <c r="R86" s="31">
        <f>R87</f>
        <v>0</v>
      </c>
      <c r="S86" s="31">
        <f>'Утв. ИП 2014-2019'!V91</f>
        <v>0</v>
      </c>
      <c r="T86" s="31">
        <f>T87</f>
        <v>0</v>
      </c>
      <c r="U86" s="31">
        <f>U87</f>
        <v>0</v>
      </c>
      <c r="V86" s="31">
        <f>'Утв. ИП 2014-2019'!AJ91</f>
        <v>0</v>
      </c>
      <c r="W86" s="31">
        <f>W87</f>
        <v>0</v>
      </c>
      <c r="X86" s="31">
        <f>X87</f>
        <v>0</v>
      </c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spans="1:38" s="2" customFormat="1" ht="51" hidden="1" outlineLevel="1" x14ac:dyDescent="0.2">
      <c r="A87" s="6" t="e">
        <f>A86+1</f>
        <v>#REF!</v>
      </c>
      <c r="B87" s="6" t="str">
        <f>'Утв. ИП 2014-2019'!B92</f>
        <v>2.3.1</v>
      </c>
      <c r="C87" s="79" t="str">
        <f>'Утв. ИП 2014-2019'!C92</f>
        <v>Строительство РП "Новая Гагарина" и кабельной сети 6 кВ от ПС "Трубная 2"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f>'Утв. ИП 2014-2019'!V92</f>
        <v>0</v>
      </c>
      <c r="O87" s="5"/>
      <c r="P87" s="5">
        <f>0.4*N87</f>
        <v>0</v>
      </c>
      <c r="Q87" s="5">
        <f>0.6*N87</f>
        <v>0</v>
      </c>
      <c r="R87" s="5">
        <f>N87-O87-P87-Q87</f>
        <v>0</v>
      </c>
      <c r="S87" s="92">
        <f>'Утв. ИП 2014-2019'!V92</f>
        <v>0</v>
      </c>
      <c r="T87" s="92">
        <f>0.1*S87</f>
        <v>0</v>
      </c>
      <c r="U87" s="92">
        <f>S87-T87</f>
        <v>0</v>
      </c>
      <c r="V87" s="5">
        <f>'Утв. ИП 2014-2019'!AJ92</f>
        <v>0</v>
      </c>
      <c r="W87" s="5"/>
      <c r="X87" s="5">
        <f>V87</f>
        <v>0</v>
      </c>
      <c r="Y87" s="23">
        <f>'Утв. ИП 2014-2019'!G92</f>
        <v>2016</v>
      </c>
      <c r="Z87" s="25" t="s">
        <v>205</v>
      </c>
      <c r="AA87" s="8" t="s">
        <v>212</v>
      </c>
      <c r="AB87" s="25" t="s">
        <v>449</v>
      </c>
      <c r="AC87" s="23">
        <f>'Утв. ИП 2014-2019'!G92</f>
        <v>2016</v>
      </c>
      <c r="AD87" s="25" t="s">
        <v>214</v>
      </c>
      <c r="AE87" s="8" t="s">
        <v>212</v>
      </c>
      <c r="AF87" s="25" t="s">
        <v>82</v>
      </c>
      <c r="AG87" s="5">
        <f>'Утв. ИП 2014-2019'!AY92</f>
        <v>7.6</v>
      </c>
      <c r="AH87" s="5"/>
    </row>
    <row r="88" spans="1:38" s="14" customFormat="1" ht="22.5" hidden="1" outlineLevel="1" x14ac:dyDescent="0.2">
      <c r="A88" s="6" t="e">
        <f>A87+1</f>
        <v>#REF!</v>
      </c>
      <c r="B88" s="10"/>
      <c r="C88" s="97" t="str">
        <f>'Утв. ИП 2014-2019'!C93</f>
        <v>Строительство РП "Новая Гагарина" 6 кВ по ул. Гагарина</v>
      </c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>
        <f>'Утв. ИП 2014-2019'!V93</f>
        <v>0</v>
      </c>
      <c r="O88" s="50"/>
      <c r="P88" s="5"/>
      <c r="Q88" s="5"/>
      <c r="R88" s="50"/>
      <c r="S88" s="5">
        <f>'Утв. ИП 2014-2019'!V93</f>
        <v>0</v>
      </c>
      <c r="T88" s="5"/>
      <c r="U88" s="5"/>
      <c r="V88" s="5">
        <f>'Утв. ИП 2014-2019'!AJ93</f>
        <v>0</v>
      </c>
      <c r="W88" s="50"/>
      <c r="X88" s="50"/>
      <c r="Y88" s="8"/>
      <c r="Z88" s="50"/>
      <c r="AA88" s="50"/>
      <c r="AB88" s="50"/>
      <c r="AC88" s="8"/>
      <c r="AD88" s="50"/>
      <c r="AE88" s="50"/>
      <c r="AF88" s="50"/>
      <c r="AG88" s="50"/>
      <c r="AH88" s="50"/>
    </row>
    <row r="89" spans="1:38" s="14" customFormat="1" ht="33.75" hidden="1" outlineLevel="1" x14ac:dyDescent="0.2">
      <c r="A89" s="6" t="e">
        <f>A88+1</f>
        <v>#REF!</v>
      </c>
      <c r="B89" s="10"/>
      <c r="C89" s="97" t="str">
        <f>'Утв. ИП 2014-2019'!C94</f>
        <v>Строительство КЛ-6 кВ сети электроснабжения от ПС "Трубная-2" до РП по ул. Гагарина</v>
      </c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>
        <f>'Утв. ИП 2014-2019'!V94</f>
        <v>0</v>
      </c>
      <c r="O89" s="50"/>
      <c r="P89" s="5"/>
      <c r="Q89" s="5"/>
      <c r="R89" s="50"/>
      <c r="S89" s="5">
        <f>'Утв. ИП 2014-2019'!V94</f>
        <v>0</v>
      </c>
      <c r="T89" s="5"/>
      <c r="U89" s="5"/>
      <c r="V89" s="5">
        <f>'Утв. ИП 2014-2019'!AJ94</f>
        <v>0</v>
      </c>
      <c r="W89" s="50"/>
      <c r="X89" s="50"/>
      <c r="Y89" s="8"/>
      <c r="Z89" s="50"/>
      <c r="AA89" s="50"/>
      <c r="AB89" s="50"/>
      <c r="AC89" s="8"/>
      <c r="AD89" s="50"/>
      <c r="AE89" s="50"/>
      <c r="AF89" s="50"/>
      <c r="AG89" s="50"/>
      <c r="AH89" s="50"/>
    </row>
    <row r="90" spans="1:38" s="32" customFormat="1" ht="25.5" collapsed="1" x14ac:dyDescent="0.2">
      <c r="A90" s="28" t="e">
        <f>#REF!+1</f>
        <v>#REF!</v>
      </c>
      <c r="B90" s="28" t="str">
        <f>'Утв. ИП 2014-2019'!B95</f>
        <v>2.4</v>
      </c>
      <c r="C90" s="29" t="str">
        <f>'Утв. ИП 2014-2019'!C95</f>
        <v>Оборудование, не входящее в сметы строек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>
        <f>'Утв. ИП 2014-2019'!V95</f>
        <v>0</v>
      </c>
      <c r="O90" s="31">
        <f>SUM(O91:O98)</f>
        <v>0</v>
      </c>
      <c r="P90" s="31">
        <f>SUM(P91:P98)</f>
        <v>0</v>
      </c>
      <c r="Q90" s="31">
        <f>SUM(Q91:Q98)</f>
        <v>0</v>
      </c>
      <c r="R90" s="31">
        <f>SUM(R91:R98)</f>
        <v>0</v>
      </c>
      <c r="S90" s="31">
        <f>'Утв. ИП 2014-2019'!V95</f>
        <v>0</v>
      </c>
      <c r="T90" s="31">
        <f>SUM(T91:T98)</f>
        <v>0</v>
      </c>
      <c r="U90" s="31">
        <f>SUM(U91:U98)</f>
        <v>0</v>
      </c>
      <c r="V90" s="31">
        <f>'Утв. ИП 2014-2019'!AJ95</f>
        <v>0</v>
      </c>
      <c r="W90" s="31">
        <f>SUM(W91:W98)</f>
        <v>0</v>
      </c>
      <c r="X90" s="31">
        <f>SUM(X91:X98)</f>
        <v>0</v>
      </c>
      <c r="Y90" s="31"/>
      <c r="Z90" s="31"/>
      <c r="AA90" s="31"/>
      <c r="AB90" s="31"/>
      <c r="AC90" s="31"/>
      <c r="AD90" s="31"/>
      <c r="AE90" s="31"/>
      <c r="AF90" s="31"/>
      <c r="AG90" s="31"/>
      <c r="AH90" s="31"/>
    </row>
    <row r="91" spans="1:38" s="2" customFormat="1" ht="51" hidden="1" outlineLevel="1" x14ac:dyDescent="0.2">
      <c r="A91" s="6"/>
      <c r="B91" s="6" t="str">
        <f>'Утв. ИП 2014-2019'!B96</f>
        <v>2.4.1</v>
      </c>
      <c r="C91" s="79" t="str">
        <f>'Утв. ИП 2014-2019'!C96</f>
        <v>Модернизация прибора для измерения показания качества эл. энергии - "Ресурс-UF2M-3T64-3000", инв. № 433101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>
        <f>'Утв. ИП 2014-2019'!V96</f>
        <v>0</v>
      </c>
      <c r="O91" s="5"/>
      <c r="P91" s="5"/>
      <c r="Q91" s="5">
        <f t="shared" ref="Q91:Q98" si="21">N91</f>
        <v>0</v>
      </c>
      <c r="R91" s="5">
        <f t="shared" ref="R91:R98" si="22">N91-O91-P91-Q91</f>
        <v>0</v>
      </c>
      <c r="S91" s="92">
        <f>'Утв. ИП 2014-2019'!V96</f>
        <v>0</v>
      </c>
      <c r="T91" s="92"/>
      <c r="U91" s="92">
        <f t="shared" ref="U91:U98" si="23">S91-T91</f>
        <v>0</v>
      </c>
      <c r="V91" s="5">
        <f>'Утв. ИП 2014-2019'!AJ96</f>
        <v>0</v>
      </c>
      <c r="W91" s="5"/>
      <c r="X91" s="5">
        <f t="shared" ref="X91:X98" si="24">V91</f>
        <v>0</v>
      </c>
      <c r="Y91" s="5"/>
      <c r="Z91" s="5"/>
      <c r="AA91" s="5"/>
      <c r="AB91" s="5"/>
      <c r="AC91" s="5"/>
      <c r="AD91" s="5"/>
      <c r="AE91" s="5"/>
      <c r="AF91" s="5"/>
      <c r="AG91" s="5"/>
      <c r="AH91" s="5">
        <f>'Утв. ИП 2014-2019'!O96</f>
        <v>0</v>
      </c>
      <c r="AI91" s="47"/>
      <c r="AJ91" s="47"/>
      <c r="AK91" s="47"/>
      <c r="AL91" s="47"/>
    </row>
    <row r="92" spans="1:38" s="2" customFormat="1" ht="51" hidden="1" outlineLevel="1" x14ac:dyDescent="0.2">
      <c r="A92" s="6"/>
      <c r="B92" s="6" t="str">
        <f>'Утв. ИП 2014-2019'!B97</f>
        <v>2.4.2</v>
      </c>
      <c r="C92" s="79" t="str">
        <f>'Утв. ИП 2014-2019'!C97</f>
        <v>Модернизация прибора для измерения показания качества эл. энергии - "Ресурс-UF2M-3T64-3000", инв. № 433103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>
        <f>'Утв. ИП 2014-2019'!V97</f>
        <v>0</v>
      </c>
      <c r="O92" s="5"/>
      <c r="P92" s="5"/>
      <c r="Q92" s="5">
        <f t="shared" si="21"/>
        <v>0</v>
      </c>
      <c r="R92" s="5">
        <f t="shared" si="22"/>
        <v>0</v>
      </c>
      <c r="S92" s="92">
        <f>'Утв. ИП 2014-2019'!V97</f>
        <v>0</v>
      </c>
      <c r="T92" s="92"/>
      <c r="U92" s="92">
        <f t="shared" si="23"/>
        <v>0</v>
      </c>
      <c r="V92" s="5">
        <f>'Утв. ИП 2014-2019'!AJ97</f>
        <v>0</v>
      </c>
      <c r="W92" s="5"/>
      <c r="X92" s="5">
        <f t="shared" si="24"/>
        <v>0</v>
      </c>
      <c r="Y92" s="5"/>
      <c r="Z92" s="5"/>
      <c r="AA92" s="5"/>
      <c r="AB92" s="5"/>
      <c r="AC92" s="5"/>
      <c r="AD92" s="5"/>
      <c r="AE92" s="5"/>
      <c r="AF92" s="5"/>
      <c r="AG92" s="5"/>
      <c r="AH92" s="5">
        <f>'Утв. ИП 2014-2019'!O97</f>
        <v>0</v>
      </c>
      <c r="AI92" s="47"/>
      <c r="AJ92" s="47"/>
      <c r="AK92" s="47"/>
      <c r="AL92" s="47"/>
    </row>
    <row r="93" spans="1:38" s="2" customFormat="1" hidden="1" outlineLevel="1" x14ac:dyDescent="0.2">
      <c r="A93" s="6"/>
      <c r="B93" s="6" t="str">
        <f>'Утв. ИП 2014-2019'!B98</f>
        <v>2.4.3</v>
      </c>
      <c r="C93" s="79" t="str">
        <f>'Утв. ИП 2014-2019'!C98</f>
        <v>Поисковый комплект КП-100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>
        <f>'Утв. ИП 2014-2019'!V98</f>
        <v>0</v>
      </c>
      <c r="O93" s="5"/>
      <c r="P93" s="5"/>
      <c r="Q93" s="5">
        <f t="shared" si="21"/>
        <v>0</v>
      </c>
      <c r="R93" s="5">
        <f t="shared" si="22"/>
        <v>0</v>
      </c>
      <c r="S93" s="92">
        <f>'Утв. ИП 2014-2019'!V98</f>
        <v>0</v>
      </c>
      <c r="T93" s="92"/>
      <c r="U93" s="92">
        <f t="shared" si="23"/>
        <v>0</v>
      </c>
      <c r="V93" s="5">
        <f>'Утв. ИП 2014-2019'!AJ98</f>
        <v>0</v>
      </c>
      <c r="W93" s="5"/>
      <c r="X93" s="5">
        <f t="shared" si="24"/>
        <v>0</v>
      </c>
      <c r="Y93" s="5"/>
      <c r="Z93" s="5"/>
      <c r="AA93" s="5"/>
      <c r="AB93" s="5"/>
      <c r="AC93" s="5"/>
      <c r="AD93" s="5"/>
      <c r="AE93" s="5"/>
      <c r="AF93" s="5"/>
      <c r="AG93" s="5"/>
      <c r="AH93" s="5">
        <f>'Утв. ИП 2014-2019'!O98</f>
        <v>0</v>
      </c>
      <c r="AI93" s="47"/>
      <c r="AJ93" s="47"/>
      <c r="AK93" s="47"/>
      <c r="AL93" s="47"/>
    </row>
    <row r="94" spans="1:38" s="2" customFormat="1" hidden="1" outlineLevel="1" x14ac:dyDescent="0.2">
      <c r="A94" s="6"/>
      <c r="B94" s="6" t="str">
        <f>'Утв. ИП 2014-2019'!B99</f>
        <v>2.4.4</v>
      </c>
      <c r="C94" s="79" t="str">
        <f>'Утв. ИП 2014-2019'!C99</f>
        <v>Установка поверки счетчиков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f>'Утв. ИП 2014-2019'!V99</f>
        <v>0</v>
      </c>
      <c r="O94" s="5"/>
      <c r="P94" s="5"/>
      <c r="Q94" s="5">
        <f t="shared" si="21"/>
        <v>0</v>
      </c>
      <c r="R94" s="5">
        <f t="shared" si="22"/>
        <v>0</v>
      </c>
      <c r="S94" s="92">
        <f>'Утв. ИП 2014-2019'!V99</f>
        <v>0</v>
      </c>
      <c r="T94" s="92"/>
      <c r="U94" s="92">
        <f t="shared" si="23"/>
        <v>0</v>
      </c>
      <c r="V94" s="5">
        <f>'Утв. ИП 2014-2019'!AJ99</f>
        <v>0</v>
      </c>
      <c r="W94" s="5"/>
      <c r="X94" s="5">
        <f t="shared" si="24"/>
        <v>0</v>
      </c>
      <c r="Y94" s="5"/>
      <c r="Z94" s="5"/>
      <c r="AA94" s="5"/>
      <c r="AB94" s="5"/>
      <c r="AC94" s="5"/>
      <c r="AD94" s="5"/>
      <c r="AE94" s="5"/>
      <c r="AF94" s="5"/>
      <c r="AG94" s="5"/>
      <c r="AH94" s="5">
        <f>'Утв. ИП 2014-2019'!O99</f>
        <v>0</v>
      </c>
      <c r="AI94" s="47"/>
      <c r="AJ94" s="47"/>
      <c r="AK94" s="47"/>
      <c r="AL94" s="47"/>
    </row>
    <row r="95" spans="1:38" s="2" customFormat="1" ht="25.5" hidden="1" outlineLevel="1" x14ac:dyDescent="0.2">
      <c r="A95" s="6"/>
      <c r="B95" s="6" t="str">
        <f>'Утв. ИП 2014-2019'!B100</f>
        <v>2.4.5</v>
      </c>
      <c r="C95" s="79" t="str">
        <f>'Утв. ИП 2014-2019'!C100</f>
        <v>Прибор для поиска однофазных замыканий на КЛ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>
        <f>'Утв. ИП 2014-2019'!V100</f>
        <v>0</v>
      </c>
      <c r="O95" s="5"/>
      <c r="P95" s="5"/>
      <c r="Q95" s="5">
        <f t="shared" si="21"/>
        <v>0</v>
      </c>
      <c r="R95" s="5">
        <f t="shared" si="22"/>
        <v>0</v>
      </c>
      <c r="S95" s="92">
        <f>'Утв. ИП 2014-2019'!V100</f>
        <v>0</v>
      </c>
      <c r="T95" s="92"/>
      <c r="U95" s="92">
        <f t="shared" si="23"/>
        <v>0</v>
      </c>
      <c r="V95" s="5">
        <f>'Утв. ИП 2014-2019'!AJ100</f>
        <v>0</v>
      </c>
      <c r="W95" s="5"/>
      <c r="X95" s="5">
        <f t="shared" si="24"/>
        <v>0</v>
      </c>
      <c r="Y95" s="5"/>
      <c r="Z95" s="5"/>
      <c r="AA95" s="5"/>
      <c r="AB95" s="5"/>
      <c r="AC95" s="5"/>
      <c r="AD95" s="5"/>
      <c r="AE95" s="5"/>
      <c r="AF95" s="5"/>
      <c r="AG95" s="5"/>
      <c r="AH95" s="5">
        <f>'Утв. ИП 2014-2019'!O100</f>
        <v>0</v>
      </c>
      <c r="AI95" s="47"/>
      <c r="AJ95" s="47"/>
      <c r="AK95" s="47"/>
      <c r="AL95" s="47"/>
    </row>
    <row r="96" spans="1:38" s="2" customFormat="1" hidden="1" outlineLevel="1" x14ac:dyDescent="0.2">
      <c r="A96" s="6"/>
      <c r="B96" s="6" t="str">
        <f>'Утв. ИП 2014-2019'!B101</f>
        <v>2.4.6</v>
      </c>
      <c r="C96" s="79" t="str">
        <f>'Утв. ИП 2014-2019'!C101</f>
        <v>Прибор "Энергомонитор"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>
        <f>'Утв. ИП 2014-2019'!V101</f>
        <v>0</v>
      </c>
      <c r="O96" s="5"/>
      <c r="P96" s="5"/>
      <c r="Q96" s="5">
        <f t="shared" si="21"/>
        <v>0</v>
      </c>
      <c r="R96" s="5">
        <f t="shared" si="22"/>
        <v>0</v>
      </c>
      <c r="S96" s="92">
        <f>'Утв. ИП 2014-2019'!V101</f>
        <v>0</v>
      </c>
      <c r="T96" s="92"/>
      <c r="U96" s="92">
        <f t="shared" si="23"/>
        <v>0</v>
      </c>
      <c r="V96" s="5">
        <f>'Утв. ИП 2014-2019'!AJ101</f>
        <v>0</v>
      </c>
      <c r="W96" s="5"/>
      <c r="X96" s="5">
        <f t="shared" si="24"/>
        <v>0</v>
      </c>
      <c r="Y96" s="5"/>
      <c r="Z96" s="5"/>
      <c r="AA96" s="5"/>
      <c r="AB96" s="5"/>
      <c r="AC96" s="5"/>
      <c r="AD96" s="5"/>
      <c r="AE96" s="5"/>
      <c r="AF96" s="5"/>
      <c r="AG96" s="5"/>
      <c r="AH96" s="5">
        <f>'Утв. ИП 2014-2019'!O101</f>
        <v>0</v>
      </c>
      <c r="AI96" s="47"/>
      <c r="AJ96" s="47"/>
      <c r="AK96" s="47"/>
      <c r="AL96" s="47"/>
    </row>
    <row r="97" spans="1:38" s="2" customFormat="1" hidden="1" outlineLevel="1" x14ac:dyDescent="0.2">
      <c r="A97" s="6" t="e">
        <f>A90+1</f>
        <v>#REF!</v>
      </c>
      <c r="B97" s="6" t="str">
        <f>'Утв. ИП 2014-2019'!B102</f>
        <v>2.4.7</v>
      </c>
      <c r="C97" s="79" t="str">
        <f>'Утв. ИП 2014-2019'!C102</f>
        <v>Асфальторезная машина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>
        <f>'Утв. ИП 2014-2019'!V102</f>
        <v>0</v>
      </c>
      <c r="O97" s="5"/>
      <c r="P97" s="5"/>
      <c r="Q97" s="5">
        <f t="shared" si="21"/>
        <v>0</v>
      </c>
      <c r="R97" s="5">
        <f t="shared" si="22"/>
        <v>0</v>
      </c>
      <c r="S97" s="92">
        <f>'Утв. ИП 2014-2019'!V102</f>
        <v>0</v>
      </c>
      <c r="T97" s="92"/>
      <c r="U97" s="92">
        <f t="shared" si="23"/>
        <v>0</v>
      </c>
      <c r="V97" s="5">
        <f>'Утв. ИП 2014-2019'!AJ102</f>
        <v>0</v>
      </c>
      <c r="W97" s="5"/>
      <c r="X97" s="5">
        <f t="shared" si="24"/>
        <v>0</v>
      </c>
      <c r="Y97" s="5"/>
      <c r="Z97" s="5"/>
      <c r="AA97" s="5"/>
      <c r="AB97" s="5"/>
      <c r="AC97" s="5"/>
      <c r="AD97" s="5"/>
      <c r="AE97" s="5"/>
      <c r="AF97" s="5"/>
      <c r="AG97" s="5"/>
      <c r="AH97" s="5">
        <f>'Утв. ИП 2014-2019'!O102</f>
        <v>0</v>
      </c>
      <c r="AI97" s="47"/>
      <c r="AJ97" s="47"/>
      <c r="AK97" s="47"/>
      <c r="AL97" s="47"/>
    </row>
    <row r="98" spans="1:38" s="2" customFormat="1" hidden="1" outlineLevel="1" x14ac:dyDescent="0.2">
      <c r="A98" s="6" t="e">
        <f>A97+1</f>
        <v>#REF!</v>
      </c>
      <c r="B98" s="6" t="str">
        <f>'Утв. ИП 2014-2019'!B103</f>
        <v>2.4.8</v>
      </c>
      <c r="C98" s="79" t="str">
        <f>'Утв. ИП 2014-2019'!C103</f>
        <v>Палатка кабельщика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>
        <f>'Утв. ИП 2014-2019'!V103</f>
        <v>0</v>
      </c>
      <c r="O98" s="5"/>
      <c r="P98" s="5"/>
      <c r="Q98" s="5">
        <f t="shared" si="21"/>
        <v>0</v>
      </c>
      <c r="R98" s="5">
        <f t="shared" si="22"/>
        <v>0</v>
      </c>
      <c r="S98" s="92">
        <f>'Утв. ИП 2014-2019'!V103</f>
        <v>0</v>
      </c>
      <c r="T98" s="92"/>
      <c r="U98" s="92">
        <f t="shared" si="23"/>
        <v>0</v>
      </c>
      <c r="V98" s="5">
        <f>'Утв. ИП 2014-2019'!AJ103</f>
        <v>0</v>
      </c>
      <c r="W98" s="5"/>
      <c r="X98" s="5">
        <f t="shared" si="24"/>
        <v>0</v>
      </c>
      <c r="Y98" s="5"/>
      <c r="Z98" s="5"/>
      <c r="AA98" s="5"/>
      <c r="AB98" s="5"/>
      <c r="AC98" s="5"/>
      <c r="AD98" s="5"/>
      <c r="AE98" s="5"/>
      <c r="AF98" s="5"/>
      <c r="AG98" s="5"/>
      <c r="AH98" s="5">
        <f>'Утв. ИП 2014-2019'!O103</f>
        <v>0</v>
      </c>
      <c r="AI98" s="47"/>
      <c r="AJ98" s="47"/>
      <c r="AK98" s="47"/>
      <c r="AL98" s="47"/>
    </row>
    <row r="99" spans="1:38" s="2" customFormat="1" ht="25.5" hidden="1" outlineLevel="1" x14ac:dyDescent="0.2">
      <c r="A99" s="6"/>
      <c r="B99" s="6" t="str">
        <f>'Утв. ИП 2014-2019'!B104</f>
        <v>2.4.9</v>
      </c>
      <c r="C99" s="79" t="str">
        <f>'Утв. ИП 2014-2019'!C104</f>
        <v>Приобретение силовых трансформаторов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>
        <f>'Утв. ИП 2014-2019'!V104</f>
        <v>0</v>
      </c>
      <c r="O99" s="5"/>
      <c r="P99" s="5"/>
      <c r="Q99" s="5">
        <f>N99</f>
        <v>0</v>
      </c>
      <c r="R99" s="5">
        <f>N99-O99-P99-Q99</f>
        <v>0</v>
      </c>
      <c r="S99" s="92">
        <f>'Утв. ИП 2014-2019'!V104</f>
        <v>0</v>
      </c>
      <c r="T99" s="92"/>
      <c r="U99" s="92">
        <f>S99-T99</f>
        <v>0</v>
      </c>
      <c r="V99" s="5">
        <f>'Утв. ИП 2014-2019'!AJ104</f>
        <v>0</v>
      </c>
      <c r="W99" s="5"/>
      <c r="X99" s="5">
        <f>V99</f>
        <v>0</v>
      </c>
      <c r="Y99" s="5"/>
      <c r="Z99" s="5"/>
      <c r="AA99" s="5"/>
      <c r="AB99" s="5"/>
      <c r="AC99" s="5"/>
      <c r="AD99" s="5"/>
      <c r="AE99" s="5"/>
      <c r="AF99" s="5"/>
      <c r="AG99" s="5"/>
      <c r="AH99" s="5">
        <f>'Утв. ИП 2014-2019'!O104</f>
        <v>0</v>
      </c>
      <c r="AI99" s="47"/>
      <c r="AJ99" s="47"/>
      <c r="AK99" s="47"/>
      <c r="AL99" s="47"/>
    </row>
    <row r="100" spans="1:38" s="2" customFormat="1" ht="38.25" hidden="1" outlineLevel="1" x14ac:dyDescent="0.2">
      <c r="A100" s="6"/>
      <c r="B100" s="6" t="str">
        <f>'Утв. ИП 2014-2019'!B105</f>
        <v>2.4.10</v>
      </c>
      <c r="C100" s="79" t="str">
        <f>'Утв. ИП 2014-2019'!C105</f>
        <v>Аппарат для определения температуры вспышки в закрытом тигле ТВЗ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>
        <f>'Утв. ИП 2014-2019'!V105</f>
        <v>0</v>
      </c>
      <c r="O100" s="5"/>
      <c r="P100" s="5"/>
      <c r="Q100" s="5">
        <f>N100</f>
        <v>0</v>
      </c>
      <c r="R100" s="5">
        <f>N100-O100-P100-Q100</f>
        <v>0</v>
      </c>
      <c r="S100" s="92">
        <f>'Утв. ИП 2014-2019'!V105</f>
        <v>0</v>
      </c>
      <c r="T100" s="92"/>
      <c r="U100" s="92">
        <f>S100-T100</f>
        <v>0</v>
      </c>
      <c r="V100" s="5">
        <f>'Утв. ИП 2014-2019'!AJ105</f>
        <v>0</v>
      </c>
      <c r="W100" s="5"/>
      <c r="X100" s="5">
        <f>V100</f>
        <v>0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>
        <f>'Утв. ИП 2014-2019'!O105</f>
        <v>0</v>
      </c>
      <c r="AI100" s="47"/>
      <c r="AJ100" s="47"/>
      <c r="AK100" s="47"/>
      <c r="AL100" s="47"/>
    </row>
    <row r="101" spans="1:38" s="32" customFormat="1" ht="22.5" customHeight="1" collapsed="1" x14ac:dyDescent="0.2">
      <c r="A101" s="28" t="e">
        <f>#REF!+1</f>
        <v>#REF!</v>
      </c>
      <c r="B101" s="28" t="str">
        <f>'Утв. ИП 2014-2019'!B106</f>
        <v>2.5</v>
      </c>
      <c r="C101" s="29" t="str">
        <f>'Утв. ИП 2014-2019'!C106</f>
        <v>Автотранспортное обеспечение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>
        <f>'Утв. ИП 2014-2019'!V106</f>
        <v>1.5</v>
      </c>
      <c r="O101" s="31">
        <f>SUM(O102:O115)</f>
        <v>0</v>
      </c>
      <c r="P101" s="31">
        <f>SUM(P102:P115)</f>
        <v>0</v>
      </c>
      <c r="Q101" s="31">
        <f>SUM(Q102:Q115)</f>
        <v>0</v>
      </c>
      <c r="R101" s="31">
        <f>SUM(R102:R115)</f>
        <v>1.5</v>
      </c>
      <c r="S101" s="31">
        <f>'Утв. ИП 2014-2019'!V106</f>
        <v>1.5</v>
      </c>
      <c r="T101" s="31">
        <f>SUM(T102:T115)</f>
        <v>0</v>
      </c>
      <c r="U101" s="31">
        <f>SUM(U102:U115)</f>
        <v>1.5</v>
      </c>
      <c r="V101" s="31">
        <f>'Утв. ИП 2014-2019'!AJ106</f>
        <v>1.5</v>
      </c>
      <c r="W101" s="31">
        <f>SUM(W102:W115)</f>
        <v>0</v>
      </c>
      <c r="X101" s="31">
        <f>SUM(X102:X115)</f>
        <v>1.5</v>
      </c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</row>
    <row r="102" spans="1:38" s="2" customFormat="1" ht="25.5" hidden="1" outlineLevel="1" x14ac:dyDescent="0.2">
      <c r="A102" s="6" t="e">
        <f>A112+1</f>
        <v>#REF!</v>
      </c>
      <c r="B102" s="6" t="str">
        <f>'Утв. ИП 2014-2019'!B107</f>
        <v>2.5.1</v>
      </c>
      <c r="C102" s="79" t="str">
        <f>'Утв. ИП 2014-2019'!C107</f>
        <v>Экскаватор-погрузчик Volvo BL71B с гидромолотом</v>
      </c>
      <c r="D102" s="5"/>
      <c r="E102" s="5"/>
      <c r="F102" s="5"/>
      <c r="G102" s="5"/>
      <c r="H102" s="5"/>
      <c r="I102" s="5"/>
      <c r="J102" s="5"/>
      <c r="K102" s="5"/>
      <c r="L102" s="5"/>
      <c r="M102" s="8"/>
      <c r="N102" s="5">
        <f>'Утв. ИП 2014-2019'!V107</f>
        <v>0</v>
      </c>
      <c r="O102" s="5"/>
      <c r="P102" s="5"/>
      <c r="Q102" s="5"/>
      <c r="R102" s="5">
        <f t="shared" ref="R102:R115" si="25">N102</f>
        <v>0</v>
      </c>
      <c r="S102" s="92">
        <f>'Утв. ИП 2014-2019'!V107</f>
        <v>0</v>
      </c>
      <c r="T102" s="92"/>
      <c r="U102" s="92">
        <f t="shared" ref="U102:U115" si="26">S102-T102</f>
        <v>0</v>
      </c>
      <c r="V102" s="5">
        <f>'Утв. ИП 2014-2019'!AJ107</f>
        <v>0</v>
      </c>
      <c r="W102" s="5"/>
      <c r="X102" s="5">
        <f t="shared" ref="X102:X115" si="27">V102</f>
        <v>0</v>
      </c>
      <c r="Y102" s="5"/>
      <c r="Z102" s="5"/>
      <c r="AA102" s="5"/>
      <c r="AB102" s="5"/>
      <c r="AC102" s="5"/>
      <c r="AD102" s="5"/>
      <c r="AE102" s="5"/>
      <c r="AF102" s="5"/>
      <c r="AG102" s="5"/>
      <c r="AH102" s="5">
        <f>'Утв. ИП 2014-2019'!O107</f>
        <v>0</v>
      </c>
    </row>
    <row r="103" spans="1:38" s="2" customFormat="1" hidden="1" outlineLevel="1" x14ac:dyDescent="0.2">
      <c r="A103" s="6" t="e">
        <f>A113+1</f>
        <v>#REF!</v>
      </c>
      <c r="B103" s="6" t="str">
        <f>'Утв. ИП 2014-2019'!B108</f>
        <v>2.5.2</v>
      </c>
      <c r="C103" s="79" t="str">
        <f>'Утв. ИП 2014-2019'!C108</f>
        <v xml:space="preserve">Автолаборатория </v>
      </c>
      <c r="D103" s="5"/>
      <c r="E103" s="5"/>
      <c r="F103" s="5"/>
      <c r="G103" s="5"/>
      <c r="H103" s="5"/>
      <c r="I103" s="5"/>
      <c r="J103" s="5"/>
      <c r="K103" s="5"/>
      <c r="L103" s="5"/>
      <c r="M103" s="8"/>
      <c r="N103" s="5">
        <f>'Утв. ИП 2014-2019'!V108</f>
        <v>0</v>
      </c>
      <c r="O103" s="5"/>
      <c r="P103" s="5"/>
      <c r="Q103" s="5"/>
      <c r="R103" s="5">
        <f t="shared" si="25"/>
        <v>0</v>
      </c>
      <c r="S103" s="92">
        <f>'Утв. ИП 2014-2019'!V108</f>
        <v>0</v>
      </c>
      <c r="T103" s="92"/>
      <c r="U103" s="92">
        <f t="shared" si="26"/>
        <v>0</v>
      </c>
      <c r="V103" s="5">
        <f>'Утв. ИП 2014-2019'!AJ108</f>
        <v>0</v>
      </c>
      <c r="W103" s="5"/>
      <c r="X103" s="5">
        <f t="shared" si="27"/>
        <v>0</v>
      </c>
      <c r="Y103" s="5"/>
      <c r="Z103" s="5"/>
      <c r="AA103" s="5"/>
      <c r="AB103" s="5"/>
      <c r="AC103" s="5"/>
      <c r="AD103" s="5"/>
      <c r="AE103" s="5"/>
      <c r="AF103" s="5"/>
      <c r="AG103" s="5"/>
      <c r="AH103" s="5">
        <f>'Утв. ИП 2014-2019'!O108</f>
        <v>0</v>
      </c>
      <c r="AI103" s="47"/>
      <c r="AJ103" s="47"/>
      <c r="AK103" s="47"/>
      <c r="AL103" s="47"/>
    </row>
    <row r="104" spans="1:38" s="2" customFormat="1" ht="63.75" hidden="1" outlineLevel="1" x14ac:dyDescent="0.2">
      <c r="A104" s="6" t="e">
        <f>A103+1</f>
        <v>#REF!</v>
      </c>
      <c r="B104" s="6" t="str">
        <f>'Утв. ИП 2014-2019'!B109</f>
        <v>2.5.3</v>
      </c>
      <c r="C104" s="79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4" s="5"/>
      <c r="E104" s="5"/>
      <c r="F104" s="5"/>
      <c r="G104" s="5"/>
      <c r="H104" s="5"/>
      <c r="I104" s="5"/>
      <c r="J104" s="5"/>
      <c r="K104" s="5"/>
      <c r="L104" s="5"/>
      <c r="M104" s="8"/>
      <c r="N104" s="5">
        <f>'Утв. ИП 2014-2019'!V109</f>
        <v>0</v>
      </c>
      <c r="O104" s="5"/>
      <c r="P104" s="5"/>
      <c r="Q104" s="5"/>
      <c r="R104" s="5">
        <f t="shared" si="25"/>
        <v>0</v>
      </c>
      <c r="S104" s="92">
        <f>'Утв. ИП 2014-2019'!V109</f>
        <v>0</v>
      </c>
      <c r="T104" s="92"/>
      <c r="U104" s="92">
        <f t="shared" si="26"/>
        <v>0</v>
      </c>
      <c r="V104" s="5">
        <f>'Утв. ИП 2014-2019'!AJ109</f>
        <v>0</v>
      </c>
      <c r="W104" s="5"/>
      <c r="X104" s="5">
        <f t="shared" si="27"/>
        <v>0</v>
      </c>
      <c r="Y104" s="5"/>
      <c r="Z104" s="5"/>
      <c r="AA104" s="5"/>
      <c r="AB104" s="5"/>
      <c r="AC104" s="5"/>
      <c r="AD104" s="5"/>
      <c r="AE104" s="5"/>
      <c r="AF104" s="5"/>
      <c r="AG104" s="5"/>
      <c r="AH104" s="5">
        <f>'Утв. ИП 2014-2019'!O109</f>
        <v>0</v>
      </c>
    </row>
    <row r="105" spans="1:38" s="2" customFormat="1" hidden="1" outlineLevel="1" x14ac:dyDescent="0.2">
      <c r="A105" s="6"/>
      <c r="B105" s="6" t="str">
        <f>'Утв. ИП 2014-2019'!B110</f>
        <v>2.5.4</v>
      </c>
      <c r="C105" s="79" t="str">
        <f>'Утв. ИП 2014-2019'!C110</f>
        <v>Автоподъемник АПТЛ-17</v>
      </c>
      <c r="D105" s="5"/>
      <c r="E105" s="5"/>
      <c r="F105" s="5"/>
      <c r="G105" s="5"/>
      <c r="H105" s="5"/>
      <c r="I105" s="5"/>
      <c r="J105" s="5"/>
      <c r="K105" s="5"/>
      <c r="L105" s="5"/>
      <c r="M105" s="8"/>
      <c r="N105" s="5">
        <f>'Утв. ИП 2014-2019'!V110</f>
        <v>0</v>
      </c>
      <c r="O105" s="5"/>
      <c r="P105" s="5"/>
      <c r="Q105" s="5"/>
      <c r="R105" s="5">
        <f t="shared" si="25"/>
        <v>0</v>
      </c>
      <c r="S105" s="92">
        <f>'Утв. ИП 2014-2019'!V110</f>
        <v>0</v>
      </c>
      <c r="T105" s="92"/>
      <c r="U105" s="92">
        <f t="shared" si="26"/>
        <v>0</v>
      </c>
      <c r="V105" s="5">
        <f>'Утв. ИП 2014-2019'!AJ110</f>
        <v>0</v>
      </c>
      <c r="W105" s="5"/>
      <c r="X105" s="5">
        <f t="shared" si="27"/>
        <v>0</v>
      </c>
      <c r="Y105" s="5"/>
      <c r="Z105" s="5"/>
      <c r="AA105" s="5"/>
      <c r="AB105" s="5"/>
      <c r="AC105" s="5"/>
      <c r="AD105" s="5"/>
      <c r="AE105" s="5"/>
      <c r="AF105" s="5"/>
      <c r="AG105" s="5"/>
      <c r="AH105" s="5">
        <f>'Утв. ИП 2014-2019'!O110</f>
        <v>0</v>
      </c>
    </row>
    <row r="106" spans="1:38" s="2" customFormat="1" ht="25.5" hidden="1" outlineLevel="1" x14ac:dyDescent="0.2">
      <c r="A106" s="6"/>
      <c r="B106" s="6" t="str">
        <f>'Утв. ИП 2014-2019'!B111</f>
        <v>2.5.5</v>
      </c>
      <c r="C106" s="79" t="str">
        <f>'Утв. ИП 2014-2019'!C111</f>
        <v>Автомобиль Газель полноприводная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5">
        <f>'Утв. ИП 2014-2019'!V111</f>
        <v>0</v>
      </c>
      <c r="O106" s="5"/>
      <c r="P106" s="5"/>
      <c r="Q106" s="5"/>
      <c r="R106" s="5">
        <f t="shared" si="25"/>
        <v>0</v>
      </c>
      <c r="S106" s="92">
        <f>'Утв. ИП 2014-2019'!V111</f>
        <v>0</v>
      </c>
      <c r="T106" s="92"/>
      <c r="U106" s="92">
        <f t="shared" si="26"/>
        <v>0</v>
      </c>
      <c r="V106" s="5">
        <f>'Утв. ИП 2014-2019'!AJ111</f>
        <v>0</v>
      </c>
      <c r="W106" s="5"/>
      <c r="X106" s="5">
        <f t="shared" si="27"/>
        <v>0</v>
      </c>
      <c r="Y106" s="5"/>
      <c r="Z106" s="5"/>
      <c r="AA106" s="5"/>
      <c r="AB106" s="5"/>
      <c r="AC106" s="5"/>
      <c r="AD106" s="5"/>
      <c r="AE106" s="5"/>
      <c r="AF106" s="5"/>
      <c r="AG106" s="5"/>
      <c r="AH106" s="5">
        <f>'Утв. ИП 2014-2019'!O111</f>
        <v>0</v>
      </c>
    </row>
    <row r="107" spans="1:38" s="2" customFormat="1" hidden="1" outlineLevel="1" x14ac:dyDescent="0.2">
      <c r="A107" s="6" t="e">
        <f>A114+1</f>
        <v>#REF!</v>
      </c>
      <c r="B107" s="6" t="str">
        <f>'Утв. ИП 2014-2019'!B112</f>
        <v>2.5.6</v>
      </c>
      <c r="C107" s="79" t="str">
        <f>'Утв. ИП 2014-2019'!C112</f>
        <v>Автомастерская на базе ГАЗ-3309</v>
      </c>
      <c r="D107" s="5"/>
      <c r="E107" s="5"/>
      <c r="F107" s="5"/>
      <c r="G107" s="5"/>
      <c r="H107" s="5"/>
      <c r="I107" s="5"/>
      <c r="J107" s="5"/>
      <c r="K107" s="5"/>
      <c r="L107" s="5"/>
      <c r="M107" s="8"/>
      <c r="N107" s="5">
        <f>'Утв. ИП 2014-2019'!V112</f>
        <v>0</v>
      </c>
      <c r="O107" s="5"/>
      <c r="P107" s="5"/>
      <c r="Q107" s="5"/>
      <c r="R107" s="5">
        <f t="shared" si="25"/>
        <v>0</v>
      </c>
      <c r="S107" s="92">
        <f>'Утв. ИП 2014-2019'!V112</f>
        <v>0</v>
      </c>
      <c r="T107" s="92"/>
      <c r="U107" s="92">
        <f t="shared" si="26"/>
        <v>0</v>
      </c>
      <c r="V107" s="5">
        <f>'Утв. ИП 2014-2019'!AJ112</f>
        <v>0</v>
      </c>
      <c r="W107" s="5"/>
      <c r="X107" s="5">
        <f t="shared" si="27"/>
        <v>0</v>
      </c>
      <c r="Y107" s="5"/>
      <c r="Z107" s="5"/>
      <c r="AA107" s="5"/>
      <c r="AB107" s="5"/>
      <c r="AC107" s="5"/>
      <c r="AD107" s="5"/>
      <c r="AE107" s="5"/>
      <c r="AF107" s="5"/>
      <c r="AG107" s="5"/>
      <c r="AH107" s="5">
        <f>'Утв. ИП 2014-2019'!O112</f>
        <v>0</v>
      </c>
    </row>
    <row r="108" spans="1:38" s="2" customFormat="1" hidden="1" outlineLevel="1" x14ac:dyDescent="0.2">
      <c r="A108" s="6"/>
      <c r="B108" s="6" t="str">
        <f>'Утв. ИП 2014-2019'!B113</f>
        <v>2.5.7</v>
      </c>
      <c r="C108" s="79" t="str">
        <f>'Утв. ИП 2014-2019'!C113</f>
        <v>Лада "Нива" 21214</v>
      </c>
      <c r="D108" s="5"/>
      <c r="E108" s="5"/>
      <c r="F108" s="5"/>
      <c r="G108" s="5"/>
      <c r="H108" s="5"/>
      <c r="I108" s="5"/>
      <c r="J108" s="5"/>
      <c r="K108" s="5"/>
      <c r="L108" s="5"/>
      <c r="M108" s="8"/>
      <c r="N108" s="5">
        <f>'Утв. ИП 2014-2019'!V113</f>
        <v>0</v>
      </c>
      <c r="O108" s="5"/>
      <c r="P108" s="5"/>
      <c r="Q108" s="5"/>
      <c r="R108" s="5">
        <f t="shared" si="25"/>
        <v>0</v>
      </c>
      <c r="S108" s="92">
        <f>'Утв. ИП 2014-2019'!V113</f>
        <v>0</v>
      </c>
      <c r="T108" s="92"/>
      <c r="U108" s="92">
        <f t="shared" si="26"/>
        <v>0</v>
      </c>
      <c r="V108" s="5">
        <f>'Утв. ИП 2014-2019'!AJ113</f>
        <v>0</v>
      </c>
      <c r="W108" s="5"/>
      <c r="X108" s="5">
        <f t="shared" si="27"/>
        <v>0</v>
      </c>
      <c r="Y108" s="5"/>
      <c r="Z108" s="5"/>
      <c r="AA108" s="5"/>
      <c r="AB108" s="5"/>
      <c r="AC108" s="5"/>
      <c r="AD108" s="5"/>
      <c r="AE108" s="5"/>
      <c r="AF108" s="5"/>
      <c r="AG108" s="5"/>
      <c r="AH108" s="5">
        <f>'Утв. ИП 2014-2019'!O113</f>
        <v>0</v>
      </c>
    </row>
    <row r="109" spans="1:38" s="2" customFormat="1" hidden="1" outlineLevel="1" x14ac:dyDescent="0.2">
      <c r="A109" s="6" t="e">
        <f>#REF!+1</f>
        <v>#REF!</v>
      </c>
      <c r="B109" s="6" t="str">
        <f>'Утв. ИП 2014-2019'!B114</f>
        <v>2.5.8</v>
      </c>
      <c r="C109" s="79" t="str">
        <f>'Утв. ИП 2014-2019'!C114</f>
        <v xml:space="preserve">УАЗ-39099 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>
        <f>'Утв. ИП 2014-2019'!V114</f>
        <v>0</v>
      </c>
      <c r="O109" s="5"/>
      <c r="P109" s="5"/>
      <c r="Q109" s="5"/>
      <c r="R109" s="5">
        <f t="shared" si="25"/>
        <v>0</v>
      </c>
      <c r="S109" s="92">
        <f>'Утв. ИП 2014-2019'!V114</f>
        <v>0</v>
      </c>
      <c r="T109" s="92"/>
      <c r="U109" s="92">
        <f t="shared" si="26"/>
        <v>0</v>
      </c>
      <c r="V109" s="5">
        <f>'Утв. ИП 2014-2019'!AJ114</f>
        <v>0</v>
      </c>
      <c r="W109" s="5"/>
      <c r="X109" s="5">
        <f t="shared" si="27"/>
        <v>0</v>
      </c>
      <c r="Y109" s="5"/>
      <c r="Z109" s="5"/>
      <c r="AA109" s="5"/>
      <c r="AB109" s="5"/>
      <c r="AC109" s="5"/>
      <c r="AD109" s="5"/>
      <c r="AE109" s="5"/>
      <c r="AF109" s="5"/>
      <c r="AG109" s="5"/>
      <c r="AH109" s="5">
        <f>'Утв. ИП 2014-2019'!O114</f>
        <v>0</v>
      </c>
    </row>
    <row r="110" spans="1:38" s="2" customFormat="1" ht="25.5" hidden="1" outlineLevel="1" x14ac:dyDescent="0.2">
      <c r="A110" s="6" t="e">
        <f>A109+1</f>
        <v>#REF!</v>
      </c>
      <c r="B110" s="6" t="str">
        <f>'Утв. ИП 2014-2019'!B115</f>
        <v>2.5.9</v>
      </c>
      <c r="C110" s="79" t="str">
        <f>'Утв. ИП 2014-2019'!C115</f>
        <v>Бурильно-крановая установка БМ-302 на базе МТЗ-82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>
        <f>'Утв. ИП 2014-2019'!V115</f>
        <v>0</v>
      </c>
      <c r="O110" s="5"/>
      <c r="P110" s="5"/>
      <c r="Q110" s="5"/>
      <c r="R110" s="5">
        <f t="shared" si="25"/>
        <v>0</v>
      </c>
      <c r="S110" s="92">
        <f>'Утв. ИП 2014-2019'!V115</f>
        <v>0</v>
      </c>
      <c r="T110" s="92"/>
      <c r="U110" s="92">
        <f t="shared" si="26"/>
        <v>0</v>
      </c>
      <c r="V110" s="5">
        <f>'Утв. ИП 2014-2019'!AJ115</f>
        <v>0</v>
      </c>
      <c r="W110" s="5"/>
      <c r="X110" s="5">
        <f t="shared" si="27"/>
        <v>0</v>
      </c>
      <c r="Y110" s="5"/>
      <c r="Z110" s="5"/>
      <c r="AA110" s="5"/>
      <c r="AB110" s="5"/>
      <c r="AC110" s="5"/>
      <c r="AD110" s="5"/>
      <c r="AE110" s="5"/>
      <c r="AF110" s="5"/>
      <c r="AG110" s="5"/>
      <c r="AH110" s="5">
        <f>'Утв. ИП 2014-2019'!O115</f>
        <v>0</v>
      </c>
    </row>
    <row r="111" spans="1:38" s="2" customFormat="1" ht="32.25" customHeight="1" collapsed="1" x14ac:dyDescent="0.2">
      <c r="A111" s="6" t="e">
        <f>A101+1</f>
        <v>#REF!</v>
      </c>
      <c r="B111" s="6" t="str">
        <f>'Утв. ИП 2014-2019'!B116</f>
        <v>2.5.10</v>
      </c>
      <c r="C111" s="79" t="str">
        <f>'Утв. ИП 2014-2019'!C116</f>
        <v>Самосвал КАМАЗ-53605</v>
      </c>
      <c r="D111" s="5"/>
      <c r="E111" s="5"/>
      <c r="F111" s="5"/>
      <c r="G111" s="5"/>
      <c r="H111" s="5"/>
      <c r="I111" s="5"/>
      <c r="J111" s="5"/>
      <c r="K111" s="5"/>
      <c r="L111" s="5"/>
      <c r="M111" s="8" t="s">
        <v>2402</v>
      </c>
      <c r="N111" s="5">
        <f>'Утв. ИП 2014-2019'!V116</f>
        <v>1.5</v>
      </c>
      <c r="O111" s="5"/>
      <c r="P111" s="5"/>
      <c r="Q111" s="5"/>
      <c r="R111" s="5">
        <f t="shared" si="25"/>
        <v>1.5</v>
      </c>
      <c r="S111" s="92">
        <f>'Утв. ИП 2014-2019'!V116</f>
        <v>1.5</v>
      </c>
      <c r="T111" s="92"/>
      <c r="U111" s="92">
        <f t="shared" si="26"/>
        <v>1.5</v>
      </c>
      <c r="V111" s="5">
        <f>'Утв. ИП 2014-2019'!AJ116</f>
        <v>1.5</v>
      </c>
      <c r="W111" s="5"/>
      <c r="X111" s="5">
        <f t="shared" si="27"/>
        <v>1.5</v>
      </c>
      <c r="Y111" s="5"/>
      <c r="Z111" s="5"/>
      <c r="AA111" s="5"/>
      <c r="AB111" s="5"/>
      <c r="AC111" s="5"/>
      <c r="AD111" s="5"/>
      <c r="AE111" s="5"/>
      <c r="AF111" s="5"/>
      <c r="AG111" s="5"/>
      <c r="AH111" s="5" t="str">
        <f>'Утв. ИП 2014-2019'!O116</f>
        <v>1 шт.</v>
      </c>
    </row>
    <row r="112" spans="1:38" s="2" customFormat="1" hidden="1" outlineLevel="1" x14ac:dyDescent="0.2">
      <c r="A112" s="6" t="e">
        <f>A111+1</f>
        <v>#REF!</v>
      </c>
      <c r="B112" s="6" t="str">
        <f>'Утв. ИП 2014-2019'!B117</f>
        <v>2.5.11</v>
      </c>
      <c r="C112" s="79" t="str">
        <f>'Утв. ИП 2014-2019'!C117</f>
        <v>Бортовой КАМАЗ-53215</v>
      </c>
      <c r="D112" s="5"/>
      <c r="E112" s="5"/>
      <c r="F112" s="5"/>
      <c r="G112" s="5"/>
      <c r="H112" s="5"/>
      <c r="I112" s="5"/>
      <c r="J112" s="5"/>
      <c r="K112" s="5"/>
      <c r="L112" s="5"/>
      <c r="M112" s="8"/>
      <c r="N112" s="5">
        <f>'Утв. ИП 2014-2019'!V117</f>
        <v>0</v>
      </c>
      <c r="O112" s="5"/>
      <c r="P112" s="5"/>
      <c r="Q112" s="5"/>
      <c r="R112" s="5">
        <f t="shared" si="25"/>
        <v>0</v>
      </c>
      <c r="S112" s="92">
        <f>'Утв. ИП 2014-2019'!V117</f>
        <v>0</v>
      </c>
      <c r="T112" s="92"/>
      <c r="U112" s="92">
        <f t="shared" si="26"/>
        <v>0</v>
      </c>
      <c r="V112" s="5">
        <f>'Утв. ИП 2014-2019'!AJ117</f>
        <v>0</v>
      </c>
      <c r="W112" s="5"/>
      <c r="X112" s="5">
        <f t="shared" si="27"/>
        <v>0</v>
      </c>
      <c r="Y112" s="5"/>
      <c r="Z112" s="5"/>
      <c r="AA112" s="5"/>
      <c r="AB112" s="5"/>
      <c r="AC112" s="5"/>
      <c r="AD112" s="5"/>
      <c r="AE112" s="5"/>
      <c r="AF112" s="5"/>
      <c r="AG112" s="5"/>
      <c r="AH112" s="5">
        <f>'Утв. ИП 2014-2019'!O117</f>
        <v>0</v>
      </c>
    </row>
    <row r="113" spans="1:64" s="2" customFormat="1" ht="25.5" hidden="1" outlineLevel="1" x14ac:dyDescent="0.2">
      <c r="A113" s="6" t="e">
        <f>A102+1</f>
        <v>#REF!</v>
      </c>
      <c r="B113" s="6" t="str">
        <f>'Утв. ИП 2014-2019'!B118</f>
        <v>2.5.12</v>
      </c>
      <c r="C113" s="79" t="str">
        <f>'Утв. ИП 2014-2019'!C118</f>
        <v>Бортовой КАМАЗ с манипулятором</v>
      </c>
      <c r="D113" s="5"/>
      <c r="E113" s="5"/>
      <c r="F113" s="5"/>
      <c r="G113" s="5"/>
      <c r="H113" s="5"/>
      <c r="I113" s="5"/>
      <c r="J113" s="5"/>
      <c r="K113" s="5"/>
      <c r="L113" s="5"/>
      <c r="M113" s="8"/>
      <c r="N113" s="5">
        <f>'Утв. ИП 2014-2019'!V118</f>
        <v>0</v>
      </c>
      <c r="O113" s="5"/>
      <c r="P113" s="5"/>
      <c r="Q113" s="5"/>
      <c r="R113" s="5">
        <f t="shared" si="25"/>
        <v>0</v>
      </c>
      <c r="S113" s="92">
        <f>'Утв. ИП 2014-2019'!V118</f>
        <v>0</v>
      </c>
      <c r="T113" s="92"/>
      <c r="U113" s="92">
        <f t="shared" si="26"/>
        <v>0</v>
      </c>
      <c r="V113" s="5">
        <f>'Утв. ИП 2014-2019'!AJ118</f>
        <v>0</v>
      </c>
      <c r="W113" s="5"/>
      <c r="X113" s="5">
        <f t="shared" si="27"/>
        <v>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>
        <f>'Утв. ИП 2014-2019'!O118</f>
        <v>0</v>
      </c>
    </row>
    <row r="114" spans="1:64" s="2" customFormat="1" hidden="1" outlineLevel="1" x14ac:dyDescent="0.2">
      <c r="A114" s="6" t="e">
        <f>A104+1</f>
        <v>#REF!</v>
      </c>
      <c r="B114" s="6" t="str">
        <f>'Утв. ИП 2014-2019'!B119</f>
        <v>2.5.13</v>
      </c>
      <c r="C114" s="79" t="str">
        <f>'Утв. ИП 2014-2019'!C119</f>
        <v>Грузопассажирский УАЗ-390994</v>
      </c>
      <c r="D114" s="5"/>
      <c r="E114" s="5"/>
      <c r="F114" s="5"/>
      <c r="G114" s="5"/>
      <c r="H114" s="5"/>
      <c r="I114" s="5"/>
      <c r="J114" s="5"/>
      <c r="K114" s="5"/>
      <c r="L114" s="5"/>
      <c r="M114" s="8"/>
      <c r="N114" s="5">
        <f>'Утв. ИП 2014-2019'!V119</f>
        <v>0</v>
      </c>
      <c r="O114" s="5"/>
      <c r="P114" s="5"/>
      <c r="Q114" s="12"/>
      <c r="R114" s="5">
        <f t="shared" si="25"/>
        <v>0</v>
      </c>
      <c r="S114" s="92">
        <f>'Утв. ИП 2014-2019'!V119</f>
        <v>0</v>
      </c>
      <c r="T114" s="92"/>
      <c r="U114" s="92">
        <f t="shared" si="26"/>
        <v>0</v>
      </c>
      <c r="V114" s="5">
        <f>'Утв. ИП 2014-2019'!AJ119</f>
        <v>0</v>
      </c>
      <c r="W114" s="5"/>
      <c r="X114" s="5">
        <f t="shared" si="27"/>
        <v>0</v>
      </c>
      <c r="Y114" s="5"/>
      <c r="Z114" s="5"/>
      <c r="AA114" s="5"/>
      <c r="AB114" s="5"/>
      <c r="AC114" s="5"/>
      <c r="AD114" s="5"/>
      <c r="AE114" s="5"/>
      <c r="AF114" s="5"/>
      <c r="AG114" s="5"/>
      <c r="AH114" s="5">
        <f>'Утв. ИП 2014-2019'!O119</f>
        <v>0</v>
      </c>
    </row>
    <row r="115" spans="1:64" s="2" customFormat="1" hidden="1" outlineLevel="1" x14ac:dyDescent="0.2">
      <c r="A115" s="6" t="e">
        <f>#REF!+1</f>
        <v>#REF!</v>
      </c>
      <c r="B115" s="6" t="str">
        <f>'Утв. ИП 2014-2019'!B120</f>
        <v>2.5.14</v>
      </c>
      <c r="C115" s="79" t="str">
        <f>'Утв. ИП 2014-2019'!C120</f>
        <v>Автокран МАЗ-5337 А2 КС-35715</v>
      </c>
      <c r="D115" s="5"/>
      <c r="E115" s="5"/>
      <c r="F115" s="5"/>
      <c r="G115" s="5"/>
      <c r="H115" s="5"/>
      <c r="I115" s="5"/>
      <c r="J115" s="5"/>
      <c r="K115" s="5"/>
      <c r="L115" s="5"/>
      <c r="M115" s="163"/>
      <c r="N115" s="5">
        <f>'Утв. ИП 2014-2019'!V120</f>
        <v>0</v>
      </c>
      <c r="O115" s="5"/>
      <c r="P115" s="5"/>
      <c r="Q115" s="12"/>
      <c r="R115" s="5">
        <f t="shared" si="25"/>
        <v>0</v>
      </c>
      <c r="S115" s="92">
        <f>'Утв. ИП 2014-2019'!V120</f>
        <v>0</v>
      </c>
      <c r="T115" s="92"/>
      <c r="U115" s="92">
        <f t="shared" si="26"/>
        <v>0</v>
      </c>
      <c r="V115" s="5">
        <f>'Утв. ИП 2014-2019'!AJ120</f>
        <v>0</v>
      </c>
      <c r="W115" s="5"/>
      <c r="X115" s="5">
        <f t="shared" si="27"/>
        <v>0</v>
      </c>
      <c r="Y115" s="5"/>
      <c r="Z115" s="5"/>
      <c r="AA115" s="5"/>
      <c r="AB115" s="5"/>
      <c r="AC115" s="5"/>
      <c r="AD115" s="5"/>
      <c r="AE115" s="5"/>
      <c r="AF115" s="5"/>
      <c r="AG115" s="5"/>
      <c r="AH115" s="5">
        <f>'Утв. ИП 2014-2019'!O120</f>
        <v>0</v>
      </c>
    </row>
    <row r="116" spans="1:64" s="42" customFormat="1" ht="27.75" customHeight="1" collapsed="1" x14ac:dyDescent="0.2">
      <c r="A116" s="39" t="e">
        <f>#REF!+1</f>
        <v>#REF!</v>
      </c>
      <c r="B116" s="39" t="str">
        <f>'Утв. ИП 2014-2019'!B121</f>
        <v>3.</v>
      </c>
      <c r="C116" s="40" t="str">
        <f>'Утв. ИП 2014-2019'!C121</f>
        <v>Объекты техприсоединения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>
        <f>'Утв. ИП 2014-2019'!V121</f>
        <v>349.23</v>
      </c>
      <c r="O116" s="41">
        <f>O117+O118+O119</f>
        <v>17.461500000000001</v>
      </c>
      <c r="P116" s="41">
        <f>P117+P118+P119</f>
        <v>192.07650000000001</v>
      </c>
      <c r="Q116" s="41">
        <f>Q117+Q118+Q119</f>
        <v>0</v>
      </c>
      <c r="R116" s="41">
        <f>R117+R118+R119</f>
        <v>139.69199999999995</v>
      </c>
      <c r="S116" s="41">
        <f>'Утв. ИП 2014-2019'!V121</f>
        <v>349.23</v>
      </c>
      <c r="T116" s="41">
        <f>T117+T118+T119</f>
        <v>139.69200000000001</v>
      </c>
      <c r="U116" s="41">
        <f>U117+U118+U119</f>
        <v>209.53799999999998</v>
      </c>
      <c r="V116" s="41">
        <f>'Утв. ИП 2014-2019'!AJ121</f>
        <v>445.99574999999993</v>
      </c>
      <c r="W116" s="41">
        <f>W117+W118+W119</f>
        <v>156.09851249999997</v>
      </c>
      <c r="X116" s="41">
        <f>X117+X118+X119</f>
        <v>289.89723750000002</v>
      </c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:64" s="32" customFormat="1" ht="74.25" customHeight="1" x14ac:dyDescent="0.2">
      <c r="A117" s="28" t="e">
        <f>A116+1</f>
        <v>#REF!</v>
      </c>
      <c r="B117" s="37" t="s">
        <v>428</v>
      </c>
      <c r="C117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>
        <f>'Утв. ИП 2014-2019'!V122</f>
        <v>176.53</v>
      </c>
      <c r="O117" s="36">
        <f>0.05*N117</f>
        <v>8.8265000000000011</v>
      </c>
      <c r="P117" s="36">
        <f>0.55*N117</f>
        <v>97.091500000000011</v>
      </c>
      <c r="Q117" s="36"/>
      <c r="R117" s="36">
        <f>N117-O117-P117-Q117</f>
        <v>70.611999999999981</v>
      </c>
      <c r="S117" s="36">
        <f>'Утв. ИП 2014-2019'!V122</f>
        <v>176.53</v>
      </c>
      <c r="T117" s="36">
        <f>S117*0.4</f>
        <v>70.612000000000009</v>
      </c>
      <c r="U117" s="36">
        <f>S117-T117</f>
        <v>105.91799999999999</v>
      </c>
      <c r="V117" s="36">
        <f>'Утв. ИП 2014-2019'!AJ122</f>
        <v>166.99574999999996</v>
      </c>
      <c r="W117" s="36">
        <f>V117*0.35</f>
        <v>58.448512499999978</v>
      </c>
      <c r="X117" s="36">
        <f>V117-W117</f>
        <v>108.54723749999998</v>
      </c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</row>
    <row r="118" spans="1:64" s="32" customFormat="1" ht="102" x14ac:dyDescent="0.2">
      <c r="A118" s="28" t="e">
        <f>A117+1</f>
        <v>#REF!</v>
      </c>
      <c r="B118" s="37" t="s">
        <v>461</v>
      </c>
      <c r="C118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>
        <f>'Утв. ИП 2014-2019'!V243</f>
        <v>132.69999999999999</v>
      </c>
      <c r="O118" s="36">
        <f>0.05*N118</f>
        <v>6.6349999999999998</v>
      </c>
      <c r="P118" s="36">
        <f>0.55*N118</f>
        <v>72.984999999999999</v>
      </c>
      <c r="Q118" s="36"/>
      <c r="R118" s="36">
        <f>N118-O118-P118-Q118</f>
        <v>53.079999999999984</v>
      </c>
      <c r="S118" s="36">
        <f>'Утв. ИП 2014-2019'!V243</f>
        <v>132.69999999999999</v>
      </c>
      <c r="T118" s="36">
        <f>S118*0.4</f>
        <v>53.08</v>
      </c>
      <c r="U118" s="36">
        <f>S118-T118</f>
        <v>79.61999999999999</v>
      </c>
      <c r="V118" s="36">
        <f>'Утв. ИП 2014-2019'!AJ243</f>
        <v>239</v>
      </c>
      <c r="W118" s="36">
        <f>V118*0.35</f>
        <v>83.649999999999991</v>
      </c>
      <c r="X118" s="36">
        <f>V118-W118</f>
        <v>155.35000000000002</v>
      </c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</row>
    <row r="119" spans="1:64" s="32" customFormat="1" ht="28.5" customHeight="1" collapsed="1" x14ac:dyDescent="0.2">
      <c r="A119" s="28" t="e">
        <f>A118+1</f>
        <v>#REF!</v>
      </c>
      <c r="B119" s="37" t="s">
        <v>442</v>
      </c>
      <c r="C119" s="38" t="str">
        <f>'Утв. ИП 2014-2019'!C1333</f>
        <v>Выполнение объектов за счет платы за технологическое присоединение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>
        <f>'Утв. ИП 2014-2019'!V1333</f>
        <v>40</v>
      </c>
      <c r="O119" s="36">
        <f>0.05*N119</f>
        <v>2</v>
      </c>
      <c r="P119" s="36">
        <f>0.55*N119</f>
        <v>22</v>
      </c>
      <c r="Q119" s="36"/>
      <c r="R119" s="36">
        <f>N119-O119-P119-Q119</f>
        <v>16</v>
      </c>
      <c r="S119" s="36">
        <f>'Утв. ИП 2014-2019'!V1333</f>
        <v>40</v>
      </c>
      <c r="T119" s="36">
        <f>S119*0.4</f>
        <v>16</v>
      </c>
      <c r="U119" s="36">
        <f>S119-T119</f>
        <v>24</v>
      </c>
      <c r="V119" s="36">
        <f>'Утв. ИП 2014-2019'!AJ1333</f>
        <v>40</v>
      </c>
      <c r="W119" s="36">
        <f>V119*0.35</f>
        <v>14</v>
      </c>
      <c r="X119" s="36">
        <f>V119-W119</f>
        <v>26</v>
      </c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</row>
    <row r="120" spans="1:64" s="21" customFormat="1" ht="15.75" x14ac:dyDescent="0.25">
      <c r="A120" s="62"/>
      <c r="B120" s="21" t="s">
        <v>1463</v>
      </c>
    </row>
    <row r="121" spans="1:64" s="2" customFormat="1" ht="28.5" customHeight="1" x14ac:dyDescent="0.2">
      <c r="A121" s="335"/>
      <c r="B121" s="292"/>
      <c r="C121" s="293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</row>
    <row r="122" spans="1:64" s="2" customFormat="1" ht="28.5" customHeight="1" x14ac:dyDescent="0.2">
      <c r="A122" s="335"/>
      <c r="B122" s="292"/>
      <c r="C122" s="293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</row>
    <row r="123" spans="1:64" s="340" customFormat="1" ht="12.75" customHeight="1" x14ac:dyDescent="0.5">
      <c r="B123" s="851" t="s">
        <v>3</v>
      </c>
      <c r="C123" s="851"/>
      <c r="D123" s="851"/>
      <c r="E123" s="851"/>
      <c r="F123" s="851"/>
      <c r="G123" s="851"/>
      <c r="H123" s="851"/>
      <c r="I123" s="851"/>
      <c r="J123" s="851"/>
      <c r="K123" s="851"/>
      <c r="L123" s="851"/>
      <c r="M123" s="851"/>
      <c r="N123" s="851"/>
      <c r="O123" s="851"/>
      <c r="P123" s="851"/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  <c r="AA123" s="851"/>
      <c r="AB123" s="851"/>
      <c r="AC123" s="851"/>
      <c r="AD123" s="851"/>
      <c r="AE123" s="851"/>
      <c r="AF123" s="851"/>
      <c r="AG123" s="851"/>
      <c r="AH123" s="851"/>
      <c r="AI123" s="341"/>
      <c r="AJ123" s="341"/>
      <c r="AK123" s="341"/>
      <c r="AL123" s="341"/>
      <c r="AM123" s="342"/>
      <c r="AN123" s="342"/>
      <c r="AO123" s="343"/>
      <c r="AP123" s="343"/>
      <c r="AQ123" s="342"/>
      <c r="AR123" s="342"/>
      <c r="AS123" s="343"/>
      <c r="AT123" s="343"/>
      <c r="AU123" s="342"/>
      <c r="AV123" s="342"/>
      <c r="AW123" s="342"/>
      <c r="AX123" s="342"/>
      <c r="BF123" s="344"/>
      <c r="BG123" s="344"/>
      <c r="BL123" s="344"/>
    </row>
    <row r="124" spans="1:64" s="345" customFormat="1" ht="12.75" customHeight="1" x14ac:dyDescent="0.5">
      <c r="B124" s="851"/>
      <c r="C124" s="851"/>
      <c r="D124" s="851"/>
      <c r="E124" s="851"/>
      <c r="F124" s="851"/>
      <c r="G124" s="851"/>
      <c r="H124" s="851"/>
      <c r="I124" s="851"/>
      <c r="J124" s="851"/>
      <c r="K124" s="851"/>
      <c r="L124" s="851"/>
      <c r="M124" s="851"/>
      <c r="N124" s="851"/>
      <c r="O124" s="851"/>
      <c r="P124" s="851"/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  <c r="AA124" s="851"/>
      <c r="AB124" s="851"/>
      <c r="AC124" s="851"/>
      <c r="AD124" s="851"/>
      <c r="AE124" s="851"/>
      <c r="AF124" s="851"/>
      <c r="AG124" s="851"/>
      <c r="AH124" s="851"/>
      <c r="AI124" s="346"/>
      <c r="AJ124" s="346"/>
      <c r="AK124" s="346"/>
      <c r="AL124" s="341"/>
      <c r="AM124" s="342"/>
      <c r="AN124" s="342"/>
      <c r="AO124" s="343"/>
      <c r="AP124" s="343"/>
      <c r="AQ124" s="342"/>
      <c r="AR124" s="342"/>
      <c r="AS124" s="343"/>
      <c r="AT124" s="343"/>
      <c r="AU124" s="342"/>
      <c r="AV124" s="342"/>
      <c r="AW124" s="342"/>
      <c r="AX124" s="342"/>
      <c r="AY124" s="340"/>
      <c r="BC124" s="340"/>
      <c r="BD124" s="340"/>
      <c r="BF124" s="347"/>
      <c r="BG124" s="347"/>
      <c r="BL124" s="347"/>
    </row>
    <row r="125" spans="1:64" s="345" customFormat="1" ht="12.75" customHeight="1" x14ac:dyDescent="0.5">
      <c r="B125" s="851"/>
      <c r="C125" s="851"/>
      <c r="D125" s="851"/>
      <c r="E125" s="851"/>
      <c r="F125" s="851"/>
      <c r="G125" s="851"/>
      <c r="H125" s="851"/>
      <c r="I125" s="851"/>
      <c r="J125" s="851"/>
      <c r="K125" s="851"/>
      <c r="L125" s="851"/>
      <c r="M125" s="851"/>
      <c r="N125" s="851"/>
      <c r="O125" s="851"/>
      <c r="P125" s="851"/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  <c r="AA125" s="851"/>
      <c r="AB125" s="851"/>
      <c r="AC125" s="851"/>
      <c r="AD125" s="851"/>
      <c r="AE125" s="851"/>
      <c r="AF125" s="851"/>
      <c r="AG125" s="851"/>
      <c r="AH125" s="851"/>
      <c r="AI125" s="346"/>
      <c r="AJ125" s="346"/>
      <c r="AK125" s="346"/>
      <c r="AL125" s="341"/>
      <c r="AM125" s="342"/>
      <c r="AN125" s="342"/>
      <c r="AO125" s="343"/>
      <c r="AP125" s="343"/>
      <c r="AQ125" s="342"/>
      <c r="AR125" s="342"/>
      <c r="AS125" s="343"/>
      <c r="AT125" s="343"/>
      <c r="AU125" s="342"/>
      <c r="AV125" s="342"/>
      <c r="AW125" s="342"/>
      <c r="AX125" s="342"/>
      <c r="AY125" s="340"/>
      <c r="BC125" s="340"/>
      <c r="BD125" s="340"/>
      <c r="BF125" s="347"/>
      <c r="BG125" s="347"/>
      <c r="BL125" s="347"/>
    </row>
    <row r="126" spans="1:64" s="345" customFormat="1" ht="12.75" customHeight="1" x14ac:dyDescent="0.5">
      <c r="B126" s="338"/>
      <c r="C126" s="338"/>
      <c r="D126" s="338"/>
      <c r="E126" s="338"/>
      <c r="F126" s="338"/>
      <c r="G126" s="338"/>
      <c r="H126" s="338"/>
      <c r="I126" s="338"/>
      <c r="J126" s="338"/>
      <c r="K126" s="338"/>
      <c r="L126" s="338"/>
      <c r="M126" s="338"/>
      <c r="N126" s="338"/>
      <c r="O126" s="338"/>
      <c r="P126" s="338"/>
      <c r="Q126" s="338"/>
      <c r="R126" s="338"/>
      <c r="S126" s="338"/>
      <c r="T126" s="338"/>
      <c r="U126" s="338"/>
      <c r="V126" s="338"/>
      <c r="W126" s="338"/>
      <c r="X126" s="338"/>
      <c r="Y126" s="338"/>
      <c r="Z126" s="338"/>
      <c r="AA126" s="338"/>
      <c r="AB126" s="338"/>
      <c r="AC126" s="338"/>
      <c r="AD126" s="338"/>
      <c r="AE126" s="338"/>
      <c r="AF126" s="338"/>
      <c r="AG126" s="338"/>
      <c r="AH126" s="338"/>
      <c r="AI126" s="346"/>
      <c r="AJ126" s="346"/>
      <c r="AK126" s="346"/>
      <c r="AL126" s="341"/>
      <c r="AM126" s="342"/>
      <c r="AN126" s="342"/>
      <c r="AO126" s="343"/>
      <c r="AP126" s="343"/>
      <c r="AQ126" s="342"/>
      <c r="AR126" s="342"/>
      <c r="AS126" s="343"/>
      <c r="AT126" s="343"/>
      <c r="AU126" s="342"/>
      <c r="AV126" s="342"/>
      <c r="AW126" s="342"/>
      <c r="AX126" s="342"/>
      <c r="AY126" s="340"/>
      <c r="BC126" s="340"/>
      <c r="BD126" s="340"/>
      <c r="BF126" s="347"/>
      <c r="BG126" s="347"/>
      <c r="BL126" s="347"/>
    </row>
    <row r="127" spans="1:64" ht="18.75" hidden="1" customHeight="1" outlineLevel="1" x14ac:dyDescent="0.2">
      <c r="C127" s="849"/>
      <c r="D127" s="849"/>
      <c r="E127" s="849"/>
      <c r="F127" s="849"/>
      <c r="G127" s="849"/>
      <c r="H127" s="849"/>
      <c r="I127" s="849"/>
      <c r="J127" s="849"/>
      <c r="K127" s="849"/>
      <c r="N127" s="117">
        <f t="shared" ref="N127:X127" si="28">N14+N21+N30+N31+N26+N41+N42+N59+N63+N65+N66+N67+N83+N111+N116</f>
        <v>464.70000000000005</v>
      </c>
      <c r="O127" s="117">
        <f t="shared" si="28"/>
        <v>20.499749999999999</v>
      </c>
      <c r="P127" s="117">
        <f t="shared" si="28"/>
        <v>257.97555</v>
      </c>
      <c r="Q127" s="117">
        <f t="shared" si="28"/>
        <v>45.032699999999991</v>
      </c>
      <c r="R127" s="117">
        <f t="shared" si="28"/>
        <v>141.19199999999995</v>
      </c>
      <c r="S127" s="117">
        <f t="shared" si="28"/>
        <v>464.70000000000005</v>
      </c>
      <c r="T127" s="117">
        <f t="shared" si="28"/>
        <v>151.089</v>
      </c>
      <c r="U127" s="117">
        <f t="shared" si="28"/>
        <v>313.61099999999999</v>
      </c>
      <c r="V127" s="117">
        <f t="shared" si="28"/>
        <v>491.36194999999992</v>
      </c>
      <c r="W127" s="117">
        <f t="shared" si="28"/>
        <v>199.06971249999998</v>
      </c>
      <c r="X127" s="117">
        <f t="shared" si="28"/>
        <v>292.2922375</v>
      </c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</row>
    <row r="128" spans="1:64" ht="18.75" hidden="1" outlineLevel="1" x14ac:dyDescent="0.2">
      <c r="C128" s="20"/>
      <c r="N128" s="117">
        <f>N10</f>
        <v>464.70000000000005</v>
      </c>
      <c r="O128" s="117">
        <f t="shared" ref="O128:X128" si="29">O10</f>
        <v>20.499750000000002</v>
      </c>
      <c r="P128" s="117">
        <f t="shared" si="29"/>
        <v>257.97555</v>
      </c>
      <c r="Q128" s="117">
        <f t="shared" si="29"/>
        <v>45.032699999999991</v>
      </c>
      <c r="R128" s="117">
        <f t="shared" si="29"/>
        <v>141.19199999999995</v>
      </c>
      <c r="S128" s="117">
        <f t="shared" si="29"/>
        <v>464.70000000000005</v>
      </c>
      <c r="T128" s="117">
        <f t="shared" si="29"/>
        <v>151.089</v>
      </c>
      <c r="U128" s="117">
        <f t="shared" si="29"/>
        <v>313.61099999999999</v>
      </c>
      <c r="V128" s="117">
        <f t="shared" si="29"/>
        <v>491.36194999999992</v>
      </c>
      <c r="W128" s="117">
        <f t="shared" si="29"/>
        <v>199.06971249999998</v>
      </c>
      <c r="X128" s="117">
        <f t="shared" si="29"/>
        <v>292.2922375</v>
      </c>
    </row>
    <row r="129" spans="3:24" ht="18.75" hidden="1" outlineLevel="1" x14ac:dyDescent="0.2">
      <c r="C129" s="20"/>
      <c r="M129" s="1" t="s">
        <v>509</v>
      </c>
      <c r="N129" s="117">
        <f>N127-N128</f>
        <v>0</v>
      </c>
      <c r="O129" s="117">
        <f t="shared" ref="O129:X129" si="30">O127-O128</f>
        <v>0</v>
      </c>
      <c r="P129" s="117">
        <f t="shared" si="30"/>
        <v>0</v>
      </c>
      <c r="Q129" s="117">
        <f t="shared" si="30"/>
        <v>0</v>
      </c>
      <c r="R129" s="117">
        <f t="shared" si="30"/>
        <v>0</v>
      </c>
      <c r="S129" s="117">
        <f t="shared" si="30"/>
        <v>0</v>
      </c>
      <c r="T129" s="117">
        <f t="shared" si="30"/>
        <v>0</v>
      </c>
      <c r="U129" s="117">
        <f t="shared" si="30"/>
        <v>0</v>
      </c>
      <c r="V129" s="117">
        <f t="shared" si="30"/>
        <v>0</v>
      </c>
      <c r="W129" s="117">
        <f t="shared" si="30"/>
        <v>0</v>
      </c>
      <c r="X129" s="117">
        <f t="shared" si="30"/>
        <v>0</v>
      </c>
    </row>
    <row r="130" spans="3:24" ht="18.75" hidden="1" outlineLevel="1" x14ac:dyDescent="0.2">
      <c r="C130" s="20"/>
      <c r="M130" s="1" t="s">
        <v>509</v>
      </c>
      <c r="N130" s="117">
        <f>N127-O127-P127-Q127-R127</f>
        <v>0</v>
      </c>
      <c r="S130" s="117">
        <f>S127-T127-U127</f>
        <v>0</v>
      </c>
      <c r="V130" s="117">
        <f>V127-W127-X127</f>
        <v>0</v>
      </c>
    </row>
    <row r="131" spans="3:24" collapsed="1" x14ac:dyDescent="0.2"/>
  </sheetData>
  <mergeCells count="22">
    <mergeCell ref="C127:K127"/>
    <mergeCell ref="H7:L7"/>
    <mergeCell ref="M7:M8"/>
    <mergeCell ref="N7:R7"/>
    <mergeCell ref="D7:G7"/>
    <mergeCell ref="B123:AH125"/>
    <mergeCell ref="AH7:AH8"/>
    <mergeCell ref="B4:AH4"/>
    <mergeCell ref="V6:X6"/>
    <mergeCell ref="Y7:AB7"/>
    <mergeCell ref="S6:U6"/>
    <mergeCell ref="Y6:AH6"/>
    <mergeCell ref="T7:U7"/>
    <mergeCell ref="V7:V8"/>
    <mergeCell ref="AC7:AG7"/>
    <mergeCell ref="S7:S8"/>
    <mergeCell ref="W7:X7"/>
    <mergeCell ref="A6:A8"/>
    <mergeCell ref="B6:B8"/>
    <mergeCell ref="C6:C8"/>
    <mergeCell ref="D6:M6"/>
    <mergeCell ref="N6:R6"/>
  </mergeCells>
  <phoneticPr fontId="12" type="noConversion"/>
  <printOptions horizontalCentered="1"/>
  <pageMargins left="0.19685039370078741" right="0.19685039370078741" top="0.41" bottom="0.47244094488188981" header="0" footer="0.19685039370078741"/>
  <pageSetup paperSize="8" scale="50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L130"/>
  <sheetViews>
    <sheetView view="pageBreakPreview" zoomScale="70" zoomScaleSheetLayoutView="70" workbookViewId="0">
      <pane xSplit="3" ySplit="8" topLeftCell="V9" activePane="bottomRight" state="frozen"/>
      <selection activeCell="C33" sqref="C33"/>
      <selection pane="topRight" activeCell="C33" sqref="C33"/>
      <selection pane="bottomLeft" activeCell="C33" sqref="C33"/>
      <selection pane="bottomRight" activeCell="Z28" sqref="Z28"/>
    </sheetView>
  </sheetViews>
  <sheetFormatPr defaultRowHeight="12.75" outlineLevelRow="1" outlineLevelCol="1" x14ac:dyDescent="0.2"/>
  <cols>
    <col min="1" max="1" width="9.140625" style="61" hidden="1" customWidth="1" outlineLevel="1"/>
    <col min="2" max="2" width="10.42578125" style="1" customWidth="1" collapsed="1"/>
    <col min="3" max="3" width="30.42578125" style="1" customWidth="1"/>
    <col min="4" max="5" width="9.28515625" style="1" customWidth="1"/>
    <col min="6" max="6" width="11.7109375" style="1" customWidth="1"/>
    <col min="7" max="7" width="12.140625" style="1" customWidth="1"/>
    <col min="8" max="8" width="10.5703125" style="1" customWidth="1"/>
    <col min="9" max="9" width="9.28515625" style="1" bestFit="1" customWidth="1"/>
    <col min="10" max="10" width="12.42578125" style="1" customWidth="1"/>
    <col min="11" max="11" width="13.28515625" style="1" customWidth="1"/>
    <col min="12" max="12" width="10.140625" style="1" customWidth="1"/>
    <col min="13" max="13" width="12.42578125" style="1" customWidth="1"/>
    <col min="14" max="14" width="11.5703125" style="1" bestFit="1" customWidth="1"/>
    <col min="15" max="15" width="13" style="1" customWidth="1"/>
    <col min="16" max="16" width="16.42578125" style="1" customWidth="1"/>
    <col min="17" max="17" width="14.5703125" style="1" customWidth="1"/>
    <col min="18" max="18" width="16.140625" style="1" customWidth="1"/>
    <col min="19" max="19" width="14" style="1" customWidth="1"/>
    <col min="20" max="20" width="12" style="1" customWidth="1"/>
    <col min="21" max="21" width="12.140625" style="1" customWidth="1"/>
    <col min="22" max="23" width="12" style="1" customWidth="1"/>
    <col min="24" max="24" width="12.5703125" style="1" customWidth="1"/>
    <col min="25" max="25" width="9.28515625" style="1" bestFit="1" customWidth="1"/>
    <col min="26" max="26" width="14.28515625" style="1" customWidth="1"/>
    <col min="27" max="27" width="12.5703125" style="1" customWidth="1"/>
    <col min="28" max="28" width="16.28515625" style="1" customWidth="1"/>
    <col min="29" max="29" width="11.5703125" style="1" bestFit="1" customWidth="1"/>
    <col min="30" max="30" width="9.28515625" style="1" bestFit="1" customWidth="1"/>
    <col min="31" max="31" width="9.140625" style="1"/>
    <col min="32" max="32" width="16.28515625" style="1" customWidth="1"/>
    <col min="33" max="33" width="10.7109375" style="1" customWidth="1"/>
    <col min="34" max="34" width="10" style="1" customWidth="1"/>
    <col min="35" max="16384" width="9.140625" style="1"/>
  </cols>
  <sheetData>
    <row r="1" spans="1:39" ht="15.75" outlineLevel="1" x14ac:dyDescent="0.2">
      <c r="A1" s="1"/>
      <c r="AD1" s="46" t="s">
        <v>1502</v>
      </c>
    </row>
    <row r="2" spans="1:39" ht="15.75" outlineLevel="1" x14ac:dyDescent="0.2">
      <c r="A2" s="1"/>
      <c r="AD2" s="46" t="s">
        <v>438</v>
      </c>
    </row>
    <row r="3" spans="1:39" ht="15.75" outlineLevel="1" x14ac:dyDescent="0.2">
      <c r="A3" s="1"/>
      <c r="AD3" s="46" t="s">
        <v>497</v>
      </c>
    </row>
    <row r="4" spans="1:39" ht="39.75" customHeight="1" x14ac:dyDescent="0.3">
      <c r="B4" s="848" t="s">
        <v>1396</v>
      </c>
      <c r="C4" s="848"/>
      <c r="D4" s="848"/>
      <c r="E4" s="848"/>
      <c r="F4" s="848"/>
      <c r="G4" s="848"/>
      <c r="H4" s="848"/>
      <c r="I4" s="848"/>
      <c r="J4" s="848"/>
      <c r="K4" s="848"/>
      <c r="L4" s="848"/>
      <c r="M4" s="848"/>
      <c r="N4" s="848"/>
      <c r="O4" s="848"/>
      <c r="P4" s="848"/>
      <c r="Q4" s="848"/>
      <c r="R4" s="848"/>
      <c r="S4" s="848"/>
      <c r="T4" s="848"/>
      <c r="U4" s="848"/>
      <c r="V4" s="848"/>
      <c r="W4" s="848"/>
      <c r="X4" s="848"/>
      <c r="Y4" s="848"/>
      <c r="Z4" s="848"/>
      <c r="AA4" s="848"/>
      <c r="AB4" s="848"/>
      <c r="AC4" s="848"/>
      <c r="AD4" s="848"/>
      <c r="AE4" s="848"/>
      <c r="AF4" s="848"/>
      <c r="AG4" s="848"/>
      <c r="AH4" s="848"/>
    </row>
    <row r="6" spans="1:39" ht="12.75" customHeight="1" x14ac:dyDescent="0.2">
      <c r="A6" s="846" t="s">
        <v>1493</v>
      </c>
      <c r="B6" s="847" t="s">
        <v>1494</v>
      </c>
      <c r="C6" s="847" t="s">
        <v>119</v>
      </c>
      <c r="D6" s="847" t="s">
        <v>210</v>
      </c>
      <c r="E6" s="847"/>
      <c r="F6" s="847"/>
      <c r="G6" s="847"/>
      <c r="H6" s="847"/>
      <c r="I6" s="847"/>
      <c r="J6" s="847"/>
      <c r="K6" s="847"/>
      <c r="L6" s="847"/>
      <c r="M6" s="847"/>
      <c r="N6" s="847" t="s">
        <v>1464</v>
      </c>
      <c r="O6" s="847"/>
      <c r="P6" s="847"/>
      <c r="Q6" s="847"/>
      <c r="R6" s="847"/>
      <c r="S6" s="847" t="s">
        <v>1468</v>
      </c>
      <c r="T6" s="847"/>
      <c r="U6" s="847"/>
      <c r="V6" s="847" t="s">
        <v>430</v>
      </c>
      <c r="W6" s="847"/>
      <c r="X6" s="847"/>
      <c r="Y6" s="847" t="s">
        <v>448</v>
      </c>
      <c r="Z6" s="847"/>
      <c r="AA6" s="847"/>
      <c r="AB6" s="847"/>
      <c r="AC6" s="847"/>
      <c r="AD6" s="847"/>
      <c r="AE6" s="847"/>
      <c r="AF6" s="847"/>
      <c r="AG6" s="847"/>
      <c r="AH6" s="847"/>
      <c r="AI6" s="26"/>
      <c r="AJ6" s="26"/>
      <c r="AK6" s="26"/>
      <c r="AL6" s="26"/>
    </row>
    <row r="7" spans="1:39" ht="12.75" customHeight="1" x14ac:dyDescent="0.2">
      <c r="A7" s="846"/>
      <c r="B7" s="847"/>
      <c r="C7" s="847"/>
      <c r="D7" s="847" t="s">
        <v>1465</v>
      </c>
      <c r="E7" s="847"/>
      <c r="F7" s="847"/>
      <c r="G7" s="847"/>
      <c r="H7" s="847" t="s">
        <v>1066</v>
      </c>
      <c r="I7" s="847"/>
      <c r="J7" s="847"/>
      <c r="K7" s="847"/>
      <c r="L7" s="847"/>
      <c r="M7" s="850" t="s">
        <v>1067</v>
      </c>
      <c r="N7" s="847" t="s">
        <v>1395</v>
      </c>
      <c r="O7" s="847"/>
      <c r="P7" s="847"/>
      <c r="Q7" s="847"/>
      <c r="R7" s="847"/>
      <c r="S7" s="847" t="s">
        <v>1395</v>
      </c>
      <c r="T7" s="847" t="s">
        <v>440</v>
      </c>
      <c r="U7" s="847"/>
      <c r="V7" s="847" t="s">
        <v>1395</v>
      </c>
      <c r="W7" s="847" t="s">
        <v>440</v>
      </c>
      <c r="X7" s="847"/>
      <c r="Y7" s="847" t="s">
        <v>1465</v>
      </c>
      <c r="Z7" s="847"/>
      <c r="AA7" s="847"/>
      <c r="AB7" s="847"/>
      <c r="AC7" s="847" t="s">
        <v>1066</v>
      </c>
      <c r="AD7" s="847"/>
      <c r="AE7" s="847"/>
      <c r="AF7" s="847"/>
      <c r="AG7" s="847"/>
      <c r="AH7" s="850" t="s">
        <v>1067</v>
      </c>
    </row>
    <row r="8" spans="1:39" ht="63.75" customHeight="1" x14ac:dyDescent="0.2">
      <c r="A8" s="846"/>
      <c r="B8" s="847"/>
      <c r="C8" s="847"/>
      <c r="D8" s="3" t="s">
        <v>1068</v>
      </c>
      <c r="E8" s="3" t="s">
        <v>1069</v>
      </c>
      <c r="F8" s="3" t="s">
        <v>1070</v>
      </c>
      <c r="G8" s="3" t="s">
        <v>1071</v>
      </c>
      <c r="H8" s="3" t="s">
        <v>1068</v>
      </c>
      <c r="I8" s="3" t="s">
        <v>1069</v>
      </c>
      <c r="J8" s="3" t="s">
        <v>1072</v>
      </c>
      <c r="K8" s="3" t="s">
        <v>1073</v>
      </c>
      <c r="L8" s="3" t="s">
        <v>1074</v>
      </c>
      <c r="M8" s="850"/>
      <c r="N8" s="3" t="s">
        <v>466</v>
      </c>
      <c r="O8" s="3" t="s">
        <v>1075</v>
      </c>
      <c r="P8" s="3" t="s">
        <v>1076</v>
      </c>
      <c r="Q8" s="3" t="s">
        <v>1077</v>
      </c>
      <c r="R8" s="3" t="s">
        <v>1078</v>
      </c>
      <c r="S8" s="847"/>
      <c r="T8" s="3" t="s">
        <v>456</v>
      </c>
      <c r="U8" s="3" t="s">
        <v>457</v>
      </c>
      <c r="V8" s="847"/>
      <c r="W8" s="3" t="s">
        <v>456</v>
      </c>
      <c r="X8" s="3" t="s">
        <v>457</v>
      </c>
      <c r="Y8" s="3" t="s">
        <v>1068</v>
      </c>
      <c r="Z8" s="3" t="s">
        <v>1069</v>
      </c>
      <c r="AA8" s="3" t="s">
        <v>1070</v>
      </c>
      <c r="AB8" s="3" t="s">
        <v>1071</v>
      </c>
      <c r="AC8" s="3" t="s">
        <v>1068</v>
      </c>
      <c r="AD8" s="3" t="s">
        <v>1069</v>
      </c>
      <c r="AE8" s="3" t="s">
        <v>1072</v>
      </c>
      <c r="AF8" s="3" t="s">
        <v>1073</v>
      </c>
      <c r="AG8" s="3" t="s">
        <v>1074</v>
      </c>
      <c r="AH8" s="850"/>
    </row>
    <row r="9" spans="1:39" x14ac:dyDescent="0.2">
      <c r="A9" s="60">
        <v>1</v>
      </c>
      <c r="B9" s="3" t="s">
        <v>129</v>
      </c>
      <c r="C9" s="3" t="s">
        <v>160</v>
      </c>
      <c r="D9" s="3" t="s">
        <v>99</v>
      </c>
      <c r="E9" s="3" t="s">
        <v>1472</v>
      </c>
      <c r="F9" s="3" t="s">
        <v>1473</v>
      </c>
      <c r="G9" s="3" t="s">
        <v>1474</v>
      </c>
      <c r="H9" s="3" t="s">
        <v>1475</v>
      </c>
      <c r="I9" s="3" t="s">
        <v>1476</v>
      </c>
      <c r="J9" s="3" t="s">
        <v>1477</v>
      </c>
      <c r="K9" s="3" t="s">
        <v>1478</v>
      </c>
      <c r="L9" s="3" t="s">
        <v>1479</v>
      </c>
      <c r="M9" s="3" t="s">
        <v>1480</v>
      </c>
      <c r="N9" s="3" t="s">
        <v>1481</v>
      </c>
      <c r="O9" s="3" t="s">
        <v>1482</v>
      </c>
      <c r="P9" s="3" t="s">
        <v>1483</v>
      </c>
      <c r="Q9" s="3" t="s">
        <v>1484</v>
      </c>
      <c r="R9" s="3" t="s">
        <v>1485</v>
      </c>
      <c r="S9" s="3" t="s">
        <v>1486</v>
      </c>
      <c r="T9" s="3" t="s">
        <v>1487</v>
      </c>
      <c r="U9" s="3" t="s">
        <v>1488</v>
      </c>
      <c r="V9" s="3" t="s">
        <v>1489</v>
      </c>
      <c r="W9" s="3" t="s">
        <v>1490</v>
      </c>
      <c r="X9" s="3" t="s">
        <v>1491</v>
      </c>
      <c r="Y9" s="3" t="s">
        <v>1492</v>
      </c>
      <c r="Z9" s="3" t="s">
        <v>205</v>
      </c>
      <c r="AA9" s="3" t="s">
        <v>1495</v>
      </c>
      <c r="AB9" s="3" t="s">
        <v>1496</v>
      </c>
      <c r="AC9" s="3" t="s">
        <v>1497</v>
      </c>
      <c r="AD9" s="3" t="s">
        <v>1498</v>
      </c>
      <c r="AE9" s="3" t="s">
        <v>214</v>
      </c>
      <c r="AF9" s="3" t="s">
        <v>1499</v>
      </c>
      <c r="AG9" s="3" t="s">
        <v>1500</v>
      </c>
      <c r="AH9" s="3" t="s">
        <v>1501</v>
      </c>
    </row>
    <row r="10" spans="1:39" ht="15.75" x14ac:dyDescent="0.2">
      <c r="A10" s="60">
        <v>2</v>
      </c>
      <c r="B10" s="18"/>
      <c r="C10" s="18" t="str">
        <f>'Утв. ИП 2014-2019'!C15</f>
        <v>ВСЕГО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>
        <f>'Утв. ИП 2014-2019'!W15</f>
        <v>599.40000000000009</v>
      </c>
      <c r="O10" s="17">
        <f>O11+O43+O116</f>
        <v>20.176850000000002</v>
      </c>
      <c r="P10" s="17">
        <f>P11+P43+P116</f>
        <v>330.87189000000001</v>
      </c>
      <c r="Q10" s="17">
        <f>Q11+Q43+Q116</f>
        <v>74.271260000000012</v>
      </c>
      <c r="R10" s="17">
        <f>R11+R43+R116</f>
        <v>174.07999999999998</v>
      </c>
      <c r="S10" s="17">
        <f>'Утв. ИП 2014-2019'!W15</f>
        <v>599.40000000000009</v>
      </c>
      <c r="T10" s="17">
        <f>T11+T43+T116</f>
        <v>178.58700000000002</v>
      </c>
      <c r="U10" s="17">
        <f>U11+U43+U116</f>
        <v>420.81299999999999</v>
      </c>
      <c r="V10" s="17">
        <f>'Утв. ИП 2014-2019'!AK15</f>
        <v>464.90924999999993</v>
      </c>
      <c r="W10" s="17">
        <f>W11+W43+W116</f>
        <v>148.78351249999997</v>
      </c>
      <c r="X10" s="17">
        <f>X11+X43+X116</f>
        <v>316.12573750000001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1:39" s="42" customFormat="1" ht="25.5" x14ac:dyDescent="0.2">
      <c r="A11" s="39">
        <f>A10+1</f>
        <v>3</v>
      </c>
      <c r="B11" s="39" t="str">
        <f>'Утв. ИП 2014-2019'!B16</f>
        <v>1</v>
      </c>
      <c r="C11" s="40" t="str">
        <f>'Утв. ИП 2014-2019'!C16</f>
        <v>Техническое перевооружение и реконструкция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f>'Утв. ИП 2014-2019'!W16</f>
        <v>177.49799999999999</v>
      </c>
      <c r="O11" s="41">
        <f>O12+O32+O36</f>
        <v>7.9280000000000017E-2</v>
      </c>
      <c r="P11" s="41">
        <f>P12+P32+P36</f>
        <v>106.271232</v>
      </c>
      <c r="Q11" s="41">
        <f>Q12+Q32+Q36</f>
        <v>71.14748800000001</v>
      </c>
      <c r="R11" s="41">
        <f>R12+R32+R36</f>
        <v>0</v>
      </c>
      <c r="S11" s="41">
        <f>'Утв. ИП 2014-2019'!W16</f>
        <v>177.49799999999999</v>
      </c>
      <c r="T11" s="41">
        <f>T12+T32+T36</f>
        <v>17.749800000000004</v>
      </c>
      <c r="U11" s="41">
        <f>U12+U32+U36</f>
        <v>159.7482</v>
      </c>
      <c r="V11" s="41">
        <f>'Утв. ИП 2014-2019'!AK16</f>
        <v>16.891500000000001</v>
      </c>
      <c r="W11" s="41">
        <f>W12+W32+W36</f>
        <v>0</v>
      </c>
      <c r="X11" s="41">
        <f>X12+X32+X36</f>
        <v>16.891500000000001</v>
      </c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9" s="53" customFormat="1" ht="25.5" x14ac:dyDescent="0.2">
      <c r="A12" s="28">
        <f>A11+1</f>
        <v>4</v>
      </c>
      <c r="B12" s="28" t="str">
        <f>'Утв. ИП 2014-2019'!B17</f>
        <v>1.1</v>
      </c>
      <c r="C12" s="29" t="str">
        <f>'Утв. ИП 2014-2019'!C17</f>
        <v>Энергосбережение и повышение энергетической эффективности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>
        <f>'Утв. ИП 2014-2019'!W17</f>
        <v>177.048</v>
      </c>
      <c r="O12" s="31">
        <f>O13+O22+O25</f>
        <v>7.9280000000000017E-2</v>
      </c>
      <c r="P12" s="31">
        <f>P13+P22+P25</f>
        <v>106.18123199999999</v>
      </c>
      <c r="Q12" s="31">
        <f>Q13+Q22+Q25</f>
        <v>70.78748800000001</v>
      </c>
      <c r="R12" s="31">
        <f>R13+R22+R25</f>
        <v>0</v>
      </c>
      <c r="S12" s="31">
        <f>'Утв. ИП 2014-2019'!W17</f>
        <v>177.048</v>
      </c>
      <c r="T12" s="31">
        <f>T13+T22+T25</f>
        <v>17.704800000000002</v>
      </c>
      <c r="U12" s="31">
        <f>U13+U22+U25</f>
        <v>159.3432</v>
      </c>
      <c r="V12" s="31">
        <f>'Утв. ИП 2014-2019'!AK17</f>
        <v>15.9915</v>
      </c>
      <c r="W12" s="31">
        <f>W13+W22+W25</f>
        <v>0</v>
      </c>
      <c r="X12" s="31">
        <f>X13+X22+X25</f>
        <v>15.9915</v>
      </c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63"/>
      <c r="AJ12" s="63"/>
      <c r="AK12" s="63"/>
      <c r="AL12" s="63"/>
      <c r="AM12" s="55"/>
    </row>
    <row r="13" spans="1:39" s="53" customFormat="1" x14ac:dyDescent="0.2">
      <c r="A13" s="28">
        <f>A12+1</f>
        <v>5</v>
      </c>
      <c r="B13" s="28" t="str">
        <f>'Утв. ИП 2014-2019'!B18</f>
        <v>1.1.1</v>
      </c>
      <c r="C13" s="29" t="str">
        <f>'Утв. ИП 2014-2019'!C18</f>
        <v>Сети среднего напряжения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>
        <f>'Утв. ИП 2014-2019'!W18</f>
        <v>66.78</v>
      </c>
      <c r="O13" s="31">
        <f>SUM(O14:O21)</f>
        <v>0</v>
      </c>
      <c r="P13" s="31">
        <f>SUM(P14:P21)</f>
        <v>40.067999999999998</v>
      </c>
      <c r="Q13" s="31">
        <f>SUM(Q14:Q21)</f>
        <v>26.712000000000003</v>
      </c>
      <c r="R13" s="31">
        <f>SUM(R14:R21)</f>
        <v>0</v>
      </c>
      <c r="S13" s="31">
        <f>'Утв. ИП 2014-2019'!W18</f>
        <v>66.78</v>
      </c>
      <c r="T13" s="31">
        <f>SUM(T14:T21)</f>
        <v>6.6780000000000008</v>
      </c>
      <c r="U13" s="31">
        <f>SUM(U14:U21)</f>
        <v>60.102000000000004</v>
      </c>
      <c r="V13" s="31">
        <f>'Утв. ИП 2014-2019'!AK18</f>
        <v>0</v>
      </c>
      <c r="W13" s="31">
        <f>SUM(W14:W21)</f>
        <v>0</v>
      </c>
      <c r="X13" s="31">
        <f>SUM(X14:X21)</f>
        <v>0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63"/>
      <c r="AJ13" s="63"/>
      <c r="AK13" s="63"/>
      <c r="AL13" s="63"/>
      <c r="AM13" s="55"/>
    </row>
    <row r="14" spans="1:39" s="2" customFormat="1" ht="51.75" customHeight="1" x14ac:dyDescent="0.2">
      <c r="A14" s="6">
        <f>A13+1</f>
        <v>6</v>
      </c>
      <c r="B14" s="114" t="str">
        <f>'Утв. ИП 2014-2019'!B19</f>
        <v>1.1.1.1</v>
      </c>
      <c r="C14" s="7" t="str">
        <f>'Утв. ИП 2014-2019'!C19</f>
        <v>Реконструкция ВЛ-35 кВ от ПС "Цементная" до ПС "Студеновская" со строительством канала связи</v>
      </c>
      <c r="D14" s="5"/>
      <c r="E14" s="5"/>
      <c r="F14" s="5"/>
      <c r="G14" s="5"/>
      <c r="H14" s="23">
        <v>1967</v>
      </c>
      <c r="I14" s="23">
        <v>45</v>
      </c>
      <c r="J14" s="23" t="s">
        <v>84</v>
      </c>
      <c r="K14" s="23" t="s">
        <v>198</v>
      </c>
      <c r="L14" s="23">
        <v>5.53</v>
      </c>
      <c r="M14" s="5"/>
      <c r="N14" s="5">
        <f>'Утв. ИП 2014-2019'!W19</f>
        <v>66.78</v>
      </c>
      <c r="O14" s="5"/>
      <c r="P14" s="5">
        <f>N14*0.6</f>
        <v>40.067999999999998</v>
      </c>
      <c r="Q14" s="5">
        <f>N14*0.4</f>
        <v>26.712000000000003</v>
      </c>
      <c r="R14" s="5">
        <f t="shared" ref="R14:R21" si="0">N14-O14-P14-Q14</f>
        <v>0</v>
      </c>
      <c r="S14" s="5">
        <f>'Утв. ИП 2014-2019'!W19</f>
        <v>66.78</v>
      </c>
      <c r="T14" s="5">
        <f>0.1*S14</f>
        <v>6.6780000000000008</v>
      </c>
      <c r="U14" s="5">
        <f>S14-T14</f>
        <v>60.102000000000004</v>
      </c>
      <c r="V14" s="5">
        <f>'Утв. ИП 2014-2019'!AK19</f>
        <v>0</v>
      </c>
      <c r="W14" s="5"/>
      <c r="X14" s="5">
        <f>V14</f>
        <v>0</v>
      </c>
      <c r="Y14" s="5"/>
      <c r="Z14" s="5"/>
      <c r="AA14" s="5"/>
      <c r="AB14" s="5"/>
      <c r="AC14" s="23">
        <f>'Утв. ИП 2014-2019'!G19</f>
        <v>2020</v>
      </c>
      <c r="AD14" s="23">
        <v>30</v>
      </c>
      <c r="AE14" s="5" t="s">
        <v>212</v>
      </c>
      <c r="AF14" s="5" t="s">
        <v>199</v>
      </c>
      <c r="AG14" s="5">
        <f>'Утв. ИП 2014-2019'!AY19</f>
        <v>0</v>
      </c>
      <c r="AH14" s="5"/>
      <c r="AI14" s="47"/>
      <c r="AJ14" s="47"/>
      <c r="AK14" s="47"/>
      <c r="AL14" s="47"/>
    </row>
    <row r="15" spans="1:39" s="2" customFormat="1" ht="38.25" hidden="1" outlineLevel="1" x14ac:dyDescent="0.2">
      <c r="A15" s="6"/>
      <c r="B15" s="114" t="str">
        <f>'Утв. ИП 2014-2019'!B20</f>
        <v>1.1.1.2</v>
      </c>
      <c r="C15" s="7" t="str">
        <f>'Утв. ИП 2014-2019'!C20</f>
        <v xml:space="preserve">Реконструкция КЛ-10 кВ от РП-15 яч. 10 до ТП-505 яч. 4 (инв. № 340869) </v>
      </c>
      <c r="D15" s="5"/>
      <c r="E15" s="5"/>
      <c r="F15" s="5"/>
      <c r="G15" s="5"/>
      <c r="H15" s="23">
        <v>1975</v>
      </c>
      <c r="I15" s="23">
        <v>30</v>
      </c>
      <c r="J15" s="23"/>
      <c r="K15" s="23" t="s">
        <v>200</v>
      </c>
      <c r="L15" s="23">
        <v>0.7</v>
      </c>
      <c r="M15" s="5"/>
      <c r="N15" s="5">
        <f>'Утв. ИП 2014-2019'!W20</f>
        <v>0</v>
      </c>
      <c r="O15" s="5"/>
      <c r="P15" s="5">
        <f>N15*0.6</f>
        <v>0</v>
      </c>
      <c r="Q15" s="5">
        <f>N15*0.4</f>
        <v>0</v>
      </c>
      <c r="R15" s="5">
        <f t="shared" si="0"/>
        <v>0</v>
      </c>
      <c r="S15" s="5">
        <f>'Утв. ИП 2014-2019'!W20</f>
        <v>0</v>
      </c>
      <c r="T15" s="5">
        <f t="shared" ref="T15:T23" si="1">0.1*S15</f>
        <v>0</v>
      </c>
      <c r="U15" s="5">
        <f t="shared" ref="U15:U21" si="2">S15-T15</f>
        <v>0</v>
      </c>
      <c r="V15" s="5">
        <f>'Утв. ИП 2014-2019'!AK20</f>
        <v>0</v>
      </c>
      <c r="W15" s="5"/>
      <c r="X15" s="5">
        <f t="shared" ref="X15:X21" si="3">V15</f>
        <v>0</v>
      </c>
      <c r="Y15" s="5"/>
      <c r="Z15" s="5"/>
      <c r="AA15" s="5"/>
      <c r="AB15" s="5"/>
      <c r="AC15" s="23">
        <f>'Утв. ИП 2014-2019'!G20</f>
        <v>2014</v>
      </c>
      <c r="AD15" s="23">
        <v>30</v>
      </c>
      <c r="AE15" s="5" t="s">
        <v>212</v>
      </c>
      <c r="AF15" s="5" t="s">
        <v>200</v>
      </c>
      <c r="AG15" s="5">
        <f>'Утв. ИП 2014-2019'!AY20</f>
        <v>0.56899999999999995</v>
      </c>
      <c r="AH15" s="5"/>
      <c r="AI15" s="47"/>
      <c r="AJ15" s="47"/>
      <c r="AK15" s="47"/>
      <c r="AL15" s="47"/>
    </row>
    <row r="16" spans="1:39" s="2" customFormat="1" ht="38.25" hidden="1" outlineLevel="1" x14ac:dyDescent="0.2">
      <c r="A16" s="6"/>
      <c r="B16" s="114" t="str">
        <f>'Утв. ИП 2014-2019'!B21</f>
        <v>1.1.1.3</v>
      </c>
      <c r="C16" s="7" t="str">
        <f>'Утв. ИП 2014-2019'!C21</f>
        <v>Реконструкция ВЛ 6 кВ РП-25 – ТП-404 с монтажем РЛНД на отпайке в сторону ТП-429</v>
      </c>
      <c r="D16" s="5"/>
      <c r="E16" s="5"/>
      <c r="F16" s="5"/>
      <c r="G16" s="5"/>
      <c r="H16" s="23">
        <v>1959</v>
      </c>
      <c r="I16" s="8">
        <v>25</v>
      </c>
      <c r="J16" s="23" t="s">
        <v>201</v>
      </c>
      <c r="K16" s="8" t="s">
        <v>943</v>
      </c>
      <c r="L16" s="23">
        <v>2.2000000000000002</v>
      </c>
      <c r="M16" s="5"/>
      <c r="N16" s="5">
        <f>'Утв. ИП 2014-2019'!W21</f>
        <v>0</v>
      </c>
      <c r="O16" s="5">
        <f>N16*0.1</f>
        <v>0</v>
      </c>
      <c r="P16" s="5">
        <f>(N16-O16)*0.6</f>
        <v>0</v>
      </c>
      <c r="Q16" s="5">
        <f>(N16-O16)*0.4</f>
        <v>0</v>
      </c>
      <c r="R16" s="5">
        <f t="shared" si="0"/>
        <v>0</v>
      </c>
      <c r="S16" s="5">
        <f>'Утв. ИП 2014-2019'!W21</f>
        <v>0</v>
      </c>
      <c r="T16" s="5">
        <f t="shared" si="1"/>
        <v>0</v>
      </c>
      <c r="U16" s="5">
        <f t="shared" si="2"/>
        <v>0</v>
      </c>
      <c r="V16" s="5">
        <f>'Утв. ИП 2014-2019'!AK21</f>
        <v>0</v>
      </c>
      <c r="W16" s="5"/>
      <c r="X16" s="5">
        <f t="shared" si="3"/>
        <v>0</v>
      </c>
      <c r="Y16" s="5"/>
      <c r="Z16" s="5"/>
      <c r="AA16" s="5"/>
      <c r="AB16" s="5"/>
      <c r="AC16" s="23">
        <f>'Утв. ИП 2014-2019'!G21</f>
        <v>2016</v>
      </c>
      <c r="AD16" s="23">
        <v>25</v>
      </c>
      <c r="AE16" s="5" t="s">
        <v>201</v>
      </c>
      <c r="AF16" s="8" t="s">
        <v>943</v>
      </c>
      <c r="AG16" s="5">
        <f>'Утв. ИП 2014-2019'!AY21</f>
        <v>0</v>
      </c>
      <c r="AH16" s="5"/>
      <c r="AI16" s="47"/>
      <c r="AJ16" s="47"/>
      <c r="AK16" s="47"/>
      <c r="AL16" s="47"/>
    </row>
    <row r="17" spans="1:39" s="2" customFormat="1" ht="51" hidden="1" outlineLevel="1" x14ac:dyDescent="0.2">
      <c r="A17" s="6"/>
      <c r="B17" s="114" t="str">
        <f>'Утв. ИП 2014-2019'!B22</f>
        <v>1.1.1.4</v>
      </c>
      <c r="C17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D17" s="5"/>
      <c r="E17" s="5"/>
      <c r="F17" s="5"/>
      <c r="G17" s="5"/>
      <c r="H17" s="23">
        <v>1973</v>
      </c>
      <c r="I17" s="8">
        <v>25</v>
      </c>
      <c r="J17" s="23" t="s">
        <v>201</v>
      </c>
      <c r="K17" s="8" t="s">
        <v>943</v>
      </c>
      <c r="L17" s="23">
        <v>0.5</v>
      </c>
      <c r="M17" s="5"/>
      <c r="N17" s="5">
        <f>'Утв. ИП 2014-2019'!W22</f>
        <v>0</v>
      </c>
      <c r="O17" s="5">
        <f>N17*0.1</f>
        <v>0</v>
      </c>
      <c r="P17" s="5">
        <f>(N17-O17)*0.6</f>
        <v>0</v>
      </c>
      <c r="Q17" s="5">
        <f>(N17-O17)*0.4</f>
        <v>0</v>
      </c>
      <c r="R17" s="5">
        <f t="shared" si="0"/>
        <v>0</v>
      </c>
      <c r="S17" s="5">
        <f>'Утв. ИП 2014-2019'!W22</f>
        <v>0</v>
      </c>
      <c r="T17" s="5">
        <f t="shared" si="1"/>
        <v>0</v>
      </c>
      <c r="U17" s="5">
        <f t="shared" si="2"/>
        <v>0</v>
      </c>
      <c r="V17" s="5">
        <f>'Утв. ИП 2014-2019'!AK22</f>
        <v>0</v>
      </c>
      <c r="W17" s="5"/>
      <c r="X17" s="5">
        <f t="shared" si="3"/>
        <v>0</v>
      </c>
      <c r="Y17" s="5"/>
      <c r="Z17" s="5"/>
      <c r="AA17" s="5"/>
      <c r="AB17" s="5"/>
      <c r="AC17" s="23">
        <f>'Утв. ИП 2014-2019'!G22</f>
        <v>2016</v>
      </c>
      <c r="AD17" s="23">
        <v>25</v>
      </c>
      <c r="AE17" s="5" t="s">
        <v>201</v>
      </c>
      <c r="AF17" s="8" t="s">
        <v>943</v>
      </c>
      <c r="AG17" s="5">
        <f>'Утв. ИП 2014-2019'!AY22</f>
        <v>0</v>
      </c>
      <c r="AH17" s="5"/>
      <c r="AI17" s="47"/>
      <c r="AJ17" s="47"/>
      <c r="AK17" s="47"/>
      <c r="AL17" s="47"/>
    </row>
    <row r="18" spans="1:39" s="2" customFormat="1" ht="38.25" hidden="1" outlineLevel="1" x14ac:dyDescent="0.2">
      <c r="A18" s="6"/>
      <c r="B18" s="114" t="str">
        <f>'Утв. ИП 2014-2019'!B23</f>
        <v>1.1.1.5</v>
      </c>
      <c r="C18" s="7" t="str">
        <f>'Утв. ИП 2014-2019'!C23</f>
        <v>Реконструкция кабельно-воздушной линии 6 кВ РП-25 яч.7 - ТП-404</v>
      </c>
      <c r="D18" s="5"/>
      <c r="E18" s="5"/>
      <c r="F18" s="5"/>
      <c r="G18" s="5"/>
      <c r="H18" s="23">
        <v>1959</v>
      </c>
      <c r="I18" s="8">
        <v>25</v>
      </c>
      <c r="J18" s="23" t="s">
        <v>201</v>
      </c>
      <c r="K18" s="8" t="s">
        <v>943</v>
      </c>
      <c r="L18" s="23">
        <v>2.2000000000000002</v>
      </c>
      <c r="M18" s="5"/>
      <c r="N18" s="5">
        <f>'Утв. ИП 2014-2019'!W23</f>
        <v>0</v>
      </c>
      <c r="O18" s="5">
        <f>N18*0.1</f>
        <v>0</v>
      </c>
      <c r="P18" s="5">
        <f>(N18-O18)*0.6</f>
        <v>0</v>
      </c>
      <c r="Q18" s="5">
        <f>(N18-O18)*0.4</f>
        <v>0</v>
      </c>
      <c r="R18" s="5">
        <f t="shared" si="0"/>
        <v>0</v>
      </c>
      <c r="S18" s="5">
        <f>'Утв. ИП 2014-2019'!W23</f>
        <v>0</v>
      </c>
      <c r="T18" s="5">
        <f t="shared" si="1"/>
        <v>0</v>
      </c>
      <c r="U18" s="5">
        <f t="shared" si="2"/>
        <v>0</v>
      </c>
      <c r="V18" s="5">
        <f>'Утв. ИП 2014-2019'!AK23</f>
        <v>0</v>
      </c>
      <c r="W18" s="5"/>
      <c r="X18" s="5">
        <f t="shared" si="3"/>
        <v>0</v>
      </c>
      <c r="Y18" s="5"/>
      <c r="Z18" s="5"/>
      <c r="AA18" s="5"/>
      <c r="AB18" s="5"/>
      <c r="AC18" s="23">
        <f>'Утв. ИП 2014-2019'!G23</f>
        <v>2016</v>
      </c>
      <c r="AD18" s="23">
        <v>25</v>
      </c>
      <c r="AE18" s="5" t="s">
        <v>201</v>
      </c>
      <c r="AF18" s="5" t="s">
        <v>1433</v>
      </c>
      <c r="AG18" s="5">
        <f>'Утв. ИП 2014-2019'!AY23</f>
        <v>2.7770000000000001</v>
      </c>
      <c r="AH18" s="5"/>
      <c r="AI18" s="47"/>
      <c r="AJ18" s="47"/>
      <c r="AK18" s="47"/>
      <c r="AL18" s="47"/>
    </row>
    <row r="19" spans="1:39" s="2" customFormat="1" ht="38.25" hidden="1" outlineLevel="1" x14ac:dyDescent="0.2">
      <c r="A19" s="6"/>
      <c r="B19" s="114" t="str">
        <f>'Утв. ИП 2014-2019'!B24</f>
        <v>1.1.1.6</v>
      </c>
      <c r="C19" s="7" t="str">
        <f>'Утв. ИП 2014-2019'!C24</f>
        <v>Реконструкция КЛ-6 кВ РП-8 яч.7 - ТП-414</v>
      </c>
      <c r="D19" s="5"/>
      <c r="E19" s="5"/>
      <c r="F19" s="5"/>
      <c r="G19" s="5"/>
      <c r="H19" s="23">
        <v>1956</v>
      </c>
      <c r="I19" s="8">
        <v>30</v>
      </c>
      <c r="J19" s="23" t="s">
        <v>212</v>
      </c>
      <c r="K19" s="8" t="s">
        <v>1443</v>
      </c>
      <c r="L19" s="23">
        <v>0.9</v>
      </c>
      <c r="M19" s="5"/>
      <c r="N19" s="5">
        <f>'Утв. ИП 2014-2019'!W24</f>
        <v>0</v>
      </c>
      <c r="O19" s="5">
        <f>N19*0.1</f>
        <v>0</v>
      </c>
      <c r="P19" s="5">
        <f>(N19-O19)*0.6</f>
        <v>0</v>
      </c>
      <c r="Q19" s="5">
        <f>(N19-O19)*0.4</f>
        <v>0</v>
      </c>
      <c r="R19" s="5">
        <f t="shared" si="0"/>
        <v>0</v>
      </c>
      <c r="S19" s="5">
        <f>'Утв. ИП 2014-2019'!W24</f>
        <v>0</v>
      </c>
      <c r="T19" s="5">
        <f t="shared" si="1"/>
        <v>0</v>
      </c>
      <c r="U19" s="5">
        <f t="shared" si="2"/>
        <v>0</v>
      </c>
      <c r="V19" s="5">
        <f>'Утв. ИП 2014-2019'!AK24</f>
        <v>0</v>
      </c>
      <c r="W19" s="5"/>
      <c r="X19" s="5">
        <f t="shared" si="3"/>
        <v>0</v>
      </c>
      <c r="Y19" s="5"/>
      <c r="Z19" s="5"/>
      <c r="AA19" s="5"/>
      <c r="AB19" s="5"/>
      <c r="AC19" s="23">
        <f>'Утв. ИП 2014-2019'!G24</f>
        <v>2016</v>
      </c>
      <c r="AD19" s="23">
        <v>30</v>
      </c>
      <c r="AE19" s="5" t="s">
        <v>212</v>
      </c>
      <c r="AF19" s="5" t="s">
        <v>1389</v>
      </c>
      <c r="AG19" s="5">
        <f>'Утв. ИП 2014-2019'!AY24</f>
        <v>1.712</v>
      </c>
      <c r="AH19" s="5"/>
      <c r="AI19" s="47"/>
      <c r="AJ19" s="47"/>
      <c r="AK19" s="47"/>
      <c r="AL19" s="47"/>
    </row>
    <row r="20" spans="1:39" s="2" customFormat="1" ht="38.25" hidden="1" outlineLevel="1" x14ac:dyDescent="0.2">
      <c r="A20" s="6">
        <f>A14+1</f>
        <v>7</v>
      </c>
      <c r="B20" s="114" t="str">
        <f>'Утв. ИП 2014-2019'!B25</f>
        <v>1.1.1.7</v>
      </c>
      <c r="C20" s="7" t="str">
        <f>'Утв. ИП 2014-2019'!C25</f>
        <v>Реконструкция КЛ-6 кВ РП-25 яч.9 - ТП-402</v>
      </c>
      <c r="D20" s="5"/>
      <c r="E20" s="5"/>
      <c r="F20" s="5"/>
      <c r="G20" s="5"/>
      <c r="H20" s="23">
        <v>1993</v>
      </c>
      <c r="I20" s="8">
        <v>30</v>
      </c>
      <c r="J20" s="23" t="s">
        <v>212</v>
      </c>
      <c r="K20" s="8" t="s">
        <v>1444</v>
      </c>
      <c r="L20" s="23">
        <v>0.8</v>
      </c>
      <c r="M20" s="5"/>
      <c r="N20" s="5">
        <f>'Утв. ИП 2014-2019'!W25</f>
        <v>0</v>
      </c>
      <c r="O20" s="5">
        <f>N20*0.1</f>
        <v>0</v>
      </c>
      <c r="P20" s="5">
        <f>(N20-O20)*0.6</f>
        <v>0</v>
      </c>
      <c r="Q20" s="5">
        <f>(N20-O20)*0.4</f>
        <v>0</v>
      </c>
      <c r="R20" s="5">
        <f t="shared" si="0"/>
        <v>0</v>
      </c>
      <c r="S20" s="5">
        <f>'Утв. ИП 2014-2019'!W25</f>
        <v>0</v>
      </c>
      <c r="T20" s="5">
        <f t="shared" si="1"/>
        <v>0</v>
      </c>
      <c r="U20" s="5">
        <f t="shared" si="2"/>
        <v>0</v>
      </c>
      <c r="V20" s="5">
        <f>'Утв. ИП 2014-2019'!AK25</f>
        <v>0</v>
      </c>
      <c r="W20" s="5"/>
      <c r="X20" s="5">
        <f t="shared" si="3"/>
        <v>0</v>
      </c>
      <c r="Y20" s="5"/>
      <c r="Z20" s="5"/>
      <c r="AA20" s="5"/>
      <c r="AB20" s="5"/>
      <c r="AC20" s="23">
        <f>'Утв. ИП 2014-2019'!G25</f>
        <v>2017</v>
      </c>
      <c r="AD20" s="23">
        <v>30</v>
      </c>
      <c r="AE20" s="5" t="s">
        <v>212</v>
      </c>
      <c r="AF20" s="5" t="s">
        <v>1389</v>
      </c>
      <c r="AG20" s="5">
        <f>'Утв. ИП 2014-2019'!AY25</f>
        <v>0.8</v>
      </c>
      <c r="AH20" s="5"/>
      <c r="AI20" s="47"/>
      <c r="AJ20" s="47"/>
      <c r="AK20" s="47"/>
      <c r="AL20" s="47"/>
    </row>
    <row r="21" spans="1:39" s="2" customFormat="1" ht="38.25" hidden="1" outlineLevel="1" x14ac:dyDescent="0.2">
      <c r="A21" s="6">
        <f>A20+1</f>
        <v>8</v>
      </c>
      <c r="B21" s="114" t="str">
        <f>'Утв. ИП 2014-2019'!B26</f>
        <v>1.1.1.8</v>
      </c>
      <c r="C21" s="7" t="str">
        <f>'Утв. ИП 2014-2019'!C26</f>
        <v>Реконструкция (перезавод) КЛ-6 кВ в ТП-731 на разные секции шин</v>
      </c>
      <c r="D21" s="5"/>
      <c r="E21" s="5"/>
      <c r="F21" s="5"/>
      <c r="G21" s="5"/>
      <c r="H21" s="23">
        <v>1974</v>
      </c>
      <c r="I21" s="23">
        <v>30</v>
      </c>
      <c r="J21" s="23"/>
      <c r="K21" s="23" t="s">
        <v>200</v>
      </c>
      <c r="L21" s="23">
        <v>0.05</v>
      </c>
      <c r="M21" s="5"/>
      <c r="N21" s="5">
        <f>'Утв. ИП 2014-2019'!W26</f>
        <v>0</v>
      </c>
      <c r="O21" s="5"/>
      <c r="P21" s="5">
        <f>N21*0.6</f>
        <v>0</v>
      </c>
      <c r="Q21" s="5">
        <f>N21*0.4</f>
        <v>0</v>
      </c>
      <c r="R21" s="5">
        <f t="shared" si="0"/>
        <v>0</v>
      </c>
      <c r="S21" s="5">
        <f>'Утв. ИП 2014-2019'!W26</f>
        <v>0</v>
      </c>
      <c r="T21" s="5">
        <f t="shared" si="1"/>
        <v>0</v>
      </c>
      <c r="U21" s="5">
        <f t="shared" si="2"/>
        <v>0</v>
      </c>
      <c r="V21" s="5">
        <f>'Утв. ИП 2014-2019'!AK26</f>
        <v>0</v>
      </c>
      <c r="W21" s="5"/>
      <c r="X21" s="5">
        <f t="shared" si="3"/>
        <v>0</v>
      </c>
      <c r="Y21" s="5"/>
      <c r="Z21" s="5"/>
      <c r="AA21" s="5"/>
      <c r="AB21" s="5"/>
      <c r="AC21" s="23">
        <f>'Утв. ИП 2014-2019'!G26</f>
        <v>2018</v>
      </c>
      <c r="AD21" s="23">
        <v>30</v>
      </c>
      <c r="AE21" s="5" t="s">
        <v>212</v>
      </c>
      <c r="AF21" s="5" t="s">
        <v>1389</v>
      </c>
      <c r="AG21" s="5">
        <f>'Утв. ИП 2014-2019'!AY26</f>
        <v>0.05</v>
      </c>
      <c r="AH21" s="5"/>
      <c r="AI21" s="47"/>
      <c r="AJ21" s="47"/>
      <c r="AK21" s="47"/>
      <c r="AL21" s="47"/>
    </row>
    <row r="22" spans="1:39" s="53" customFormat="1" collapsed="1" x14ac:dyDescent="0.2">
      <c r="A22" s="28">
        <f>A31+1</f>
        <v>11</v>
      </c>
      <c r="B22" s="28" t="str">
        <f>'Утв. ИП 2014-2019'!B27</f>
        <v>1.1.2</v>
      </c>
      <c r="C22" s="33" t="str">
        <f>'Утв. ИП 2014-2019'!C27</f>
        <v>Сети низкого напряжения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>
        <f>'Утв. ИП 2014-2019'!W27</f>
        <v>0</v>
      </c>
      <c r="O22" s="31">
        <f>SUM(O23:O24)</f>
        <v>0</v>
      </c>
      <c r="P22" s="31">
        <f>SUM(P23:P24)</f>
        <v>0</v>
      </c>
      <c r="Q22" s="31">
        <f>SUM(Q23:Q24)</f>
        <v>0</v>
      </c>
      <c r="R22" s="31">
        <f>SUM(R23:R24)</f>
        <v>0</v>
      </c>
      <c r="S22" s="31">
        <f>'Утв. ИП 2014-2019'!W27</f>
        <v>0</v>
      </c>
      <c r="T22" s="31">
        <f>SUM(T23:T24)</f>
        <v>0</v>
      </c>
      <c r="U22" s="31">
        <f>SUM(U23:U24)</f>
        <v>0</v>
      </c>
      <c r="V22" s="31">
        <f>'Утв. ИП 2014-2019'!AK27</f>
        <v>0</v>
      </c>
      <c r="W22" s="31">
        <f>SUM(W23:W24)</f>
        <v>0</v>
      </c>
      <c r="X22" s="31">
        <f>SUM(X23:X24)</f>
        <v>0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63"/>
      <c r="AJ22" s="63"/>
      <c r="AK22" s="63"/>
      <c r="AL22" s="63"/>
      <c r="AM22" s="55"/>
    </row>
    <row r="23" spans="1:39" s="2" customFormat="1" ht="192" hidden="1" customHeight="1" outlineLevel="1" x14ac:dyDescent="0.2">
      <c r="A23" s="6">
        <f>A22+1</f>
        <v>12</v>
      </c>
      <c r="B23" s="114" t="str">
        <f>'Утв. ИП 2014-2019'!B28</f>
        <v>1.1.2.1</v>
      </c>
      <c r="C23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3" s="48"/>
      <c r="E23" s="48"/>
      <c r="F23" s="48"/>
      <c r="G23" s="48"/>
      <c r="H23" s="23" t="s">
        <v>1390</v>
      </c>
      <c r="I23" s="23">
        <v>25</v>
      </c>
      <c r="J23" s="23" t="s">
        <v>202</v>
      </c>
      <c r="K23" s="23" t="s">
        <v>1469</v>
      </c>
      <c r="L23" s="23">
        <v>20</v>
      </c>
      <c r="M23" s="48"/>
      <c r="N23" s="5">
        <f>'Утв. ИП 2014-2019'!W28</f>
        <v>0</v>
      </c>
      <c r="O23" s="48"/>
      <c r="P23" s="5">
        <f>N23*0.6</f>
        <v>0</v>
      </c>
      <c r="Q23" s="5">
        <f>N23*0.4</f>
        <v>0</v>
      </c>
      <c r="R23" s="5">
        <f>N23-O23-P23-Q23</f>
        <v>0</v>
      </c>
      <c r="S23" s="5">
        <f>'Утв. ИП 2014-2019'!W28</f>
        <v>0</v>
      </c>
      <c r="T23" s="5">
        <f t="shared" si="1"/>
        <v>0</v>
      </c>
      <c r="U23" s="5">
        <f>S23-T23</f>
        <v>0</v>
      </c>
      <c r="V23" s="5">
        <f>'Утв. ИП 2014-2019'!AK28</f>
        <v>0</v>
      </c>
      <c r="W23" s="5"/>
      <c r="X23" s="5">
        <f t="shared" ref="X23:X28" si="4">V23</f>
        <v>0</v>
      </c>
      <c r="Y23" s="48"/>
      <c r="Z23" s="48"/>
      <c r="AA23" s="48"/>
      <c r="AB23" s="48"/>
      <c r="AC23" s="23">
        <f>'Утв. ИП 2014-2019'!G28</f>
        <v>2015</v>
      </c>
      <c r="AD23" s="49">
        <v>30</v>
      </c>
      <c r="AE23" s="5" t="s">
        <v>201</v>
      </c>
      <c r="AF23" s="5" t="s">
        <v>209</v>
      </c>
      <c r="AG23" s="5">
        <f>'Утв. ИП 2014-2019'!AY28</f>
        <v>20</v>
      </c>
      <c r="AH23" s="48"/>
      <c r="AI23" s="47"/>
      <c r="AJ23" s="47"/>
      <c r="AK23" s="47"/>
      <c r="AL23" s="47"/>
    </row>
    <row r="24" spans="1:39" s="2" customFormat="1" ht="55.5" hidden="1" customHeight="1" outlineLevel="1" x14ac:dyDescent="0.2">
      <c r="A24" s="6"/>
      <c r="B24" s="114" t="str">
        <f>'Утв. ИП 2014-2019'!B29</f>
        <v>1.1.2.2</v>
      </c>
      <c r="C24" s="7" t="str">
        <f>'Утв. ИП 2014-2019'!C29</f>
        <v>Реконструкция (перенос опоры) ВЛ-0,4 кВ по ул. Новотепличная от ТП-317 (инв. № 346211)</v>
      </c>
      <c r="D24" s="48"/>
      <c r="E24" s="48"/>
      <c r="F24" s="48"/>
      <c r="G24" s="48"/>
      <c r="H24" s="23"/>
      <c r="I24" s="23"/>
      <c r="J24" s="23"/>
      <c r="K24" s="23"/>
      <c r="L24" s="23"/>
      <c r="M24" s="48"/>
      <c r="N24" s="5">
        <f>'Утв. ИП 2014-2019'!W29</f>
        <v>0</v>
      </c>
      <c r="O24" s="115"/>
      <c r="P24" s="115">
        <f>N24*0.6</f>
        <v>0</v>
      </c>
      <c r="Q24" s="115">
        <f>N24*0.4</f>
        <v>0</v>
      </c>
      <c r="R24" s="115">
        <f>N24-O24-P24-Q24</f>
        <v>0</v>
      </c>
      <c r="S24" s="5">
        <f>'Утв. ИП 2014-2019'!W29</f>
        <v>0</v>
      </c>
      <c r="T24" s="5">
        <v>0</v>
      </c>
      <c r="U24" s="5">
        <f>S24-T24</f>
        <v>0</v>
      </c>
      <c r="V24" s="5">
        <f>'Утв. ИП 2014-2019'!AK29</f>
        <v>0</v>
      </c>
      <c r="W24" s="5"/>
      <c r="X24" s="5">
        <f t="shared" si="4"/>
        <v>0</v>
      </c>
      <c r="Y24" s="48"/>
      <c r="Z24" s="48"/>
      <c r="AA24" s="48"/>
      <c r="AB24" s="48"/>
      <c r="AC24" s="23">
        <f>'Утв. ИП 2014-2019'!G29</f>
        <v>2015</v>
      </c>
      <c r="AD24" s="49"/>
      <c r="AE24" s="5"/>
      <c r="AF24" s="5"/>
      <c r="AG24" s="5">
        <f>'Утв. ИП 2014-2019'!AY29</f>
        <v>0</v>
      </c>
      <c r="AH24" s="48"/>
      <c r="AI24" s="47"/>
      <c r="AJ24" s="47"/>
      <c r="AK24" s="47"/>
      <c r="AL24" s="47"/>
    </row>
    <row r="25" spans="1:39" s="53" customFormat="1" ht="25.5" customHeight="1" collapsed="1" x14ac:dyDescent="0.2">
      <c r="A25" s="28" t="e">
        <f>#REF!+1</f>
        <v>#REF!</v>
      </c>
      <c r="B25" s="28" t="str">
        <f>'Утв. ИП 2014-2019'!B30</f>
        <v>1.1.3</v>
      </c>
      <c r="C25" s="29" t="str">
        <f>'Утв. ИП 2014-2019'!C30</f>
        <v>Объекты электросетевого хозяйства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>
        <f>'Утв. ИП 2014-2019'!W30</f>
        <v>110.268</v>
      </c>
      <c r="O25" s="31">
        <f>SUM(O26:O31)</f>
        <v>7.9280000000000017E-2</v>
      </c>
      <c r="P25" s="31">
        <f>SUM(P26:P31)</f>
        <v>66.113231999999996</v>
      </c>
      <c r="Q25" s="31">
        <f>SUM(Q26:Q31)</f>
        <v>44.075488000000007</v>
      </c>
      <c r="R25" s="31">
        <f>SUM(R26:R31)</f>
        <v>0</v>
      </c>
      <c r="S25" s="31">
        <f>'Утв. ИП 2014-2019'!W30</f>
        <v>110.268</v>
      </c>
      <c r="T25" s="31">
        <f>SUM(T26:T31)</f>
        <v>11.026800000000001</v>
      </c>
      <c r="U25" s="31">
        <f>SUM(U26:U31)</f>
        <v>99.241199999999992</v>
      </c>
      <c r="V25" s="31">
        <f>'Утв. ИП 2014-2019'!AK30</f>
        <v>15.9915</v>
      </c>
      <c r="W25" s="31">
        <f>SUM(W26:W31)</f>
        <v>0</v>
      </c>
      <c r="X25" s="31">
        <f>SUM(X26:X31)</f>
        <v>15.9915</v>
      </c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63"/>
      <c r="AJ25" s="63"/>
      <c r="AK25" s="63"/>
      <c r="AL25" s="63"/>
      <c r="AM25" s="55"/>
    </row>
    <row r="26" spans="1:39" s="2" customFormat="1" ht="51" x14ac:dyDescent="0.2">
      <c r="A26" s="6" t="e">
        <f>A25+1</f>
        <v>#REF!</v>
      </c>
      <c r="B26" s="6" t="str">
        <f>'Утв. ИП 2014-2019'!B31</f>
        <v>1.1.3.1</v>
      </c>
      <c r="C26" s="7" t="str">
        <f>'Утв. ИП 2014-2019'!C31</f>
        <v>Реконструкция ПС-35/6 кВ "Студеновская" (замена оборудования) (инв. № 400641, 400640, 400639, 416043А)</v>
      </c>
      <c r="D26" s="25">
        <v>1980</v>
      </c>
      <c r="E26" s="8">
        <v>25</v>
      </c>
      <c r="F26" s="25" t="s">
        <v>160</v>
      </c>
      <c r="G26" s="8" t="s">
        <v>207</v>
      </c>
      <c r="H26" s="5"/>
      <c r="I26" s="5"/>
      <c r="J26" s="5"/>
      <c r="K26" s="5"/>
      <c r="L26" s="5"/>
      <c r="M26" s="5"/>
      <c r="N26" s="5">
        <f>'Утв. ИП 2014-2019'!W31</f>
        <v>94.929900000000004</v>
      </c>
      <c r="O26" s="48"/>
      <c r="P26" s="5">
        <f>N26*0.6</f>
        <v>56.957940000000001</v>
      </c>
      <c r="Q26" s="5">
        <f>N26*0.4</f>
        <v>37.971960000000003</v>
      </c>
      <c r="R26" s="5">
        <f t="shared" ref="R26:R31" si="5">N26-O26-P26-Q26</f>
        <v>0</v>
      </c>
      <c r="S26" s="5">
        <f>'Утв. ИП 2014-2019'!W31</f>
        <v>94.929900000000004</v>
      </c>
      <c r="T26" s="5">
        <f t="shared" ref="T26:T42" si="6">0.1*S26</f>
        <v>9.4929900000000007</v>
      </c>
      <c r="U26" s="5">
        <f t="shared" ref="U26:U31" si="7">S26-T26</f>
        <v>85.436909999999997</v>
      </c>
      <c r="V26" s="5">
        <f>'Утв. ИП 2014-2019'!AK31</f>
        <v>0</v>
      </c>
      <c r="W26" s="5"/>
      <c r="X26" s="5">
        <f t="shared" si="4"/>
        <v>0</v>
      </c>
      <c r="Y26" s="23">
        <f>'Утв. ИП 2014-2019'!G31</f>
        <v>2020</v>
      </c>
      <c r="Z26" s="25" t="s">
        <v>205</v>
      </c>
      <c r="AA26" s="25">
        <v>2</v>
      </c>
      <c r="AB26" s="8" t="s">
        <v>208</v>
      </c>
      <c r="AC26" s="5"/>
      <c r="AD26" s="5"/>
      <c r="AE26" s="5"/>
      <c r="AF26" s="5"/>
      <c r="AG26" s="5"/>
      <c r="AH26" s="5"/>
    </row>
    <row r="27" spans="1:39" s="2" customFormat="1" ht="51" hidden="1" outlineLevel="1" x14ac:dyDescent="0.2">
      <c r="A27" s="6"/>
      <c r="B27" s="6" t="str">
        <f>'Утв. ИП 2014-2019'!B32</f>
        <v>1.1.3.2</v>
      </c>
      <c r="C27" s="7" t="str">
        <f>'Утв. ИП 2014-2019'!C32</f>
        <v>Реконструкция РП-30 (инв. № 400662)</v>
      </c>
      <c r="D27" s="23" t="s">
        <v>211</v>
      </c>
      <c r="E27" s="8">
        <v>25</v>
      </c>
      <c r="F27" s="25" t="s">
        <v>160</v>
      </c>
      <c r="G27" s="8" t="s">
        <v>206</v>
      </c>
      <c r="H27" s="5"/>
      <c r="I27" s="5"/>
      <c r="J27" s="5"/>
      <c r="K27" s="5"/>
      <c r="L27" s="5"/>
      <c r="M27" s="5"/>
      <c r="N27" s="5">
        <f>'Утв. ИП 2014-2019'!W32</f>
        <v>0</v>
      </c>
      <c r="O27" s="5"/>
      <c r="P27" s="5"/>
      <c r="Q27" s="5"/>
      <c r="R27" s="5">
        <f t="shared" si="5"/>
        <v>0</v>
      </c>
      <c r="S27" s="5">
        <f>'Утв. ИП 2014-2019'!W32</f>
        <v>0</v>
      </c>
      <c r="T27" s="5">
        <f t="shared" si="6"/>
        <v>0</v>
      </c>
      <c r="U27" s="5">
        <f t="shared" si="7"/>
        <v>0</v>
      </c>
      <c r="V27" s="5">
        <f>'Утв. ИП 2014-2019'!AK32</f>
        <v>0</v>
      </c>
      <c r="W27" s="5"/>
      <c r="X27" s="5">
        <f t="shared" si="4"/>
        <v>0</v>
      </c>
      <c r="Y27" s="23">
        <f>'Утв. ИП 2014-2019'!G32</f>
        <v>2015</v>
      </c>
      <c r="Z27" s="25" t="s">
        <v>205</v>
      </c>
      <c r="AA27" s="25">
        <v>2</v>
      </c>
      <c r="AB27" s="8" t="s">
        <v>206</v>
      </c>
      <c r="AC27" s="5"/>
      <c r="AD27" s="5"/>
      <c r="AE27" s="5"/>
      <c r="AF27" s="5"/>
      <c r="AG27" s="5"/>
      <c r="AH27" s="5"/>
    </row>
    <row r="28" spans="1:39" s="2" customFormat="1" ht="51" collapsed="1" x14ac:dyDescent="0.2">
      <c r="A28" s="6" t="e">
        <f>A26+1</f>
        <v>#REF!</v>
      </c>
      <c r="B28" s="6" t="str">
        <f>'Утв. ИП 2014-2019'!B33</f>
        <v>1.1.3.3</v>
      </c>
      <c r="C28" s="7" t="str">
        <f>'Утв. ИП 2014-2019'!C33</f>
        <v>Реконструкция РП-17 водозабора № 5 (замена оборудования) (инв. № 416019А)</v>
      </c>
      <c r="D28" s="23">
        <v>1980</v>
      </c>
      <c r="E28" s="23">
        <v>25</v>
      </c>
      <c r="F28" s="5" t="s">
        <v>926</v>
      </c>
      <c r="G28" s="8" t="s">
        <v>927</v>
      </c>
      <c r="H28" s="5"/>
      <c r="I28" s="5"/>
      <c r="J28" s="5"/>
      <c r="K28" s="5"/>
      <c r="L28" s="5"/>
      <c r="M28" s="5"/>
      <c r="N28" s="5">
        <f>'Утв. ИП 2014-2019'!W33</f>
        <v>14.545299999999999</v>
      </c>
      <c r="O28" s="48"/>
      <c r="P28" s="5">
        <f>N28*0.6</f>
        <v>8.7271799999999988</v>
      </c>
      <c r="Q28" s="5">
        <f>N28*0.4</f>
        <v>5.8181200000000004</v>
      </c>
      <c r="R28" s="5">
        <f t="shared" si="5"/>
        <v>0</v>
      </c>
      <c r="S28" s="5">
        <f>'Утв. ИП 2014-2019'!W33</f>
        <v>14.545299999999999</v>
      </c>
      <c r="T28" s="5">
        <f t="shared" si="6"/>
        <v>1.4545300000000001</v>
      </c>
      <c r="U28" s="5">
        <f t="shared" si="7"/>
        <v>13.090769999999999</v>
      </c>
      <c r="V28" s="5">
        <f>'Утв. ИП 2014-2019'!AK33</f>
        <v>15.118699999999999</v>
      </c>
      <c r="W28" s="5"/>
      <c r="X28" s="5">
        <f t="shared" si="4"/>
        <v>15.118699999999999</v>
      </c>
      <c r="Y28" s="23">
        <f>'Утв. ИП 2014-2019'!G33</f>
        <v>2019</v>
      </c>
      <c r="Z28" s="8" t="s">
        <v>928</v>
      </c>
      <c r="AA28" s="25" t="s">
        <v>929</v>
      </c>
      <c r="AB28" s="8" t="s">
        <v>927</v>
      </c>
      <c r="AC28" s="5"/>
      <c r="AD28" s="5"/>
      <c r="AE28" s="5"/>
      <c r="AF28" s="5"/>
      <c r="AG28" s="5"/>
      <c r="AH28" s="5"/>
      <c r="AI28" s="47"/>
      <c r="AJ28" s="47"/>
      <c r="AK28" s="47"/>
      <c r="AL28" s="47"/>
    </row>
    <row r="29" spans="1:39" s="2" customFormat="1" ht="38.25" hidden="1" outlineLevel="1" x14ac:dyDescent="0.2">
      <c r="A29" s="6"/>
      <c r="B29" s="114" t="str">
        <f>'Утв. ИП 2014-2019'!B34</f>
        <v>1.1.3.4</v>
      </c>
      <c r="C29" s="7" t="str">
        <f>'Утв. ИП 2014-2019'!C34</f>
        <v>Реконструкция РУ-6 кВ РП-45 (инв. № 400671)</v>
      </c>
      <c r="D29" s="23">
        <v>1991</v>
      </c>
      <c r="E29" s="23">
        <v>25</v>
      </c>
      <c r="F29" s="5"/>
      <c r="G29" s="5"/>
      <c r="H29" s="23"/>
      <c r="I29" s="12"/>
      <c r="J29" s="23"/>
      <c r="K29" s="23"/>
      <c r="L29" s="23"/>
      <c r="M29" s="5"/>
      <c r="N29" s="5">
        <f>'Утв. ИП 2014-2019'!W34</f>
        <v>0</v>
      </c>
      <c r="O29" s="5">
        <f>N29*0.1</f>
        <v>0</v>
      </c>
      <c r="P29" s="5">
        <f>(N29-O29)*0.6</f>
        <v>0</v>
      </c>
      <c r="Q29" s="5">
        <f>(N29-O29)*0.4</f>
        <v>0</v>
      </c>
      <c r="R29" s="5">
        <f t="shared" si="5"/>
        <v>0</v>
      </c>
      <c r="S29" s="5">
        <f>'Утв. ИП 2014-2019'!W34</f>
        <v>0</v>
      </c>
      <c r="T29" s="5">
        <f>0.1*S29</f>
        <v>0</v>
      </c>
      <c r="U29" s="5">
        <f t="shared" si="7"/>
        <v>0</v>
      </c>
      <c r="V29" s="5">
        <f>'Утв. ИП 2014-2019'!AK34</f>
        <v>0</v>
      </c>
      <c r="W29" s="5"/>
      <c r="X29" s="5">
        <f>V29</f>
        <v>0</v>
      </c>
      <c r="Y29" s="23">
        <f>'Утв. ИП 2014-2019'!G34</f>
        <v>2015</v>
      </c>
      <c r="Z29" s="8" t="s">
        <v>928</v>
      </c>
      <c r="AA29" s="5" t="s">
        <v>212</v>
      </c>
      <c r="AB29" s="5" t="s">
        <v>212</v>
      </c>
      <c r="AC29" s="23"/>
      <c r="AD29" s="23"/>
      <c r="AE29" s="5"/>
      <c r="AF29" s="5"/>
      <c r="AG29" s="5"/>
      <c r="AH29" s="5"/>
      <c r="AI29" s="47"/>
      <c r="AJ29" s="47"/>
      <c r="AK29" s="47"/>
      <c r="AL29" s="47"/>
    </row>
    <row r="30" spans="1:39" s="2" customFormat="1" collapsed="1" x14ac:dyDescent="0.2">
      <c r="A30" s="6">
        <f>A21+1</f>
        <v>9</v>
      </c>
      <c r="B30" s="114" t="str">
        <f>'Утв. ИП 2014-2019'!B35</f>
        <v>1.1.3.5</v>
      </c>
      <c r="C30" s="7" t="str">
        <f>'Утв. ИП 2014-2019'!C35</f>
        <v>Реконструкция РУ-6 кВ ТП-732</v>
      </c>
      <c r="D30" s="23">
        <v>1978</v>
      </c>
      <c r="E30" s="23">
        <v>25</v>
      </c>
      <c r="F30" s="5"/>
      <c r="G30" s="5"/>
      <c r="H30" s="23"/>
      <c r="I30" s="23"/>
      <c r="J30" s="23"/>
      <c r="K30" s="23"/>
      <c r="L30" s="23"/>
      <c r="M30" s="5"/>
      <c r="N30" s="5">
        <f>'Утв. ИП 2014-2019'!W35</f>
        <v>0.39640000000000003</v>
      </c>
      <c r="O30" s="5">
        <f>N30*0.1</f>
        <v>3.9640000000000009E-2</v>
      </c>
      <c r="P30" s="5">
        <f>(N30-O30)*0.6</f>
        <v>0.214056</v>
      </c>
      <c r="Q30" s="5">
        <f>(N30-O30)*0.4</f>
        <v>0.14270400000000003</v>
      </c>
      <c r="R30" s="5">
        <f t="shared" si="5"/>
        <v>0</v>
      </c>
      <c r="S30" s="5">
        <f>'Утв. ИП 2014-2019'!W35</f>
        <v>0.39640000000000003</v>
      </c>
      <c r="T30" s="5">
        <f>0.1*S30</f>
        <v>3.9640000000000009E-2</v>
      </c>
      <c r="U30" s="5">
        <f t="shared" si="7"/>
        <v>0.35676000000000002</v>
      </c>
      <c r="V30" s="5">
        <f>'Утв. ИП 2014-2019'!AK35</f>
        <v>0.43640000000000001</v>
      </c>
      <c r="W30" s="5"/>
      <c r="X30" s="5">
        <f>V30</f>
        <v>0.43640000000000001</v>
      </c>
      <c r="Y30" s="23">
        <f>'Утв. ИП 2014-2019'!G35</f>
        <v>2019</v>
      </c>
      <c r="Z30" s="23">
        <v>25</v>
      </c>
      <c r="AA30" s="5"/>
      <c r="AB30" s="5"/>
      <c r="AC30" s="23"/>
      <c r="AD30" s="12"/>
      <c r="AE30" s="5"/>
      <c r="AF30" s="5"/>
      <c r="AG30" s="5"/>
      <c r="AH30" s="5"/>
      <c r="AI30" s="47"/>
      <c r="AJ30" s="47"/>
      <c r="AK30" s="47"/>
      <c r="AL30" s="47"/>
    </row>
    <row r="31" spans="1:39" s="2" customFormat="1" x14ac:dyDescent="0.2">
      <c r="A31" s="6">
        <f>A30+1</f>
        <v>10</v>
      </c>
      <c r="B31" s="114" t="str">
        <f>'Утв. ИП 2014-2019'!B36</f>
        <v>1.1.3.6</v>
      </c>
      <c r="C31" s="7" t="str">
        <f>'Утв. ИП 2014-2019'!C36</f>
        <v>Реконструкция РУ-6 кВ ТП-709</v>
      </c>
      <c r="D31" s="23">
        <v>1989</v>
      </c>
      <c r="E31" s="23">
        <v>25</v>
      </c>
      <c r="F31" s="5"/>
      <c r="G31" s="5"/>
      <c r="H31" s="23"/>
      <c r="I31" s="23"/>
      <c r="J31" s="23"/>
      <c r="K31" s="23"/>
      <c r="L31" s="23"/>
      <c r="M31" s="5"/>
      <c r="N31" s="5">
        <f>'Утв. ИП 2014-2019'!W36</f>
        <v>0.39640000000000003</v>
      </c>
      <c r="O31" s="5">
        <f>N31*0.1</f>
        <v>3.9640000000000009E-2</v>
      </c>
      <c r="P31" s="5">
        <f>(N31-O31)*0.6</f>
        <v>0.214056</v>
      </c>
      <c r="Q31" s="5">
        <f>(N31-O31)*0.4</f>
        <v>0.14270400000000003</v>
      </c>
      <c r="R31" s="5">
        <f t="shared" si="5"/>
        <v>0</v>
      </c>
      <c r="S31" s="5">
        <f>'Утв. ИП 2014-2019'!W36</f>
        <v>0.39640000000000003</v>
      </c>
      <c r="T31" s="5">
        <f>0.1*S31</f>
        <v>3.9640000000000009E-2</v>
      </c>
      <c r="U31" s="5">
        <f t="shared" si="7"/>
        <v>0.35676000000000002</v>
      </c>
      <c r="V31" s="5">
        <f>'Утв. ИП 2014-2019'!AK36</f>
        <v>0.43640000000000001</v>
      </c>
      <c r="W31" s="5"/>
      <c r="X31" s="5">
        <f>V31</f>
        <v>0.43640000000000001</v>
      </c>
      <c r="Y31" s="23">
        <f>'Утв. ИП 2014-2019'!G36</f>
        <v>2019</v>
      </c>
      <c r="Z31" s="23">
        <v>25</v>
      </c>
      <c r="AA31" s="5"/>
      <c r="AB31" s="5"/>
      <c r="AC31" s="23"/>
      <c r="AD31" s="12"/>
      <c r="AE31" s="5"/>
      <c r="AF31" s="5"/>
      <c r="AG31" s="5"/>
      <c r="AH31" s="5"/>
      <c r="AI31" s="47"/>
      <c r="AJ31" s="47"/>
      <c r="AK31" s="47"/>
      <c r="AL31" s="47"/>
    </row>
    <row r="32" spans="1:39" s="32" customFormat="1" ht="51" customHeight="1" x14ac:dyDescent="0.2">
      <c r="A32" s="28" t="e">
        <f>A28+1</f>
        <v>#REF!</v>
      </c>
      <c r="B32" s="28" t="str">
        <f>'Утв. ИП 2014-2019'!B37</f>
        <v>1.2</v>
      </c>
      <c r="C32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>
        <f>'Утв. ИП 2014-2019'!W37</f>
        <v>0</v>
      </c>
      <c r="O32" s="31">
        <f>SUM(O33:O35)</f>
        <v>0</v>
      </c>
      <c r="P32" s="31">
        <f>SUM(P33:P35)</f>
        <v>0</v>
      </c>
      <c r="Q32" s="31">
        <f>SUM(Q33:Q35)</f>
        <v>0</v>
      </c>
      <c r="R32" s="31">
        <f>SUM(R33:R35)</f>
        <v>0</v>
      </c>
      <c r="S32" s="31">
        <f>'Утв. ИП 2014-2019'!W37</f>
        <v>0</v>
      </c>
      <c r="T32" s="31">
        <f>SUM(T33:T35)</f>
        <v>0</v>
      </c>
      <c r="U32" s="31">
        <f>SUM(U33:U35)</f>
        <v>0</v>
      </c>
      <c r="V32" s="31">
        <f>'Утв. ИП 2014-2019'!AK37</f>
        <v>0</v>
      </c>
      <c r="W32" s="31">
        <f>SUM(W33:W35)</f>
        <v>0</v>
      </c>
      <c r="X32" s="31">
        <f>SUM(X33:X35)</f>
        <v>0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</row>
    <row r="33" spans="1:38" s="2" customFormat="1" ht="25.5" hidden="1" outlineLevel="1" x14ac:dyDescent="0.2">
      <c r="A33" s="6" t="e">
        <f>A32+1</f>
        <v>#REF!</v>
      </c>
      <c r="B33" s="6" t="str">
        <f>'Утв. ИП 2014-2019'!B38</f>
        <v>1.2.1</v>
      </c>
      <c r="C33" s="7" t="str">
        <f>'Утв. ИП 2014-2019'!C38</f>
        <v>Монтаж устройств сбора-передачи данных (УСПД)</v>
      </c>
      <c r="D33" s="5"/>
      <c r="E33" s="5"/>
      <c r="F33" s="5"/>
      <c r="G33" s="5"/>
      <c r="H33" s="5"/>
      <c r="I33" s="12"/>
      <c r="J33" s="12"/>
      <c r="K33" s="12"/>
      <c r="L33" s="5"/>
      <c r="M33" s="5"/>
      <c r="N33" s="5">
        <f>'Утв. ИП 2014-2019'!W38</f>
        <v>0</v>
      </c>
      <c r="O33" s="5">
        <f>0.05*N33</f>
        <v>0</v>
      </c>
      <c r="P33" s="5">
        <f>0.2*N33</f>
        <v>0</v>
      </c>
      <c r="Q33" s="5">
        <f>0.75*N33</f>
        <v>0</v>
      </c>
      <c r="R33" s="5">
        <f>N33-O33-P33-Q33</f>
        <v>0</v>
      </c>
      <c r="S33" s="5">
        <f>'Утв. ИП 2014-2019'!W38</f>
        <v>0</v>
      </c>
      <c r="T33" s="5">
        <f t="shared" si="6"/>
        <v>0</v>
      </c>
      <c r="U33" s="5">
        <f>S33-T33</f>
        <v>0</v>
      </c>
      <c r="V33" s="5">
        <f>'Утв. ИП 2014-2019'!AK38</f>
        <v>0</v>
      </c>
      <c r="W33" s="5"/>
      <c r="X33" s="5">
        <f>V33</f>
        <v>0</v>
      </c>
      <c r="Y33" s="5"/>
      <c r="Z33" s="5"/>
      <c r="AA33" s="5"/>
      <c r="AB33" s="5"/>
      <c r="AC33" s="23">
        <f>'Утв. ИП 2014-2019'!G38</f>
        <v>2014</v>
      </c>
      <c r="AD33" s="5"/>
      <c r="AE33" s="5"/>
      <c r="AF33" s="5"/>
      <c r="AG33" s="5">
        <f>'Утв. ИП 2014-2019'!AY38</f>
        <v>0</v>
      </c>
      <c r="AH33" s="5">
        <f>'Утв. ИП 2014-2019'!P38</f>
        <v>0</v>
      </c>
    </row>
    <row r="34" spans="1:38" s="2" customFormat="1" ht="38.25" hidden="1" outlineLevel="1" x14ac:dyDescent="0.2">
      <c r="A34" s="6" t="e">
        <f>A33+1</f>
        <v>#REF!</v>
      </c>
      <c r="B34" s="6" t="str">
        <f>'Утв. ИП 2014-2019'!B39</f>
        <v>1.2.2</v>
      </c>
      <c r="C34" s="7" t="str">
        <f>'Утв. ИП 2014-2019'!C39</f>
        <v>Монтаж приборов коммерческого учета и ввод в эксплуатацию АСКУЭ района с. Сселки</v>
      </c>
      <c r="D34" s="5"/>
      <c r="E34" s="5"/>
      <c r="F34" s="5"/>
      <c r="G34" s="5"/>
      <c r="H34" s="5"/>
      <c r="I34" s="5">
        <v>25</v>
      </c>
      <c r="J34" s="5" t="s">
        <v>202</v>
      </c>
      <c r="K34" s="5" t="s">
        <v>1469</v>
      </c>
      <c r="L34" s="5">
        <v>41.6</v>
      </c>
      <c r="M34" s="5" t="s">
        <v>447</v>
      </c>
      <c r="N34" s="5">
        <f>'Утв. ИП 2014-2019'!W39</f>
        <v>0</v>
      </c>
      <c r="O34" s="5">
        <f>0.05*N34</f>
        <v>0</v>
      </c>
      <c r="P34" s="5">
        <f>0.2*N34</f>
        <v>0</v>
      </c>
      <c r="Q34" s="5">
        <f>0.75*N34</f>
        <v>0</v>
      </c>
      <c r="R34" s="5">
        <f>N34-O34-P34-Q34</f>
        <v>0</v>
      </c>
      <c r="S34" s="5">
        <f>'Утв. ИП 2014-2019'!W39</f>
        <v>0</v>
      </c>
      <c r="T34" s="5">
        <f t="shared" si="6"/>
        <v>0</v>
      </c>
      <c r="U34" s="5">
        <f>S34-T34</f>
        <v>0</v>
      </c>
      <c r="V34" s="5">
        <f>'Утв. ИП 2014-2019'!AK39</f>
        <v>0</v>
      </c>
      <c r="W34" s="5"/>
      <c r="X34" s="5">
        <f>V34</f>
        <v>0</v>
      </c>
      <c r="Y34" s="5"/>
      <c r="Z34" s="5"/>
      <c r="AA34" s="5"/>
      <c r="AB34" s="5"/>
      <c r="AC34" s="23">
        <f>'Утв. ИП 2014-2019'!G39</f>
        <v>2015</v>
      </c>
      <c r="AD34" s="45">
        <v>30</v>
      </c>
      <c r="AE34" s="5" t="s">
        <v>201</v>
      </c>
      <c r="AF34" s="5" t="s">
        <v>209</v>
      </c>
      <c r="AG34" s="5">
        <f>'Утв. ИП 2014-2019'!AY39</f>
        <v>0</v>
      </c>
      <c r="AH34" s="5">
        <f>'Утв. ИП 2014-2019'!P39</f>
        <v>0</v>
      </c>
    </row>
    <row r="35" spans="1:38" s="2" customFormat="1" ht="51" hidden="1" outlineLevel="1" x14ac:dyDescent="0.2">
      <c r="A35" s="6" t="e">
        <f>#REF!+1</f>
        <v>#REF!</v>
      </c>
      <c r="B35" s="6" t="str">
        <f>'Утв. ИП 2014-2019'!B40</f>
        <v>1.2.3</v>
      </c>
      <c r="C35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5" s="5"/>
      <c r="E35" s="5"/>
      <c r="F35" s="5"/>
      <c r="G35" s="5"/>
      <c r="H35" s="5"/>
      <c r="I35" s="5">
        <v>25</v>
      </c>
      <c r="J35" s="5" t="s">
        <v>202</v>
      </c>
      <c r="K35" s="5"/>
      <c r="L35" s="5">
        <v>20.62</v>
      </c>
      <c r="M35" s="5" t="s">
        <v>1391</v>
      </c>
      <c r="N35" s="5">
        <f>'Утв. ИП 2014-2019'!W40</f>
        <v>0</v>
      </c>
      <c r="O35" s="5"/>
      <c r="P35" s="5"/>
      <c r="Q35" s="5"/>
      <c r="R35" s="5">
        <f>N35-O35-P35-Q35</f>
        <v>0</v>
      </c>
      <c r="S35" s="5">
        <f>'Утв. ИП 2014-2019'!W40</f>
        <v>0</v>
      </c>
      <c r="T35" s="5">
        <f t="shared" si="6"/>
        <v>0</v>
      </c>
      <c r="U35" s="5">
        <f>S35-T35</f>
        <v>0</v>
      </c>
      <c r="V35" s="5">
        <f>'Утв. ИП 2014-2019'!AK40</f>
        <v>0</v>
      </c>
      <c r="W35" s="5"/>
      <c r="X35" s="5">
        <f>V35</f>
        <v>0</v>
      </c>
      <c r="Y35" s="5"/>
      <c r="Z35" s="5"/>
      <c r="AA35" s="5"/>
      <c r="AB35" s="5"/>
      <c r="AC35" s="23">
        <f>'Утв. ИП 2014-2019'!G40</f>
        <v>2014</v>
      </c>
      <c r="AD35" s="45">
        <v>30</v>
      </c>
      <c r="AE35" s="5" t="s">
        <v>201</v>
      </c>
      <c r="AF35" s="5" t="s">
        <v>209</v>
      </c>
      <c r="AG35" s="5">
        <f>'Утв. ИП 2014-2019'!AY40</f>
        <v>28.742999999999999</v>
      </c>
      <c r="AH35" s="5">
        <f>'Утв. ИП 2014-2019'!P40</f>
        <v>0</v>
      </c>
    </row>
    <row r="36" spans="1:38" s="32" customFormat="1" ht="25.5" collapsed="1" x14ac:dyDescent="0.2">
      <c r="A36" s="28" t="e">
        <f>A35+1</f>
        <v>#REF!</v>
      </c>
      <c r="B36" s="28" t="str">
        <f>'Утв. ИП 2014-2019'!B41</f>
        <v>1.3</v>
      </c>
      <c r="C36" s="29" t="str">
        <f>'Утв. ИП 2014-2019'!C41</f>
        <v>Создание систем телемеханики и связи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>
        <f>'Утв. ИП 2014-2019'!W41</f>
        <v>0.45</v>
      </c>
      <c r="O36" s="31">
        <f>SUM(O37:O42)</f>
        <v>0</v>
      </c>
      <c r="P36" s="31">
        <f>SUM(P37:P42)</f>
        <v>9.0000000000000011E-2</v>
      </c>
      <c r="Q36" s="31">
        <f>SUM(Q37:Q42)</f>
        <v>0.36000000000000004</v>
      </c>
      <c r="R36" s="31">
        <f>SUM(R37:R42)</f>
        <v>0</v>
      </c>
      <c r="S36" s="31">
        <f>'Утв. ИП 2014-2019'!W41</f>
        <v>0.45</v>
      </c>
      <c r="T36" s="31">
        <f>SUM(T37:T42)</f>
        <v>4.5000000000000005E-2</v>
      </c>
      <c r="U36" s="31">
        <f>SUM(U37:U42)</f>
        <v>0.40500000000000003</v>
      </c>
      <c r="V36" s="31">
        <f>'Утв. ИП 2014-2019'!AK41</f>
        <v>0.9</v>
      </c>
      <c r="W36" s="31">
        <f>SUM(W37:W42)</f>
        <v>0</v>
      </c>
      <c r="X36" s="31">
        <f>SUM(X37:X42)</f>
        <v>0.9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</row>
    <row r="37" spans="1:38" s="11" customFormat="1" ht="38.25" hidden="1" outlineLevel="1" x14ac:dyDescent="0.2">
      <c r="A37" s="6" t="e">
        <f>#REF!+1</f>
        <v>#REF!</v>
      </c>
      <c r="B37" s="6" t="str">
        <f>'Утв. ИП 2014-2019'!B42</f>
        <v>1.3.1</v>
      </c>
      <c r="C37" s="7" t="str">
        <f>'Утв. ИП 2014-2019'!C42</f>
        <v>Монтаж систем охранно-пожарной сигнализации здания по ул. Кузнечная, 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>
        <f>'Утв. ИП 2014-2019'!W42</f>
        <v>0</v>
      </c>
      <c r="O37" s="5">
        <f>0.1*N37</f>
        <v>0</v>
      </c>
      <c r="P37" s="5">
        <f>N37-O37</f>
        <v>0</v>
      </c>
      <c r="Q37" s="5"/>
      <c r="R37" s="5">
        <f t="shared" ref="R37:R42" si="8">N37-O37-P37-Q37</f>
        <v>0</v>
      </c>
      <c r="S37" s="5">
        <f>'Утв. ИП 2014-2019'!W42</f>
        <v>0</v>
      </c>
      <c r="T37" s="5">
        <f t="shared" si="6"/>
        <v>0</v>
      </c>
      <c r="U37" s="5">
        <f t="shared" ref="U37:U42" si="9">S37-T37</f>
        <v>0</v>
      </c>
      <c r="V37" s="5">
        <f>'Утв. ИП 2014-2019'!AK42</f>
        <v>0</v>
      </c>
      <c r="W37" s="5"/>
      <c r="X37" s="5">
        <f t="shared" ref="X37:X42" si="10">V37</f>
        <v>0</v>
      </c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8" s="11" customFormat="1" ht="25.5" hidden="1" outlineLevel="1" x14ac:dyDescent="0.2">
      <c r="A38" s="6"/>
      <c r="B38" s="6" t="str">
        <f>'Утв. ИП 2014-2019'!B43</f>
        <v>1.3.2</v>
      </c>
      <c r="C38" s="7" t="str">
        <f>'Утв. ИП 2014-2019'!C43</f>
        <v>Приобретение программного обеспечения "Стек-Энерго"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f>'Утв. ИП 2014-2019'!W43</f>
        <v>0</v>
      </c>
      <c r="O38" s="5"/>
      <c r="P38" s="5"/>
      <c r="Q38" s="5">
        <f>N38</f>
        <v>0</v>
      </c>
      <c r="R38" s="5">
        <f t="shared" si="8"/>
        <v>0</v>
      </c>
      <c r="S38" s="5">
        <f>'Утв. ИП 2014-2019'!W43</f>
        <v>0</v>
      </c>
      <c r="T38" s="5">
        <f t="shared" si="6"/>
        <v>0</v>
      </c>
      <c r="U38" s="5">
        <f t="shared" si="9"/>
        <v>0</v>
      </c>
      <c r="V38" s="5">
        <f>'Утв. ИП 2014-2019'!AK43</f>
        <v>0</v>
      </c>
      <c r="W38" s="5"/>
      <c r="X38" s="5">
        <f t="shared" si="10"/>
        <v>0</v>
      </c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8" s="11" customFormat="1" ht="38.25" hidden="1" outlineLevel="1" x14ac:dyDescent="0.2">
      <c r="A39" s="6"/>
      <c r="B39" s="6" t="str">
        <f>'Утв. ИП 2014-2019'!B44</f>
        <v>1.3.3</v>
      </c>
      <c r="C39" s="7" t="str">
        <f>'Утв. ИП 2014-2019'!C44</f>
        <v>Монтаж отказоустойчивого кластера для системы АСКУЭ "Smart"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f>'Утв. ИП 2014-2019'!W44</f>
        <v>0</v>
      </c>
      <c r="O39" s="5"/>
      <c r="P39" s="5">
        <f>N39*0.2</f>
        <v>0</v>
      </c>
      <c r="Q39" s="5">
        <f>N39*0.8</f>
        <v>0</v>
      </c>
      <c r="R39" s="5">
        <f t="shared" si="8"/>
        <v>0</v>
      </c>
      <c r="S39" s="5">
        <f>'Утв. ИП 2014-2019'!W44</f>
        <v>0</v>
      </c>
      <c r="T39" s="5">
        <f t="shared" si="6"/>
        <v>0</v>
      </c>
      <c r="U39" s="5">
        <f t="shared" si="9"/>
        <v>0</v>
      </c>
      <c r="V39" s="5">
        <f>'Утв. ИП 2014-2019'!AK44</f>
        <v>0</v>
      </c>
      <c r="W39" s="5"/>
      <c r="X39" s="5">
        <f t="shared" si="10"/>
        <v>0</v>
      </c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8" s="11" customFormat="1" ht="38.25" hidden="1" outlineLevel="1" x14ac:dyDescent="0.2">
      <c r="A40" s="6" t="e">
        <f>A37+1</f>
        <v>#REF!</v>
      </c>
      <c r="B40" s="6" t="str">
        <f>'Утв. ИП 2014-2019'!B45</f>
        <v>1.3.4</v>
      </c>
      <c r="C40" s="7" t="str">
        <f>'Утв. ИП 2014-2019'!C45</f>
        <v>Монтаж системы охранного видеонаблюдения здания по ул. Кузнечная, 1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f>'Утв. ИП 2014-2019'!W45</f>
        <v>0</v>
      </c>
      <c r="O40" s="5"/>
      <c r="P40" s="5">
        <f>N40*0.2</f>
        <v>0</v>
      </c>
      <c r="Q40" s="5">
        <f>N40*0.8</f>
        <v>0</v>
      </c>
      <c r="R40" s="5">
        <f t="shared" si="8"/>
        <v>0</v>
      </c>
      <c r="S40" s="5">
        <f>'Утв. ИП 2014-2019'!W45</f>
        <v>0</v>
      </c>
      <c r="T40" s="5">
        <f t="shared" si="6"/>
        <v>0</v>
      </c>
      <c r="U40" s="5">
        <f t="shared" si="9"/>
        <v>0</v>
      </c>
      <c r="V40" s="5">
        <f>'Утв. ИП 2014-2019'!AK45</f>
        <v>0</v>
      </c>
      <c r="W40" s="5"/>
      <c r="X40" s="5">
        <f t="shared" si="10"/>
        <v>0</v>
      </c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8" s="11" customFormat="1" ht="25.5" collapsed="1" x14ac:dyDescent="0.2">
      <c r="A41" s="6"/>
      <c r="B41" s="6" t="str">
        <f>'Утв. ИП 2014-2019'!B46</f>
        <v>1.3.5</v>
      </c>
      <c r="C41" s="7" t="str">
        <f>'Утв. ИП 2014-2019'!C46</f>
        <v>Внедрение системы контроля и управления доступом к МФУ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f>'Утв. ИП 2014-2019'!W46</f>
        <v>0.45</v>
      </c>
      <c r="O41" s="5"/>
      <c r="P41" s="5">
        <f>N41*0.2</f>
        <v>9.0000000000000011E-2</v>
      </c>
      <c r="Q41" s="5">
        <f>N41*0.8</f>
        <v>0.36000000000000004</v>
      </c>
      <c r="R41" s="5">
        <f t="shared" si="8"/>
        <v>0</v>
      </c>
      <c r="S41" s="5">
        <f>'Утв. ИП 2014-2019'!W46</f>
        <v>0.45</v>
      </c>
      <c r="T41" s="5">
        <f t="shared" si="6"/>
        <v>4.5000000000000005E-2</v>
      </c>
      <c r="U41" s="5">
        <f t="shared" si="9"/>
        <v>0.40500000000000003</v>
      </c>
      <c r="V41" s="5">
        <f>'Утв. ИП 2014-2019'!AK46</f>
        <v>0.9</v>
      </c>
      <c r="W41" s="5"/>
      <c r="X41" s="5">
        <f t="shared" si="10"/>
        <v>0.9</v>
      </c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8" s="11" customFormat="1" ht="25.5" hidden="1" outlineLevel="1" x14ac:dyDescent="0.2">
      <c r="A42" s="6"/>
      <c r="B42" s="6" t="str">
        <f>'Утв. ИП 2014-2019'!B47</f>
        <v>1.3.6</v>
      </c>
      <c r="C42" s="7" t="str">
        <f>'Утв. ИП 2014-2019'!C47</f>
        <v>Приобретение серверного и коммутационного оборудования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>
        <f>'Утв. ИП 2014-2019'!W47</f>
        <v>0</v>
      </c>
      <c r="O42" s="5"/>
      <c r="P42" s="5"/>
      <c r="Q42" s="5">
        <f>N42</f>
        <v>0</v>
      </c>
      <c r="R42" s="5">
        <f t="shared" si="8"/>
        <v>0</v>
      </c>
      <c r="S42" s="5">
        <f>'Утв. ИП 2014-2019'!W47</f>
        <v>0</v>
      </c>
      <c r="T42" s="5">
        <f t="shared" si="6"/>
        <v>0</v>
      </c>
      <c r="U42" s="5">
        <f t="shared" si="9"/>
        <v>0</v>
      </c>
      <c r="V42" s="5">
        <f>'Утв. ИП 2014-2019'!AK47</f>
        <v>0</v>
      </c>
      <c r="W42" s="5"/>
      <c r="X42" s="5">
        <f t="shared" si="10"/>
        <v>0</v>
      </c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8" s="42" customFormat="1" collapsed="1" x14ac:dyDescent="0.2">
      <c r="A43" s="39" t="e">
        <f>#REF!+1</f>
        <v>#REF!</v>
      </c>
      <c r="B43" s="39" t="str">
        <f>'Утв. ИП 2014-2019'!B48</f>
        <v>2</v>
      </c>
      <c r="C43" s="43" t="str">
        <f>'Утв. ИП 2014-2019'!C48</f>
        <v>Новое строительство</v>
      </c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>
        <f>'Утв. ИП 2014-2019'!W48</f>
        <v>21.701999999999998</v>
      </c>
      <c r="O43" s="41">
        <f>O44+O85+O86+O90+O101</f>
        <v>8.7570000000000009E-2</v>
      </c>
      <c r="P43" s="41">
        <f>P44+P85+P86+P90+P101</f>
        <v>4.4906579999999998</v>
      </c>
      <c r="Q43" s="41">
        <f>Q44+Q85+Q86+Q90+Q101</f>
        <v>3.1237720000000002</v>
      </c>
      <c r="R43" s="41">
        <f>R44+R85+R86+R90+R101</f>
        <v>14</v>
      </c>
      <c r="S43" s="41">
        <f>'Утв. ИП 2014-2019'!W48</f>
        <v>21.701999999999998</v>
      </c>
      <c r="T43" s="41">
        <f>T44+T85+T86+T90+T101</f>
        <v>0.7572000000000001</v>
      </c>
      <c r="U43" s="41">
        <f>U44+U85+U86+U90+U101</f>
        <v>20.944800000000001</v>
      </c>
      <c r="V43" s="41">
        <f>'Утв. ИП 2014-2019'!AK48</f>
        <v>22.922000000000001</v>
      </c>
      <c r="W43" s="41">
        <f>W44+W85+W86+W90+W101</f>
        <v>0</v>
      </c>
      <c r="X43" s="41">
        <f>X44+X85+X86+X90+X101</f>
        <v>22.922000000000001</v>
      </c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:38" s="32" customFormat="1" ht="25.5" x14ac:dyDescent="0.2">
      <c r="A44" s="28" t="e">
        <f>A43+1</f>
        <v>#REF!</v>
      </c>
      <c r="B44" s="28" t="str">
        <f>'Утв. ИП 2014-2019'!B49</f>
        <v>2.1</v>
      </c>
      <c r="C44" s="29" t="str">
        <f>'Утв. ИП 2014-2019'!C49</f>
        <v>Энергосбережение и повышение энергетической эффективности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>
        <f>'Утв. ИП 2014-2019'!W49</f>
        <v>7.5720000000000001</v>
      </c>
      <c r="O44" s="31">
        <f>O45+O73+O78+O84</f>
        <v>8.7570000000000009E-2</v>
      </c>
      <c r="P44" s="31">
        <f>P45+P73+P78+P84</f>
        <v>4.4906579999999998</v>
      </c>
      <c r="Q44" s="31">
        <f>Q45+Q73+Q78+Q84</f>
        <v>2.9937720000000003</v>
      </c>
      <c r="R44" s="31">
        <f>R45+R73+R78+R84</f>
        <v>0</v>
      </c>
      <c r="S44" s="31">
        <f>'Утв. ИП 2014-2019'!W49</f>
        <v>7.5720000000000001</v>
      </c>
      <c r="T44" s="31">
        <f>T45+T73+T78+T84</f>
        <v>0.7572000000000001</v>
      </c>
      <c r="U44" s="31">
        <f>U45+U73+U78+U84</f>
        <v>6.8148</v>
      </c>
      <c r="V44" s="31">
        <f>'Утв. ИП 2014-2019'!AK49</f>
        <v>8.7919999999999998</v>
      </c>
      <c r="W44" s="31">
        <f>W45+W73+W78+W84</f>
        <v>0</v>
      </c>
      <c r="X44" s="31">
        <f>X45+X73+X78+X84</f>
        <v>8.7919999999999998</v>
      </c>
      <c r="Y44" s="31"/>
      <c r="Z44" s="31"/>
      <c r="AA44" s="31"/>
      <c r="AB44" s="31"/>
      <c r="AC44" s="31"/>
      <c r="AD44" s="31"/>
      <c r="AE44" s="31"/>
      <c r="AF44" s="31"/>
      <c r="AG44" s="31"/>
      <c r="AH44" s="31"/>
    </row>
    <row r="45" spans="1:38" s="32" customFormat="1" x14ac:dyDescent="0.2">
      <c r="A45" s="28" t="e">
        <f>A44+1</f>
        <v>#REF!</v>
      </c>
      <c r="B45" s="28" t="str">
        <f>'Утв. ИП 2014-2019'!B50</f>
        <v>2.1.1</v>
      </c>
      <c r="C45" s="29" t="str">
        <f>'Утв. ИП 2014-2019'!C50</f>
        <v>Сети среднего напряжения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>
        <f>'Утв. ИП 2014-2019'!W50</f>
        <v>0.87570000000000003</v>
      </c>
      <c r="O45" s="31">
        <f>SUM(O46:O72)</f>
        <v>8.7570000000000009E-2</v>
      </c>
      <c r="P45" s="31">
        <f>SUM(P46:P72)</f>
        <v>0.47287799999999997</v>
      </c>
      <c r="Q45" s="31">
        <f>SUM(Q46:Q72)</f>
        <v>0.31525200000000003</v>
      </c>
      <c r="R45" s="31">
        <f>SUM(R46:R72)</f>
        <v>0</v>
      </c>
      <c r="S45" s="31">
        <f>'Утв. ИП 2014-2019'!W50</f>
        <v>0.87570000000000003</v>
      </c>
      <c r="T45" s="31">
        <f>SUM(T46:T72)</f>
        <v>8.7570000000000009E-2</v>
      </c>
      <c r="U45" s="31">
        <f>SUM(U46:U72)</f>
        <v>0.78813</v>
      </c>
      <c r="V45" s="31">
        <f>'Утв. ИП 2014-2019'!AK50</f>
        <v>1.4657</v>
      </c>
      <c r="W45" s="31">
        <f>SUM(W46:W72)</f>
        <v>0</v>
      </c>
      <c r="X45" s="31">
        <f>SUM(X46:X72)</f>
        <v>1.4657</v>
      </c>
      <c r="Y45" s="31"/>
      <c r="Z45" s="31"/>
      <c r="AA45" s="31"/>
      <c r="AB45" s="31"/>
      <c r="AC45" s="31"/>
      <c r="AD45" s="31"/>
      <c r="AE45" s="31"/>
      <c r="AF45" s="31"/>
      <c r="AG45" s="31"/>
      <c r="AH45" s="31"/>
    </row>
    <row r="46" spans="1:38" s="2" customFormat="1" ht="51" hidden="1" outlineLevel="1" x14ac:dyDescent="0.2">
      <c r="A46" s="6" t="e">
        <f>A66+1</f>
        <v>#REF!</v>
      </c>
      <c r="B46" s="6" t="str">
        <f>'Утв. ИП 2014-2019'!B51</f>
        <v>2.1.1.1</v>
      </c>
      <c r="C46" s="7" t="str">
        <f>'Утв. ИП 2014-2019'!C51</f>
        <v xml:space="preserve">Строительство КЛ-6 кВ сети электроснабжения от ТП-93 до ТП-101 </v>
      </c>
      <c r="D46" s="5"/>
      <c r="E46" s="5"/>
      <c r="F46" s="5"/>
      <c r="G46" s="5"/>
      <c r="H46" s="25"/>
      <c r="I46" s="8"/>
      <c r="J46" s="25"/>
      <c r="K46" s="8"/>
      <c r="L46" s="25"/>
      <c r="M46" s="5"/>
      <c r="N46" s="5">
        <f>'Утв. ИП 2014-2019'!W51</f>
        <v>0</v>
      </c>
      <c r="O46" s="5"/>
      <c r="P46" s="5">
        <f>N46*0.6</f>
        <v>0</v>
      </c>
      <c r="Q46" s="5">
        <f>N46*0.4</f>
        <v>0</v>
      </c>
      <c r="R46" s="5">
        <f>N46-O46-P46-Q46</f>
        <v>0</v>
      </c>
      <c r="S46" s="5">
        <f>'Утв. ИП 2014-2019'!W51</f>
        <v>0</v>
      </c>
      <c r="T46" s="5">
        <f>0.1*S46</f>
        <v>0</v>
      </c>
      <c r="U46" s="5">
        <f>S46-T46</f>
        <v>0</v>
      </c>
      <c r="V46" s="5">
        <f>'Утв. ИП 2014-2019'!AK51</f>
        <v>0</v>
      </c>
      <c r="W46" s="5"/>
      <c r="X46" s="5">
        <f>V46</f>
        <v>0</v>
      </c>
      <c r="Y46" s="5"/>
      <c r="Z46" s="5"/>
      <c r="AA46" s="5"/>
      <c r="AB46" s="5"/>
      <c r="AC46" s="23">
        <f>'Утв. ИП 2014-2019'!G51</f>
        <v>2015</v>
      </c>
      <c r="AD46" s="25" t="s">
        <v>214</v>
      </c>
      <c r="AE46" s="8" t="s">
        <v>212</v>
      </c>
      <c r="AF46" s="8" t="s">
        <v>213</v>
      </c>
      <c r="AG46" s="5">
        <f>'Утв. ИП 2014-2019'!AY51</f>
        <v>0.45</v>
      </c>
      <c r="AH46" s="5"/>
      <c r="AI46" s="47"/>
      <c r="AJ46" s="47"/>
      <c r="AK46" s="47"/>
      <c r="AL46" s="47"/>
    </row>
    <row r="47" spans="1:38" s="2" customFormat="1" ht="51" hidden="1" outlineLevel="1" x14ac:dyDescent="0.2">
      <c r="A47" s="6" t="e">
        <f>#REF!+1</f>
        <v>#REF!</v>
      </c>
      <c r="B47" s="6" t="str">
        <f>'Утв. ИП 2014-2019'!B52</f>
        <v>2.1.1.2</v>
      </c>
      <c r="C47" s="7" t="str">
        <f>'Утв. ИП 2014-2019'!C52</f>
        <v>Строительство КЛ-6 кВ ЦРП "Город" яч. 12 - ТП-101 яч. 6</v>
      </c>
      <c r="D47" s="5"/>
      <c r="E47" s="5"/>
      <c r="F47" s="5"/>
      <c r="G47" s="5"/>
      <c r="H47" s="25" t="s">
        <v>930</v>
      </c>
      <c r="I47" s="8">
        <v>30</v>
      </c>
      <c r="J47" s="25" t="s">
        <v>212</v>
      </c>
      <c r="K47" s="8" t="s">
        <v>931</v>
      </c>
      <c r="L47" s="25" t="s">
        <v>932</v>
      </c>
      <c r="M47" s="5"/>
      <c r="N47" s="5">
        <f>'Утв. ИП 2014-2019'!W52</f>
        <v>0</v>
      </c>
      <c r="O47" s="5"/>
      <c r="P47" s="5">
        <f>N47*0.6</f>
        <v>0</v>
      </c>
      <c r="Q47" s="5">
        <f>N47*0.4</f>
        <v>0</v>
      </c>
      <c r="R47" s="5">
        <f>N47-O47-P47-Q47</f>
        <v>0</v>
      </c>
      <c r="S47" s="5">
        <f>'Утв. ИП 2014-2019'!W52</f>
        <v>0</v>
      </c>
      <c r="T47" s="5">
        <f>0.1*S47</f>
        <v>0</v>
      </c>
      <c r="U47" s="5">
        <f>S47-T47</f>
        <v>0</v>
      </c>
      <c r="V47" s="5">
        <f>'Утв. ИП 2014-2019'!AK52</f>
        <v>0</v>
      </c>
      <c r="W47" s="5"/>
      <c r="X47" s="5">
        <f>V47</f>
        <v>0</v>
      </c>
      <c r="Y47" s="5"/>
      <c r="Z47" s="5"/>
      <c r="AA47" s="5"/>
      <c r="AB47" s="5"/>
      <c r="AC47" s="23">
        <f>'Утв. ИП 2014-2019'!G52</f>
        <v>2015</v>
      </c>
      <c r="AD47" s="25" t="s">
        <v>214</v>
      </c>
      <c r="AE47" s="8" t="s">
        <v>212</v>
      </c>
      <c r="AF47" s="8" t="s">
        <v>213</v>
      </c>
      <c r="AG47" s="5">
        <f>'Утв. ИП 2014-2019'!AY52</f>
        <v>0.78</v>
      </c>
      <c r="AH47" s="49"/>
      <c r="AI47" s="47"/>
      <c r="AJ47" s="47"/>
      <c r="AK47" s="47"/>
      <c r="AL47" s="47"/>
    </row>
    <row r="48" spans="1:38" s="2" customFormat="1" ht="51" hidden="1" outlineLevel="1" x14ac:dyDescent="0.2">
      <c r="A48" s="6" t="e">
        <f>A72+1</f>
        <v>#REF!</v>
      </c>
      <c r="B48" s="6" t="str">
        <f>'Утв. ИП 2014-2019'!B53</f>
        <v>2.1.1.3</v>
      </c>
      <c r="C48" s="7" t="str">
        <f>'Утв. ИП 2014-2019'!C53</f>
        <v xml:space="preserve">Строительство КЛ-6 кВ сети электроснабжения от ТП-27 до ТП-127 </v>
      </c>
      <c r="D48" s="5"/>
      <c r="E48" s="5"/>
      <c r="F48" s="5"/>
      <c r="G48" s="5"/>
      <c r="H48" s="25" t="s">
        <v>89</v>
      </c>
      <c r="I48" s="8">
        <v>30</v>
      </c>
      <c r="J48" s="25" t="s">
        <v>212</v>
      </c>
      <c r="K48" s="8" t="s">
        <v>90</v>
      </c>
      <c r="L48" s="25" t="s">
        <v>91</v>
      </c>
      <c r="M48" s="5"/>
      <c r="N48" s="5">
        <f>'Утв. ИП 2014-2019'!W53</f>
        <v>0</v>
      </c>
      <c r="O48" s="5">
        <f>N48*0.1</f>
        <v>0</v>
      </c>
      <c r="P48" s="5">
        <f>(N48-O48)*0.6</f>
        <v>0</v>
      </c>
      <c r="Q48" s="5">
        <f>(N48-O48)*0.4</f>
        <v>0</v>
      </c>
      <c r="R48" s="5">
        <f>N48-O48-P48-Q48</f>
        <v>0</v>
      </c>
      <c r="S48" s="5">
        <f>'Утв. ИП 2014-2019'!W53</f>
        <v>0</v>
      </c>
      <c r="T48" s="5">
        <f>0.1*S48</f>
        <v>0</v>
      </c>
      <c r="U48" s="5">
        <f>S48-T48</f>
        <v>0</v>
      </c>
      <c r="V48" s="5">
        <f>'Утв. ИП 2014-2019'!AK53</f>
        <v>0</v>
      </c>
      <c r="W48" s="5"/>
      <c r="X48" s="5">
        <f>V48</f>
        <v>0</v>
      </c>
      <c r="Y48" s="12"/>
      <c r="Z48" s="12"/>
      <c r="AA48" s="12"/>
      <c r="AB48" s="12"/>
      <c r="AC48" s="23">
        <f>'Утв. ИП 2014-2019'!G53</f>
        <v>2014</v>
      </c>
      <c r="AD48" s="25" t="s">
        <v>214</v>
      </c>
      <c r="AE48" s="8" t="s">
        <v>212</v>
      </c>
      <c r="AF48" s="8" t="s">
        <v>213</v>
      </c>
      <c r="AG48" s="5">
        <f>'Утв. ИП 2014-2019'!AY53</f>
        <v>0.85</v>
      </c>
      <c r="AH48" s="5"/>
    </row>
    <row r="49" spans="1:34" s="2" customFormat="1" ht="38.25" hidden="1" outlineLevel="1" x14ac:dyDescent="0.2">
      <c r="A49" s="6" t="e">
        <f>#REF!+1</f>
        <v>#REF!</v>
      </c>
      <c r="B49" s="6" t="str">
        <f>'Утв. ИП 2014-2019'!B54</f>
        <v>2.1.1.4</v>
      </c>
      <c r="C49" s="7" t="str">
        <f>'Утв. ИП 2014-2019'!C54</f>
        <v>Диспансерное отделение областной психоневрологической больницы по ул. Аксакова, 4</v>
      </c>
      <c r="D49" s="25" t="s">
        <v>111</v>
      </c>
      <c r="E49" s="8">
        <v>25</v>
      </c>
      <c r="F49" s="25" t="s">
        <v>129</v>
      </c>
      <c r="G49" s="8" t="s">
        <v>110</v>
      </c>
      <c r="H49" s="25" t="s">
        <v>114</v>
      </c>
      <c r="I49" s="8">
        <v>25</v>
      </c>
      <c r="J49" s="25" t="s">
        <v>115</v>
      </c>
      <c r="K49" s="8" t="s">
        <v>116</v>
      </c>
      <c r="L49" s="25" t="s">
        <v>117</v>
      </c>
      <c r="M49" s="5"/>
      <c r="N49" s="5">
        <f>'Утв. ИП 2014-2019'!W54</f>
        <v>0</v>
      </c>
      <c r="O49" s="5"/>
      <c r="P49" s="5">
        <f>N49*0.6</f>
        <v>0</v>
      </c>
      <c r="Q49" s="5">
        <f>N49*0.4</f>
        <v>0</v>
      </c>
      <c r="R49" s="5">
        <f>N49-O49-P49-Q49</f>
        <v>0</v>
      </c>
      <c r="S49" s="5">
        <f>'Утв. ИП 2014-2019'!W54</f>
        <v>0</v>
      </c>
      <c r="T49" s="5">
        <f>0.1*S49</f>
        <v>0</v>
      </c>
      <c r="U49" s="5">
        <f>S49-T49</f>
        <v>0</v>
      </c>
      <c r="V49" s="5">
        <f>'Утв. ИП 2014-2019'!AK54</f>
        <v>0</v>
      </c>
      <c r="W49" s="5"/>
      <c r="X49" s="5">
        <f>V49</f>
        <v>0</v>
      </c>
      <c r="Y49" s="23">
        <f>'Утв. ИП 2014-2019'!G54</f>
        <v>2014</v>
      </c>
      <c r="Z49" s="25" t="s">
        <v>205</v>
      </c>
      <c r="AA49" s="8">
        <v>2</v>
      </c>
      <c r="AB49" s="25" t="s">
        <v>112</v>
      </c>
      <c r="AC49" s="23">
        <f>'Утв. ИП 2014-2019'!G54</f>
        <v>2014</v>
      </c>
      <c r="AD49" s="25" t="s">
        <v>214</v>
      </c>
      <c r="AE49" s="8"/>
      <c r="AF49" s="25" t="s">
        <v>113</v>
      </c>
      <c r="AG49" s="5">
        <f>'Утв. ИП 2014-2019'!AY54</f>
        <v>0.47</v>
      </c>
      <c r="AH49" s="5"/>
    </row>
    <row r="50" spans="1:34" s="2" customFormat="1" ht="33.75" hidden="1" outlineLevel="1" x14ac:dyDescent="0.2">
      <c r="A50" s="6" t="e">
        <f t="shared" ref="A50:A57" si="11">A49+1</f>
        <v>#REF!</v>
      </c>
      <c r="B50" s="6"/>
      <c r="C50" s="97" t="str">
        <f>'Утв. ИП 2014-2019'!C55</f>
        <v>Строительство комплектной трансформаторной подстанции с демонтажем ТП-402 на пл. Аксакова</v>
      </c>
      <c r="D50" s="25"/>
      <c r="E50" s="8"/>
      <c r="F50" s="25"/>
      <c r="G50" s="8"/>
      <c r="H50" s="25"/>
      <c r="I50" s="8"/>
      <c r="J50" s="25"/>
      <c r="K50" s="8"/>
      <c r="L50" s="25"/>
      <c r="M50" s="5"/>
      <c r="N50" s="5">
        <f>'Утв. ИП 2014-2019'!W55</f>
        <v>0</v>
      </c>
      <c r="O50" s="13"/>
      <c r="P50" s="5"/>
      <c r="Q50" s="5"/>
      <c r="R50" s="5"/>
      <c r="S50" s="5">
        <f>'Утв. ИП 2014-2019'!W55</f>
        <v>0</v>
      </c>
      <c r="T50" s="5"/>
      <c r="U50" s="5"/>
      <c r="V50" s="5">
        <f>'Утв. ИП 2014-2019'!AK55</f>
        <v>0</v>
      </c>
      <c r="W50" s="5"/>
      <c r="X50" s="5"/>
      <c r="Y50" s="8"/>
      <c r="Z50" s="25"/>
      <c r="AA50" s="8"/>
      <c r="AB50" s="25"/>
      <c r="AC50" s="8"/>
      <c r="AD50" s="25"/>
      <c r="AE50" s="8"/>
      <c r="AF50" s="25"/>
      <c r="AG50" s="8"/>
      <c r="AH50" s="5"/>
    </row>
    <row r="51" spans="1:34" s="2" customFormat="1" ht="33.75" hidden="1" outlineLevel="1" x14ac:dyDescent="0.2">
      <c r="A51" s="6" t="e">
        <f t="shared" si="11"/>
        <v>#REF!</v>
      </c>
      <c r="B51" s="6"/>
      <c r="C51" s="97" t="str">
        <f>'Утв. ИП 2014-2019'!C56</f>
        <v>Строительство КЛ-0,4 кВ от КТП до здания диспансерного отделения на пл. Аксакова, 4</v>
      </c>
      <c r="D51" s="25"/>
      <c r="E51" s="8"/>
      <c r="F51" s="25"/>
      <c r="G51" s="8"/>
      <c r="H51" s="25"/>
      <c r="I51" s="8"/>
      <c r="J51" s="25"/>
      <c r="K51" s="8"/>
      <c r="L51" s="25"/>
      <c r="M51" s="5"/>
      <c r="N51" s="5">
        <f>'Утв. ИП 2014-2019'!W56</f>
        <v>0</v>
      </c>
      <c r="O51" s="13"/>
      <c r="P51" s="5"/>
      <c r="Q51" s="5"/>
      <c r="R51" s="5"/>
      <c r="S51" s="5">
        <f>'Утв. ИП 2014-2019'!W56</f>
        <v>0</v>
      </c>
      <c r="T51" s="5"/>
      <c r="U51" s="5"/>
      <c r="V51" s="5">
        <f>'Утв. ИП 2014-2019'!AK56</f>
        <v>0</v>
      </c>
      <c r="W51" s="5"/>
      <c r="X51" s="5"/>
      <c r="Y51" s="8"/>
      <c r="Z51" s="25"/>
      <c r="AA51" s="8"/>
      <c r="AB51" s="25"/>
      <c r="AC51" s="8"/>
      <c r="AD51" s="25"/>
      <c r="AE51" s="8"/>
      <c r="AF51" s="25"/>
      <c r="AG51" s="8"/>
      <c r="AH51" s="5"/>
    </row>
    <row r="52" spans="1:34" s="2" customFormat="1" ht="22.5" hidden="1" outlineLevel="1" x14ac:dyDescent="0.2">
      <c r="A52" s="6" t="e">
        <f t="shared" si="11"/>
        <v>#REF!</v>
      </c>
      <c r="B52" s="6"/>
      <c r="C52" s="97" t="str">
        <f>'Утв. ИП 2014-2019'!C57</f>
        <v>Монтаж оборудования РУ-6 кВ во вновь смонтированной КТП</v>
      </c>
      <c r="D52" s="25"/>
      <c r="E52" s="8"/>
      <c r="F52" s="25"/>
      <c r="G52" s="8"/>
      <c r="H52" s="25"/>
      <c r="I52" s="8"/>
      <c r="J52" s="25"/>
      <c r="K52" s="8"/>
      <c r="L52" s="25"/>
      <c r="M52" s="5"/>
      <c r="N52" s="5">
        <f>'Утв. ИП 2014-2019'!W57</f>
        <v>0</v>
      </c>
      <c r="O52" s="13"/>
      <c r="P52" s="5"/>
      <c r="Q52" s="5"/>
      <c r="R52" s="5"/>
      <c r="S52" s="5">
        <f>'Утв. ИП 2014-2019'!W57</f>
        <v>0</v>
      </c>
      <c r="T52" s="5"/>
      <c r="U52" s="5"/>
      <c r="V52" s="5">
        <f>'Утв. ИП 2014-2019'!AK57</f>
        <v>0</v>
      </c>
      <c r="W52" s="5"/>
      <c r="X52" s="5"/>
      <c r="Y52" s="8"/>
      <c r="Z52" s="25"/>
      <c r="AA52" s="8"/>
      <c r="AB52" s="25"/>
      <c r="AC52" s="8"/>
      <c r="AD52" s="25"/>
      <c r="AE52" s="8"/>
      <c r="AF52" s="25"/>
      <c r="AG52" s="8"/>
      <c r="AH52" s="5"/>
    </row>
    <row r="53" spans="1:34" s="2" customFormat="1" ht="22.5" hidden="1" outlineLevel="1" x14ac:dyDescent="0.2">
      <c r="A53" s="6" t="e">
        <f t="shared" si="11"/>
        <v>#REF!</v>
      </c>
      <c r="B53" s="6"/>
      <c r="C53" s="97" t="str">
        <f>'Утв. ИП 2014-2019'!C58</f>
        <v>Монтаж оборудования РУ-0,4 кВ во вновь смонтированной КТП</v>
      </c>
      <c r="D53" s="25"/>
      <c r="E53" s="8"/>
      <c r="F53" s="25"/>
      <c r="G53" s="8"/>
      <c r="H53" s="25"/>
      <c r="I53" s="8"/>
      <c r="J53" s="25"/>
      <c r="K53" s="8"/>
      <c r="L53" s="25"/>
      <c r="M53" s="5"/>
      <c r="N53" s="5">
        <f>'Утв. ИП 2014-2019'!W58</f>
        <v>0</v>
      </c>
      <c r="O53" s="13"/>
      <c r="P53" s="5"/>
      <c r="Q53" s="5"/>
      <c r="R53" s="5"/>
      <c r="S53" s="5">
        <f>'Утв. ИП 2014-2019'!W58</f>
        <v>0</v>
      </c>
      <c r="T53" s="5"/>
      <c r="U53" s="5"/>
      <c r="V53" s="5">
        <f>'Утв. ИП 2014-2019'!AK58</f>
        <v>0</v>
      </c>
      <c r="W53" s="5"/>
      <c r="X53" s="5"/>
      <c r="Y53" s="8"/>
      <c r="Z53" s="25"/>
      <c r="AA53" s="8"/>
      <c r="AB53" s="25"/>
      <c r="AC53" s="8"/>
      <c r="AD53" s="25"/>
      <c r="AE53" s="8"/>
      <c r="AF53" s="25"/>
      <c r="AG53" s="8"/>
      <c r="AH53" s="5"/>
    </row>
    <row r="54" spans="1:34" s="2" customFormat="1" ht="22.5" hidden="1" outlineLevel="1" x14ac:dyDescent="0.2">
      <c r="A54" s="6" t="e">
        <f t="shared" si="11"/>
        <v>#REF!</v>
      </c>
      <c r="B54" s="6"/>
      <c r="C54" s="97" t="str">
        <f>'Утв. ИП 2014-2019'!C59</f>
        <v>Монтаж трансформатора №1 во вновь смонтированной КТП</v>
      </c>
      <c r="D54" s="25"/>
      <c r="E54" s="8"/>
      <c r="F54" s="25"/>
      <c r="G54" s="8"/>
      <c r="H54" s="25"/>
      <c r="I54" s="8"/>
      <c r="J54" s="25"/>
      <c r="K54" s="8"/>
      <c r="L54" s="25"/>
      <c r="M54" s="5"/>
      <c r="N54" s="5">
        <f>'Утв. ИП 2014-2019'!W59</f>
        <v>0</v>
      </c>
      <c r="O54" s="13"/>
      <c r="P54" s="5"/>
      <c r="Q54" s="5"/>
      <c r="R54" s="5"/>
      <c r="S54" s="5">
        <f>'Утв. ИП 2014-2019'!W59</f>
        <v>0</v>
      </c>
      <c r="T54" s="5"/>
      <c r="U54" s="5"/>
      <c r="V54" s="5">
        <f>'Утв. ИП 2014-2019'!AK59</f>
        <v>0</v>
      </c>
      <c r="W54" s="5"/>
      <c r="X54" s="5"/>
      <c r="Y54" s="8"/>
      <c r="Z54" s="25"/>
      <c r="AA54" s="8"/>
      <c r="AB54" s="25"/>
      <c r="AC54" s="8"/>
      <c r="AD54" s="25"/>
      <c r="AE54" s="8"/>
      <c r="AF54" s="25"/>
      <c r="AG54" s="8"/>
      <c r="AH54" s="5"/>
    </row>
    <row r="55" spans="1:34" s="2" customFormat="1" ht="22.5" hidden="1" outlineLevel="1" x14ac:dyDescent="0.2">
      <c r="A55" s="6" t="e">
        <f t="shared" si="11"/>
        <v>#REF!</v>
      </c>
      <c r="B55" s="6"/>
      <c r="C55" s="97" t="str">
        <f>'Утв. ИП 2014-2019'!C60</f>
        <v>Монтаж трансформатора №2 во вновь смонтированной КТП</v>
      </c>
      <c r="D55" s="25"/>
      <c r="E55" s="8"/>
      <c r="F55" s="25"/>
      <c r="G55" s="8"/>
      <c r="H55" s="25"/>
      <c r="I55" s="8"/>
      <c r="J55" s="25"/>
      <c r="K55" s="8"/>
      <c r="L55" s="25"/>
      <c r="M55" s="5"/>
      <c r="N55" s="5">
        <f>'Утв. ИП 2014-2019'!W60</f>
        <v>0</v>
      </c>
      <c r="O55" s="13"/>
      <c r="P55" s="5"/>
      <c r="Q55" s="5"/>
      <c r="R55" s="5"/>
      <c r="S55" s="5">
        <f>'Утв. ИП 2014-2019'!W60</f>
        <v>0</v>
      </c>
      <c r="T55" s="5"/>
      <c r="U55" s="5"/>
      <c r="V55" s="5">
        <f>'Утв. ИП 2014-2019'!AK60</f>
        <v>0</v>
      </c>
      <c r="W55" s="5"/>
      <c r="X55" s="5"/>
      <c r="Y55" s="8"/>
      <c r="Z55" s="25"/>
      <c r="AA55" s="8"/>
      <c r="AB55" s="25"/>
      <c r="AC55" s="8"/>
      <c r="AD55" s="25"/>
      <c r="AE55" s="8"/>
      <c r="AF55" s="25"/>
      <c r="AG55" s="8"/>
      <c r="AH55" s="5"/>
    </row>
    <row r="56" spans="1:34" s="2" customFormat="1" ht="22.5" hidden="1" outlineLevel="1" x14ac:dyDescent="0.2">
      <c r="A56" s="6" t="e">
        <f t="shared" si="11"/>
        <v>#REF!</v>
      </c>
      <c r="B56" s="6"/>
      <c r="C56" s="97" t="str">
        <f>'Утв. ИП 2014-2019'!C61</f>
        <v>Монтаж узла учета во вновь смонтированной КТП</v>
      </c>
      <c r="D56" s="25"/>
      <c r="E56" s="8"/>
      <c r="F56" s="25"/>
      <c r="G56" s="8"/>
      <c r="H56" s="25"/>
      <c r="I56" s="8"/>
      <c r="J56" s="25"/>
      <c r="K56" s="8"/>
      <c r="L56" s="25"/>
      <c r="M56" s="5"/>
      <c r="N56" s="5">
        <f>'Утв. ИП 2014-2019'!W61</f>
        <v>0</v>
      </c>
      <c r="O56" s="13"/>
      <c r="P56" s="5"/>
      <c r="Q56" s="5"/>
      <c r="R56" s="5"/>
      <c r="S56" s="5">
        <f>'Утв. ИП 2014-2019'!W61</f>
        <v>0</v>
      </c>
      <c r="T56" s="5"/>
      <c r="U56" s="5"/>
      <c r="V56" s="5">
        <f>'Утв. ИП 2014-2019'!AK61</f>
        <v>0</v>
      </c>
      <c r="W56" s="5"/>
      <c r="X56" s="5"/>
      <c r="Y56" s="8"/>
      <c r="Z56" s="25"/>
      <c r="AA56" s="8"/>
      <c r="AB56" s="25"/>
      <c r="AC56" s="8"/>
      <c r="AD56" s="25"/>
      <c r="AE56" s="8"/>
      <c r="AF56" s="25"/>
      <c r="AG56" s="8"/>
      <c r="AH56" s="5"/>
    </row>
    <row r="57" spans="1:34" s="2" customFormat="1" ht="33.75" hidden="1" outlineLevel="1" x14ac:dyDescent="0.2">
      <c r="A57" s="6" t="e">
        <f t="shared" si="11"/>
        <v>#REF!</v>
      </c>
      <c r="B57" s="6"/>
      <c r="C57" s="97" t="str">
        <f>'Утв. ИП 2014-2019'!C62</f>
        <v>Монтаж охранно-пожарной сигнализации во вновь смонтированной КТП</v>
      </c>
      <c r="D57" s="25"/>
      <c r="E57" s="8"/>
      <c r="F57" s="25"/>
      <c r="G57" s="8"/>
      <c r="H57" s="25"/>
      <c r="I57" s="8"/>
      <c r="J57" s="25"/>
      <c r="K57" s="8"/>
      <c r="L57" s="25"/>
      <c r="M57" s="5"/>
      <c r="N57" s="5">
        <f>'Утв. ИП 2014-2019'!W62</f>
        <v>0</v>
      </c>
      <c r="O57" s="13"/>
      <c r="P57" s="5"/>
      <c r="Q57" s="5"/>
      <c r="R57" s="5"/>
      <c r="S57" s="5">
        <f>'Утв. ИП 2014-2019'!W62</f>
        <v>0</v>
      </c>
      <c r="T57" s="5"/>
      <c r="U57" s="5"/>
      <c r="V57" s="5">
        <f>'Утв. ИП 2014-2019'!AK62</f>
        <v>0</v>
      </c>
      <c r="W57" s="5"/>
      <c r="X57" s="5"/>
      <c r="Y57" s="8"/>
      <c r="Z57" s="25"/>
      <c r="AA57" s="8"/>
      <c r="AB57" s="25"/>
      <c r="AC57" s="8"/>
      <c r="AD57" s="25"/>
      <c r="AE57" s="8"/>
      <c r="AF57" s="25"/>
      <c r="AG57" s="8"/>
      <c r="AH57" s="5"/>
    </row>
    <row r="58" spans="1:34" s="2" customFormat="1" ht="51" hidden="1" outlineLevel="1" x14ac:dyDescent="0.2">
      <c r="A58" s="6" t="e">
        <f>A48+1</f>
        <v>#REF!</v>
      </c>
      <c r="B58" s="6" t="str">
        <f>'Утв. ИП 2014-2019'!B63</f>
        <v>2.1.1.5</v>
      </c>
      <c r="C58" s="7" t="str">
        <f>'Утв. ИП 2014-2019'!C63</f>
        <v>Строительство КЛ-10 кВ от ПС "Правобережная" яч.19 до РП-17 яч.9; от ПС "Правобережная" яч.10 до РП-17 яч.7</v>
      </c>
      <c r="D58" s="5"/>
      <c r="E58" s="5"/>
      <c r="F58" s="5"/>
      <c r="G58" s="5"/>
      <c r="H58" s="25" t="s">
        <v>92</v>
      </c>
      <c r="I58" s="8">
        <v>30</v>
      </c>
      <c r="J58" s="25" t="s">
        <v>212</v>
      </c>
      <c r="K58" s="8" t="s">
        <v>90</v>
      </c>
      <c r="L58" s="25" t="s">
        <v>93</v>
      </c>
      <c r="M58" s="5"/>
      <c r="N58" s="5">
        <f>'Утв. ИП 2014-2019'!W63</f>
        <v>0</v>
      </c>
      <c r="O58" s="5">
        <f t="shared" ref="O58:O66" si="12">N58*0.1</f>
        <v>0</v>
      </c>
      <c r="P58" s="5">
        <f t="shared" ref="P58:P66" si="13">(N58-O58)*0.6</f>
        <v>0</v>
      </c>
      <c r="Q58" s="5">
        <f t="shared" ref="Q58:Q66" si="14">(N58-O58)*0.4</f>
        <v>0</v>
      </c>
      <c r="R58" s="5">
        <f t="shared" ref="R58:R66" si="15">N58-O58-P58-Q58</f>
        <v>0</v>
      </c>
      <c r="S58" s="5">
        <f>'Утв. ИП 2014-2019'!W63</f>
        <v>0</v>
      </c>
      <c r="T58" s="5">
        <f t="shared" ref="T58:T67" si="16">0.1*S58</f>
        <v>0</v>
      </c>
      <c r="U58" s="5">
        <f t="shared" ref="U58:U67" si="17">S58-T58</f>
        <v>0</v>
      </c>
      <c r="V58" s="5">
        <f>'Утв. ИП 2014-2019'!AK63</f>
        <v>0</v>
      </c>
      <c r="W58" s="5"/>
      <c r="X58" s="5">
        <f t="shared" ref="X58:X67" si="18">V58</f>
        <v>0</v>
      </c>
      <c r="Y58" s="5"/>
      <c r="Z58" s="5"/>
      <c r="AA58" s="5"/>
      <c r="AB58" s="5"/>
      <c r="AC58" s="23">
        <f>'Утв. ИП 2014-2019'!G63</f>
        <v>2016</v>
      </c>
      <c r="AD58" s="25" t="s">
        <v>214</v>
      </c>
      <c r="AE58" s="8" t="s">
        <v>212</v>
      </c>
      <c r="AF58" s="25" t="s">
        <v>82</v>
      </c>
      <c r="AG58" s="5">
        <f>'Утв. ИП 2014-2019'!AY63</f>
        <v>7.2</v>
      </c>
      <c r="AH58" s="5"/>
    </row>
    <row r="59" spans="1:34" s="2" customFormat="1" ht="51" hidden="1" outlineLevel="1" x14ac:dyDescent="0.2">
      <c r="A59" s="6" t="e">
        <f>A60+1</f>
        <v>#REF!</v>
      </c>
      <c r="B59" s="6" t="str">
        <f>'Утв. ИП 2014-2019'!B64</f>
        <v>2.1.1.6</v>
      </c>
      <c r="C59" s="7" t="str">
        <f>'Утв. ИП 2014-2019'!C64</f>
        <v>Строительство ВЛ-10 кВ и КЛ-10 кВ сети электроснабжения от ПС "Правобережная" яч. 9 до ТП-616</v>
      </c>
      <c r="D59" s="5"/>
      <c r="E59" s="5"/>
      <c r="F59" s="5"/>
      <c r="G59" s="5"/>
      <c r="H59" s="25" t="s">
        <v>98</v>
      </c>
      <c r="I59" s="8">
        <v>25</v>
      </c>
      <c r="J59" s="25" t="s">
        <v>95</v>
      </c>
      <c r="K59" s="8" t="s">
        <v>198</v>
      </c>
      <c r="L59" s="25" t="s">
        <v>99</v>
      </c>
      <c r="M59" s="5"/>
      <c r="N59" s="5">
        <f>'Утв. ИП 2014-2019'!W64</f>
        <v>0</v>
      </c>
      <c r="O59" s="5">
        <f t="shared" si="12"/>
        <v>0</v>
      </c>
      <c r="P59" s="5">
        <f t="shared" si="13"/>
        <v>0</v>
      </c>
      <c r="Q59" s="5">
        <f t="shared" si="14"/>
        <v>0</v>
      </c>
      <c r="R59" s="5">
        <f t="shared" si="15"/>
        <v>0</v>
      </c>
      <c r="S59" s="5">
        <f>'Утв. ИП 2014-2019'!W64</f>
        <v>0</v>
      </c>
      <c r="T59" s="5">
        <f t="shared" si="16"/>
        <v>0</v>
      </c>
      <c r="U59" s="5">
        <f t="shared" si="17"/>
        <v>0</v>
      </c>
      <c r="V59" s="5">
        <f>'Утв. ИП 2014-2019'!AK64</f>
        <v>0</v>
      </c>
      <c r="W59" s="5"/>
      <c r="X59" s="5">
        <f t="shared" si="18"/>
        <v>0</v>
      </c>
      <c r="Y59" s="5"/>
      <c r="Z59" s="5"/>
      <c r="AA59" s="5"/>
      <c r="AB59" s="5"/>
      <c r="AC59" s="23">
        <f>'Утв. ИП 2014-2019'!G64</f>
        <v>2018</v>
      </c>
      <c r="AD59" s="25" t="s">
        <v>214</v>
      </c>
      <c r="AE59" s="5" t="s">
        <v>201</v>
      </c>
      <c r="AF59" s="25" t="s">
        <v>97</v>
      </c>
      <c r="AG59" s="5">
        <f>'Утв. ИП 2014-2019'!AY64</f>
        <v>3.22</v>
      </c>
      <c r="AH59" s="5"/>
    </row>
    <row r="60" spans="1:34" s="2" customFormat="1" ht="51" hidden="1" outlineLevel="1" x14ac:dyDescent="0.2">
      <c r="A60" s="6" t="e">
        <f>#REF!+1</f>
        <v>#REF!</v>
      </c>
      <c r="B60" s="6" t="str">
        <f>'Утв. ИП 2014-2019'!B65</f>
        <v>2.1.1.7</v>
      </c>
      <c r="C60" s="7" t="str">
        <f>'Утв. ИП 2014-2019'!C65</f>
        <v>Строительство ВЛ-10 кВ и КЛ-10 кВ сети электроснабжения от ПС "Правобережная" яч. 18 до ТП-616</v>
      </c>
      <c r="D60" s="5"/>
      <c r="E60" s="5"/>
      <c r="F60" s="5"/>
      <c r="G60" s="5"/>
      <c r="H60" s="25" t="s">
        <v>94</v>
      </c>
      <c r="I60" s="8">
        <v>25</v>
      </c>
      <c r="J60" s="25" t="s">
        <v>95</v>
      </c>
      <c r="K60" s="8" t="s">
        <v>198</v>
      </c>
      <c r="L60" s="25" t="s">
        <v>96</v>
      </c>
      <c r="M60" s="5"/>
      <c r="N60" s="5">
        <f>'Утв. ИП 2014-2019'!W65</f>
        <v>0</v>
      </c>
      <c r="O60" s="5">
        <f t="shared" si="12"/>
        <v>0</v>
      </c>
      <c r="P60" s="5">
        <f t="shared" si="13"/>
        <v>0</v>
      </c>
      <c r="Q60" s="5">
        <f t="shared" si="14"/>
        <v>0</v>
      </c>
      <c r="R60" s="5">
        <f t="shared" si="15"/>
        <v>0</v>
      </c>
      <c r="S60" s="5">
        <f>'Утв. ИП 2014-2019'!W65</f>
        <v>0</v>
      </c>
      <c r="T60" s="5">
        <f t="shared" si="16"/>
        <v>0</v>
      </c>
      <c r="U60" s="5">
        <f t="shared" si="17"/>
        <v>0</v>
      </c>
      <c r="V60" s="5">
        <f>'Утв. ИП 2014-2019'!AK65</f>
        <v>0</v>
      </c>
      <c r="W60" s="5"/>
      <c r="X60" s="5">
        <f t="shared" si="18"/>
        <v>0</v>
      </c>
      <c r="Y60" s="5"/>
      <c r="Z60" s="5"/>
      <c r="AA60" s="5"/>
      <c r="AB60" s="5"/>
      <c r="AC60" s="23">
        <f>'Утв. ИП 2014-2019'!G65</f>
        <v>2017</v>
      </c>
      <c r="AD60" s="25" t="s">
        <v>214</v>
      </c>
      <c r="AE60" s="5" t="s">
        <v>201</v>
      </c>
      <c r="AF60" s="25" t="s">
        <v>97</v>
      </c>
      <c r="AG60" s="5">
        <f>'Утв. ИП 2014-2019'!AY65</f>
        <v>3.38</v>
      </c>
      <c r="AH60" s="5"/>
    </row>
    <row r="61" spans="1:34" s="2" customFormat="1" ht="51" hidden="1" outlineLevel="1" x14ac:dyDescent="0.2">
      <c r="A61" s="6"/>
      <c r="B61" s="6" t="str">
        <f>'Утв. ИП 2014-2019'!B66</f>
        <v>2.1.1.8</v>
      </c>
      <c r="C61" s="7" t="str">
        <f>'Утв. ИП 2014-2019'!C66</f>
        <v>Строительство КЛ-10 кВ от ГПП-1 яч. 21 до РП-9 яч. 9</v>
      </c>
      <c r="D61" s="5"/>
      <c r="E61" s="5"/>
      <c r="F61" s="5"/>
      <c r="G61" s="5"/>
      <c r="H61" s="25" t="s">
        <v>83</v>
      </c>
      <c r="I61" s="8">
        <v>30</v>
      </c>
      <c r="J61" s="25" t="s">
        <v>212</v>
      </c>
      <c r="K61" s="8" t="s">
        <v>1445</v>
      </c>
      <c r="L61" s="25" t="s">
        <v>1446</v>
      </c>
      <c r="M61" s="5"/>
      <c r="N61" s="5">
        <f>'Утв. ИП 2014-2019'!W66</f>
        <v>0</v>
      </c>
      <c r="O61" s="5">
        <f t="shared" si="12"/>
        <v>0</v>
      </c>
      <c r="P61" s="5">
        <f t="shared" si="13"/>
        <v>0</v>
      </c>
      <c r="Q61" s="5">
        <f t="shared" si="14"/>
        <v>0</v>
      </c>
      <c r="R61" s="5">
        <f t="shared" si="15"/>
        <v>0</v>
      </c>
      <c r="S61" s="5">
        <f>'Утв. ИП 2014-2019'!W66</f>
        <v>0</v>
      </c>
      <c r="T61" s="5">
        <f t="shared" si="16"/>
        <v>0</v>
      </c>
      <c r="U61" s="5">
        <f t="shared" si="17"/>
        <v>0</v>
      </c>
      <c r="V61" s="5">
        <f>'Утв. ИП 2014-2019'!AK66</f>
        <v>0</v>
      </c>
      <c r="W61" s="5"/>
      <c r="X61" s="5">
        <f t="shared" si="18"/>
        <v>0</v>
      </c>
      <c r="Y61" s="5"/>
      <c r="Z61" s="5"/>
      <c r="AA61" s="5"/>
      <c r="AB61" s="5"/>
      <c r="AC61" s="23">
        <f>'Утв. ИП 2014-2019'!G66</f>
        <v>2017</v>
      </c>
      <c r="AD61" s="8">
        <v>30</v>
      </c>
      <c r="AE61" s="25" t="s">
        <v>212</v>
      </c>
      <c r="AF61" s="25" t="s">
        <v>82</v>
      </c>
      <c r="AG61" s="5">
        <f>'Утв. ИП 2014-2019'!AY66</f>
        <v>2.7</v>
      </c>
      <c r="AH61" s="5"/>
    </row>
    <row r="62" spans="1:34" s="2" customFormat="1" ht="51" hidden="1" outlineLevel="1" x14ac:dyDescent="0.2">
      <c r="A62" s="6"/>
      <c r="B62" s="6" t="str">
        <f>'Утв. ИП 2014-2019'!B67</f>
        <v>2.1.1.9</v>
      </c>
      <c r="C62" s="7" t="str">
        <f>'Утв. ИП 2014-2019'!C67</f>
        <v>Строительство КЛ-10 кВ от ГПП-9 яч. 97 до РП-9 яч. 5</v>
      </c>
      <c r="D62" s="5"/>
      <c r="E62" s="5"/>
      <c r="F62" s="5"/>
      <c r="G62" s="5"/>
      <c r="H62" s="25" t="s">
        <v>114</v>
      </c>
      <c r="I62" s="8">
        <v>30</v>
      </c>
      <c r="J62" s="25" t="s">
        <v>212</v>
      </c>
      <c r="K62" s="8" t="s">
        <v>1447</v>
      </c>
      <c r="L62" s="25" t="s">
        <v>1448</v>
      </c>
      <c r="M62" s="5"/>
      <c r="N62" s="5">
        <f>'Утв. ИП 2014-2019'!W67</f>
        <v>0</v>
      </c>
      <c r="O62" s="5">
        <f t="shared" si="12"/>
        <v>0</v>
      </c>
      <c r="P62" s="5">
        <f t="shared" si="13"/>
        <v>0</v>
      </c>
      <c r="Q62" s="5">
        <f t="shared" si="14"/>
        <v>0</v>
      </c>
      <c r="R62" s="5">
        <f t="shared" si="15"/>
        <v>0</v>
      </c>
      <c r="S62" s="5">
        <f>'Утв. ИП 2014-2019'!W67</f>
        <v>0</v>
      </c>
      <c r="T62" s="5">
        <f t="shared" si="16"/>
        <v>0</v>
      </c>
      <c r="U62" s="5">
        <f t="shared" si="17"/>
        <v>0</v>
      </c>
      <c r="V62" s="5">
        <f>'Утв. ИП 2014-2019'!AK67</f>
        <v>0</v>
      </c>
      <c r="W62" s="5"/>
      <c r="X62" s="5">
        <f t="shared" si="18"/>
        <v>0</v>
      </c>
      <c r="Y62" s="5"/>
      <c r="Z62" s="5"/>
      <c r="AA62" s="5"/>
      <c r="AB62" s="5"/>
      <c r="AC62" s="23">
        <f>'Утв. ИП 2014-2019'!G67</f>
        <v>2017</v>
      </c>
      <c r="AD62" s="8">
        <v>30</v>
      </c>
      <c r="AE62" s="25" t="s">
        <v>212</v>
      </c>
      <c r="AF62" s="25" t="s">
        <v>82</v>
      </c>
      <c r="AG62" s="5">
        <f>'Утв. ИП 2014-2019'!AY67</f>
        <v>3.5</v>
      </c>
      <c r="AH62" s="5"/>
    </row>
    <row r="63" spans="1:34" s="2" customFormat="1" ht="51" hidden="1" outlineLevel="1" x14ac:dyDescent="0.2">
      <c r="A63" s="6"/>
      <c r="B63" s="6" t="str">
        <f>'Утв. ИП 2014-2019'!B68</f>
        <v>2.1.1.10</v>
      </c>
      <c r="C63" s="7" t="str">
        <f>'Утв. ИП 2014-2019'!C68</f>
        <v>Строительство КЛ-6 кВ РП-36 Св. Сокол яч.2 - РП-25 яч.1 и КЛ-6 кВ РП-36 Св. Сокол яч.12 - РП-25 яч.2</v>
      </c>
      <c r="D63" s="5"/>
      <c r="E63" s="5"/>
      <c r="F63" s="5"/>
      <c r="G63" s="5"/>
      <c r="H63" s="25" t="s">
        <v>1449</v>
      </c>
      <c r="I63" s="8">
        <v>30</v>
      </c>
      <c r="J63" s="25" t="s">
        <v>212</v>
      </c>
      <c r="K63" s="8" t="s">
        <v>1450</v>
      </c>
      <c r="L63" s="25" t="s">
        <v>1451</v>
      </c>
      <c r="M63" s="5"/>
      <c r="N63" s="5">
        <f>'Утв. ИП 2014-2019'!W68</f>
        <v>0</v>
      </c>
      <c r="O63" s="5">
        <f t="shared" si="12"/>
        <v>0</v>
      </c>
      <c r="P63" s="5">
        <f t="shared" si="13"/>
        <v>0</v>
      </c>
      <c r="Q63" s="5">
        <f t="shared" si="14"/>
        <v>0</v>
      </c>
      <c r="R63" s="5">
        <f t="shared" si="15"/>
        <v>0</v>
      </c>
      <c r="S63" s="5">
        <f>'Утв. ИП 2014-2019'!W68</f>
        <v>0</v>
      </c>
      <c r="T63" s="5">
        <f t="shared" si="16"/>
        <v>0</v>
      </c>
      <c r="U63" s="5">
        <f t="shared" si="17"/>
        <v>0</v>
      </c>
      <c r="V63" s="5">
        <f>'Утв. ИП 2014-2019'!AK68</f>
        <v>0</v>
      </c>
      <c r="W63" s="5"/>
      <c r="X63" s="5">
        <f t="shared" si="18"/>
        <v>0</v>
      </c>
      <c r="Y63" s="5"/>
      <c r="Z63" s="5"/>
      <c r="AA63" s="5"/>
      <c r="AB63" s="5"/>
      <c r="AC63" s="23">
        <f>'Утв. ИП 2014-2019'!G68</f>
        <v>2018</v>
      </c>
      <c r="AD63" s="8">
        <v>30</v>
      </c>
      <c r="AE63" s="25" t="s">
        <v>212</v>
      </c>
      <c r="AF63" s="25" t="s">
        <v>82</v>
      </c>
      <c r="AG63" s="5">
        <f>'Утв. ИП 2014-2019'!AY68</f>
        <v>1.8</v>
      </c>
      <c r="AH63" s="5"/>
    </row>
    <row r="64" spans="1:34" s="2" customFormat="1" ht="51" hidden="1" outlineLevel="1" x14ac:dyDescent="0.2">
      <c r="A64" s="6"/>
      <c r="B64" s="6" t="str">
        <f>'Утв. ИП 2014-2019'!B69</f>
        <v>2.1.1.11</v>
      </c>
      <c r="C64" s="7" t="str">
        <f>'Утв. ИП 2014-2019'!C69</f>
        <v>Строительство КЛ-6 кВ ПС-2 Св. Сокол яч.217 - КТП-426</v>
      </c>
      <c r="D64" s="5"/>
      <c r="E64" s="5"/>
      <c r="F64" s="5"/>
      <c r="G64" s="5"/>
      <c r="H64" s="25" t="s">
        <v>89</v>
      </c>
      <c r="I64" s="8">
        <v>30</v>
      </c>
      <c r="J64" s="25" t="s">
        <v>212</v>
      </c>
      <c r="K64" s="8" t="s">
        <v>1453</v>
      </c>
      <c r="L64" s="25" t="s">
        <v>1454</v>
      </c>
      <c r="M64" s="5"/>
      <c r="N64" s="5">
        <f>'Утв. ИП 2014-2019'!W69</f>
        <v>0</v>
      </c>
      <c r="O64" s="5">
        <f t="shared" si="12"/>
        <v>0</v>
      </c>
      <c r="P64" s="5">
        <f t="shared" si="13"/>
        <v>0</v>
      </c>
      <c r="Q64" s="5">
        <f t="shared" si="14"/>
        <v>0</v>
      </c>
      <c r="R64" s="5">
        <f t="shared" si="15"/>
        <v>0</v>
      </c>
      <c r="S64" s="5">
        <f>'Утв. ИП 2014-2019'!W69</f>
        <v>0</v>
      </c>
      <c r="T64" s="5">
        <f t="shared" si="16"/>
        <v>0</v>
      </c>
      <c r="U64" s="5">
        <f t="shared" si="17"/>
        <v>0</v>
      </c>
      <c r="V64" s="5">
        <f>'Утв. ИП 2014-2019'!AK69</f>
        <v>0</v>
      </c>
      <c r="W64" s="5"/>
      <c r="X64" s="5">
        <f t="shared" si="18"/>
        <v>0</v>
      </c>
      <c r="Y64" s="5"/>
      <c r="Z64" s="5"/>
      <c r="AA64" s="5"/>
      <c r="AB64" s="5"/>
      <c r="AC64" s="23">
        <f>'Утв. ИП 2014-2019'!G69</f>
        <v>2016</v>
      </c>
      <c r="AD64" s="8">
        <v>30</v>
      </c>
      <c r="AE64" s="25" t="s">
        <v>212</v>
      </c>
      <c r="AF64" s="25" t="s">
        <v>82</v>
      </c>
      <c r="AG64" s="5">
        <f>'Утв. ИП 2014-2019'!AY69</f>
        <v>0.7</v>
      </c>
      <c r="AH64" s="5"/>
    </row>
    <row r="65" spans="1:38" s="2" customFormat="1" ht="51" collapsed="1" x14ac:dyDescent="0.2">
      <c r="A65" s="6" t="e">
        <f>A47+1</f>
        <v>#REF!</v>
      </c>
      <c r="B65" s="6" t="str">
        <f>'Утв. ИП 2014-2019'!B70</f>
        <v>2.1.1.12</v>
      </c>
      <c r="C65" s="7" t="str">
        <f>'Утв. ИП 2014-2019'!C70</f>
        <v>Строительство КЛ-6 кВ от РП-Вилли Огнева до ТП-732</v>
      </c>
      <c r="D65" s="5"/>
      <c r="E65" s="5"/>
      <c r="F65" s="5"/>
      <c r="G65" s="5"/>
      <c r="H65" s="25"/>
      <c r="I65" s="8"/>
      <c r="J65" s="25"/>
      <c r="K65" s="8"/>
      <c r="L65" s="25"/>
      <c r="M65" s="5"/>
      <c r="N65" s="5">
        <f>'Утв. ИП 2014-2019'!W70</f>
        <v>0.49530000000000002</v>
      </c>
      <c r="O65" s="5">
        <f t="shared" si="12"/>
        <v>4.9530000000000005E-2</v>
      </c>
      <c r="P65" s="5">
        <f t="shared" si="13"/>
        <v>0.26746199999999998</v>
      </c>
      <c r="Q65" s="5">
        <f t="shared" si="14"/>
        <v>0.17830800000000002</v>
      </c>
      <c r="R65" s="5">
        <f t="shared" si="15"/>
        <v>0</v>
      </c>
      <c r="S65" s="5">
        <f>'Утв. ИП 2014-2019'!W70</f>
        <v>0.49530000000000002</v>
      </c>
      <c r="T65" s="5">
        <f t="shared" si="16"/>
        <v>4.9530000000000005E-2</v>
      </c>
      <c r="U65" s="5">
        <f t="shared" si="17"/>
        <v>0.44577</v>
      </c>
      <c r="V65" s="5">
        <f>'Утв. ИП 2014-2019'!AK70</f>
        <v>0.79530000000000001</v>
      </c>
      <c r="W65" s="5"/>
      <c r="X65" s="5">
        <f t="shared" si="18"/>
        <v>0.79530000000000001</v>
      </c>
      <c r="Y65" s="5"/>
      <c r="Z65" s="5"/>
      <c r="AA65" s="5"/>
      <c r="AB65" s="5"/>
      <c r="AC65" s="23">
        <f>'Утв. ИП 2014-2019'!G70</f>
        <v>2019</v>
      </c>
      <c r="AD65" s="25" t="s">
        <v>214</v>
      </c>
      <c r="AE65" s="8" t="s">
        <v>212</v>
      </c>
      <c r="AF65" s="8" t="s">
        <v>213</v>
      </c>
      <c r="AG65" s="5">
        <f>'Утв. ИП 2014-2019'!AY70</f>
        <v>0.3</v>
      </c>
      <c r="AH65" s="12"/>
      <c r="AI65" s="47"/>
      <c r="AJ65" s="47"/>
      <c r="AK65" s="47"/>
      <c r="AL65" s="47"/>
    </row>
    <row r="66" spans="1:38" s="2" customFormat="1" ht="51" x14ac:dyDescent="0.2">
      <c r="A66" s="6" t="e">
        <f>A65+1</f>
        <v>#REF!</v>
      </c>
      <c r="B66" s="6" t="str">
        <f>'Утв. ИП 2014-2019'!B71</f>
        <v>2.1.1.13</v>
      </c>
      <c r="C66" s="7" t="str">
        <f>'Утв. ИП 2014-2019'!C71</f>
        <v>Строительство КЛ-6 кВ от РП-Вилли Огнева до КТП-725</v>
      </c>
      <c r="D66" s="5"/>
      <c r="E66" s="5"/>
      <c r="F66" s="5"/>
      <c r="G66" s="5"/>
      <c r="H66" s="25"/>
      <c r="I66" s="8"/>
      <c r="J66" s="25"/>
      <c r="K66" s="8"/>
      <c r="L66" s="25"/>
      <c r="M66" s="5"/>
      <c r="N66" s="5">
        <f>'Утв. ИП 2014-2019'!W71</f>
        <v>0.38040000000000002</v>
      </c>
      <c r="O66" s="5">
        <f t="shared" si="12"/>
        <v>3.8040000000000004E-2</v>
      </c>
      <c r="P66" s="5">
        <f t="shared" si="13"/>
        <v>0.20541599999999999</v>
      </c>
      <c r="Q66" s="5">
        <f t="shared" si="14"/>
        <v>0.13694400000000001</v>
      </c>
      <c r="R66" s="5">
        <f t="shared" si="15"/>
        <v>0</v>
      </c>
      <c r="S66" s="5">
        <f>'Утв. ИП 2014-2019'!W71</f>
        <v>0.38040000000000002</v>
      </c>
      <c r="T66" s="5">
        <f t="shared" si="16"/>
        <v>3.8040000000000004E-2</v>
      </c>
      <c r="U66" s="5">
        <f t="shared" si="17"/>
        <v>0.34236</v>
      </c>
      <c r="V66" s="5">
        <f>'Утв. ИП 2014-2019'!AK71</f>
        <v>0.6704</v>
      </c>
      <c r="W66" s="5"/>
      <c r="X66" s="5">
        <f t="shared" si="18"/>
        <v>0.6704</v>
      </c>
      <c r="Y66" s="5"/>
      <c r="Z66" s="5"/>
      <c r="AA66" s="5"/>
      <c r="AB66" s="5"/>
      <c r="AC66" s="23">
        <f>'Утв. ИП 2014-2019'!G71</f>
        <v>2019</v>
      </c>
      <c r="AD66" s="25" t="s">
        <v>214</v>
      </c>
      <c r="AE66" s="8"/>
      <c r="AF66" s="8" t="s">
        <v>213</v>
      </c>
      <c r="AG66" s="5">
        <f>'Утв. ИП 2014-2019'!AY71</f>
        <v>0.2</v>
      </c>
      <c r="AH66" s="12"/>
      <c r="AI66" s="47"/>
      <c r="AJ66" s="47"/>
      <c r="AK66" s="47"/>
      <c r="AL66" s="47"/>
    </row>
    <row r="67" spans="1:38" s="2" customFormat="1" ht="51" hidden="1" outlineLevel="1" x14ac:dyDescent="0.2">
      <c r="A67" s="6" t="e">
        <f>A45+1</f>
        <v>#REF!</v>
      </c>
      <c r="B67" s="6" t="str">
        <f>'Утв. ИП 2014-2019'!B72</f>
        <v>2.1.1.14</v>
      </c>
      <c r="C67" s="7" t="str">
        <f>'Утв. ИП 2014-2019'!C72</f>
        <v>Строительство ВЛ, КЛ-35 кВ от ПС "Бугор" до ПС "Город" с отпайкой на ПС "Водозабор №2"</v>
      </c>
      <c r="D67" s="5"/>
      <c r="E67" s="5"/>
      <c r="F67" s="5"/>
      <c r="G67" s="5"/>
      <c r="H67" s="25" t="s">
        <v>83</v>
      </c>
      <c r="I67" s="25" t="s">
        <v>214</v>
      </c>
      <c r="J67" s="25" t="s">
        <v>84</v>
      </c>
      <c r="K67" s="25" t="s">
        <v>85</v>
      </c>
      <c r="L67" s="25" t="s">
        <v>86</v>
      </c>
      <c r="M67" s="5"/>
      <c r="N67" s="5">
        <f>'Утв. ИП 2014-2019'!W72</f>
        <v>0</v>
      </c>
      <c r="O67" s="5"/>
      <c r="P67" s="5">
        <f>N67*0.6</f>
        <v>0</v>
      </c>
      <c r="Q67" s="5">
        <f>N67*0.4</f>
        <v>0</v>
      </c>
      <c r="R67" s="5">
        <f>N67-O67-P67-Q67</f>
        <v>0</v>
      </c>
      <c r="S67" s="5">
        <f>'Утв. ИП 2014-2019'!W72</f>
        <v>0</v>
      </c>
      <c r="T67" s="5">
        <f t="shared" si="16"/>
        <v>0</v>
      </c>
      <c r="U67" s="5">
        <f t="shared" si="17"/>
        <v>0</v>
      </c>
      <c r="V67" s="5">
        <f>'Утв. ИП 2014-2019'!AK72</f>
        <v>0</v>
      </c>
      <c r="W67" s="5"/>
      <c r="X67" s="5">
        <f t="shared" si="18"/>
        <v>0</v>
      </c>
      <c r="Y67" s="23">
        <f>'Утв. ИП 2014-2019'!G72</f>
        <v>2021</v>
      </c>
      <c r="Z67" s="25" t="s">
        <v>205</v>
      </c>
      <c r="AA67" s="25" t="s">
        <v>212</v>
      </c>
      <c r="AB67" s="25" t="s">
        <v>87</v>
      </c>
      <c r="AC67" s="23">
        <f>'Утв. ИП 2014-2019'!G72</f>
        <v>2021</v>
      </c>
      <c r="AD67" s="25" t="s">
        <v>214</v>
      </c>
      <c r="AE67" s="25" t="s">
        <v>212</v>
      </c>
      <c r="AF67" s="25" t="s">
        <v>82</v>
      </c>
      <c r="AG67" s="5">
        <f>'Утв. ИП 2014-2019'!AY72</f>
        <v>0</v>
      </c>
      <c r="AH67" s="25" t="s">
        <v>88</v>
      </c>
    </row>
    <row r="68" spans="1:38" s="2" customFormat="1" ht="36.75" hidden="1" customHeight="1" outlineLevel="1" x14ac:dyDescent="0.2">
      <c r="A68" s="6" t="e">
        <f>A67+1</f>
        <v>#REF!</v>
      </c>
      <c r="B68" s="10"/>
      <c r="C68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68" s="5"/>
      <c r="E68" s="5"/>
      <c r="F68" s="5"/>
      <c r="G68" s="5"/>
      <c r="H68" s="25"/>
      <c r="I68" s="25"/>
      <c r="J68" s="25"/>
      <c r="K68" s="25"/>
      <c r="L68" s="25"/>
      <c r="M68" s="5"/>
      <c r="N68" s="5"/>
      <c r="O68" s="13"/>
      <c r="P68" s="5"/>
      <c r="Q68" s="5"/>
      <c r="R68" s="5"/>
      <c r="S68" s="50"/>
      <c r="T68" s="5"/>
      <c r="U68" s="5"/>
      <c r="V68" s="5"/>
      <c r="W68" s="5"/>
      <c r="X68" s="5"/>
      <c r="Y68" s="44"/>
      <c r="Z68" s="25"/>
      <c r="AA68" s="25"/>
      <c r="AB68" s="25"/>
      <c r="AC68" s="8"/>
      <c r="AD68" s="25"/>
      <c r="AE68" s="25"/>
      <c r="AF68" s="25"/>
      <c r="AG68" s="15"/>
      <c r="AH68" s="25"/>
    </row>
    <row r="69" spans="1:38" s="2" customFormat="1" ht="12.75" hidden="1" customHeight="1" outlineLevel="1" x14ac:dyDescent="0.2">
      <c r="A69" s="6" t="e">
        <f>A68+1</f>
        <v>#REF!</v>
      </c>
      <c r="B69" s="10"/>
      <c r="C69" s="97" t="str">
        <f>'Утв. ИП 2014-2019'!C74</f>
        <v>Строительство ЗРУ - 35 кВ ПС Водозабор № 2</v>
      </c>
      <c r="D69" s="5"/>
      <c r="E69" s="5"/>
      <c r="F69" s="5"/>
      <c r="G69" s="5"/>
      <c r="H69" s="25"/>
      <c r="I69" s="25"/>
      <c r="J69" s="25"/>
      <c r="K69" s="25"/>
      <c r="L69" s="25"/>
      <c r="M69" s="5"/>
      <c r="N69" s="5"/>
      <c r="O69" s="13"/>
      <c r="P69" s="5"/>
      <c r="Q69" s="5"/>
      <c r="R69" s="5"/>
      <c r="S69" s="50"/>
      <c r="T69" s="5"/>
      <c r="U69" s="5"/>
      <c r="V69" s="5"/>
      <c r="W69" s="5"/>
      <c r="X69" s="5"/>
      <c r="Y69" s="44"/>
      <c r="Z69" s="25"/>
      <c r="AA69" s="25"/>
      <c r="AB69" s="25"/>
      <c r="AC69" s="8"/>
      <c r="AD69" s="25"/>
      <c r="AE69" s="25"/>
      <c r="AF69" s="25"/>
      <c r="AG69" s="15"/>
      <c r="AH69" s="25"/>
    </row>
    <row r="70" spans="1:38" s="2" customFormat="1" ht="22.5" hidden="1" outlineLevel="1" x14ac:dyDescent="0.2">
      <c r="A70" s="6" t="e">
        <f>A69+1</f>
        <v>#REF!</v>
      </c>
      <c r="B70" s="10"/>
      <c r="C70" s="97" t="str">
        <f>'Утв. ИП 2014-2019'!C75</f>
        <v>Строительство КЛ 35 кВ от ПС "Бугор" до ПС Водозабор № 2</v>
      </c>
      <c r="D70" s="5"/>
      <c r="E70" s="5"/>
      <c r="F70" s="5"/>
      <c r="G70" s="5"/>
      <c r="H70" s="25"/>
      <c r="I70" s="25"/>
      <c r="J70" s="25"/>
      <c r="K70" s="25"/>
      <c r="L70" s="25"/>
      <c r="M70" s="5"/>
      <c r="N70" s="5"/>
      <c r="O70" s="13"/>
      <c r="P70" s="5"/>
      <c r="Q70" s="5"/>
      <c r="R70" s="5"/>
      <c r="S70" s="50"/>
      <c r="T70" s="5"/>
      <c r="U70" s="5"/>
      <c r="V70" s="5"/>
      <c r="W70" s="5"/>
      <c r="X70" s="5"/>
      <c r="Y70" s="44"/>
      <c r="Z70" s="25"/>
      <c r="AA70" s="25"/>
      <c r="AB70" s="25"/>
      <c r="AC70" s="8"/>
      <c r="AD70" s="25"/>
      <c r="AE70" s="25"/>
      <c r="AF70" s="25"/>
      <c r="AG70" s="15"/>
      <c r="AH70" s="25"/>
    </row>
    <row r="71" spans="1:38" s="2" customFormat="1" ht="22.5" hidden="1" outlineLevel="1" x14ac:dyDescent="0.2">
      <c r="A71" s="6" t="e">
        <f>A70+1</f>
        <v>#REF!</v>
      </c>
      <c r="B71" s="10"/>
      <c r="C71" s="97" t="str">
        <f>'Утв. ИП 2014-2019'!C76</f>
        <v>Строительство КЛ 35 кВ от ПС Водозабор № 2 до ЦРП "Город"</v>
      </c>
      <c r="D71" s="5"/>
      <c r="E71" s="5"/>
      <c r="F71" s="5"/>
      <c r="G71" s="5"/>
      <c r="H71" s="25"/>
      <c r="I71" s="25"/>
      <c r="J71" s="25"/>
      <c r="K71" s="25"/>
      <c r="L71" s="25"/>
      <c r="M71" s="5"/>
      <c r="N71" s="5"/>
      <c r="O71" s="13"/>
      <c r="P71" s="5"/>
      <c r="Q71" s="5"/>
      <c r="R71" s="5"/>
      <c r="S71" s="50"/>
      <c r="T71" s="5"/>
      <c r="U71" s="5"/>
      <c r="V71" s="5"/>
      <c r="W71" s="5"/>
      <c r="X71" s="5"/>
      <c r="Y71" s="44"/>
      <c r="Z71" s="25"/>
      <c r="AA71" s="25"/>
      <c r="AB71" s="25"/>
      <c r="AC71" s="8"/>
      <c r="AD71" s="25"/>
      <c r="AE71" s="25"/>
      <c r="AF71" s="25"/>
      <c r="AG71" s="15"/>
      <c r="AH71" s="25"/>
    </row>
    <row r="72" spans="1:38" s="2" customFormat="1" ht="22.5" hidden="1" outlineLevel="1" x14ac:dyDescent="0.2">
      <c r="A72" s="6" t="e">
        <f>A71+1</f>
        <v>#REF!</v>
      </c>
      <c r="B72" s="10"/>
      <c r="C72" s="97" t="str">
        <f>'Утв. ИП 2014-2019'!C77</f>
        <v>Демонтаж ВЛ 35 кВ от ПС "Бугор" до ЦРП "Город"</v>
      </c>
      <c r="D72" s="5"/>
      <c r="E72" s="5"/>
      <c r="F72" s="5"/>
      <c r="G72" s="5"/>
      <c r="H72" s="25"/>
      <c r="I72" s="25"/>
      <c r="J72" s="25"/>
      <c r="K72" s="25"/>
      <c r="L72" s="25"/>
      <c r="M72" s="5"/>
      <c r="N72" s="5"/>
      <c r="O72" s="13"/>
      <c r="P72" s="5"/>
      <c r="Q72" s="5"/>
      <c r="R72" s="5"/>
      <c r="S72" s="50"/>
      <c r="T72" s="5"/>
      <c r="U72" s="5"/>
      <c r="V72" s="5"/>
      <c r="W72" s="5"/>
      <c r="X72" s="5"/>
      <c r="Y72" s="44"/>
      <c r="Z72" s="25"/>
      <c r="AA72" s="25"/>
      <c r="AB72" s="25"/>
      <c r="AC72" s="8"/>
      <c r="AD72" s="25"/>
      <c r="AE72" s="25"/>
      <c r="AF72" s="25"/>
      <c r="AG72" s="15"/>
      <c r="AH72" s="25"/>
    </row>
    <row r="73" spans="1:38" s="53" customFormat="1" collapsed="1" x14ac:dyDescent="0.2">
      <c r="A73" s="28" t="e">
        <f>A46+1</f>
        <v>#REF!</v>
      </c>
      <c r="B73" s="28" t="str">
        <f>'Утв. ИП 2014-2019'!B78</f>
        <v>2.1.2</v>
      </c>
      <c r="C73" s="29" t="str">
        <f>'Утв. ИП 2014-2019'!C78</f>
        <v>Сети низкого напряжения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>
        <f>'Утв. ИП 2014-2019'!W78</f>
        <v>0</v>
      </c>
      <c r="O73" s="31">
        <f>SUM(O74:O77)</f>
        <v>0</v>
      </c>
      <c r="P73" s="31">
        <f>SUM(P74:P77)</f>
        <v>0</v>
      </c>
      <c r="Q73" s="31">
        <f>SUM(Q74:Q77)</f>
        <v>0</v>
      </c>
      <c r="R73" s="31">
        <f>SUM(R74:R77)</f>
        <v>0</v>
      </c>
      <c r="S73" s="31">
        <f>'Утв. ИП 2014-2019'!W78</f>
        <v>0</v>
      </c>
      <c r="T73" s="31">
        <f>SUM(T74:T77)</f>
        <v>0</v>
      </c>
      <c r="U73" s="31">
        <f>SUM(U74:U77)</f>
        <v>0</v>
      </c>
      <c r="V73" s="31">
        <f>'Утв. ИП 2014-2019'!AK78</f>
        <v>0</v>
      </c>
      <c r="W73" s="31">
        <f>SUM(W74:W77)</f>
        <v>0</v>
      </c>
      <c r="X73" s="31">
        <f>SUM(X74:X77)</f>
        <v>0</v>
      </c>
      <c r="Y73" s="31"/>
      <c r="Z73" s="31"/>
      <c r="AA73" s="31"/>
      <c r="AB73" s="31"/>
      <c r="AC73" s="31"/>
      <c r="AD73" s="31"/>
      <c r="AE73" s="31"/>
      <c r="AF73" s="31"/>
      <c r="AG73" s="31"/>
      <c r="AH73" s="31"/>
    </row>
    <row r="74" spans="1:38" s="2" customFormat="1" ht="51" hidden="1" outlineLevel="1" x14ac:dyDescent="0.2">
      <c r="A74" s="6" t="e">
        <f>#REF!+1</f>
        <v>#REF!</v>
      </c>
      <c r="B74" s="6" t="str">
        <f>'Утв. ИП 2014-2019'!B79</f>
        <v>2.1.2.1</v>
      </c>
      <c r="C74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D74" s="5"/>
      <c r="E74" s="5"/>
      <c r="F74" s="5"/>
      <c r="G74" s="5"/>
      <c r="H74" s="25" t="s">
        <v>105</v>
      </c>
      <c r="I74" s="8">
        <v>30</v>
      </c>
      <c r="J74" s="25" t="s">
        <v>212</v>
      </c>
      <c r="K74" s="8" t="s">
        <v>102</v>
      </c>
      <c r="L74" s="25" t="s">
        <v>104</v>
      </c>
      <c r="M74" s="5"/>
      <c r="N74" s="5">
        <f>'Утв. ИП 2014-2019'!W79</f>
        <v>0</v>
      </c>
      <c r="O74" s="5"/>
      <c r="P74" s="5">
        <f>0.6*N74</f>
        <v>0</v>
      </c>
      <c r="Q74" s="5">
        <f>0.4*N74</f>
        <v>0</v>
      </c>
      <c r="R74" s="5">
        <f t="shared" ref="R74:R83" si="19">N74-O74-P74-Q74</f>
        <v>0</v>
      </c>
      <c r="S74" s="5">
        <f>'Утв. ИП 2014-2019'!W79</f>
        <v>0</v>
      </c>
      <c r="T74" s="5">
        <f t="shared" ref="T74:T83" si="20">0.1*S74</f>
        <v>0</v>
      </c>
      <c r="U74" s="5">
        <f>S74-T74</f>
        <v>0</v>
      </c>
      <c r="V74" s="5">
        <f>'Утв. ИП 2014-2019'!AK79</f>
        <v>0</v>
      </c>
      <c r="W74" s="5"/>
      <c r="X74" s="5">
        <f>V74</f>
        <v>0</v>
      </c>
      <c r="Y74" s="5"/>
      <c r="Z74" s="5"/>
      <c r="AA74" s="5"/>
      <c r="AB74" s="5"/>
      <c r="AC74" s="23">
        <f>'Утв. ИП 2014-2019'!G79</f>
        <v>2015</v>
      </c>
      <c r="AD74" s="25" t="s">
        <v>214</v>
      </c>
      <c r="AE74" s="8" t="s">
        <v>212</v>
      </c>
      <c r="AF74" s="8" t="s">
        <v>108</v>
      </c>
      <c r="AG74" s="5">
        <f>'Утв. ИП 2014-2019'!AY79</f>
        <v>0.215</v>
      </c>
      <c r="AH74" s="5"/>
    </row>
    <row r="75" spans="1:38" s="2" customFormat="1" ht="76.5" hidden="1" outlineLevel="1" x14ac:dyDescent="0.2">
      <c r="A75" s="6" t="e">
        <f>A73+1</f>
        <v>#REF!</v>
      </c>
      <c r="B75" s="6" t="str">
        <f>'Утв. ИП 2014-2019'!B80</f>
        <v>2.1.2.2</v>
      </c>
      <c r="C75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5" s="5"/>
      <c r="E75" s="5"/>
      <c r="F75" s="5"/>
      <c r="G75" s="5"/>
      <c r="H75" s="25" t="s">
        <v>101</v>
      </c>
      <c r="I75" s="8">
        <v>30</v>
      </c>
      <c r="J75" s="25" t="s">
        <v>212</v>
      </c>
      <c r="K75" s="8" t="s">
        <v>102</v>
      </c>
      <c r="L75" s="25" t="s">
        <v>103</v>
      </c>
      <c r="M75" s="5"/>
      <c r="N75" s="5">
        <f>'Утв. ИП 2014-2019'!W80</f>
        <v>0</v>
      </c>
      <c r="O75" s="5"/>
      <c r="P75" s="5">
        <f>0.6*N75</f>
        <v>0</v>
      </c>
      <c r="Q75" s="5">
        <f>0.4*N75</f>
        <v>0</v>
      </c>
      <c r="R75" s="5">
        <f t="shared" si="19"/>
        <v>0</v>
      </c>
      <c r="S75" s="5">
        <f>'Утв. ИП 2014-2019'!W80</f>
        <v>0</v>
      </c>
      <c r="T75" s="5">
        <f t="shared" si="20"/>
        <v>0</v>
      </c>
      <c r="U75" s="5">
        <f>S75-T75</f>
        <v>0</v>
      </c>
      <c r="V75" s="5">
        <f>'Утв. ИП 2014-2019'!AK80</f>
        <v>0</v>
      </c>
      <c r="W75" s="5"/>
      <c r="X75" s="5">
        <f>V75</f>
        <v>0</v>
      </c>
      <c r="Y75" s="5"/>
      <c r="Z75" s="5"/>
      <c r="AA75" s="5"/>
      <c r="AB75" s="5"/>
      <c r="AC75" s="23">
        <f>'Утв. ИП 2014-2019'!G80</f>
        <v>2016</v>
      </c>
      <c r="AD75" s="25" t="s">
        <v>214</v>
      </c>
      <c r="AE75" s="8" t="s">
        <v>212</v>
      </c>
      <c r="AF75" s="8" t="s">
        <v>108</v>
      </c>
      <c r="AG75" s="5">
        <f>'Утв. ИП 2014-2019'!AY80</f>
        <v>0.115</v>
      </c>
      <c r="AH75" s="5"/>
    </row>
    <row r="76" spans="1:38" s="2" customFormat="1" ht="51" hidden="1" outlineLevel="1" x14ac:dyDescent="0.2">
      <c r="A76" s="6" t="e">
        <f>A74+1</f>
        <v>#REF!</v>
      </c>
      <c r="B76" s="6" t="str">
        <f>'Утв. ИП 2014-2019'!B81</f>
        <v>2.1.2.3</v>
      </c>
      <c r="C76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76" s="5"/>
      <c r="E76" s="5"/>
      <c r="F76" s="5"/>
      <c r="G76" s="5"/>
      <c r="H76" s="25" t="s">
        <v>106</v>
      </c>
      <c r="I76" s="8">
        <v>30</v>
      </c>
      <c r="J76" s="25" t="s">
        <v>212</v>
      </c>
      <c r="K76" s="8" t="s">
        <v>102</v>
      </c>
      <c r="L76" s="25" t="s">
        <v>107</v>
      </c>
      <c r="M76" s="5"/>
      <c r="N76" s="5">
        <f>'Утв. ИП 2014-2019'!W81</f>
        <v>0</v>
      </c>
      <c r="O76" s="5"/>
      <c r="P76" s="5">
        <f>0.6*N76</f>
        <v>0</v>
      </c>
      <c r="Q76" s="5">
        <f>0.4*N76</f>
        <v>0</v>
      </c>
      <c r="R76" s="5">
        <f t="shared" si="19"/>
        <v>0</v>
      </c>
      <c r="S76" s="5">
        <f>'Утв. ИП 2014-2019'!W81</f>
        <v>0</v>
      </c>
      <c r="T76" s="5">
        <f t="shared" si="20"/>
        <v>0</v>
      </c>
      <c r="U76" s="5">
        <f>S76-T76</f>
        <v>0</v>
      </c>
      <c r="V76" s="5">
        <f>'Утв. ИП 2014-2019'!AK81</f>
        <v>0</v>
      </c>
      <c r="W76" s="5"/>
      <c r="X76" s="5">
        <f>V76</f>
        <v>0</v>
      </c>
      <c r="Y76" s="5"/>
      <c r="Z76" s="5"/>
      <c r="AA76" s="5"/>
      <c r="AB76" s="5"/>
      <c r="AC76" s="23">
        <f>'Утв. ИП 2014-2019'!G81</f>
        <v>2017</v>
      </c>
      <c r="AD76" s="25" t="s">
        <v>214</v>
      </c>
      <c r="AE76" s="8" t="s">
        <v>212</v>
      </c>
      <c r="AF76" s="8" t="s">
        <v>108</v>
      </c>
      <c r="AG76" s="5">
        <f>'Утв. ИП 2014-2019'!AY81</f>
        <v>0.3</v>
      </c>
      <c r="AH76" s="5"/>
    </row>
    <row r="77" spans="1:38" s="2" customFormat="1" ht="51" hidden="1" outlineLevel="1" x14ac:dyDescent="0.2">
      <c r="A77" s="6" t="e">
        <f>A76+1</f>
        <v>#REF!</v>
      </c>
      <c r="B77" s="6" t="str">
        <f>'Утв. ИП 2014-2019'!B82</f>
        <v>2.1.2.4</v>
      </c>
      <c r="C77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D77" s="5"/>
      <c r="E77" s="5"/>
      <c r="F77" s="5"/>
      <c r="G77" s="5"/>
      <c r="H77" s="25"/>
      <c r="I77" s="8"/>
      <c r="J77" s="25"/>
      <c r="K77" s="8"/>
      <c r="L77" s="25"/>
      <c r="M77" s="5"/>
      <c r="N77" s="5">
        <f>'Утв. ИП 2014-2019'!W82</f>
        <v>0</v>
      </c>
      <c r="O77" s="5"/>
      <c r="P77" s="5">
        <f>0.6*N77</f>
        <v>0</v>
      </c>
      <c r="Q77" s="5">
        <f>0.4*N77</f>
        <v>0</v>
      </c>
      <c r="R77" s="5">
        <f t="shared" si="19"/>
        <v>0</v>
      </c>
      <c r="S77" s="5">
        <f>'Утв. ИП 2014-2019'!W82</f>
        <v>0</v>
      </c>
      <c r="T77" s="5">
        <f t="shared" si="20"/>
        <v>0</v>
      </c>
      <c r="U77" s="5">
        <f>S77-T77</f>
        <v>0</v>
      </c>
      <c r="V77" s="5">
        <f>'Утв. ИП 2014-2019'!AK82</f>
        <v>0</v>
      </c>
      <c r="W77" s="5"/>
      <c r="X77" s="5">
        <f>V77</f>
        <v>0</v>
      </c>
      <c r="Y77" s="5"/>
      <c r="Z77" s="5"/>
      <c r="AA77" s="5"/>
      <c r="AB77" s="5"/>
      <c r="AC77" s="23">
        <f>'Утв. ИП 2014-2019'!G82</f>
        <v>2017</v>
      </c>
      <c r="AD77" s="25"/>
      <c r="AE77" s="8"/>
      <c r="AF77" s="8"/>
      <c r="AG77" s="5">
        <f>'Утв. ИП 2014-2019'!AY82</f>
        <v>0.4</v>
      </c>
      <c r="AH77" s="5"/>
    </row>
    <row r="78" spans="1:38" s="32" customFormat="1" ht="25.5" collapsed="1" x14ac:dyDescent="0.2">
      <c r="A78" s="28" t="e">
        <f>A77+1</f>
        <v>#REF!</v>
      </c>
      <c r="B78" s="28" t="str">
        <f>'Утв. ИП 2014-2019'!B83</f>
        <v>2.1.3</v>
      </c>
      <c r="C78" s="29" t="str">
        <f>'Утв. ИП 2014-2019'!C83</f>
        <v>Объекты электросетевого хозяйства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>
        <f>'Утв. ИП 2014-2019'!W83</f>
        <v>6.6962999999999999</v>
      </c>
      <c r="O78" s="31">
        <f>SUM(O79:O83)</f>
        <v>0</v>
      </c>
      <c r="P78" s="31">
        <f>SUM(P79:P83)</f>
        <v>4.0177800000000001</v>
      </c>
      <c r="Q78" s="31">
        <f>SUM(Q79:Q83)</f>
        <v>2.6785200000000002</v>
      </c>
      <c r="R78" s="31">
        <f>SUM(R79:R83)</f>
        <v>0</v>
      </c>
      <c r="S78" s="31">
        <f>'Утв. ИП 2014-2019'!W83</f>
        <v>6.6962999999999999</v>
      </c>
      <c r="T78" s="31">
        <f>SUM(T79:T83)</f>
        <v>0.66963000000000006</v>
      </c>
      <c r="U78" s="31">
        <f>SUM(U79:U83)</f>
        <v>6.0266700000000002</v>
      </c>
      <c r="V78" s="31">
        <f>'Утв. ИП 2014-2019'!AK83</f>
        <v>7.3262999999999998</v>
      </c>
      <c r="W78" s="31">
        <f>SUM(W79:W83)</f>
        <v>0</v>
      </c>
      <c r="X78" s="31">
        <f>SUM(X79:X83)</f>
        <v>7.3262999999999998</v>
      </c>
      <c r="Y78" s="31"/>
      <c r="Z78" s="31"/>
      <c r="AA78" s="31"/>
      <c r="AB78" s="31"/>
      <c r="AC78" s="31"/>
      <c r="AD78" s="31"/>
      <c r="AE78" s="31"/>
      <c r="AF78" s="31"/>
      <c r="AG78" s="31"/>
      <c r="AH78" s="31"/>
    </row>
    <row r="79" spans="1:38" s="2" customFormat="1" ht="63.75" hidden="1" outlineLevel="1" x14ac:dyDescent="0.2">
      <c r="A79" s="6" t="e">
        <f>A80+1</f>
        <v>#REF!</v>
      </c>
      <c r="B79" s="6" t="str">
        <f>'Утв. ИП 2014-2019'!B84</f>
        <v>2.1.3.1</v>
      </c>
      <c r="C79" s="79" t="str">
        <f>'Утв. ИП 2014-2019'!C84</f>
        <v xml:space="preserve">Строительство нового РП-4 по ул. Папина </v>
      </c>
      <c r="D79" s="25" t="s">
        <v>203</v>
      </c>
      <c r="E79" s="8">
        <v>25</v>
      </c>
      <c r="F79" s="25" t="s">
        <v>160</v>
      </c>
      <c r="G79" s="8" t="s">
        <v>204</v>
      </c>
      <c r="H79" s="5"/>
      <c r="I79" s="5"/>
      <c r="J79" s="5"/>
      <c r="K79" s="5"/>
      <c r="L79" s="5"/>
      <c r="M79" s="5"/>
      <c r="N79" s="5">
        <f>'Утв. ИП 2014-2019'!W84</f>
        <v>0</v>
      </c>
      <c r="O79" s="5"/>
      <c r="P79" s="5"/>
      <c r="Q79" s="5"/>
      <c r="R79" s="5">
        <f t="shared" si="19"/>
        <v>0</v>
      </c>
      <c r="S79" s="5">
        <f>'Утв. ИП 2014-2019'!W84</f>
        <v>0</v>
      </c>
      <c r="T79" s="5">
        <f t="shared" si="20"/>
        <v>0</v>
      </c>
      <c r="U79" s="5">
        <f>S79-T79</f>
        <v>0</v>
      </c>
      <c r="V79" s="5">
        <f>'Утв. ИП 2014-2019'!AK84</f>
        <v>0</v>
      </c>
      <c r="W79" s="5"/>
      <c r="X79" s="5">
        <f>V79</f>
        <v>0</v>
      </c>
      <c r="Y79" s="23">
        <f>'Утв. ИП 2014-2019'!G84</f>
        <v>2014</v>
      </c>
      <c r="Z79" s="8" t="s">
        <v>205</v>
      </c>
      <c r="AA79" s="25">
        <v>2</v>
      </c>
      <c r="AB79" s="8" t="s">
        <v>1276</v>
      </c>
      <c r="AC79" s="5"/>
      <c r="AD79" s="5"/>
      <c r="AE79" s="5"/>
      <c r="AF79" s="5"/>
      <c r="AG79" s="5"/>
      <c r="AH79" s="5"/>
    </row>
    <row r="80" spans="1:38" s="2" customFormat="1" ht="38.25" hidden="1" outlineLevel="1" x14ac:dyDescent="0.2">
      <c r="A80" s="6" t="e">
        <f>A82+1</f>
        <v>#REF!</v>
      </c>
      <c r="B80" s="6" t="str">
        <f>'Утв. ИП 2014-2019'!B85</f>
        <v>2.1.3.2</v>
      </c>
      <c r="C80" s="79" t="str">
        <f>'Утв. ИП 2014-2019'!C85</f>
        <v>Строительство КТП взамен существующей МТП-802 в пос.Северный Рудник</v>
      </c>
      <c r="D80" s="25" t="s">
        <v>100</v>
      </c>
      <c r="E80" s="8">
        <v>25</v>
      </c>
      <c r="F80" s="25" t="s">
        <v>129</v>
      </c>
      <c r="G80" s="8" t="s">
        <v>146</v>
      </c>
      <c r="H80" s="5"/>
      <c r="I80" s="5"/>
      <c r="J80" s="5"/>
      <c r="K80" s="5"/>
      <c r="L80" s="5"/>
      <c r="M80" s="5"/>
      <c r="N80" s="5">
        <f>'Утв. ИП 2014-2019'!W85</f>
        <v>0</v>
      </c>
      <c r="O80" s="5"/>
      <c r="P80" s="5"/>
      <c r="Q80" s="5"/>
      <c r="R80" s="5">
        <f t="shared" si="19"/>
        <v>0</v>
      </c>
      <c r="S80" s="5">
        <f>'Утв. ИП 2014-2019'!W85</f>
        <v>0</v>
      </c>
      <c r="T80" s="5">
        <f t="shared" si="20"/>
        <v>0</v>
      </c>
      <c r="U80" s="5">
        <f>S80-T80</f>
        <v>0</v>
      </c>
      <c r="V80" s="5">
        <f>'Утв. ИП 2014-2019'!AK85</f>
        <v>0</v>
      </c>
      <c r="W80" s="5"/>
      <c r="X80" s="5">
        <f>V80</f>
        <v>0</v>
      </c>
      <c r="Y80" s="23">
        <f>'Утв. ИП 2014-2019'!G85</f>
        <v>2015</v>
      </c>
      <c r="Z80" s="8">
        <v>25</v>
      </c>
      <c r="AA80" s="25" t="s">
        <v>129</v>
      </c>
      <c r="AB80" s="8" t="s">
        <v>146</v>
      </c>
      <c r="AC80" s="5"/>
      <c r="AD80" s="5"/>
      <c r="AE80" s="5"/>
      <c r="AF80" s="5"/>
      <c r="AG80" s="5"/>
      <c r="AH80" s="5"/>
    </row>
    <row r="81" spans="1:38" s="2" customFormat="1" ht="25.5" hidden="1" outlineLevel="1" x14ac:dyDescent="0.2">
      <c r="A81" s="6"/>
      <c r="B81" s="6" t="str">
        <f>'Утв. ИП 2014-2019'!B86</f>
        <v>2.1.3.3</v>
      </c>
      <c r="C81" s="79" t="str">
        <f>'Утв. ИП 2014-2019'!C86</f>
        <v>Строительство новой КТП взамен существующей КТП-426</v>
      </c>
      <c r="D81" s="25" t="s">
        <v>1452</v>
      </c>
      <c r="E81" s="8">
        <v>25</v>
      </c>
      <c r="F81" s="25" t="s">
        <v>129</v>
      </c>
      <c r="G81" s="8" t="s">
        <v>146</v>
      </c>
      <c r="H81" s="5"/>
      <c r="I81" s="5"/>
      <c r="J81" s="5"/>
      <c r="K81" s="5"/>
      <c r="L81" s="5"/>
      <c r="M81" s="5"/>
      <c r="N81" s="5">
        <f>'Утв. ИП 2014-2019'!W86</f>
        <v>0</v>
      </c>
      <c r="O81" s="5"/>
      <c r="P81" s="5"/>
      <c r="Q81" s="5"/>
      <c r="R81" s="5">
        <f t="shared" si="19"/>
        <v>0</v>
      </c>
      <c r="S81" s="5">
        <f>'Утв. ИП 2014-2019'!W86</f>
        <v>0</v>
      </c>
      <c r="T81" s="5">
        <f t="shared" si="20"/>
        <v>0</v>
      </c>
      <c r="U81" s="5">
        <f>S81-T81</f>
        <v>0</v>
      </c>
      <c r="V81" s="5">
        <f>'Утв. ИП 2014-2019'!AK86</f>
        <v>0</v>
      </c>
      <c r="W81" s="5"/>
      <c r="X81" s="5">
        <f>V81</f>
        <v>0</v>
      </c>
      <c r="Y81" s="23">
        <f>'Утв. ИП 2014-2019'!G86</f>
        <v>2017</v>
      </c>
      <c r="Z81" s="8">
        <v>25</v>
      </c>
      <c r="AA81" s="25" t="s">
        <v>129</v>
      </c>
      <c r="AB81" s="8" t="s">
        <v>146</v>
      </c>
      <c r="AC81" s="5"/>
      <c r="AD81" s="5"/>
      <c r="AE81" s="5"/>
      <c r="AF81" s="5"/>
      <c r="AG81" s="5"/>
      <c r="AH81" s="5"/>
    </row>
    <row r="82" spans="1:38" s="2" customFormat="1" ht="51" hidden="1" outlineLevel="1" x14ac:dyDescent="0.2">
      <c r="A82" s="6" t="e">
        <f>A78+1</f>
        <v>#REF!</v>
      </c>
      <c r="B82" s="6" t="str">
        <f>'Утв. ИП 2014-2019'!B87</f>
        <v>2.1.3.4</v>
      </c>
      <c r="C82" s="265" t="str">
        <f>'Утв. ИП 2014-2019'!C87</f>
        <v>Строительство ТП-612 по ул. Исполкомовская (с демонтажем старого здания)</v>
      </c>
      <c r="D82" s="25" t="s">
        <v>109</v>
      </c>
      <c r="E82" s="8">
        <v>25</v>
      </c>
      <c r="F82" s="25" t="s">
        <v>160</v>
      </c>
      <c r="G82" s="8" t="s">
        <v>206</v>
      </c>
      <c r="H82" s="5"/>
      <c r="I82" s="5"/>
      <c r="J82" s="5"/>
      <c r="K82" s="5"/>
      <c r="L82" s="5"/>
      <c r="M82" s="5"/>
      <c r="N82" s="5">
        <f>'Утв. ИП 2014-2019'!W87</f>
        <v>0</v>
      </c>
      <c r="O82" s="5"/>
      <c r="P82" s="5"/>
      <c r="Q82" s="5"/>
      <c r="R82" s="5">
        <f t="shared" si="19"/>
        <v>0</v>
      </c>
      <c r="S82" s="5">
        <f>'Утв. ИП 2014-2019'!W87</f>
        <v>0</v>
      </c>
      <c r="T82" s="5">
        <f t="shared" si="20"/>
        <v>0</v>
      </c>
      <c r="U82" s="5">
        <f>S82-T82</f>
        <v>0</v>
      </c>
      <c r="V82" s="5">
        <f>'Утв. ИП 2014-2019'!AK87</f>
        <v>0</v>
      </c>
      <c r="W82" s="5"/>
      <c r="X82" s="5">
        <f>V82</f>
        <v>0</v>
      </c>
      <c r="Y82" s="23">
        <f>'Утв. ИП 2014-2019'!G87</f>
        <v>2017</v>
      </c>
      <c r="Z82" s="25" t="s">
        <v>205</v>
      </c>
      <c r="AA82" s="8">
        <v>2</v>
      </c>
      <c r="AB82" s="8" t="s">
        <v>206</v>
      </c>
      <c r="AC82" s="5"/>
      <c r="AD82" s="5"/>
      <c r="AE82" s="5"/>
      <c r="AF82" s="5"/>
      <c r="AG82" s="5"/>
      <c r="AH82" s="5"/>
    </row>
    <row r="83" spans="1:38" s="2" customFormat="1" ht="25.5" collapsed="1" x14ac:dyDescent="0.2">
      <c r="A83" s="6" t="e">
        <f>A79+1</f>
        <v>#REF!</v>
      </c>
      <c r="B83" s="6" t="str">
        <f>'Утв. ИП 2014-2019'!B88</f>
        <v>2.1.3.5</v>
      </c>
      <c r="C83" s="266" t="str">
        <f>'Утв. ИП 2014-2019'!C88</f>
        <v>Строительство новой БКТП взамен КТП-725</v>
      </c>
      <c r="D83" s="25" t="e">
        <f>#REF!</f>
        <v>#REF!</v>
      </c>
      <c r="E83" s="8" t="e">
        <f>#REF!</f>
        <v>#REF!</v>
      </c>
      <c r="F83" s="25" t="e">
        <f>#REF!</f>
        <v>#REF!</v>
      </c>
      <c r="G83" s="8" t="e">
        <f>#REF!</f>
        <v>#REF!</v>
      </c>
      <c r="H83" s="5"/>
      <c r="I83" s="5"/>
      <c r="J83" s="5"/>
      <c r="K83" s="5"/>
      <c r="L83" s="5"/>
      <c r="M83" s="5"/>
      <c r="N83" s="5">
        <f>'Утв. ИП 2014-2019'!W88</f>
        <v>6.6962999999999999</v>
      </c>
      <c r="O83" s="5"/>
      <c r="P83" s="5">
        <f>N83*0.6</f>
        <v>4.0177800000000001</v>
      </c>
      <c r="Q83" s="5">
        <f>N83*0.4</f>
        <v>2.6785200000000002</v>
      </c>
      <c r="R83" s="5">
        <f t="shared" si="19"/>
        <v>0</v>
      </c>
      <c r="S83" s="5">
        <f>'Утв. ИП 2014-2019'!W88</f>
        <v>6.6962999999999999</v>
      </c>
      <c r="T83" s="5">
        <f t="shared" si="20"/>
        <v>0.66963000000000006</v>
      </c>
      <c r="U83" s="5">
        <f>S83-T83</f>
        <v>6.0266700000000002</v>
      </c>
      <c r="V83" s="5">
        <f>'Утв. ИП 2014-2019'!AK88</f>
        <v>7.3262999999999998</v>
      </c>
      <c r="W83" s="5"/>
      <c r="X83" s="5">
        <f>V83</f>
        <v>7.3262999999999998</v>
      </c>
      <c r="Y83" s="23">
        <f>'Утв. ИП 2014-2019'!G88</f>
        <v>2019</v>
      </c>
      <c r="Z83" s="8">
        <v>25</v>
      </c>
      <c r="AA83" s="25" t="s">
        <v>129</v>
      </c>
      <c r="AB83" s="8" t="s">
        <v>146</v>
      </c>
      <c r="AC83" s="5"/>
      <c r="AD83" s="5"/>
      <c r="AE83" s="5"/>
      <c r="AF83" s="5"/>
      <c r="AG83" s="5"/>
      <c r="AH83" s="5"/>
    </row>
    <row r="84" spans="1:38" s="32" customFormat="1" ht="28.5" customHeight="1" x14ac:dyDescent="0.2">
      <c r="A84" s="28" t="e">
        <f>A83+1</f>
        <v>#REF!</v>
      </c>
      <c r="B84" s="28" t="str">
        <f>'Утв. ИП 2014-2019'!B89</f>
        <v>2.1.4</v>
      </c>
      <c r="C84" s="29" t="str">
        <f>'Утв. ИП 2014-2019'!C89</f>
        <v>Расширение существующей системы учета электроэнергии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>
        <f>'Утв. ИП 2014-2019'!W89</f>
        <v>0</v>
      </c>
      <c r="O84" s="31">
        <f>0</f>
        <v>0</v>
      </c>
      <c r="P84" s="31">
        <f>0</f>
        <v>0</v>
      </c>
      <c r="Q84" s="31">
        <f>0</f>
        <v>0</v>
      </c>
      <c r="R84" s="31">
        <f>0</f>
        <v>0</v>
      </c>
      <c r="S84" s="31">
        <f>'Утв. ИП 2014-2019'!W89</f>
        <v>0</v>
      </c>
      <c r="T84" s="31">
        <f>0</f>
        <v>0</v>
      </c>
      <c r="U84" s="31">
        <f>0</f>
        <v>0</v>
      </c>
      <c r="V84" s="31">
        <f>'Утв. ИП 2014-2019'!AK89</f>
        <v>0</v>
      </c>
      <c r="W84" s="31">
        <f>0</f>
        <v>0</v>
      </c>
      <c r="X84" s="31">
        <f>0</f>
        <v>0</v>
      </c>
      <c r="Y84" s="31"/>
      <c r="Z84" s="31"/>
      <c r="AA84" s="31"/>
      <c r="AB84" s="31"/>
      <c r="AC84" s="31"/>
      <c r="AD84" s="31"/>
      <c r="AE84" s="31"/>
      <c r="AF84" s="31"/>
      <c r="AG84" s="31"/>
      <c r="AH84" s="31"/>
    </row>
    <row r="85" spans="1:38" s="32" customFormat="1" ht="38.25" customHeight="1" x14ac:dyDescent="0.2">
      <c r="A85" s="28" t="e">
        <f>A57+1</f>
        <v>#REF!</v>
      </c>
      <c r="B85" s="28" t="str">
        <f>'Утв. ИП 2014-2019'!B90</f>
        <v>2.2</v>
      </c>
      <c r="C85" s="29" t="str">
        <f>'Утв. ИП 2014-2019'!C90</f>
        <v>Приведение объектов компании к требуемой категории надежности электроснабжения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>
        <f>'Утв. ИП 2014-2019'!W90</f>
        <v>0</v>
      </c>
      <c r="O85" s="31">
        <f>0</f>
        <v>0</v>
      </c>
      <c r="P85" s="31">
        <f>0</f>
        <v>0</v>
      </c>
      <c r="Q85" s="31">
        <f>0</f>
        <v>0</v>
      </c>
      <c r="R85" s="31">
        <f>0</f>
        <v>0</v>
      </c>
      <c r="S85" s="31">
        <f>'Утв. ИП 2014-2019'!W90</f>
        <v>0</v>
      </c>
      <c r="T85" s="31">
        <f>0</f>
        <v>0</v>
      </c>
      <c r="U85" s="31">
        <f>0</f>
        <v>0</v>
      </c>
      <c r="V85" s="31">
        <f>'Утв. ИП 2014-2019'!AK90</f>
        <v>0</v>
      </c>
      <c r="W85" s="31">
        <f>0</f>
        <v>0</v>
      </c>
      <c r="X85" s="31">
        <f>0</f>
        <v>0</v>
      </c>
      <c r="Y85" s="31"/>
      <c r="Z85" s="31"/>
      <c r="AA85" s="31"/>
      <c r="AB85" s="31"/>
      <c r="AC85" s="31"/>
      <c r="AD85" s="31"/>
      <c r="AE85" s="31"/>
      <c r="AF85" s="31"/>
      <c r="AG85" s="31"/>
      <c r="AH85" s="31"/>
    </row>
    <row r="86" spans="1:38" s="32" customFormat="1" x14ac:dyDescent="0.2">
      <c r="A86" s="28" t="e">
        <f>#REF!+1</f>
        <v>#REF!</v>
      </c>
      <c r="B86" s="28" t="str">
        <f>'Утв. ИП 2014-2019'!B91</f>
        <v>2.3</v>
      </c>
      <c r="C86" s="29" t="str">
        <f>'Утв. ИП 2014-2019'!C91</f>
        <v>Прочее новое строительство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>
        <f>'Утв. ИП 2014-2019'!W91</f>
        <v>0</v>
      </c>
      <c r="O86" s="31">
        <f>O87</f>
        <v>0</v>
      </c>
      <c r="P86" s="31">
        <f>P87</f>
        <v>0</v>
      </c>
      <c r="Q86" s="31">
        <f>Q87</f>
        <v>0</v>
      </c>
      <c r="R86" s="31">
        <f>R87</f>
        <v>0</v>
      </c>
      <c r="S86" s="31">
        <f>'Утв. ИП 2014-2019'!W91</f>
        <v>0</v>
      </c>
      <c r="T86" s="31">
        <f>T87</f>
        <v>0</v>
      </c>
      <c r="U86" s="31">
        <f>U87</f>
        <v>0</v>
      </c>
      <c r="V86" s="31">
        <f>'Утв. ИП 2014-2019'!AK91</f>
        <v>0</v>
      </c>
      <c r="W86" s="31">
        <f>W87</f>
        <v>0</v>
      </c>
      <c r="X86" s="31">
        <f>X87</f>
        <v>0</v>
      </c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spans="1:38" s="2" customFormat="1" ht="51" hidden="1" outlineLevel="1" x14ac:dyDescent="0.2">
      <c r="A87" s="6" t="e">
        <f>A86+1</f>
        <v>#REF!</v>
      </c>
      <c r="B87" s="6" t="str">
        <f>'Утв. ИП 2014-2019'!B92</f>
        <v>2.3.1</v>
      </c>
      <c r="C87" s="79" t="str">
        <f>'Утв. ИП 2014-2019'!C92</f>
        <v>Строительство РП "Новая Гагарина" и кабельной сети 6 кВ от ПС "Трубная 2"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f>'Утв. ИП 2014-2019'!W92</f>
        <v>0</v>
      </c>
      <c r="O87" s="5"/>
      <c r="P87" s="5">
        <f>0.4*N87</f>
        <v>0</v>
      </c>
      <c r="Q87" s="5">
        <f>0.6*N87</f>
        <v>0</v>
      </c>
      <c r="R87" s="5">
        <f>N87-O87-P87-Q87</f>
        <v>0</v>
      </c>
      <c r="S87" s="5">
        <f>'Утв. ИП 2014-2019'!W92</f>
        <v>0</v>
      </c>
      <c r="T87" s="5">
        <f>0.1*S87</f>
        <v>0</v>
      </c>
      <c r="U87" s="5">
        <f>S87-T87</f>
        <v>0</v>
      </c>
      <c r="V87" s="5">
        <f>'Утв. ИП 2014-2019'!AK92</f>
        <v>0</v>
      </c>
      <c r="W87" s="5"/>
      <c r="X87" s="5">
        <f>V87</f>
        <v>0</v>
      </c>
      <c r="Y87" s="23">
        <f>'Утв. ИП 2014-2019'!G92</f>
        <v>2016</v>
      </c>
      <c r="Z87" s="25" t="s">
        <v>205</v>
      </c>
      <c r="AA87" s="8" t="s">
        <v>212</v>
      </c>
      <c r="AB87" s="25" t="s">
        <v>449</v>
      </c>
      <c r="AC87" s="23">
        <f>'Утв. ИП 2014-2019'!G92</f>
        <v>2016</v>
      </c>
      <c r="AD87" s="25" t="s">
        <v>214</v>
      </c>
      <c r="AE87" s="8" t="s">
        <v>212</v>
      </c>
      <c r="AF87" s="25" t="s">
        <v>82</v>
      </c>
      <c r="AG87" s="5">
        <f>'Утв. ИП 2014-2019'!AY92</f>
        <v>7.6</v>
      </c>
      <c r="AH87" s="5"/>
    </row>
    <row r="88" spans="1:38" s="14" customFormat="1" ht="22.5" hidden="1" outlineLevel="1" x14ac:dyDescent="0.2">
      <c r="A88" s="6" t="e">
        <f>A87+1</f>
        <v>#REF!</v>
      </c>
      <c r="B88" s="10"/>
      <c r="C88" s="97" t="str">
        <f>'Утв. ИП 2014-2019'!C93</f>
        <v>Строительство РП "Новая Гагарина" 6 кВ по ул. Гагарина</v>
      </c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>
        <f>'Утв. ИП 2014-2019'!W93</f>
        <v>0</v>
      </c>
      <c r="O88" s="50"/>
      <c r="P88" s="5"/>
      <c r="Q88" s="5"/>
      <c r="R88" s="50"/>
      <c r="S88" s="5">
        <f>'Утв. ИП 2014-2019'!W93</f>
        <v>0</v>
      </c>
      <c r="T88" s="5"/>
      <c r="U88" s="5"/>
      <c r="V88" s="5">
        <f>'Утв. ИП 2014-2019'!AK93</f>
        <v>0</v>
      </c>
      <c r="W88" s="50"/>
      <c r="X88" s="50"/>
      <c r="Y88" s="8"/>
      <c r="Z88" s="50"/>
      <c r="AA88" s="50"/>
      <c r="AB88" s="50"/>
      <c r="AC88" s="8"/>
      <c r="AD88" s="50"/>
      <c r="AE88" s="50"/>
      <c r="AF88" s="50"/>
      <c r="AG88" s="50"/>
      <c r="AH88" s="50"/>
    </row>
    <row r="89" spans="1:38" s="14" customFormat="1" ht="33.75" hidden="1" outlineLevel="1" x14ac:dyDescent="0.2">
      <c r="A89" s="6" t="e">
        <f>A88+1</f>
        <v>#REF!</v>
      </c>
      <c r="B89" s="10"/>
      <c r="C89" s="97" t="str">
        <f>'Утв. ИП 2014-2019'!C94</f>
        <v>Строительство КЛ-6 кВ сети электроснабжения от ПС "Трубная-2" до РП по ул. Гагарина</v>
      </c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>
        <f>'Утв. ИП 2014-2019'!W94</f>
        <v>0</v>
      </c>
      <c r="O89" s="50"/>
      <c r="P89" s="5"/>
      <c r="Q89" s="5"/>
      <c r="R89" s="50"/>
      <c r="S89" s="5">
        <f>'Утв. ИП 2014-2019'!W94</f>
        <v>0</v>
      </c>
      <c r="T89" s="5"/>
      <c r="U89" s="5"/>
      <c r="V89" s="5">
        <f>'Утв. ИП 2014-2019'!AK94</f>
        <v>0</v>
      </c>
      <c r="W89" s="50"/>
      <c r="X89" s="50"/>
      <c r="Y89" s="8"/>
      <c r="Z89" s="50"/>
      <c r="AA89" s="50"/>
      <c r="AB89" s="50"/>
      <c r="AC89" s="8"/>
      <c r="AD89" s="50"/>
      <c r="AE89" s="50"/>
      <c r="AF89" s="50"/>
      <c r="AG89" s="50"/>
      <c r="AH89" s="50"/>
    </row>
    <row r="90" spans="1:38" s="32" customFormat="1" ht="25.5" collapsed="1" x14ac:dyDescent="0.2">
      <c r="A90" s="28" t="e">
        <f>#REF!+1</f>
        <v>#REF!</v>
      </c>
      <c r="B90" s="28" t="str">
        <f>'Утв. ИП 2014-2019'!B95</f>
        <v>2.4</v>
      </c>
      <c r="C90" s="29" t="str">
        <f>'Утв. ИП 2014-2019'!C95</f>
        <v>Оборудование, не входящее в сметы строек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>
        <f>'Утв. ИП 2014-2019'!W95</f>
        <v>0.13</v>
      </c>
      <c r="O90" s="31">
        <f>SUM(O91:O98)</f>
        <v>0</v>
      </c>
      <c r="P90" s="31">
        <f>SUM(P91:P98)</f>
        <v>0</v>
      </c>
      <c r="Q90" s="31">
        <f>SUM(Q91:Q98)</f>
        <v>0.13</v>
      </c>
      <c r="R90" s="31">
        <f>SUM(R91:R98)</f>
        <v>0</v>
      </c>
      <c r="S90" s="31">
        <f>'Утв. ИП 2014-2019'!W95</f>
        <v>0.13</v>
      </c>
      <c r="T90" s="31">
        <f>SUM(T91:T98)</f>
        <v>0</v>
      </c>
      <c r="U90" s="31">
        <f>SUM(U91:U98)</f>
        <v>0.13</v>
      </c>
      <c r="V90" s="31">
        <f>'Утв. ИП 2014-2019'!AK95</f>
        <v>0.13</v>
      </c>
      <c r="W90" s="31">
        <f>SUM(W91:W98)</f>
        <v>0</v>
      </c>
      <c r="X90" s="31">
        <f>SUM(X91:X98)</f>
        <v>0.13</v>
      </c>
      <c r="Y90" s="31"/>
      <c r="Z90" s="31"/>
      <c r="AA90" s="31"/>
      <c r="AB90" s="31"/>
      <c r="AC90" s="31"/>
      <c r="AD90" s="31"/>
      <c r="AE90" s="31"/>
      <c r="AF90" s="31"/>
      <c r="AG90" s="31"/>
      <c r="AH90" s="31"/>
    </row>
    <row r="91" spans="1:38" s="2" customFormat="1" ht="51" hidden="1" outlineLevel="1" x14ac:dyDescent="0.2">
      <c r="A91" s="6"/>
      <c r="B91" s="6" t="str">
        <f>'Утв. ИП 2014-2019'!B96</f>
        <v>2.4.1</v>
      </c>
      <c r="C91" s="79" t="str">
        <f>'Утв. ИП 2014-2019'!C96</f>
        <v>Модернизация прибора для измерения показания качества эл. энергии - "Ресурс-UF2M-3T64-3000", инв. № 433101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>
        <f>'Утв. ИП 2014-2019'!W96</f>
        <v>0</v>
      </c>
      <c r="O91" s="5"/>
      <c r="P91" s="5"/>
      <c r="Q91" s="5">
        <f t="shared" ref="Q91:Q98" si="21">N91</f>
        <v>0</v>
      </c>
      <c r="R91" s="5">
        <f t="shared" ref="R91:R98" si="22">N91-O91-P91-Q91</f>
        <v>0</v>
      </c>
      <c r="S91" s="5">
        <f>'Утв. ИП 2014-2019'!W96</f>
        <v>0</v>
      </c>
      <c r="T91" s="5"/>
      <c r="U91" s="5">
        <f t="shared" ref="U91:U98" si="23">S91-T91</f>
        <v>0</v>
      </c>
      <c r="V91" s="5">
        <f>'Утв. ИП 2014-2019'!AK96</f>
        <v>0</v>
      </c>
      <c r="W91" s="5"/>
      <c r="X91" s="5">
        <f t="shared" ref="X91:X98" si="24">V91</f>
        <v>0</v>
      </c>
      <c r="Y91" s="5"/>
      <c r="Z91" s="5"/>
      <c r="AA91" s="5"/>
      <c r="AB91" s="5"/>
      <c r="AC91" s="5"/>
      <c r="AD91" s="5"/>
      <c r="AE91" s="5"/>
      <c r="AF91" s="5"/>
      <c r="AG91" s="5"/>
      <c r="AH91" s="5">
        <f>'Утв. ИП 2014-2019'!P96</f>
        <v>0</v>
      </c>
      <c r="AI91" s="47"/>
      <c r="AJ91" s="47"/>
      <c r="AK91" s="47"/>
      <c r="AL91" s="47"/>
    </row>
    <row r="92" spans="1:38" s="2" customFormat="1" ht="51" hidden="1" outlineLevel="1" x14ac:dyDescent="0.2">
      <c r="A92" s="6"/>
      <c r="B92" s="6" t="str">
        <f>'Утв. ИП 2014-2019'!B97</f>
        <v>2.4.2</v>
      </c>
      <c r="C92" s="79" t="str">
        <f>'Утв. ИП 2014-2019'!C97</f>
        <v>Модернизация прибора для измерения показания качества эл. энергии - "Ресурс-UF2M-3T64-3000", инв. № 433103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>
        <f>'Утв. ИП 2014-2019'!W97</f>
        <v>0</v>
      </c>
      <c r="O92" s="5"/>
      <c r="P92" s="5"/>
      <c r="Q92" s="5">
        <f t="shared" si="21"/>
        <v>0</v>
      </c>
      <c r="R92" s="5">
        <f t="shared" si="22"/>
        <v>0</v>
      </c>
      <c r="S92" s="5">
        <f>'Утв. ИП 2014-2019'!W97</f>
        <v>0</v>
      </c>
      <c r="T92" s="5"/>
      <c r="U92" s="5">
        <f t="shared" si="23"/>
        <v>0</v>
      </c>
      <c r="V92" s="5">
        <f>'Утв. ИП 2014-2019'!AK97</f>
        <v>0</v>
      </c>
      <c r="W92" s="5"/>
      <c r="X92" s="5">
        <f t="shared" si="24"/>
        <v>0</v>
      </c>
      <c r="Y92" s="5"/>
      <c r="Z92" s="5"/>
      <c r="AA92" s="5"/>
      <c r="AB92" s="5"/>
      <c r="AC92" s="5"/>
      <c r="AD92" s="5"/>
      <c r="AE92" s="5"/>
      <c r="AF92" s="5"/>
      <c r="AG92" s="5"/>
      <c r="AH92" s="5">
        <f>'Утв. ИП 2014-2019'!P97</f>
        <v>0</v>
      </c>
      <c r="AI92" s="47"/>
      <c r="AJ92" s="47"/>
      <c r="AK92" s="47"/>
      <c r="AL92" s="47"/>
    </row>
    <row r="93" spans="1:38" s="2" customFormat="1" hidden="1" outlineLevel="1" x14ac:dyDescent="0.2">
      <c r="A93" s="6"/>
      <c r="B93" s="6" t="str">
        <f>'Утв. ИП 2014-2019'!B98</f>
        <v>2.4.3</v>
      </c>
      <c r="C93" s="79" t="str">
        <f>'Утв. ИП 2014-2019'!C98</f>
        <v>Поисковый комплект КП-100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>
        <f>'Утв. ИП 2014-2019'!W98</f>
        <v>0</v>
      </c>
      <c r="O93" s="5"/>
      <c r="P93" s="5"/>
      <c r="Q93" s="5">
        <f t="shared" si="21"/>
        <v>0</v>
      </c>
      <c r="R93" s="5">
        <f t="shared" si="22"/>
        <v>0</v>
      </c>
      <c r="S93" s="5">
        <f>'Утв. ИП 2014-2019'!W98</f>
        <v>0</v>
      </c>
      <c r="T93" s="5"/>
      <c r="U93" s="5">
        <f t="shared" si="23"/>
        <v>0</v>
      </c>
      <c r="V93" s="5">
        <f>'Утв. ИП 2014-2019'!AK98</f>
        <v>0</v>
      </c>
      <c r="W93" s="5"/>
      <c r="X93" s="5">
        <f t="shared" si="24"/>
        <v>0</v>
      </c>
      <c r="Y93" s="5"/>
      <c r="Z93" s="5"/>
      <c r="AA93" s="5"/>
      <c r="AB93" s="5"/>
      <c r="AC93" s="5"/>
      <c r="AD93" s="5"/>
      <c r="AE93" s="5"/>
      <c r="AF93" s="5"/>
      <c r="AG93" s="5"/>
      <c r="AH93" s="5">
        <f>'Утв. ИП 2014-2019'!P98</f>
        <v>0</v>
      </c>
      <c r="AI93" s="47"/>
      <c r="AJ93" s="47"/>
      <c r="AK93" s="47"/>
      <c r="AL93" s="47"/>
    </row>
    <row r="94" spans="1:38" s="2" customFormat="1" hidden="1" outlineLevel="1" x14ac:dyDescent="0.2">
      <c r="A94" s="6"/>
      <c r="B94" s="6" t="str">
        <f>'Утв. ИП 2014-2019'!B99</f>
        <v>2.4.4</v>
      </c>
      <c r="C94" s="79" t="str">
        <f>'Утв. ИП 2014-2019'!C99</f>
        <v>Установка поверки счетчиков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f>'Утв. ИП 2014-2019'!W99</f>
        <v>0</v>
      </c>
      <c r="O94" s="5"/>
      <c r="P94" s="5"/>
      <c r="Q94" s="5">
        <f t="shared" si="21"/>
        <v>0</v>
      </c>
      <c r="R94" s="5">
        <f t="shared" si="22"/>
        <v>0</v>
      </c>
      <c r="S94" s="5">
        <f>'Утв. ИП 2014-2019'!W99</f>
        <v>0</v>
      </c>
      <c r="T94" s="5"/>
      <c r="U94" s="5">
        <f t="shared" si="23"/>
        <v>0</v>
      </c>
      <c r="V94" s="5">
        <f>'Утв. ИП 2014-2019'!AK99</f>
        <v>0</v>
      </c>
      <c r="W94" s="5"/>
      <c r="X94" s="5">
        <f t="shared" si="24"/>
        <v>0</v>
      </c>
      <c r="Y94" s="5"/>
      <c r="Z94" s="5"/>
      <c r="AA94" s="5"/>
      <c r="AB94" s="5"/>
      <c r="AC94" s="5"/>
      <c r="AD94" s="5"/>
      <c r="AE94" s="5"/>
      <c r="AF94" s="5"/>
      <c r="AG94" s="5"/>
      <c r="AH94" s="5">
        <f>'Утв. ИП 2014-2019'!P99</f>
        <v>0</v>
      </c>
      <c r="AI94" s="47"/>
      <c r="AJ94" s="47"/>
      <c r="AK94" s="47"/>
      <c r="AL94" s="47"/>
    </row>
    <row r="95" spans="1:38" s="2" customFormat="1" ht="25.5" hidden="1" outlineLevel="1" x14ac:dyDescent="0.2">
      <c r="A95" s="6"/>
      <c r="B95" s="6" t="str">
        <f>'Утв. ИП 2014-2019'!B100</f>
        <v>2.4.5</v>
      </c>
      <c r="C95" s="79" t="str">
        <f>'Утв. ИП 2014-2019'!C100</f>
        <v>Прибор для поиска однофазных замыканий на КЛ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>
        <f>'Утв. ИП 2014-2019'!W100</f>
        <v>0</v>
      </c>
      <c r="O95" s="5"/>
      <c r="P95" s="5"/>
      <c r="Q95" s="5">
        <f t="shared" si="21"/>
        <v>0</v>
      </c>
      <c r="R95" s="5">
        <f t="shared" si="22"/>
        <v>0</v>
      </c>
      <c r="S95" s="5">
        <f>'Утв. ИП 2014-2019'!W100</f>
        <v>0</v>
      </c>
      <c r="T95" s="5"/>
      <c r="U95" s="5">
        <f t="shared" si="23"/>
        <v>0</v>
      </c>
      <c r="V95" s="5">
        <f>'Утв. ИП 2014-2019'!AK100</f>
        <v>0</v>
      </c>
      <c r="W95" s="5"/>
      <c r="X95" s="5">
        <f t="shared" si="24"/>
        <v>0</v>
      </c>
      <c r="Y95" s="5"/>
      <c r="Z95" s="5"/>
      <c r="AA95" s="5"/>
      <c r="AB95" s="5"/>
      <c r="AC95" s="5"/>
      <c r="AD95" s="5"/>
      <c r="AE95" s="5"/>
      <c r="AF95" s="5"/>
      <c r="AG95" s="5"/>
      <c r="AH95" s="5">
        <f>'Утв. ИП 2014-2019'!P100</f>
        <v>0</v>
      </c>
      <c r="AI95" s="47"/>
      <c r="AJ95" s="47"/>
      <c r="AK95" s="47"/>
      <c r="AL95" s="47"/>
    </row>
    <row r="96" spans="1:38" s="2" customFormat="1" hidden="1" outlineLevel="1" x14ac:dyDescent="0.2">
      <c r="A96" s="6"/>
      <c r="B96" s="6" t="str">
        <f>'Утв. ИП 2014-2019'!B101</f>
        <v>2.4.6</v>
      </c>
      <c r="C96" s="79" t="str">
        <f>'Утв. ИП 2014-2019'!C101</f>
        <v>Прибор "Энергомонитор"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>
        <f>'Утв. ИП 2014-2019'!W101</f>
        <v>0</v>
      </c>
      <c r="O96" s="5"/>
      <c r="P96" s="5"/>
      <c r="Q96" s="5">
        <f t="shared" si="21"/>
        <v>0</v>
      </c>
      <c r="R96" s="5">
        <f t="shared" si="22"/>
        <v>0</v>
      </c>
      <c r="S96" s="5">
        <f>'Утв. ИП 2014-2019'!W101</f>
        <v>0</v>
      </c>
      <c r="T96" s="5"/>
      <c r="U96" s="5">
        <f t="shared" si="23"/>
        <v>0</v>
      </c>
      <c r="V96" s="5">
        <f>'Утв. ИП 2014-2019'!AK101</f>
        <v>0</v>
      </c>
      <c r="W96" s="5"/>
      <c r="X96" s="5">
        <f t="shared" si="24"/>
        <v>0</v>
      </c>
      <c r="Y96" s="5"/>
      <c r="Z96" s="5"/>
      <c r="AA96" s="5"/>
      <c r="AB96" s="5"/>
      <c r="AC96" s="5"/>
      <c r="AD96" s="5"/>
      <c r="AE96" s="5"/>
      <c r="AF96" s="5"/>
      <c r="AG96" s="5"/>
      <c r="AH96" s="5">
        <f>'Утв. ИП 2014-2019'!P101</f>
        <v>0</v>
      </c>
      <c r="AI96" s="47"/>
      <c r="AJ96" s="47"/>
      <c r="AK96" s="47"/>
      <c r="AL96" s="47"/>
    </row>
    <row r="97" spans="1:38" s="2" customFormat="1" collapsed="1" x14ac:dyDescent="0.2">
      <c r="A97" s="6" t="e">
        <f>A90+1</f>
        <v>#REF!</v>
      </c>
      <c r="B97" s="6" t="str">
        <f>'Утв. ИП 2014-2019'!B102</f>
        <v>2.4.7</v>
      </c>
      <c r="C97" s="79" t="str">
        <f>'Утв. ИП 2014-2019'!C102</f>
        <v>Асфальторезная машина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>
        <f>'Утв. ИП 2014-2019'!W102</f>
        <v>0.08</v>
      </c>
      <c r="O97" s="5"/>
      <c r="P97" s="5"/>
      <c r="Q97" s="5">
        <f t="shared" si="21"/>
        <v>0.08</v>
      </c>
      <c r="R97" s="5">
        <f t="shared" si="22"/>
        <v>0</v>
      </c>
      <c r="S97" s="5">
        <f>'Утв. ИП 2014-2019'!W102</f>
        <v>0.08</v>
      </c>
      <c r="T97" s="5"/>
      <c r="U97" s="5">
        <f t="shared" si="23"/>
        <v>0.08</v>
      </c>
      <c r="V97" s="5">
        <f>'Утв. ИП 2014-2019'!AK102</f>
        <v>0.08</v>
      </c>
      <c r="W97" s="5"/>
      <c r="X97" s="5">
        <f t="shared" si="24"/>
        <v>0.08</v>
      </c>
      <c r="Y97" s="5"/>
      <c r="Z97" s="5"/>
      <c r="AA97" s="5"/>
      <c r="AB97" s="5"/>
      <c r="AC97" s="5"/>
      <c r="AD97" s="5"/>
      <c r="AE97" s="5"/>
      <c r="AF97" s="5"/>
      <c r="AG97" s="5"/>
      <c r="AH97" s="5" t="str">
        <f>'Утв. ИП 2014-2019'!P102</f>
        <v>1 шт.</v>
      </c>
      <c r="AI97" s="47"/>
      <c r="AJ97" s="47"/>
      <c r="AK97" s="47"/>
      <c r="AL97" s="47"/>
    </row>
    <row r="98" spans="1:38" s="2" customFormat="1" x14ac:dyDescent="0.2">
      <c r="A98" s="6" t="e">
        <f>A97+1</f>
        <v>#REF!</v>
      </c>
      <c r="B98" s="6" t="str">
        <f>'Утв. ИП 2014-2019'!B103</f>
        <v>2.4.8</v>
      </c>
      <c r="C98" s="79" t="str">
        <f>'Утв. ИП 2014-2019'!C103</f>
        <v>Палатка кабельщика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>
        <f>'Утв. ИП 2014-2019'!W103</f>
        <v>0.05</v>
      </c>
      <c r="O98" s="5"/>
      <c r="P98" s="5"/>
      <c r="Q98" s="5">
        <f t="shared" si="21"/>
        <v>0.05</v>
      </c>
      <c r="R98" s="5">
        <f t="shared" si="22"/>
        <v>0</v>
      </c>
      <c r="S98" s="5">
        <f>'Утв. ИП 2014-2019'!W103</f>
        <v>0.05</v>
      </c>
      <c r="T98" s="5"/>
      <c r="U98" s="5">
        <f t="shared" si="23"/>
        <v>0.05</v>
      </c>
      <c r="V98" s="5">
        <f>'Утв. ИП 2014-2019'!AK103</f>
        <v>0.05</v>
      </c>
      <c r="W98" s="5"/>
      <c r="X98" s="5">
        <f t="shared" si="24"/>
        <v>0.05</v>
      </c>
      <c r="Y98" s="5"/>
      <c r="Z98" s="5"/>
      <c r="AA98" s="5"/>
      <c r="AB98" s="5"/>
      <c r="AC98" s="5"/>
      <c r="AD98" s="5"/>
      <c r="AE98" s="5"/>
      <c r="AF98" s="5"/>
      <c r="AG98" s="5"/>
      <c r="AH98" s="5" t="str">
        <f>'Утв. ИП 2014-2019'!P103</f>
        <v>1 шт.</v>
      </c>
      <c r="AI98" s="47"/>
      <c r="AJ98" s="47"/>
      <c r="AK98" s="47"/>
      <c r="AL98" s="47"/>
    </row>
    <row r="99" spans="1:38" s="2" customFormat="1" ht="25.5" hidden="1" outlineLevel="1" x14ac:dyDescent="0.2">
      <c r="A99" s="6"/>
      <c r="B99" s="6" t="str">
        <f>'Утв. ИП 2014-2019'!B104</f>
        <v>2.4.9</v>
      </c>
      <c r="C99" s="79" t="str">
        <f>'Утв. ИП 2014-2019'!C104</f>
        <v>Приобретение силовых трансформаторов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>
        <f>'Утв. ИП 2014-2019'!W104</f>
        <v>0</v>
      </c>
      <c r="O99" s="5"/>
      <c r="P99" s="5"/>
      <c r="Q99" s="5">
        <f>N99</f>
        <v>0</v>
      </c>
      <c r="R99" s="5">
        <f>N99-O99-P99-Q99</f>
        <v>0</v>
      </c>
      <c r="S99" s="5">
        <f>'Утв. ИП 2014-2019'!W104</f>
        <v>0</v>
      </c>
      <c r="T99" s="5"/>
      <c r="U99" s="5">
        <f>S99-T99</f>
        <v>0</v>
      </c>
      <c r="V99" s="5">
        <f>'Утв. ИП 2014-2019'!AK104</f>
        <v>0</v>
      </c>
      <c r="W99" s="5"/>
      <c r="X99" s="5">
        <f>V99</f>
        <v>0</v>
      </c>
      <c r="Y99" s="5"/>
      <c r="Z99" s="5"/>
      <c r="AA99" s="5"/>
      <c r="AB99" s="5"/>
      <c r="AC99" s="5"/>
      <c r="AD99" s="5"/>
      <c r="AE99" s="5"/>
      <c r="AF99" s="5"/>
      <c r="AG99" s="5"/>
      <c r="AH99" s="5">
        <f>'Утв. ИП 2014-2019'!P104</f>
        <v>0</v>
      </c>
      <c r="AI99" s="47"/>
      <c r="AJ99" s="47"/>
      <c r="AK99" s="47"/>
      <c r="AL99" s="47"/>
    </row>
    <row r="100" spans="1:38" s="2" customFormat="1" ht="38.25" hidden="1" outlineLevel="1" x14ac:dyDescent="0.2">
      <c r="A100" s="6"/>
      <c r="B100" s="6" t="str">
        <f>'Утв. ИП 2014-2019'!B105</f>
        <v>2.4.10</v>
      </c>
      <c r="C100" s="79" t="str">
        <f>'Утв. ИП 2014-2019'!C105</f>
        <v>Аппарат для определения температуры вспышки в закрытом тигле ТВЗ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>
        <f>'Утв. ИП 2014-2019'!W105</f>
        <v>0</v>
      </c>
      <c r="O100" s="5"/>
      <c r="P100" s="5"/>
      <c r="Q100" s="5">
        <f>N100</f>
        <v>0</v>
      </c>
      <c r="R100" s="5">
        <f>N100-O100-P100-Q100</f>
        <v>0</v>
      </c>
      <c r="S100" s="5">
        <f>'Утв. ИП 2014-2019'!W105</f>
        <v>0</v>
      </c>
      <c r="T100" s="5"/>
      <c r="U100" s="5">
        <f>S100-T100</f>
        <v>0</v>
      </c>
      <c r="V100" s="5">
        <f>'Утв. ИП 2014-2019'!AK105</f>
        <v>0</v>
      </c>
      <c r="W100" s="5"/>
      <c r="X100" s="5">
        <f>V100</f>
        <v>0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>
        <f>'Утв. ИП 2014-2019'!P105</f>
        <v>0</v>
      </c>
      <c r="AI100" s="47"/>
      <c r="AJ100" s="47"/>
      <c r="AK100" s="47"/>
      <c r="AL100" s="47"/>
    </row>
    <row r="101" spans="1:38" s="32" customFormat="1" collapsed="1" x14ac:dyDescent="0.2">
      <c r="A101" s="28" t="e">
        <f>#REF!+1</f>
        <v>#REF!</v>
      </c>
      <c r="B101" s="28" t="str">
        <f>'Утв. ИП 2014-2019'!B106</f>
        <v>2.5</v>
      </c>
      <c r="C101" s="29" t="str">
        <f>'Утв. ИП 2014-2019'!C106</f>
        <v>Автотранспортное обеспечение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>
        <f>'Утв. ИП 2014-2019'!W106</f>
        <v>14</v>
      </c>
      <c r="O101" s="31">
        <f>SUM(O102:O115)</f>
        <v>0</v>
      </c>
      <c r="P101" s="31">
        <f>SUM(P102:P115)</f>
        <v>0</v>
      </c>
      <c r="Q101" s="31">
        <f>SUM(Q102:Q115)</f>
        <v>0</v>
      </c>
      <c r="R101" s="31">
        <f>SUM(R102:R115)</f>
        <v>14</v>
      </c>
      <c r="S101" s="31">
        <f>'Утв. ИП 2014-2019'!W106</f>
        <v>14</v>
      </c>
      <c r="T101" s="31">
        <f>SUM(T102:T115)</f>
        <v>0</v>
      </c>
      <c r="U101" s="31">
        <f>SUM(U102:U115)</f>
        <v>14</v>
      </c>
      <c r="V101" s="31">
        <f>'Утв. ИП 2014-2019'!AK106</f>
        <v>14</v>
      </c>
      <c r="W101" s="31">
        <f>SUM(W102:W115)</f>
        <v>0</v>
      </c>
      <c r="X101" s="31">
        <f>SUM(X102:X115)</f>
        <v>14</v>
      </c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</row>
    <row r="102" spans="1:38" s="2" customFormat="1" ht="25.5" hidden="1" outlineLevel="1" x14ac:dyDescent="0.2">
      <c r="A102" s="6" t="e">
        <f>A112+1</f>
        <v>#REF!</v>
      </c>
      <c r="B102" s="6" t="str">
        <f>'Утв. ИП 2014-2019'!B107</f>
        <v>2.5.1</v>
      </c>
      <c r="C102" s="79" t="str">
        <f>'Утв. ИП 2014-2019'!C107</f>
        <v>Экскаватор-погрузчик Volvo BL71B с гидромолотом</v>
      </c>
      <c r="D102" s="5"/>
      <c r="E102" s="5"/>
      <c r="F102" s="5"/>
      <c r="G102" s="5"/>
      <c r="H102" s="5"/>
      <c r="I102" s="5"/>
      <c r="J102" s="5"/>
      <c r="K102" s="5"/>
      <c r="L102" s="5"/>
      <c r="M102" s="8"/>
      <c r="N102" s="5">
        <f>'Утв. ИП 2014-2019'!W107</f>
        <v>0</v>
      </c>
      <c r="O102" s="5"/>
      <c r="P102" s="5"/>
      <c r="Q102" s="5"/>
      <c r="R102" s="5">
        <f t="shared" ref="R102:R115" si="25">N102</f>
        <v>0</v>
      </c>
      <c r="S102" s="5">
        <f>'Утв. ИП 2014-2019'!W107</f>
        <v>0</v>
      </c>
      <c r="T102" s="5"/>
      <c r="U102" s="5">
        <f t="shared" ref="U102:U115" si="26">S102-T102</f>
        <v>0</v>
      </c>
      <c r="V102" s="5">
        <f>'Утв. ИП 2014-2019'!AK107</f>
        <v>0</v>
      </c>
      <c r="W102" s="5"/>
      <c r="X102" s="5">
        <f t="shared" ref="X102:X115" si="27">V102</f>
        <v>0</v>
      </c>
      <c r="Y102" s="5"/>
      <c r="Z102" s="5"/>
      <c r="AA102" s="5"/>
      <c r="AB102" s="5"/>
      <c r="AC102" s="5"/>
      <c r="AD102" s="5"/>
      <c r="AE102" s="5"/>
      <c r="AF102" s="5"/>
      <c r="AG102" s="5"/>
      <c r="AH102" s="5">
        <f>'Утв. ИП 2014-2019'!P107</f>
        <v>0</v>
      </c>
    </row>
    <row r="103" spans="1:38" s="2" customFormat="1" hidden="1" outlineLevel="1" x14ac:dyDescent="0.2">
      <c r="A103" s="6" t="e">
        <f>A113+1</f>
        <v>#REF!</v>
      </c>
      <c r="B103" s="6" t="str">
        <f>'Утв. ИП 2014-2019'!B108</f>
        <v>2.5.2</v>
      </c>
      <c r="C103" s="79" t="str">
        <f>'Утв. ИП 2014-2019'!C108</f>
        <v xml:space="preserve">Автолаборатория </v>
      </c>
      <c r="D103" s="5"/>
      <c r="E103" s="5"/>
      <c r="F103" s="5"/>
      <c r="G103" s="5"/>
      <c r="H103" s="5"/>
      <c r="I103" s="5"/>
      <c r="J103" s="5"/>
      <c r="K103" s="5"/>
      <c r="L103" s="5"/>
      <c r="M103" s="8"/>
      <c r="N103" s="5">
        <f>'Утв. ИП 2014-2019'!W108</f>
        <v>0</v>
      </c>
      <c r="O103" s="5"/>
      <c r="P103" s="5"/>
      <c r="Q103" s="5"/>
      <c r="R103" s="5">
        <f t="shared" si="25"/>
        <v>0</v>
      </c>
      <c r="S103" s="5">
        <f>'Утв. ИП 2014-2019'!W108</f>
        <v>0</v>
      </c>
      <c r="T103" s="5"/>
      <c r="U103" s="5">
        <f t="shared" si="26"/>
        <v>0</v>
      </c>
      <c r="V103" s="5">
        <f>'Утв. ИП 2014-2019'!AK108</f>
        <v>0</v>
      </c>
      <c r="W103" s="5"/>
      <c r="X103" s="5">
        <f t="shared" si="27"/>
        <v>0</v>
      </c>
      <c r="Y103" s="5"/>
      <c r="Z103" s="5"/>
      <c r="AA103" s="5"/>
      <c r="AB103" s="5"/>
      <c r="AC103" s="5"/>
      <c r="AD103" s="5"/>
      <c r="AE103" s="5"/>
      <c r="AF103" s="5"/>
      <c r="AG103" s="5"/>
      <c r="AH103" s="5">
        <f>'Утв. ИП 2014-2019'!P108</f>
        <v>0</v>
      </c>
      <c r="AI103" s="47"/>
      <c r="AJ103" s="47"/>
      <c r="AK103" s="47"/>
      <c r="AL103" s="47"/>
    </row>
    <row r="104" spans="1:38" s="2" customFormat="1" ht="63.75" hidden="1" outlineLevel="1" x14ac:dyDescent="0.2">
      <c r="A104" s="6" t="e">
        <f>A103+1</f>
        <v>#REF!</v>
      </c>
      <c r="B104" s="6" t="str">
        <f>'Утв. ИП 2014-2019'!B109</f>
        <v>2.5.3</v>
      </c>
      <c r="C104" s="79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4" s="5"/>
      <c r="E104" s="5"/>
      <c r="F104" s="5"/>
      <c r="G104" s="5"/>
      <c r="H104" s="5"/>
      <c r="I104" s="5"/>
      <c r="J104" s="5"/>
      <c r="K104" s="5"/>
      <c r="L104" s="5"/>
      <c r="M104" s="8"/>
      <c r="N104" s="5">
        <f>'Утв. ИП 2014-2019'!W109</f>
        <v>0</v>
      </c>
      <c r="O104" s="5"/>
      <c r="P104" s="5"/>
      <c r="Q104" s="5"/>
      <c r="R104" s="5">
        <f t="shared" si="25"/>
        <v>0</v>
      </c>
      <c r="S104" s="5">
        <f>'Утв. ИП 2014-2019'!W109</f>
        <v>0</v>
      </c>
      <c r="T104" s="5"/>
      <c r="U104" s="5">
        <f t="shared" si="26"/>
        <v>0</v>
      </c>
      <c r="V104" s="5">
        <f>'Утв. ИП 2014-2019'!AK109</f>
        <v>0</v>
      </c>
      <c r="W104" s="5"/>
      <c r="X104" s="5">
        <f t="shared" si="27"/>
        <v>0</v>
      </c>
      <c r="Y104" s="5"/>
      <c r="Z104" s="5"/>
      <c r="AA104" s="5"/>
      <c r="AB104" s="5"/>
      <c r="AC104" s="5"/>
      <c r="AD104" s="5"/>
      <c r="AE104" s="5"/>
      <c r="AF104" s="5"/>
      <c r="AG104" s="5"/>
      <c r="AH104" s="5">
        <f>'Утв. ИП 2014-2019'!P109</f>
        <v>0</v>
      </c>
    </row>
    <row r="105" spans="1:38" s="2" customFormat="1" hidden="1" outlineLevel="1" x14ac:dyDescent="0.2">
      <c r="A105" s="6"/>
      <c r="B105" s="6" t="str">
        <f>'Утв. ИП 2014-2019'!B110</f>
        <v>2.5.4</v>
      </c>
      <c r="C105" s="79" t="str">
        <f>'Утв. ИП 2014-2019'!C110</f>
        <v>Автоподъемник АПТЛ-17</v>
      </c>
      <c r="D105" s="5"/>
      <c r="E105" s="5"/>
      <c r="F105" s="5"/>
      <c r="G105" s="5"/>
      <c r="H105" s="5"/>
      <c r="I105" s="5"/>
      <c r="J105" s="5"/>
      <c r="K105" s="5"/>
      <c r="L105" s="5"/>
      <c r="M105" s="8"/>
      <c r="N105" s="5">
        <f>'Утв. ИП 2014-2019'!W110</f>
        <v>0</v>
      </c>
      <c r="O105" s="5"/>
      <c r="P105" s="5"/>
      <c r="Q105" s="5"/>
      <c r="R105" s="5">
        <f t="shared" si="25"/>
        <v>0</v>
      </c>
      <c r="S105" s="5">
        <f>'Утв. ИП 2014-2019'!W110</f>
        <v>0</v>
      </c>
      <c r="T105" s="5"/>
      <c r="U105" s="5">
        <f t="shared" si="26"/>
        <v>0</v>
      </c>
      <c r="V105" s="5">
        <f>'Утв. ИП 2014-2019'!AK110</f>
        <v>0</v>
      </c>
      <c r="W105" s="5"/>
      <c r="X105" s="5">
        <f t="shared" si="27"/>
        <v>0</v>
      </c>
      <c r="Y105" s="5"/>
      <c r="Z105" s="5"/>
      <c r="AA105" s="5"/>
      <c r="AB105" s="5"/>
      <c r="AC105" s="5"/>
      <c r="AD105" s="5"/>
      <c r="AE105" s="5"/>
      <c r="AF105" s="5"/>
      <c r="AG105" s="5"/>
      <c r="AH105" s="5">
        <f>'Утв. ИП 2014-2019'!P110</f>
        <v>0</v>
      </c>
    </row>
    <row r="106" spans="1:38" s="2" customFormat="1" ht="25.5" hidden="1" outlineLevel="1" x14ac:dyDescent="0.2">
      <c r="A106" s="6"/>
      <c r="B106" s="6" t="str">
        <f>'Утв. ИП 2014-2019'!B111</f>
        <v>2.5.5</v>
      </c>
      <c r="C106" s="79" t="str">
        <f>'Утв. ИП 2014-2019'!C111</f>
        <v>Автомобиль Газель полноприводная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5">
        <f>'Утв. ИП 2014-2019'!W111</f>
        <v>0</v>
      </c>
      <c r="O106" s="5"/>
      <c r="P106" s="5"/>
      <c r="Q106" s="5"/>
      <c r="R106" s="5">
        <f t="shared" si="25"/>
        <v>0</v>
      </c>
      <c r="S106" s="5">
        <f>'Утв. ИП 2014-2019'!W111</f>
        <v>0</v>
      </c>
      <c r="T106" s="5"/>
      <c r="U106" s="5">
        <f t="shared" si="26"/>
        <v>0</v>
      </c>
      <c r="V106" s="5">
        <f>'Утв. ИП 2014-2019'!AK111</f>
        <v>0</v>
      </c>
      <c r="W106" s="5"/>
      <c r="X106" s="5">
        <f t="shared" si="27"/>
        <v>0</v>
      </c>
      <c r="Y106" s="5"/>
      <c r="Z106" s="5"/>
      <c r="AA106" s="5"/>
      <c r="AB106" s="5"/>
      <c r="AC106" s="5"/>
      <c r="AD106" s="5"/>
      <c r="AE106" s="5"/>
      <c r="AF106" s="5"/>
      <c r="AG106" s="5"/>
      <c r="AH106" s="5">
        <f>'Утв. ИП 2014-2019'!P111</f>
        <v>0</v>
      </c>
    </row>
    <row r="107" spans="1:38" s="2" customFormat="1" hidden="1" outlineLevel="1" x14ac:dyDescent="0.2">
      <c r="A107" s="6" t="e">
        <f>A114+1</f>
        <v>#REF!</v>
      </c>
      <c r="B107" s="6" t="str">
        <f>'Утв. ИП 2014-2019'!B112</f>
        <v>2.5.6</v>
      </c>
      <c r="C107" s="79" t="str">
        <f>'Утв. ИП 2014-2019'!C112</f>
        <v>Автомастерская на базе ГАЗ-3309</v>
      </c>
      <c r="D107" s="5"/>
      <c r="E107" s="5"/>
      <c r="F107" s="5"/>
      <c r="G107" s="5"/>
      <c r="H107" s="5"/>
      <c r="I107" s="5"/>
      <c r="J107" s="5"/>
      <c r="K107" s="5"/>
      <c r="L107" s="5"/>
      <c r="M107" s="8"/>
      <c r="N107" s="5">
        <f>'Утв. ИП 2014-2019'!W112</f>
        <v>0</v>
      </c>
      <c r="O107" s="5"/>
      <c r="P107" s="5"/>
      <c r="Q107" s="5"/>
      <c r="R107" s="5">
        <f t="shared" si="25"/>
        <v>0</v>
      </c>
      <c r="S107" s="5">
        <f>'Утв. ИП 2014-2019'!W112</f>
        <v>0</v>
      </c>
      <c r="T107" s="5"/>
      <c r="U107" s="5">
        <f t="shared" si="26"/>
        <v>0</v>
      </c>
      <c r="V107" s="5">
        <f>'Утв. ИП 2014-2019'!AK112</f>
        <v>0</v>
      </c>
      <c r="W107" s="5"/>
      <c r="X107" s="5">
        <f t="shared" si="27"/>
        <v>0</v>
      </c>
      <c r="Y107" s="5"/>
      <c r="Z107" s="5"/>
      <c r="AA107" s="5"/>
      <c r="AB107" s="5"/>
      <c r="AC107" s="5"/>
      <c r="AD107" s="5"/>
      <c r="AE107" s="5"/>
      <c r="AF107" s="5"/>
      <c r="AG107" s="5"/>
      <c r="AH107" s="5">
        <f>'Утв. ИП 2014-2019'!P112</f>
        <v>0</v>
      </c>
    </row>
    <row r="108" spans="1:38" s="2" customFormat="1" hidden="1" outlineLevel="1" x14ac:dyDescent="0.2">
      <c r="A108" s="6"/>
      <c r="B108" s="6" t="str">
        <f>'Утв. ИП 2014-2019'!B113</f>
        <v>2.5.7</v>
      </c>
      <c r="C108" s="79" t="str">
        <f>'Утв. ИП 2014-2019'!C113</f>
        <v>Лада "Нива" 21214</v>
      </c>
      <c r="D108" s="5"/>
      <c r="E108" s="5"/>
      <c r="F108" s="5"/>
      <c r="G108" s="5"/>
      <c r="H108" s="5"/>
      <c r="I108" s="5"/>
      <c r="J108" s="5"/>
      <c r="K108" s="5"/>
      <c r="L108" s="5"/>
      <c r="M108" s="8"/>
      <c r="N108" s="5">
        <f>'Утв. ИП 2014-2019'!W113</f>
        <v>0</v>
      </c>
      <c r="O108" s="5"/>
      <c r="P108" s="5"/>
      <c r="Q108" s="5"/>
      <c r="R108" s="5">
        <f t="shared" si="25"/>
        <v>0</v>
      </c>
      <c r="S108" s="5">
        <f>'Утв. ИП 2014-2019'!W113</f>
        <v>0</v>
      </c>
      <c r="T108" s="5"/>
      <c r="U108" s="5">
        <f t="shared" si="26"/>
        <v>0</v>
      </c>
      <c r="V108" s="5">
        <f>'Утв. ИП 2014-2019'!AK113</f>
        <v>0</v>
      </c>
      <c r="W108" s="5"/>
      <c r="X108" s="5">
        <f t="shared" si="27"/>
        <v>0</v>
      </c>
      <c r="Y108" s="5"/>
      <c r="Z108" s="5"/>
      <c r="AA108" s="5"/>
      <c r="AB108" s="5"/>
      <c r="AC108" s="5"/>
      <c r="AD108" s="5"/>
      <c r="AE108" s="5"/>
      <c r="AF108" s="5"/>
      <c r="AG108" s="5"/>
      <c r="AH108" s="5">
        <f>'Утв. ИП 2014-2019'!P113</f>
        <v>0</v>
      </c>
    </row>
    <row r="109" spans="1:38" s="2" customFormat="1" ht="38.25" collapsed="1" x14ac:dyDescent="0.2">
      <c r="A109" s="6" t="e">
        <f>#REF!+1</f>
        <v>#REF!</v>
      </c>
      <c r="B109" s="6" t="str">
        <f>'Утв. ИП 2014-2019'!B114</f>
        <v>2.5.8</v>
      </c>
      <c r="C109" s="79" t="str">
        <f>'Утв. ИП 2014-2019'!C114</f>
        <v xml:space="preserve">УАЗ-39099 </v>
      </c>
      <c r="D109" s="5"/>
      <c r="E109" s="5"/>
      <c r="F109" s="5"/>
      <c r="G109" s="5"/>
      <c r="H109" s="5"/>
      <c r="I109" s="5"/>
      <c r="J109" s="5"/>
      <c r="K109" s="5"/>
      <c r="L109" s="5"/>
      <c r="M109" s="5" t="s">
        <v>2394</v>
      </c>
      <c r="N109" s="5">
        <f>'Утв. ИП 2014-2019'!W114</f>
        <v>0.4</v>
      </c>
      <c r="O109" s="5"/>
      <c r="P109" s="5"/>
      <c r="Q109" s="5"/>
      <c r="R109" s="5">
        <f t="shared" si="25"/>
        <v>0.4</v>
      </c>
      <c r="S109" s="5">
        <f>'Утв. ИП 2014-2019'!W114</f>
        <v>0.4</v>
      </c>
      <c r="T109" s="5"/>
      <c r="U109" s="5">
        <f t="shared" si="26"/>
        <v>0.4</v>
      </c>
      <c r="V109" s="5">
        <f>'Утв. ИП 2014-2019'!AK114</f>
        <v>0.4</v>
      </c>
      <c r="W109" s="5"/>
      <c r="X109" s="5">
        <f t="shared" si="27"/>
        <v>0.4</v>
      </c>
      <c r="Y109" s="5"/>
      <c r="Z109" s="5"/>
      <c r="AA109" s="5"/>
      <c r="AB109" s="5"/>
      <c r="AC109" s="5"/>
      <c r="AD109" s="5"/>
      <c r="AE109" s="5"/>
      <c r="AF109" s="5"/>
      <c r="AG109" s="5"/>
      <c r="AH109" s="5" t="str">
        <f>'Утв. ИП 2014-2019'!P114</f>
        <v>1 шт.</v>
      </c>
    </row>
    <row r="110" spans="1:38" s="2" customFormat="1" ht="38.25" x14ac:dyDescent="0.2">
      <c r="A110" s="6" t="e">
        <f>A109+1</f>
        <v>#REF!</v>
      </c>
      <c r="B110" s="6" t="str">
        <f>'Утв. ИП 2014-2019'!B115</f>
        <v>2.5.9</v>
      </c>
      <c r="C110" s="79" t="str">
        <f>'Утв. ИП 2014-2019'!C115</f>
        <v>Бурильно-крановая установка БМ-302 на базе МТЗ-82</v>
      </c>
      <c r="D110" s="5"/>
      <c r="E110" s="5"/>
      <c r="F110" s="5"/>
      <c r="G110" s="5"/>
      <c r="H110" s="5"/>
      <c r="I110" s="5"/>
      <c r="J110" s="5"/>
      <c r="K110" s="5"/>
      <c r="L110" s="5"/>
      <c r="M110" s="5" t="s">
        <v>2395</v>
      </c>
      <c r="N110" s="5">
        <f>'Утв. ИП 2014-2019'!W115</f>
        <v>2.5</v>
      </c>
      <c r="O110" s="5"/>
      <c r="P110" s="5"/>
      <c r="Q110" s="5"/>
      <c r="R110" s="5">
        <f t="shared" si="25"/>
        <v>2.5</v>
      </c>
      <c r="S110" s="5">
        <f>'Утв. ИП 2014-2019'!W115</f>
        <v>2.5</v>
      </c>
      <c r="T110" s="5"/>
      <c r="U110" s="5">
        <f t="shared" si="26"/>
        <v>2.5</v>
      </c>
      <c r="V110" s="5">
        <f>'Утв. ИП 2014-2019'!AK115</f>
        <v>2.5</v>
      </c>
      <c r="W110" s="5"/>
      <c r="X110" s="5">
        <f t="shared" si="27"/>
        <v>2.5</v>
      </c>
      <c r="Y110" s="5"/>
      <c r="Z110" s="5"/>
      <c r="AA110" s="5"/>
      <c r="AB110" s="5"/>
      <c r="AC110" s="5"/>
      <c r="AD110" s="5"/>
      <c r="AE110" s="5"/>
      <c r="AF110" s="5"/>
      <c r="AG110" s="5"/>
      <c r="AH110" s="5" t="str">
        <f>'Утв. ИП 2014-2019'!P115</f>
        <v>1 шт.</v>
      </c>
    </row>
    <row r="111" spans="1:38" s="2" customFormat="1" ht="51" x14ac:dyDescent="0.2">
      <c r="A111" s="6" t="e">
        <f>A101+1</f>
        <v>#REF!</v>
      </c>
      <c r="B111" s="6" t="str">
        <f>'Утв. ИП 2014-2019'!B116</f>
        <v>2.5.10</v>
      </c>
      <c r="C111" s="79" t="str">
        <f>'Утв. ИП 2014-2019'!C116</f>
        <v>Самосвал КАМАЗ-53605</v>
      </c>
      <c r="D111" s="5"/>
      <c r="E111" s="5"/>
      <c r="F111" s="5"/>
      <c r="G111" s="5"/>
      <c r="H111" s="5"/>
      <c r="I111" s="5"/>
      <c r="J111" s="5"/>
      <c r="K111" s="5"/>
      <c r="L111" s="5"/>
      <c r="M111" s="8" t="s">
        <v>2396</v>
      </c>
      <c r="N111" s="5">
        <f>'Утв. ИП 2014-2019'!W116</f>
        <v>1.5</v>
      </c>
      <c r="O111" s="5"/>
      <c r="P111" s="5"/>
      <c r="Q111" s="5"/>
      <c r="R111" s="5">
        <f t="shared" si="25"/>
        <v>1.5</v>
      </c>
      <c r="S111" s="5">
        <f>'Утв. ИП 2014-2019'!W116</f>
        <v>1.5</v>
      </c>
      <c r="T111" s="5"/>
      <c r="U111" s="5">
        <f t="shared" si="26"/>
        <v>1.5</v>
      </c>
      <c r="V111" s="5">
        <f>'Утв. ИП 2014-2019'!AK116</f>
        <v>1.5</v>
      </c>
      <c r="W111" s="5"/>
      <c r="X111" s="5">
        <f t="shared" si="27"/>
        <v>1.5</v>
      </c>
      <c r="Y111" s="5"/>
      <c r="Z111" s="5"/>
      <c r="AA111" s="5"/>
      <c r="AB111" s="5"/>
      <c r="AC111" s="5"/>
      <c r="AD111" s="5"/>
      <c r="AE111" s="5"/>
      <c r="AF111" s="5"/>
      <c r="AG111" s="5"/>
      <c r="AH111" s="5" t="str">
        <f>'Утв. ИП 2014-2019'!P116</f>
        <v>1 шт.</v>
      </c>
    </row>
    <row r="112" spans="1:38" s="2" customFormat="1" ht="25.5" x14ac:dyDescent="0.2">
      <c r="A112" s="6" t="e">
        <f>A111+1</f>
        <v>#REF!</v>
      </c>
      <c r="B112" s="6" t="str">
        <f>'Утв. ИП 2014-2019'!B117</f>
        <v>2.5.11</v>
      </c>
      <c r="C112" s="79" t="str">
        <f>'Утв. ИП 2014-2019'!C117</f>
        <v>Бортовой КАМАЗ-53215</v>
      </c>
      <c r="D112" s="5"/>
      <c r="E112" s="5"/>
      <c r="F112" s="5"/>
      <c r="G112" s="5"/>
      <c r="H112" s="5"/>
      <c r="I112" s="5"/>
      <c r="J112" s="5"/>
      <c r="K112" s="5"/>
      <c r="L112" s="5"/>
      <c r="M112" s="8" t="s">
        <v>2398</v>
      </c>
      <c r="N112" s="5">
        <f>'Утв. ИП 2014-2019'!W117</f>
        <v>1.8</v>
      </c>
      <c r="O112" s="5"/>
      <c r="P112" s="5"/>
      <c r="Q112" s="5"/>
      <c r="R112" s="5">
        <f t="shared" si="25"/>
        <v>1.8</v>
      </c>
      <c r="S112" s="5">
        <f>'Утв. ИП 2014-2019'!W117</f>
        <v>1.8</v>
      </c>
      <c r="T112" s="5"/>
      <c r="U112" s="5">
        <f t="shared" si="26"/>
        <v>1.8</v>
      </c>
      <c r="V112" s="5">
        <f>'Утв. ИП 2014-2019'!AK117</f>
        <v>1.8</v>
      </c>
      <c r="W112" s="5"/>
      <c r="X112" s="5">
        <f t="shared" si="27"/>
        <v>1.8</v>
      </c>
      <c r="Y112" s="5"/>
      <c r="Z112" s="5"/>
      <c r="AA112" s="5"/>
      <c r="AB112" s="5"/>
      <c r="AC112" s="5"/>
      <c r="AD112" s="5"/>
      <c r="AE112" s="5"/>
      <c r="AF112" s="5"/>
      <c r="AG112" s="5"/>
      <c r="AH112" s="5" t="str">
        <f>'Утв. ИП 2014-2019'!P117</f>
        <v>1 шт.</v>
      </c>
    </row>
    <row r="113" spans="1:64" s="2" customFormat="1" ht="38.25" x14ac:dyDescent="0.2">
      <c r="A113" s="6" t="e">
        <f>A102+1</f>
        <v>#REF!</v>
      </c>
      <c r="B113" s="6" t="str">
        <f>'Утв. ИП 2014-2019'!B118</f>
        <v>2.5.12</v>
      </c>
      <c r="C113" s="79" t="str">
        <f>'Утв. ИП 2014-2019'!C118</f>
        <v>Бортовой КАМАЗ с манипулятором</v>
      </c>
      <c r="D113" s="5"/>
      <c r="E113" s="5"/>
      <c r="F113" s="5"/>
      <c r="G113" s="5"/>
      <c r="H113" s="5"/>
      <c r="I113" s="5"/>
      <c r="J113" s="5"/>
      <c r="K113" s="5"/>
      <c r="L113" s="5"/>
      <c r="M113" s="8" t="s">
        <v>2399</v>
      </c>
      <c r="N113" s="5">
        <f>'Утв. ИП 2014-2019'!W118</f>
        <v>3.5</v>
      </c>
      <c r="O113" s="5"/>
      <c r="P113" s="5"/>
      <c r="Q113" s="5"/>
      <c r="R113" s="5">
        <f t="shared" si="25"/>
        <v>3.5</v>
      </c>
      <c r="S113" s="5">
        <f>'Утв. ИП 2014-2019'!W118</f>
        <v>3.5</v>
      </c>
      <c r="T113" s="5"/>
      <c r="U113" s="5">
        <f t="shared" si="26"/>
        <v>3.5</v>
      </c>
      <c r="V113" s="5">
        <f>'Утв. ИП 2014-2019'!AK118</f>
        <v>3.5</v>
      </c>
      <c r="W113" s="5"/>
      <c r="X113" s="5">
        <f t="shared" si="27"/>
        <v>3.5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 t="str">
        <f>'Утв. ИП 2014-2019'!P118</f>
        <v>1 шт.</v>
      </c>
    </row>
    <row r="114" spans="1:64" s="2" customFormat="1" ht="51" x14ac:dyDescent="0.2">
      <c r="A114" s="6" t="e">
        <f>A104+1</f>
        <v>#REF!</v>
      </c>
      <c r="B114" s="6" t="str">
        <f>'Утв. ИП 2014-2019'!B119</f>
        <v>2.5.13</v>
      </c>
      <c r="C114" s="79" t="str">
        <f>'Утв. ИП 2014-2019'!C119</f>
        <v>Грузопассажирский УАЗ-390994</v>
      </c>
      <c r="D114" s="5"/>
      <c r="E114" s="5"/>
      <c r="F114" s="5"/>
      <c r="G114" s="5"/>
      <c r="H114" s="5"/>
      <c r="I114" s="5"/>
      <c r="J114" s="5"/>
      <c r="K114" s="5"/>
      <c r="L114" s="5"/>
      <c r="M114" s="8" t="s">
        <v>2400</v>
      </c>
      <c r="N114" s="5">
        <f>'Утв. ИП 2014-2019'!W119</f>
        <v>0.8</v>
      </c>
      <c r="O114" s="5"/>
      <c r="P114" s="5"/>
      <c r="Q114" s="12"/>
      <c r="R114" s="5">
        <f t="shared" si="25"/>
        <v>0.8</v>
      </c>
      <c r="S114" s="5">
        <f>'Утв. ИП 2014-2019'!W119</f>
        <v>0.8</v>
      </c>
      <c r="T114" s="5"/>
      <c r="U114" s="5">
        <f t="shared" si="26"/>
        <v>0.8</v>
      </c>
      <c r="V114" s="5">
        <f>'Утв. ИП 2014-2019'!AK119</f>
        <v>0.8</v>
      </c>
      <c r="W114" s="5"/>
      <c r="X114" s="5">
        <f t="shared" si="27"/>
        <v>0.8</v>
      </c>
      <c r="Y114" s="5"/>
      <c r="Z114" s="5"/>
      <c r="AA114" s="5"/>
      <c r="AB114" s="5"/>
      <c r="AC114" s="5"/>
      <c r="AD114" s="5"/>
      <c r="AE114" s="5"/>
      <c r="AF114" s="5"/>
      <c r="AG114" s="5"/>
      <c r="AH114" s="5" t="str">
        <f>'Утв. ИП 2014-2019'!P119</f>
        <v>2 шт.</v>
      </c>
    </row>
    <row r="115" spans="1:64" s="2" customFormat="1" ht="25.5" x14ac:dyDescent="0.2">
      <c r="A115" s="6" t="e">
        <f>#REF!+1</f>
        <v>#REF!</v>
      </c>
      <c r="B115" s="6" t="str">
        <f>'Утв. ИП 2014-2019'!B120</f>
        <v>2.5.14</v>
      </c>
      <c r="C115" s="79" t="str">
        <f>'Утв. ИП 2014-2019'!C120</f>
        <v>Автокран МАЗ-5337 А2 КС-35715</v>
      </c>
      <c r="D115" s="5"/>
      <c r="E115" s="5"/>
      <c r="F115" s="5"/>
      <c r="G115" s="5"/>
      <c r="H115" s="5"/>
      <c r="I115" s="5"/>
      <c r="J115" s="5"/>
      <c r="K115" s="5"/>
      <c r="L115" s="5"/>
      <c r="M115" s="163" t="s">
        <v>2401</v>
      </c>
      <c r="N115" s="5">
        <f>'Утв. ИП 2014-2019'!W120</f>
        <v>3.5</v>
      </c>
      <c r="O115" s="5"/>
      <c r="P115" s="5"/>
      <c r="Q115" s="12"/>
      <c r="R115" s="5">
        <f t="shared" si="25"/>
        <v>3.5</v>
      </c>
      <c r="S115" s="5">
        <f>'Утв. ИП 2014-2019'!W120</f>
        <v>3.5</v>
      </c>
      <c r="T115" s="5"/>
      <c r="U115" s="5">
        <f t="shared" si="26"/>
        <v>3.5</v>
      </c>
      <c r="V115" s="5">
        <f>'Утв. ИП 2014-2019'!AK120</f>
        <v>3.5</v>
      </c>
      <c r="W115" s="5"/>
      <c r="X115" s="5">
        <f t="shared" si="27"/>
        <v>3.5</v>
      </c>
      <c r="Y115" s="5"/>
      <c r="Z115" s="5"/>
      <c r="AA115" s="5"/>
      <c r="AB115" s="5"/>
      <c r="AC115" s="5"/>
      <c r="AD115" s="5"/>
      <c r="AE115" s="5"/>
      <c r="AF115" s="5"/>
      <c r="AG115" s="5"/>
      <c r="AH115" s="5" t="str">
        <f>'Утв. ИП 2014-2019'!P120</f>
        <v>1 шт.</v>
      </c>
    </row>
    <row r="116" spans="1:64" s="42" customFormat="1" x14ac:dyDescent="0.2">
      <c r="A116" s="39" t="e">
        <f>#REF!+1</f>
        <v>#REF!</v>
      </c>
      <c r="B116" s="39" t="str">
        <f>'Утв. ИП 2014-2019'!B121</f>
        <v>3.</v>
      </c>
      <c r="C116" s="40" t="str">
        <f>'Утв. ИП 2014-2019'!C121</f>
        <v>Объекты техприсоединения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>
        <f>'Утв. ИП 2014-2019'!W121</f>
        <v>400.20000000000005</v>
      </c>
      <c r="O116" s="41">
        <f>O117+O118+O119</f>
        <v>20.010000000000002</v>
      </c>
      <c r="P116" s="41">
        <f>P117+P118+P119</f>
        <v>220.11</v>
      </c>
      <c r="Q116" s="41">
        <f>Q117+Q118+Q119</f>
        <v>0</v>
      </c>
      <c r="R116" s="41">
        <f>R117+R118+R119</f>
        <v>160.07999999999998</v>
      </c>
      <c r="S116" s="41">
        <f>'Утв. ИП 2014-2019'!W121</f>
        <v>400.20000000000005</v>
      </c>
      <c r="T116" s="41">
        <f>T117+T118+T119</f>
        <v>160.08000000000001</v>
      </c>
      <c r="U116" s="41">
        <f>U117+U118+U119</f>
        <v>240.12</v>
      </c>
      <c r="V116" s="41">
        <f>'Утв. ИП 2014-2019'!AK121</f>
        <v>425.09574999999995</v>
      </c>
      <c r="W116" s="41">
        <f>W117+W118+W119</f>
        <v>148.78351249999997</v>
      </c>
      <c r="X116" s="41">
        <f>X117+X118+X119</f>
        <v>276.31223749999998</v>
      </c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:64" s="32" customFormat="1" ht="66" customHeight="1" x14ac:dyDescent="0.2">
      <c r="A117" s="28" t="e">
        <f>A116+1</f>
        <v>#REF!</v>
      </c>
      <c r="B117" s="37" t="s">
        <v>428</v>
      </c>
      <c r="C117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>
        <f>'Утв. ИП 2014-2019'!W122</f>
        <v>220.8</v>
      </c>
      <c r="O117" s="36">
        <f>0.05*N117</f>
        <v>11.040000000000001</v>
      </c>
      <c r="P117" s="36">
        <f>0.55*N117</f>
        <v>121.44000000000001</v>
      </c>
      <c r="Q117" s="36"/>
      <c r="R117" s="36">
        <f>N117-O117-P117-Q117</f>
        <v>88.320000000000007</v>
      </c>
      <c r="S117" s="36">
        <f>'Утв. ИП 2014-2019'!W122</f>
        <v>220.8</v>
      </c>
      <c r="T117" s="36">
        <f>S117*0.4</f>
        <v>88.320000000000007</v>
      </c>
      <c r="U117" s="36">
        <f>S117-T117</f>
        <v>132.48000000000002</v>
      </c>
      <c r="V117" s="36">
        <f>'Утв. ИП 2014-2019'!AK122</f>
        <v>166.99574999999996</v>
      </c>
      <c r="W117" s="36">
        <f>V117*0.35</f>
        <v>58.448512499999978</v>
      </c>
      <c r="X117" s="36">
        <f>V117-W117</f>
        <v>108.54723749999998</v>
      </c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</row>
    <row r="118" spans="1:64" s="32" customFormat="1" ht="91.5" customHeight="1" x14ac:dyDescent="0.2">
      <c r="A118" s="28" t="e">
        <f>A117+1</f>
        <v>#REF!</v>
      </c>
      <c r="B118" s="37" t="s">
        <v>461</v>
      </c>
      <c r="C118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>
        <f>'Утв. ИП 2014-2019'!W243</f>
        <v>139.4</v>
      </c>
      <c r="O118" s="36">
        <f>0.05*N118</f>
        <v>6.9700000000000006</v>
      </c>
      <c r="P118" s="36">
        <f>0.55*N118</f>
        <v>76.670000000000016</v>
      </c>
      <c r="Q118" s="36"/>
      <c r="R118" s="36">
        <f>N118-O118-P118-Q118</f>
        <v>55.759999999999991</v>
      </c>
      <c r="S118" s="36">
        <f>'Утв. ИП 2014-2019'!W243</f>
        <v>139.4</v>
      </c>
      <c r="T118" s="36">
        <f>S118*0.4</f>
        <v>55.760000000000005</v>
      </c>
      <c r="U118" s="36">
        <f>S118-T118</f>
        <v>83.64</v>
      </c>
      <c r="V118" s="36">
        <f>'Утв. ИП 2014-2019'!AK243</f>
        <v>218.1</v>
      </c>
      <c r="W118" s="36">
        <f>V118*0.35</f>
        <v>76.334999999999994</v>
      </c>
      <c r="X118" s="36">
        <f>V118-W118</f>
        <v>141.76499999999999</v>
      </c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</row>
    <row r="119" spans="1:64" s="32" customFormat="1" ht="28.5" customHeight="1" collapsed="1" x14ac:dyDescent="0.2">
      <c r="A119" s="28" t="e">
        <f>A118+1</f>
        <v>#REF!</v>
      </c>
      <c r="B119" s="37" t="s">
        <v>442</v>
      </c>
      <c r="C119" s="38" t="str">
        <f>'Утв. ИП 2014-2019'!C1333</f>
        <v>Выполнение объектов за счет платы за технологическое присоединение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>
        <f>'Утв. ИП 2014-2019'!W1333</f>
        <v>40</v>
      </c>
      <c r="O119" s="36">
        <f>0.05*N119</f>
        <v>2</v>
      </c>
      <c r="P119" s="36">
        <f>0.55*N119</f>
        <v>22</v>
      </c>
      <c r="Q119" s="36"/>
      <c r="R119" s="36">
        <f>N119-O119-P119-Q119</f>
        <v>16</v>
      </c>
      <c r="S119" s="36">
        <f>'Утв. ИП 2014-2019'!W1333</f>
        <v>40</v>
      </c>
      <c r="T119" s="36">
        <f>S119*0.4</f>
        <v>16</v>
      </c>
      <c r="U119" s="36">
        <f>S119-T119</f>
        <v>24</v>
      </c>
      <c r="V119" s="36">
        <f>'Утв. ИП 2014-2019'!AK1333</f>
        <v>40</v>
      </c>
      <c r="W119" s="36">
        <f>V119*0.35</f>
        <v>14</v>
      </c>
      <c r="X119" s="36">
        <f>V119-W119</f>
        <v>26</v>
      </c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</row>
    <row r="120" spans="1:64" s="21" customFormat="1" ht="15.75" x14ac:dyDescent="0.25">
      <c r="A120" s="62"/>
      <c r="B120" s="21" t="s">
        <v>1463</v>
      </c>
    </row>
    <row r="121" spans="1:64" s="2" customFormat="1" ht="28.5" customHeight="1" x14ac:dyDescent="0.2">
      <c r="A121" s="335"/>
      <c r="B121" s="292"/>
      <c r="C121" s="293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</row>
    <row r="122" spans="1:64" s="51" customFormat="1" ht="12.75" customHeight="1" x14ac:dyDescent="0.2">
      <c r="B122" s="851" t="s">
        <v>2</v>
      </c>
      <c r="C122" s="851"/>
      <c r="D122" s="851"/>
      <c r="E122" s="851"/>
      <c r="F122" s="851"/>
      <c r="G122" s="851"/>
      <c r="H122" s="851"/>
      <c r="I122" s="851"/>
      <c r="J122" s="851"/>
      <c r="K122" s="851"/>
      <c r="L122" s="851"/>
      <c r="M122" s="851"/>
      <c r="N122" s="851"/>
      <c r="O122" s="851"/>
      <c r="P122" s="851"/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  <c r="AA122" s="851"/>
      <c r="AB122" s="851"/>
      <c r="AC122" s="851"/>
      <c r="AD122" s="851"/>
      <c r="AE122" s="851"/>
      <c r="AF122" s="851"/>
      <c r="AG122" s="851"/>
      <c r="AH122" s="851"/>
      <c r="AI122" s="47"/>
      <c r="AJ122" s="47"/>
      <c r="AK122" s="47"/>
      <c r="AL122" s="47"/>
      <c r="AM122" s="83"/>
      <c r="AN122" s="83"/>
      <c r="AO122" s="86"/>
      <c r="AP122" s="86"/>
      <c r="AQ122" s="83"/>
      <c r="AR122" s="83"/>
      <c r="AS122" s="86"/>
      <c r="AT122" s="86"/>
      <c r="AU122" s="83"/>
      <c r="AV122" s="83"/>
      <c r="AW122" s="83"/>
      <c r="AX122" s="83"/>
      <c r="BF122" s="155"/>
      <c r="BG122" s="155"/>
      <c r="BL122" s="155"/>
    </row>
    <row r="123" spans="1:64" ht="12.75" customHeight="1" x14ac:dyDescent="0.2">
      <c r="A123" s="1"/>
      <c r="B123" s="851"/>
      <c r="C123" s="851"/>
      <c r="D123" s="851"/>
      <c r="E123" s="851"/>
      <c r="F123" s="851"/>
      <c r="G123" s="851"/>
      <c r="H123" s="851"/>
      <c r="I123" s="851"/>
      <c r="J123" s="851"/>
      <c r="K123" s="851"/>
      <c r="L123" s="851"/>
      <c r="M123" s="851"/>
      <c r="N123" s="851"/>
      <c r="O123" s="851"/>
      <c r="P123" s="851"/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  <c r="AA123" s="851"/>
      <c r="AB123" s="851"/>
      <c r="AC123" s="851"/>
      <c r="AD123" s="851"/>
      <c r="AE123" s="851"/>
      <c r="AF123" s="851"/>
      <c r="AG123" s="851"/>
      <c r="AH123" s="851"/>
      <c r="AI123" s="2"/>
      <c r="AJ123" s="2"/>
      <c r="AK123" s="2"/>
      <c r="AL123" s="47"/>
      <c r="AM123" s="83"/>
      <c r="AN123" s="83"/>
      <c r="AO123" s="86"/>
      <c r="AP123" s="86"/>
      <c r="AQ123" s="83"/>
      <c r="AR123" s="83"/>
      <c r="AS123" s="86"/>
      <c r="AT123" s="86"/>
      <c r="AU123" s="83"/>
      <c r="AV123" s="83"/>
      <c r="AW123" s="83"/>
      <c r="AX123" s="83"/>
      <c r="AY123" s="51"/>
      <c r="BC123" s="51"/>
      <c r="BD123" s="51"/>
      <c r="BF123" s="64"/>
      <c r="BG123" s="64"/>
      <c r="BL123" s="64"/>
    </row>
    <row r="124" spans="1:64" ht="12.75" customHeight="1" x14ac:dyDescent="0.2">
      <c r="A124" s="1"/>
      <c r="B124" s="851"/>
      <c r="C124" s="851"/>
      <c r="D124" s="851"/>
      <c r="E124" s="851"/>
      <c r="F124" s="851"/>
      <c r="G124" s="851"/>
      <c r="H124" s="851"/>
      <c r="I124" s="851"/>
      <c r="J124" s="851"/>
      <c r="K124" s="851"/>
      <c r="L124" s="851"/>
      <c r="M124" s="851"/>
      <c r="N124" s="851"/>
      <c r="O124" s="851"/>
      <c r="P124" s="851"/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  <c r="AA124" s="851"/>
      <c r="AB124" s="851"/>
      <c r="AC124" s="851"/>
      <c r="AD124" s="851"/>
      <c r="AE124" s="851"/>
      <c r="AF124" s="851"/>
      <c r="AG124" s="851"/>
      <c r="AH124" s="851"/>
      <c r="AI124" s="2"/>
      <c r="AJ124" s="2"/>
      <c r="AK124" s="2"/>
      <c r="AL124" s="47"/>
      <c r="AM124" s="83"/>
      <c r="AN124" s="83"/>
      <c r="AO124" s="86"/>
      <c r="AP124" s="86"/>
      <c r="AQ124" s="83"/>
      <c r="AR124" s="83"/>
      <c r="AS124" s="86"/>
      <c r="AT124" s="86"/>
      <c r="AU124" s="83"/>
      <c r="AV124" s="83"/>
      <c r="AW124" s="83"/>
      <c r="AX124" s="83"/>
      <c r="AY124" s="51"/>
      <c r="BC124" s="51"/>
      <c r="BD124" s="51"/>
      <c r="BF124" s="64"/>
      <c r="BG124" s="64"/>
      <c r="BL124" s="64"/>
    </row>
    <row r="125" spans="1:64" ht="12.75" customHeight="1" x14ac:dyDescent="0.5">
      <c r="A125" s="1"/>
      <c r="B125" s="338"/>
      <c r="C125" s="338"/>
      <c r="D125" s="338"/>
      <c r="E125" s="338"/>
      <c r="F125" s="338"/>
      <c r="G125" s="338"/>
      <c r="H125" s="338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2"/>
      <c r="AJ125" s="2"/>
      <c r="AK125" s="2"/>
      <c r="AL125" s="47"/>
      <c r="AM125" s="83"/>
      <c r="AN125" s="83"/>
      <c r="AO125" s="86"/>
      <c r="AP125" s="86"/>
      <c r="AQ125" s="83"/>
      <c r="AR125" s="83"/>
      <c r="AS125" s="86"/>
      <c r="AT125" s="86"/>
      <c r="AU125" s="83"/>
      <c r="AV125" s="83"/>
      <c r="AW125" s="83"/>
      <c r="AX125" s="83"/>
      <c r="AY125" s="51"/>
      <c r="BC125" s="51"/>
      <c r="BD125" s="51"/>
      <c r="BF125" s="64"/>
      <c r="BG125" s="64"/>
      <c r="BL125" s="64"/>
    </row>
    <row r="126" spans="1:64" ht="18.75" hidden="1" customHeight="1" outlineLevel="1" x14ac:dyDescent="0.3">
      <c r="C126" s="849"/>
      <c r="D126" s="849"/>
      <c r="E126" s="849"/>
      <c r="F126" s="849"/>
      <c r="G126" s="849"/>
      <c r="H126" s="849"/>
      <c r="I126" s="849"/>
      <c r="J126" s="849"/>
      <c r="K126" s="849"/>
      <c r="N126" s="117">
        <f t="shared" ref="N126:X126" si="28">N14+N30+N31+N26+N28+N41+N65+N66+N67+N83+N97+N98+N109+N110+N111+N112+N113+N114+N115+N116</f>
        <v>599.40000000000009</v>
      </c>
      <c r="O126" s="117">
        <f t="shared" si="28"/>
        <v>20.176850000000002</v>
      </c>
      <c r="P126" s="117">
        <f t="shared" si="28"/>
        <v>330.87189000000001</v>
      </c>
      <c r="Q126" s="117">
        <f t="shared" si="28"/>
        <v>74.271259999999998</v>
      </c>
      <c r="R126" s="117">
        <f t="shared" si="28"/>
        <v>174.07999999999998</v>
      </c>
      <c r="S126" s="117">
        <f t="shared" si="28"/>
        <v>599.40000000000009</v>
      </c>
      <c r="T126" s="117">
        <f t="shared" si="28"/>
        <v>178.58700000000002</v>
      </c>
      <c r="U126" s="117">
        <f t="shared" si="28"/>
        <v>420.8130000000001</v>
      </c>
      <c r="V126" s="117">
        <f t="shared" si="28"/>
        <v>464.90924999999993</v>
      </c>
      <c r="W126" s="117">
        <f t="shared" si="28"/>
        <v>148.78351249999997</v>
      </c>
      <c r="X126" s="117">
        <f t="shared" si="28"/>
        <v>316.12573749999996</v>
      </c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</row>
    <row r="127" spans="1:64" ht="18.75" hidden="1" outlineLevel="1" x14ac:dyDescent="0.2">
      <c r="C127" s="20"/>
      <c r="N127" s="117">
        <f>N10</f>
        <v>599.40000000000009</v>
      </c>
      <c r="O127" s="117">
        <f t="shared" ref="O127:X127" si="29">O10</f>
        <v>20.176850000000002</v>
      </c>
      <c r="P127" s="117">
        <f t="shared" si="29"/>
        <v>330.87189000000001</v>
      </c>
      <c r="Q127" s="117">
        <f t="shared" si="29"/>
        <v>74.271260000000012</v>
      </c>
      <c r="R127" s="117">
        <f t="shared" si="29"/>
        <v>174.07999999999998</v>
      </c>
      <c r="S127" s="117">
        <f t="shared" si="29"/>
        <v>599.40000000000009</v>
      </c>
      <c r="T127" s="117">
        <f t="shared" si="29"/>
        <v>178.58700000000002</v>
      </c>
      <c r="U127" s="117">
        <f t="shared" si="29"/>
        <v>420.81299999999999</v>
      </c>
      <c r="V127" s="117">
        <f t="shared" si="29"/>
        <v>464.90924999999993</v>
      </c>
      <c r="W127" s="117">
        <f t="shared" si="29"/>
        <v>148.78351249999997</v>
      </c>
      <c r="X127" s="117">
        <f t="shared" si="29"/>
        <v>316.12573750000001</v>
      </c>
    </row>
    <row r="128" spans="1:64" ht="18.75" hidden="1" outlineLevel="1" x14ac:dyDescent="0.2">
      <c r="C128" s="20"/>
      <c r="N128" s="117">
        <f>N126-N127</f>
        <v>0</v>
      </c>
      <c r="O128" s="117">
        <f t="shared" ref="O128:X128" si="30">O126-O127</f>
        <v>0</v>
      </c>
      <c r="P128" s="117">
        <f t="shared" si="30"/>
        <v>0</v>
      </c>
      <c r="Q128" s="117">
        <f t="shared" si="30"/>
        <v>0</v>
      </c>
      <c r="R128" s="117">
        <f t="shared" si="30"/>
        <v>0</v>
      </c>
      <c r="S128" s="117">
        <f t="shared" si="30"/>
        <v>0</v>
      </c>
      <c r="T128" s="117">
        <f t="shared" si="30"/>
        <v>0</v>
      </c>
      <c r="U128" s="117">
        <f t="shared" si="30"/>
        <v>0</v>
      </c>
      <c r="V128" s="117">
        <f t="shared" si="30"/>
        <v>0</v>
      </c>
      <c r="W128" s="117">
        <f t="shared" si="30"/>
        <v>0</v>
      </c>
      <c r="X128" s="117">
        <f t="shared" si="30"/>
        <v>0</v>
      </c>
    </row>
    <row r="129" spans="3:22" ht="18.75" hidden="1" outlineLevel="1" x14ac:dyDescent="0.2">
      <c r="C129" s="20"/>
      <c r="N129" s="117">
        <f>N126-O126-P126-Q126-R126</f>
        <v>0</v>
      </c>
      <c r="S129" s="117">
        <f>S126-T126-U126</f>
        <v>0</v>
      </c>
      <c r="V129" s="117">
        <f>V126-W126-X126</f>
        <v>0</v>
      </c>
    </row>
    <row r="130" spans="3:22" collapsed="1" x14ac:dyDescent="0.2"/>
  </sheetData>
  <mergeCells count="22">
    <mergeCell ref="C126:K126"/>
    <mergeCell ref="H7:L7"/>
    <mergeCell ref="M7:M8"/>
    <mergeCell ref="N7:R7"/>
    <mergeCell ref="D7:G7"/>
    <mergeCell ref="B122:AH124"/>
    <mergeCell ref="AH7:AH8"/>
    <mergeCell ref="B4:AH4"/>
    <mergeCell ref="V6:X6"/>
    <mergeCell ref="Y7:AB7"/>
    <mergeCell ref="S6:U6"/>
    <mergeCell ref="Y6:AH6"/>
    <mergeCell ref="T7:U7"/>
    <mergeCell ref="V7:V8"/>
    <mergeCell ref="AC7:AG7"/>
    <mergeCell ref="S7:S8"/>
    <mergeCell ref="W7:X7"/>
    <mergeCell ref="A6:A8"/>
    <mergeCell ref="B6:B8"/>
    <mergeCell ref="C6:C8"/>
    <mergeCell ref="D6:M6"/>
    <mergeCell ref="N6:R6"/>
  </mergeCells>
  <phoneticPr fontId="12" type="noConversion"/>
  <printOptions horizontalCentered="1"/>
  <pageMargins left="0.19685039370078741" right="0.19685039370078741" top="0.41" bottom="0.47244094488188981" header="0" footer="0.19685039370078741"/>
  <pageSetup paperSize="8" scale="50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68D36"/>
  </sheetPr>
  <dimension ref="A1:BL1339"/>
  <sheetViews>
    <sheetView view="pageBreakPreview" topLeftCell="B5" zoomScale="70" zoomScaleSheetLayoutView="70" workbookViewId="0">
      <pane xSplit="2" ySplit="8" topLeftCell="D235" activePane="bottomRight" state="frozen"/>
      <selection activeCell="C33" sqref="C33"/>
      <selection pane="topRight" activeCell="C33" sqref="C33"/>
      <selection pane="bottomLeft" activeCell="C33" sqref="C33"/>
      <selection pane="bottomRight" activeCell="F239" sqref="F239"/>
    </sheetView>
  </sheetViews>
  <sheetFormatPr defaultRowHeight="12.75" outlineLevelRow="2" outlineLevelCol="1" x14ac:dyDescent="0.2"/>
  <cols>
    <col min="1" max="1" width="16.85546875" style="1" hidden="1" customWidth="1" outlineLevel="1"/>
    <col min="2" max="2" width="8.85546875" style="1" customWidth="1" collapsed="1"/>
    <col min="3" max="3" width="53.42578125" style="1" customWidth="1"/>
    <col min="4" max="11" width="13.7109375" style="1" customWidth="1"/>
    <col min="12" max="17" width="13.7109375" style="1" customWidth="1" outlineLevel="1"/>
    <col min="18" max="24" width="9.140625" style="1"/>
    <col min="25" max="26" width="11.42578125" style="1" customWidth="1"/>
    <col min="27" max="30" width="9.140625" style="1"/>
    <col min="31" max="31" width="9.140625" style="1" collapsed="1"/>
    <col min="32" max="16384" width="9.140625" style="1"/>
  </cols>
  <sheetData>
    <row r="1" spans="1:31" ht="15.75" hidden="1" customHeight="1" x14ac:dyDescent="0.2">
      <c r="K1" s="46" t="s">
        <v>1503</v>
      </c>
      <c r="AC1" s="46" t="s">
        <v>1502</v>
      </c>
    </row>
    <row r="2" spans="1:31" ht="15.75" hidden="1" customHeight="1" x14ac:dyDescent="0.2">
      <c r="K2" s="46" t="s">
        <v>438</v>
      </c>
      <c r="AC2" s="46" t="s">
        <v>438</v>
      </c>
    </row>
    <row r="3" spans="1:31" ht="15.75" hidden="1" customHeight="1" x14ac:dyDescent="0.2">
      <c r="K3" s="46" t="s">
        <v>439</v>
      </c>
      <c r="AC3" s="46" t="s">
        <v>439</v>
      </c>
    </row>
    <row r="4" spans="1:31" ht="18.75" hidden="1" customHeight="1" x14ac:dyDescent="0.3">
      <c r="K4" s="27"/>
      <c r="Q4" s="82"/>
    </row>
    <row r="5" spans="1:31" ht="15.75" outlineLevel="1" x14ac:dyDescent="0.2">
      <c r="L5" s="46" t="s">
        <v>1503</v>
      </c>
    </row>
    <row r="6" spans="1:31" ht="15.75" outlineLevel="1" x14ac:dyDescent="0.2">
      <c r="L6" s="46" t="s">
        <v>438</v>
      </c>
    </row>
    <row r="7" spans="1:31" ht="15.75" outlineLevel="1" x14ac:dyDescent="0.2">
      <c r="L7" s="46" t="s">
        <v>497</v>
      </c>
    </row>
    <row r="8" spans="1:31" ht="38.450000000000003" customHeight="1" x14ac:dyDescent="0.3">
      <c r="B8" s="848" t="s">
        <v>1398</v>
      </c>
      <c r="C8" s="848"/>
      <c r="D8" s="848"/>
      <c r="E8" s="848"/>
      <c r="F8" s="848"/>
      <c r="G8" s="848"/>
      <c r="H8" s="848"/>
      <c r="I8" s="848"/>
      <c r="J8" s="848"/>
      <c r="K8" s="848"/>
      <c r="L8" s="848"/>
      <c r="M8" s="848"/>
      <c r="N8" s="848"/>
      <c r="O8" s="848"/>
      <c r="P8" s="848"/>
      <c r="Q8" s="848"/>
    </row>
    <row r="10" spans="1:31" ht="13.5" customHeight="1" x14ac:dyDescent="0.2">
      <c r="A10" s="846" t="s">
        <v>1493</v>
      </c>
      <c r="B10" s="858" t="s">
        <v>1494</v>
      </c>
      <c r="C10" s="858" t="s">
        <v>119</v>
      </c>
      <c r="D10" s="853" t="s">
        <v>124</v>
      </c>
      <c r="E10" s="854"/>
      <c r="F10" s="854"/>
      <c r="G10" s="854"/>
      <c r="H10" s="854"/>
      <c r="I10" s="854"/>
      <c r="J10" s="855"/>
      <c r="K10" s="853" t="s">
        <v>1079</v>
      </c>
      <c r="L10" s="854"/>
      <c r="M10" s="854"/>
      <c r="N10" s="854"/>
      <c r="O10" s="854"/>
      <c r="P10" s="855"/>
      <c r="Q10" s="68"/>
      <c r="R10" s="148" t="s">
        <v>2160</v>
      </c>
      <c r="S10" s="149" t="s">
        <v>2161</v>
      </c>
      <c r="T10" s="150" t="s">
        <v>2160</v>
      </c>
      <c r="U10" s="149" t="s">
        <v>2161</v>
      </c>
      <c r="V10" s="150" t="s">
        <v>2160</v>
      </c>
      <c r="W10" s="151" t="s">
        <v>2161</v>
      </c>
      <c r="X10" s="150" t="s">
        <v>2160</v>
      </c>
      <c r="Y10" s="151" t="s">
        <v>2161</v>
      </c>
      <c r="Z10" s="150" t="s">
        <v>2160</v>
      </c>
      <c r="AA10" s="151" t="s">
        <v>2161</v>
      </c>
      <c r="AB10" s="150" t="s">
        <v>2160</v>
      </c>
      <c r="AC10" s="151" t="s">
        <v>2161</v>
      </c>
      <c r="AD10" s="148" t="s">
        <v>2160</v>
      </c>
      <c r="AE10" s="151" t="s">
        <v>2161</v>
      </c>
    </row>
    <row r="11" spans="1:31" ht="38.25" x14ac:dyDescent="0.2">
      <c r="A11" s="846"/>
      <c r="B11" s="859"/>
      <c r="C11" s="859"/>
      <c r="D11" s="68" t="s">
        <v>463</v>
      </c>
      <c r="E11" s="68" t="s">
        <v>464</v>
      </c>
      <c r="F11" s="68" t="s">
        <v>465</v>
      </c>
      <c r="G11" s="68" t="s">
        <v>1462</v>
      </c>
      <c r="H11" s="68" t="s">
        <v>1784</v>
      </c>
      <c r="I11" s="68" t="s">
        <v>1783</v>
      </c>
      <c r="J11" s="56" t="s">
        <v>125</v>
      </c>
      <c r="K11" s="68" t="s">
        <v>463</v>
      </c>
      <c r="L11" s="68" t="s">
        <v>464</v>
      </c>
      <c r="M11" s="68" t="s">
        <v>465</v>
      </c>
      <c r="N11" s="68" t="s">
        <v>1462</v>
      </c>
      <c r="O11" s="68" t="s">
        <v>1784</v>
      </c>
      <c r="P11" s="68" t="s">
        <v>1783</v>
      </c>
      <c r="Q11" s="56" t="s">
        <v>125</v>
      </c>
      <c r="R11" s="856">
        <v>2014</v>
      </c>
      <c r="S11" s="857"/>
      <c r="T11" s="832">
        <v>2015</v>
      </c>
      <c r="U11" s="857"/>
      <c r="V11" s="832">
        <v>2016</v>
      </c>
      <c r="W11" s="861"/>
      <c r="X11" s="832">
        <v>2017</v>
      </c>
      <c r="Y11" s="861"/>
      <c r="Z11" s="832">
        <v>2018</v>
      </c>
      <c r="AA11" s="861"/>
      <c r="AB11" s="832">
        <v>2019</v>
      </c>
      <c r="AC11" s="861"/>
      <c r="AD11" s="76"/>
      <c r="AE11" s="2"/>
    </row>
    <row r="12" spans="1:31" ht="25.5" x14ac:dyDescent="0.2">
      <c r="A12" s="846"/>
      <c r="B12" s="860"/>
      <c r="C12" s="860"/>
      <c r="D12" s="25" t="s">
        <v>459</v>
      </c>
      <c r="E12" s="25" t="s">
        <v>459</v>
      </c>
      <c r="F12" s="25" t="s">
        <v>459</v>
      </c>
      <c r="G12" s="25" t="s">
        <v>459</v>
      </c>
      <c r="H12" s="25" t="s">
        <v>459</v>
      </c>
      <c r="I12" s="25" t="s">
        <v>459</v>
      </c>
      <c r="J12" s="25" t="s">
        <v>459</v>
      </c>
      <c r="K12" s="25" t="s">
        <v>459</v>
      </c>
      <c r="L12" s="25" t="s">
        <v>459</v>
      </c>
      <c r="M12" s="25" t="s">
        <v>459</v>
      </c>
      <c r="N12" s="25" t="s">
        <v>459</v>
      </c>
      <c r="O12" s="25" t="s">
        <v>459</v>
      </c>
      <c r="P12" s="25" t="s">
        <v>459</v>
      </c>
      <c r="Q12" s="25" t="s">
        <v>459</v>
      </c>
      <c r="R12" s="131" t="s">
        <v>2160</v>
      </c>
      <c r="S12" s="138" t="s">
        <v>2161</v>
      </c>
      <c r="T12" s="84" t="s">
        <v>2160</v>
      </c>
      <c r="U12" s="138" t="s">
        <v>2161</v>
      </c>
      <c r="V12" s="84" t="s">
        <v>2160</v>
      </c>
      <c r="W12" s="77" t="s">
        <v>2161</v>
      </c>
      <c r="X12" s="84" t="s">
        <v>2160</v>
      </c>
      <c r="Y12" s="77" t="s">
        <v>2161</v>
      </c>
      <c r="Z12" s="84" t="s">
        <v>2160</v>
      </c>
      <c r="AA12" s="77" t="s">
        <v>2161</v>
      </c>
      <c r="AB12" s="84" t="s">
        <v>2160</v>
      </c>
      <c r="AC12" s="77" t="s">
        <v>2161</v>
      </c>
      <c r="AD12" s="131" t="s">
        <v>2160</v>
      </c>
      <c r="AE12" s="77" t="s">
        <v>2161</v>
      </c>
    </row>
    <row r="13" spans="1:31" x14ac:dyDescent="0.2">
      <c r="A13" s="60">
        <v>1</v>
      </c>
      <c r="B13" s="3" t="s">
        <v>129</v>
      </c>
      <c r="C13" s="3" t="s">
        <v>160</v>
      </c>
      <c r="D13" s="3" t="s">
        <v>99</v>
      </c>
      <c r="E13" s="3" t="s">
        <v>1472</v>
      </c>
      <c r="F13" s="3" t="s">
        <v>1473</v>
      </c>
      <c r="G13" s="3" t="s">
        <v>1474</v>
      </c>
      <c r="H13" s="3" t="s">
        <v>1475</v>
      </c>
      <c r="I13" s="3" t="s">
        <v>1476</v>
      </c>
      <c r="J13" s="3" t="s">
        <v>1477</v>
      </c>
      <c r="K13" s="3" t="s">
        <v>1478</v>
      </c>
      <c r="L13" s="3" t="s">
        <v>1479</v>
      </c>
      <c r="M13" s="3" t="s">
        <v>1480</v>
      </c>
      <c r="N13" s="3" t="s">
        <v>1481</v>
      </c>
      <c r="O13" s="3" t="s">
        <v>1482</v>
      </c>
      <c r="P13" s="3" t="s">
        <v>1483</v>
      </c>
      <c r="Q13" s="3" t="s">
        <v>1484</v>
      </c>
      <c r="R13" s="131"/>
      <c r="S13" s="138"/>
      <c r="T13" s="84"/>
      <c r="U13" s="138"/>
      <c r="V13" s="84"/>
      <c r="W13" s="77"/>
      <c r="X13" s="84"/>
      <c r="Y13" s="77"/>
      <c r="Z13" s="84"/>
      <c r="AA13" s="77"/>
      <c r="AB13" s="84"/>
      <c r="AC13" s="77"/>
      <c r="AD13" s="47"/>
      <c r="AE13" s="2"/>
    </row>
    <row r="14" spans="1:31" ht="31.5" x14ac:dyDescent="0.2">
      <c r="A14" s="78" t="s">
        <v>160</v>
      </c>
      <c r="B14" s="65"/>
      <c r="C14" s="66" t="s">
        <v>128</v>
      </c>
      <c r="D14" s="24" t="str">
        <f>'Утв. ИП 2014-2019'!K15</f>
        <v>124,59км
33,08 МВА</v>
      </c>
      <c r="E14" s="24" t="str">
        <f>'Утв. ИП 2014-2019'!L15</f>
        <v>116,60 км
40,27 МВА</v>
      </c>
      <c r="F14" s="24" t="str">
        <f>'Утв. ИП 2014-2019'!M15</f>
        <v>101,13 км
24,74 МВА</v>
      </c>
      <c r="G14" s="24" t="str">
        <f>'Утв. ИП 2014-2019'!N15</f>
        <v>100,03 км
13,72 МВА</v>
      </c>
      <c r="H14" s="24" t="str">
        <f>'Утв. ИП 2014-2019'!O15</f>
        <v>94,29 км
15,85 МВА</v>
      </c>
      <c r="I14" s="24" t="str">
        <f>'Утв. ИП 2014-2019'!P15</f>
        <v>89,72 км
18,48 МВА</v>
      </c>
      <c r="J14" s="24" t="str">
        <f>'Утв. ИП 2014-2019'!Q15</f>
        <v>626,36 км
146,14 МВА</v>
      </c>
      <c r="K14" s="24" t="s">
        <v>2754</v>
      </c>
      <c r="L14" s="24" t="s">
        <v>2755</v>
      </c>
      <c r="M14" s="24" t="s">
        <v>2756</v>
      </c>
      <c r="N14" s="24" t="s">
        <v>2757</v>
      </c>
      <c r="O14" s="24" t="s">
        <v>2450</v>
      </c>
      <c r="P14" s="24" t="s">
        <v>1940</v>
      </c>
      <c r="Q14" s="24" t="s">
        <v>2758</v>
      </c>
      <c r="R14" s="133">
        <f t="shared" ref="R14:AC14" si="0">R15+R47+R120</f>
        <v>19.010000000000002</v>
      </c>
      <c r="S14" s="93">
        <f t="shared" si="0"/>
        <v>16.53</v>
      </c>
      <c r="T14" s="111">
        <f t="shared" si="0"/>
        <v>23.67</v>
      </c>
      <c r="U14" s="93">
        <f t="shared" si="0"/>
        <v>13.180000000000001</v>
      </c>
      <c r="V14" s="111">
        <f t="shared" si="0"/>
        <v>11.888999999999999</v>
      </c>
      <c r="W14" s="67">
        <f t="shared" si="0"/>
        <v>5.6350000000000007</v>
      </c>
      <c r="X14" s="111">
        <f t="shared" si="0"/>
        <v>7.3</v>
      </c>
      <c r="Y14" s="67">
        <f t="shared" si="0"/>
        <v>4.3600000000000003</v>
      </c>
      <c r="Z14" s="111">
        <f t="shared" si="0"/>
        <v>1.85</v>
      </c>
      <c r="AA14" s="67">
        <f t="shared" si="0"/>
        <v>0</v>
      </c>
      <c r="AB14" s="111">
        <f t="shared" si="0"/>
        <v>0</v>
      </c>
      <c r="AC14" s="67">
        <f t="shared" si="0"/>
        <v>2.63</v>
      </c>
      <c r="AD14" s="142">
        <f>R14+T14+V14+X14+Z14+AB14</f>
        <v>63.719000000000001</v>
      </c>
      <c r="AE14" s="142">
        <f>S14+U14+W14+Y14+AA14+AC14</f>
        <v>42.335000000000001</v>
      </c>
    </row>
    <row r="15" spans="1:31" s="42" customFormat="1" ht="25.5" x14ac:dyDescent="0.2">
      <c r="A15" s="39">
        <f>A14+1</f>
        <v>3</v>
      </c>
      <c r="B15" s="39" t="s">
        <v>129</v>
      </c>
      <c r="C15" s="40" t="s">
        <v>130</v>
      </c>
      <c r="D15" s="41" t="str">
        <f>'Утв. ИП 2014-2019'!K16</f>
        <v>29,31 км
0,00 МВА</v>
      </c>
      <c r="E15" s="41" t="str">
        <f>'Утв. ИП 2014-2019'!L16</f>
        <v>20,00 км
1,26 МВА</v>
      </c>
      <c r="F15" s="41" t="str">
        <f>'Утв. ИП 2014-2019'!M16</f>
        <v>4,49 км
0,00 МВА</v>
      </c>
      <c r="G15" s="41" t="str">
        <f>'Утв. ИП 2014-2019'!N16</f>
        <v>0,80 км
0,00 МВА</v>
      </c>
      <c r="H15" s="41" t="str">
        <f>'Утв. ИП 2014-2019'!O16</f>
        <v>0,05 км
0,00 МВА</v>
      </c>
      <c r="I15" s="41" t="str">
        <f>'Утв. ИП 2014-2019'!P16</f>
        <v>0,00 км
2,00 МВА</v>
      </c>
      <c r="J15" s="41" t="str">
        <f>'Утв. ИП 2014-2019'!Q16</f>
        <v>54,65 км
3,26 МВА</v>
      </c>
      <c r="K15" s="41" t="s">
        <v>1408</v>
      </c>
      <c r="L15" s="41" t="s">
        <v>1943</v>
      </c>
      <c r="M15" s="41" t="s">
        <v>2403</v>
      </c>
      <c r="N15" s="41" t="s">
        <v>2404</v>
      </c>
      <c r="O15" s="41" t="s">
        <v>2359</v>
      </c>
      <c r="P15" s="41" t="s">
        <v>1409</v>
      </c>
      <c r="Q15" s="41" t="s">
        <v>1944</v>
      </c>
      <c r="R15" s="129">
        <f t="shared" ref="R15:AC15" si="1">R16+R36+R40</f>
        <v>16.68</v>
      </c>
      <c r="S15" s="110">
        <f t="shared" si="1"/>
        <v>0</v>
      </c>
      <c r="T15" s="109">
        <f t="shared" si="1"/>
        <v>20</v>
      </c>
      <c r="U15" s="110">
        <f t="shared" si="1"/>
        <v>1.26</v>
      </c>
      <c r="V15" s="109">
        <f t="shared" si="1"/>
        <v>4.4889999999999999</v>
      </c>
      <c r="W15" s="41">
        <f t="shared" si="1"/>
        <v>0</v>
      </c>
      <c r="X15" s="109">
        <f t="shared" si="1"/>
        <v>0.8</v>
      </c>
      <c r="Y15" s="41">
        <f t="shared" si="1"/>
        <v>0</v>
      </c>
      <c r="Z15" s="109">
        <f t="shared" si="1"/>
        <v>0.05</v>
      </c>
      <c r="AA15" s="41">
        <f t="shared" si="1"/>
        <v>0</v>
      </c>
      <c r="AB15" s="109">
        <f t="shared" si="1"/>
        <v>0</v>
      </c>
      <c r="AC15" s="41">
        <f t="shared" si="1"/>
        <v>2</v>
      </c>
      <c r="AD15" s="142">
        <f>R15+T15+V15+X15+Z15+AB15</f>
        <v>42.018999999999991</v>
      </c>
      <c r="AE15" s="142">
        <f>S15+U15+W15+Y15+AA15+AC15</f>
        <v>3.26</v>
      </c>
    </row>
    <row r="16" spans="1:31" s="96" customFormat="1" ht="25.5" x14ac:dyDescent="0.2">
      <c r="A16" s="28">
        <f>A15+1</f>
        <v>4</v>
      </c>
      <c r="B16" s="28" t="s">
        <v>131</v>
      </c>
      <c r="C16" s="29" t="s">
        <v>132</v>
      </c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132">
        <f t="shared" ref="R16:AC16" si="2">R17+R26+R29</f>
        <v>0.7</v>
      </c>
      <c r="S16" s="95">
        <f t="shared" si="2"/>
        <v>0</v>
      </c>
      <c r="T16" s="85">
        <f t="shared" si="2"/>
        <v>20</v>
      </c>
      <c r="U16" s="95">
        <f t="shared" si="2"/>
        <v>1.26</v>
      </c>
      <c r="V16" s="85">
        <f t="shared" si="2"/>
        <v>4.4889999999999999</v>
      </c>
      <c r="W16" s="31">
        <f t="shared" si="2"/>
        <v>0</v>
      </c>
      <c r="X16" s="85">
        <f t="shared" si="2"/>
        <v>0.8</v>
      </c>
      <c r="Y16" s="31">
        <f t="shared" si="2"/>
        <v>0</v>
      </c>
      <c r="Z16" s="85">
        <f t="shared" si="2"/>
        <v>0.05</v>
      </c>
      <c r="AA16" s="31">
        <f t="shared" si="2"/>
        <v>0</v>
      </c>
      <c r="AB16" s="85">
        <f t="shared" si="2"/>
        <v>0</v>
      </c>
      <c r="AC16" s="31">
        <f t="shared" si="2"/>
        <v>2</v>
      </c>
      <c r="AD16" s="142">
        <f t="shared" ref="AD16:AE77" si="3">R16+T16+V16+X16+Z16+AB16</f>
        <v>26.039000000000001</v>
      </c>
      <c r="AE16" s="142">
        <f t="shared" si="3"/>
        <v>3.26</v>
      </c>
    </row>
    <row r="17" spans="1:31" s="96" customFormat="1" ht="15.75" x14ac:dyDescent="0.2">
      <c r="A17" s="28">
        <f>A16+1</f>
        <v>5</v>
      </c>
      <c r="B17" s="28" t="s">
        <v>133</v>
      </c>
      <c r="C17" s="33" t="s">
        <v>134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132">
        <f t="shared" ref="R17:AC17" si="4">SUM(R18:R25)</f>
        <v>0.7</v>
      </c>
      <c r="S17" s="95">
        <f t="shared" si="4"/>
        <v>0</v>
      </c>
      <c r="T17" s="85">
        <f t="shared" si="4"/>
        <v>0</v>
      </c>
      <c r="U17" s="95">
        <f t="shared" si="4"/>
        <v>0</v>
      </c>
      <c r="V17" s="85">
        <f t="shared" si="4"/>
        <v>4.4889999999999999</v>
      </c>
      <c r="W17" s="31">
        <f t="shared" si="4"/>
        <v>0</v>
      </c>
      <c r="X17" s="85">
        <f t="shared" si="4"/>
        <v>0.8</v>
      </c>
      <c r="Y17" s="31">
        <f t="shared" si="4"/>
        <v>0</v>
      </c>
      <c r="Z17" s="85">
        <f t="shared" si="4"/>
        <v>0.05</v>
      </c>
      <c r="AA17" s="31">
        <f t="shared" si="4"/>
        <v>0</v>
      </c>
      <c r="AB17" s="85">
        <f t="shared" si="4"/>
        <v>0</v>
      </c>
      <c r="AC17" s="31">
        <f t="shared" si="4"/>
        <v>0</v>
      </c>
      <c r="AD17" s="142">
        <f t="shared" si="3"/>
        <v>6.0389999999999997</v>
      </c>
      <c r="AE17" s="142">
        <f t="shared" si="3"/>
        <v>0</v>
      </c>
    </row>
    <row r="18" spans="1:31" s="2" customFormat="1" ht="25.5" outlineLevel="1" x14ac:dyDescent="0.2">
      <c r="A18" s="230" t="str">
        <f>'Утв. ИП 2014-2019'!A19</f>
        <v>1.1.1.5.1.1/11</v>
      </c>
      <c r="B18" s="231" t="str">
        <f>'Утв. ИП 2014-2019'!B19</f>
        <v>1.1.1.1</v>
      </c>
      <c r="C18" s="210" t="str">
        <f>'Утв. ИП 2014-2019'!C19</f>
        <v>Реконструкция ВЛ-35 кВ от ПС "Цементная" до ПС "Студеновская" со строительством канала связи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23"/>
      <c r="Q18" s="23"/>
      <c r="R18" s="134"/>
      <c r="S18" s="137"/>
      <c r="T18" s="122"/>
      <c r="U18" s="137"/>
      <c r="V18" s="122"/>
      <c r="W18" s="49"/>
      <c r="X18" s="122"/>
      <c r="Y18" s="49"/>
      <c r="Z18" s="122"/>
      <c r="AA18" s="49"/>
      <c r="AB18" s="122"/>
      <c r="AC18" s="49"/>
      <c r="AD18" s="142">
        <f t="shared" si="3"/>
        <v>0</v>
      </c>
      <c r="AE18" s="142">
        <f t="shared" si="3"/>
        <v>0</v>
      </c>
    </row>
    <row r="19" spans="1:31" s="112" customFormat="1" ht="25.5" outlineLevel="1" x14ac:dyDescent="0.2">
      <c r="A19" s="230" t="str">
        <f>'Утв. ИП 2014-2019'!A20</f>
        <v>1.1.1.5.1.9/10</v>
      </c>
      <c r="B19" s="231" t="str">
        <f>'Утв. ИП 2014-2019'!B20</f>
        <v>1.1.1.2</v>
      </c>
      <c r="C19" s="210" t="str">
        <f>'Утв. ИП 2014-2019'!C20</f>
        <v xml:space="preserve">Реконструкция КЛ-10 кВ от РП-15 яч. 10 до ТП-505 яч. 4 (инв. № 340869) </v>
      </c>
      <c r="D19" s="8" t="str">
        <f>'Утв. ИП 2014-2019'!K20</f>
        <v>0,569 км</v>
      </c>
      <c r="E19" s="8"/>
      <c r="F19" s="8"/>
      <c r="G19" s="8"/>
      <c r="H19" s="8"/>
      <c r="I19" s="8"/>
      <c r="J19" s="8" t="str">
        <f>'Утв. ИП 2014-2019'!Q20</f>
        <v>0,569 км</v>
      </c>
      <c r="K19" s="8" t="s">
        <v>138</v>
      </c>
      <c r="L19" s="8"/>
      <c r="M19" s="8"/>
      <c r="N19" s="8"/>
      <c r="O19" s="8"/>
      <c r="P19" s="8"/>
      <c r="Q19" s="23" t="s">
        <v>138</v>
      </c>
      <c r="R19" s="134">
        <v>0.7</v>
      </c>
      <c r="S19" s="137"/>
      <c r="T19" s="122"/>
      <c r="U19" s="137"/>
      <c r="V19" s="122"/>
      <c r="W19" s="49"/>
      <c r="X19" s="122"/>
      <c r="Y19" s="49"/>
      <c r="Z19" s="122"/>
      <c r="AA19" s="49"/>
      <c r="AB19" s="122"/>
      <c r="AC19" s="49"/>
      <c r="AD19" s="142">
        <f t="shared" si="3"/>
        <v>0.7</v>
      </c>
      <c r="AE19" s="142">
        <f t="shared" si="3"/>
        <v>0</v>
      </c>
    </row>
    <row r="20" spans="1:31" s="2" customFormat="1" ht="25.5" outlineLevel="1" x14ac:dyDescent="0.2">
      <c r="A20" s="230" t="str">
        <f>'Утв. ИП 2014-2019'!A21</f>
        <v>1.1.1.3</v>
      </c>
      <c r="B20" s="231" t="str">
        <f>'Утв. ИП 2014-2019'!B21</f>
        <v>1.1.1.3</v>
      </c>
      <c r="C20" s="210" t="str">
        <f>'Утв. ИП 2014-2019'!C21</f>
        <v>Реконструкция ВЛ 6 кВ РП-25 – ТП-404 с монтажем РЛНД на отпайке в сторону ТП-429</v>
      </c>
      <c r="D20" s="8"/>
      <c r="E20" s="8"/>
      <c r="F20" s="8"/>
      <c r="G20" s="8"/>
      <c r="H20" s="8"/>
      <c r="I20" s="8"/>
      <c r="J20" s="8"/>
      <c r="K20" s="8"/>
      <c r="L20" s="5"/>
      <c r="M20" s="5"/>
      <c r="N20" s="5"/>
      <c r="O20" s="8"/>
      <c r="P20" s="8"/>
      <c r="Q20" s="8"/>
      <c r="R20" s="134"/>
      <c r="S20" s="137"/>
      <c r="T20" s="122"/>
      <c r="U20" s="137"/>
      <c r="V20" s="122"/>
      <c r="W20" s="49"/>
      <c r="X20" s="122"/>
      <c r="Y20" s="49"/>
      <c r="Z20" s="122"/>
      <c r="AA20" s="49"/>
      <c r="AB20" s="122"/>
      <c r="AC20" s="49"/>
      <c r="AD20" s="133">
        <f t="shared" si="3"/>
        <v>0</v>
      </c>
      <c r="AE20" s="133">
        <f t="shared" si="3"/>
        <v>0</v>
      </c>
    </row>
    <row r="21" spans="1:31" s="2" customFormat="1" ht="25.5" outlineLevel="1" x14ac:dyDescent="0.2">
      <c r="A21" s="230" t="str">
        <f>'Утв. ИП 2014-2019'!A22</f>
        <v>1.1.1.4</v>
      </c>
      <c r="B21" s="231" t="str">
        <f>'Утв. ИП 2014-2019'!B22</f>
        <v>1.1.1.4</v>
      </c>
      <c r="C21" s="210" t="str">
        <f>'Утв. ИП 2014-2019'!C22</f>
        <v>Реконструкция ВЛ 6 кВ ТП-404 - ТП-437 с монтажем РЛНД между отпайками в сторону ТП-464 и в сторону ТП-182а, 195а</v>
      </c>
      <c r="D21" s="8"/>
      <c r="E21" s="8"/>
      <c r="F21" s="8"/>
      <c r="G21" s="8"/>
      <c r="H21" s="8"/>
      <c r="I21" s="8"/>
      <c r="J21" s="8"/>
      <c r="K21" s="8"/>
      <c r="L21" s="5"/>
      <c r="M21" s="5"/>
      <c r="N21" s="5"/>
      <c r="O21" s="8"/>
      <c r="P21" s="8"/>
      <c r="Q21" s="8"/>
      <c r="R21" s="134"/>
      <c r="S21" s="137"/>
      <c r="T21" s="122"/>
      <c r="U21" s="137"/>
      <c r="V21" s="122"/>
      <c r="W21" s="49"/>
      <c r="X21" s="122"/>
      <c r="Y21" s="49"/>
      <c r="Z21" s="122"/>
      <c r="AA21" s="49"/>
      <c r="AB21" s="122"/>
      <c r="AC21" s="49"/>
      <c r="AD21" s="133">
        <f t="shared" si="3"/>
        <v>0</v>
      </c>
      <c r="AE21" s="133">
        <f t="shared" si="3"/>
        <v>0</v>
      </c>
    </row>
    <row r="22" spans="1:31" s="2" customFormat="1" ht="25.5" outlineLevel="1" x14ac:dyDescent="0.2">
      <c r="A22" s="230" t="str">
        <f>'Утв. ИП 2014-2019'!A23</f>
        <v>1.1.1.5</v>
      </c>
      <c r="B22" s="231" t="str">
        <f>'Утв. ИП 2014-2019'!B23</f>
        <v>1.1.1.5</v>
      </c>
      <c r="C22" s="210" t="str">
        <f>'Утв. ИП 2014-2019'!C23</f>
        <v>Реконструкция кабельно-воздушной линии 6 кВ РП-25 яч.7 - ТП-404</v>
      </c>
      <c r="D22" s="8"/>
      <c r="E22" s="8"/>
      <c r="F22" s="8" t="str">
        <f>'Утв. ИП 2014-2019'!M23</f>
        <v>КЛ=0,62 км;
ВЛ=2,157 км</v>
      </c>
      <c r="G22" s="8"/>
      <c r="H22" s="8"/>
      <c r="I22" s="8"/>
      <c r="J22" s="8" t="str">
        <f>'Утв. ИП 2014-2019'!Q23</f>
        <v>КЛ=0,62 км;
ВЛ=2,157 км</v>
      </c>
      <c r="K22" s="8"/>
      <c r="L22" s="5"/>
      <c r="M22" s="5" t="s">
        <v>1792</v>
      </c>
      <c r="N22" s="5"/>
      <c r="O22" s="8"/>
      <c r="P22" s="8"/>
      <c r="Q22" s="8" t="s">
        <v>1792</v>
      </c>
      <c r="R22" s="134"/>
      <c r="S22" s="137"/>
      <c r="T22" s="122"/>
      <c r="U22" s="137"/>
      <c r="V22" s="122">
        <f>0.62+2.157</f>
        <v>2.7770000000000001</v>
      </c>
      <c r="W22" s="49"/>
      <c r="X22" s="122"/>
      <c r="Y22" s="49"/>
      <c r="Z22" s="122"/>
      <c r="AA22" s="49"/>
      <c r="AB22" s="122"/>
      <c r="AC22" s="49"/>
      <c r="AD22" s="133">
        <f t="shared" si="3"/>
        <v>2.7770000000000001</v>
      </c>
      <c r="AE22" s="133">
        <f t="shared" si="3"/>
        <v>0</v>
      </c>
    </row>
    <row r="23" spans="1:31" s="2" customFormat="1" ht="15.75" outlineLevel="1" x14ac:dyDescent="0.2">
      <c r="A23" s="230" t="str">
        <f>'Утв. ИП 2014-2019'!A24</f>
        <v>1.1.1.6</v>
      </c>
      <c r="B23" s="231" t="str">
        <f>'Утв. ИП 2014-2019'!B24</f>
        <v>1.1.1.6</v>
      </c>
      <c r="C23" s="210" t="str">
        <f>'Утв. ИП 2014-2019'!C24</f>
        <v>Реконструкция КЛ-6 кВ РП-8 яч.7 - ТП-414</v>
      </c>
      <c r="D23" s="8"/>
      <c r="E23" s="8"/>
      <c r="F23" s="8" t="str">
        <f>'Утв. ИП 2014-2019'!M24</f>
        <v>2х0,856 км</v>
      </c>
      <c r="G23" s="8"/>
      <c r="H23" s="8"/>
      <c r="I23" s="8"/>
      <c r="J23" s="8" t="str">
        <f>'Утв. ИП 2014-2019'!Q24</f>
        <v>2х0,856 км</v>
      </c>
      <c r="K23" s="8"/>
      <c r="L23" s="8"/>
      <c r="M23" s="5" t="s">
        <v>1793</v>
      </c>
      <c r="N23" s="5"/>
      <c r="O23" s="8"/>
      <c r="P23" s="8"/>
      <c r="Q23" s="8" t="s">
        <v>1793</v>
      </c>
      <c r="R23" s="134"/>
      <c r="S23" s="137"/>
      <c r="T23" s="122"/>
      <c r="U23" s="137"/>
      <c r="V23" s="122">
        <f>2*0.856</f>
        <v>1.712</v>
      </c>
      <c r="W23" s="49"/>
      <c r="X23" s="122"/>
      <c r="Y23" s="49"/>
      <c r="Z23" s="122"/>
      <c r="AA23" s="49"/>
      <c r="AB23" s="122"/>
      <c r="AC23" s="49"/>
      <c r="AD23" s="133">
        <f t="shared" si="3"/>
        <v>1.712</v>
      </c>
      <c r="AE23" s="133">
        <f t="shared" si="3"/>
        <v>0</v>
      </c>
    </row>
    <row r="24" spans="1:31" s="54" customFormat="1" ht="15.75" outlineLevel="1" x14ac:dyDescent="0.2">
      <c r="A24" s="6" t="str">
        <f>'Утв. ИП 2014-2019'!A25</f>
        <v>1.1.1.7</v>
      </c>
      <c r="B24" s="114" t="str">
        <f>'Утв. ИП 2014-2019'!B25</f>
        <v>1.1.1.7</v>
      </c>
      <c r="C24" s="210" t="str">
        <f>'Утв. ИП 2014-2019'!C25</f>
        <v>Реконструкция КЛ-6 кВ РП-25 яч.9 - ТП-402</v>
      </c>
      <c r="D24" s="8"/>
      <c r="E24" s="8"/>
      <c r="F24" s="8"/>
      <c r="G24" s="8" t="str">
        <f>'Утв. ИП 2014-2019'!N25</f>
        <v>0,8 км</v>
      </c>
      <c r="H24" s="8"/>
      <c r="I24" s="8"/>
      <c r="J24" s="8" t="str">
        <f>'Утв. ИП 2014-2019'!Q25</f>
        <v>0,8 км</v>
      </c>
      <c r="K24" s="8"/>
      <c r="L24" s="8"/>
      <c r="M24" s="5"/>
      <c r="N24" s="5" t="s">
        <v>1794</v>
      </c>
      <c r="O24" s="8"/>
      <c r="P24" s="8"/>
      <c r="Q24" s="8" t="s">
        <v>1794</v>
      </c>
      <c r="R24" s="134"/>
      <c r="S24" s="137"/>
      <c r="T24" s="122"/>
      <c r="U24" s="137"/>
      <c r="V24" s="122"/>
      <c r="W24" s="49"/>
      <c r="X24" s="122">
        <v>0.8</v>
      </c>
      <c r="Y24" s="49"/>
      <c r="Z24" s="122"/>
      <c r="AA24" s="49"/>
      <c r="AB24" s="122"/>
      <c r="AC24" s="49"/>
      <c r="AD24" s="133">
        <f t="shared" si="3"/>
        <v>0.8</v>
      </c>
      <c r="AE24" s="133">
        <f t="shared" si="3"/>
        <v>0</v>
      </c>
    </row>
    <row r="25" spans="1:31" s="2" customFormat="1" ht="15.75" customHeight="1" outlineLevel="1" x14ac:dyDescent="0.2">
      <c r="A25" s="6" t="str">
        <f>'Утв. ИП 2014-2019'!A26</f>
        <v>1.1.1.1.1/16</v>
      </c>
      <c r="B25" s="114" t="str">
        <f>'Утв. ИП 2014-2019'!B26</f>
        <v>1.1.1.8</v>
      </c>
      <c r="C25" s="210" t="str">
        <f>'Утв. ИП 2014-2019'!C26</f>
        <v>Реконструкция (перезавод) КЛ-6 кВ в ТП-731 на разные секции шин</v>
      </c>
      <c r="D25" s="8"/>
      <c r="E25" s="8"/>
      <c r="F25" s="8"/>
      <c r="G25" s="8"/>
      <c r="H25" s="8" t="str">
        <f>'Утв. ИП 2014-2019'!O26</f>
        <v>0,05 км</v>
      </c>
      <c r="I25" s="8"/>
      <c r="J25" s="8" t="str">
        <f>'Утв. ИП 2014-2019'!Q26</f>
        <v>0,05 км</v>
      </c>
      <c r="K25" s="8"/>
      <c r="L25" s="8"/>
      <c r="M25" s="8"/>
      <c r="N25" s="8"/>
      <c r="O25" s="8" t="s">
        <v>942</v>
      </c>
      <c r="P25" s="8"/>
      <c r="Q25" s="8" t="s">
        <v>942</v>
      </c>
      <c r="R25" s="134"/>
      <c r="S25" s="137"/>
      <c r="T25" s="122"/>
      <c r="U25" s="137"/>
      <c r="V25" s="122"/>
      <c r="W25" s="49"/>
      <c r="X25" s="122"/>
      <c r="Y25" s="49"/>
      <c r="Z25" s="122">
        <v>0.05</v>
      </c>
      <c r="AA25" s="49"/>
      <c r="AB25" s="122"/>
      <c r="AC25" s="49"/>
      <c r="AD25" s="133">
        <f t="shared" si="3"/>
        <v>0.05</v>
      </c>
      <c r="AE25" s="133">
        <f t="shared" si="3"/>
        <v>0</v>
      </c>
    </row>
    <row r="26" spans="1:31" s="2" customFormat="1" ht="15.75" x14ac:dyDescent="0.2">
      <c r="A26" s="28">
        <v>0</v>
      </c>
      <c r="B26" s="28" t="s">
        <v>139</v>
      </c>
      <c r="C26" s="33" t="s">
        <v>140</v>
      </c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132">
        <f>SUM(R27:R28)</f>
        <v>0</v>
      </c>
      <c r="S26" s="95">
        <f t="shared" ref="S26:AC26" si="5">SUM(S27:S28)</f>
        <v>0</v>
      </c>
      <c r="T26" s="85">
        <f t="shared" si="5"/>
        <v>20</v>
      </c>
      <c r="U26" s="95">
        <f t="shared" si="5"/>
        <v>0</v>
      </c>
      <c r="V26" s="85">
        <f t="shared" si="5"/>
        <v>0</v>
      </c>
      <c r="W26" s="31">
        <f t="shared" si="5"/>
        <v>0</v>
      </c>
      <c r="X26" s="85">
        <f t="shared" si="5"/>
        <v>0</v>
      </c>
      <c r="Y26" s="31">
        <f t="shared" si="5"/>
        <v>0</v>
      </c>
      <c r="Z26" s="85">
        <f t="shared" si="5"/>
        <v>0</v>
      </c>
      <c r="AA26" s="31">
        <f t="shared" si="5"/>
        <v>0</v>
      </c>
      <c r="AB26" s="85">
        <f t="shared" si="5"/>
        <v>0</v>
      </c>
      <c r="AC26" s="31">
        <f t="shared" si="5"/>
        <v>0</v>
      </c>
      <c r="AD26" s="142">
        <f t="shared" si="3"/>
        <v>20</v>
      </c>
      <c r="AE26" s="142">
        <f t="shared" si="3"/>
        <v>0</v>
      </c>
    </row>
    <row r="27" spans="1:31" s="2" customFormat="1" ht="114.75" outlineLevel="1" x14ac:dyDescent="0.2">
      <c r="A27" s="230" t="str">
        <f>'Утв. ИП 2014-2019'!A28</f>
        <v>1.1.1.2.1/12</v>
      </c>
      <c r="B27" s="231" t="str">
        <f>'Утв. ИП 2014-2019'!B28</f>
        <v>1.1.2.1</v>
      </c>
      <c r="C27" s="210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7" s="8"/>
      <c r="E27" s="8" t="str">
        <f>'Утв. ИП 2014-2019'!L28</f>
        <v>20,0 км</v>
      </c>
      <c r="F27" s="8"/>
      <c r="G27" s="8"/>
      <c r="H27" s="8"/>
      <c r="I27" s="8"/>
      <c r="J27" s="8" t="str">
        <f>'Утв. ИП 2014-2019'!Q28</f>
        <v>20,0 км</v>
      </c>
      <c r="K27" s="8"/>
      <c r="L27" s="8" t="s">
        <v>443</v>
      </c>
      <c r="M27" s="12"/>
      <c r="N27" s="8"/>
      <c r="O27" s="8"/>
      <c r="P27" s="8"/>
      <c r="Q27" s="8" t="s">
        <v>443</v>
      </c>
      <c r="R27" s="134"/>
      <c r="S27" s="137"/>
      <c r="T27" s="122">
        <v>20</v>
      </c>
      <c r="U27" s="137"/>
      <c r="V27" s="122"/>
      <c r="W27" s="49"/>
      <c r="X27" s="122"/>
      <c r="Y27" s="49"/>
      <c r="Z27" s="122"/>
      <c r="AA27" s="49"/>
      <c r="AB27" s="122"/>
      <c r="AC27" s="49"/>
      <c r="AD27" s="142">
        <f t="shared" si="3"/>
        <v>20</v>
      </c>
      <c r="AE27" s="142">
        <f t="shared" si="3"/>
        <v>0</v>
      </c>
    </row>
    <row r="28" spans="1:31" s="112" customFormat="1" ht="25.5" outlineLevel="1" x14ac:dyDescent="0.2">
      <c r="A28" s="230" t="str">
        <f>'Утв. ИП 2014-2019'!A29</f>
        <v>1.1.2.2</v>
      </c>
      <c r="B28" s="231" t="str">
        <f>'Утв. ИП 2014-2019'!B29</f>
        <v>1.1.2.2</v>
      </c>
      <c r="C28" s="210" t="str">
        <f>'Утв. ИП 2014-2019'!C29</f>
        <v>Реконструкция (перенос опоры) ВЛ-0,4 кВ по ул. Новотепличная от ТП-317 (инв. № 346211)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134"/>
      <c r="S28" s="137"/>
      <c r="T28" s="122"/>
      <c r="U28" s="137"/>
      <c r="V28" s="122"/>
      <c r="W28" s="49"/>
      <c r="X28" s="122"/>
      <c r="Y28" s="49"/>
      <c r="Z28" s="122"/>
      <c r="AA28" s="49"/>
      <c r="AB28" s="122"/>
      <c r="AC28" s="49"/>
      <c r="AD28" s="142">
        <f t="shared" si="3"/>
        <v>0</v>
      </c>
      <c r="AE28" s="142">
        <f t="shared" si="3"/>
        <v>0</v>
      </c>
    </row>
    <row r="29" spans="1:31" s="112" customFormat="1" ht="15.75" x14ac:dyDescent="0.2">
      <c r="A29" s="28">
        <v>0</v>
      </c>
      <c r="B29" s="28" t="s">
        <v>141</v>
      </c>
      <c r="C29" s="29" t="s">
        <v>142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132">
        <f t="shared" ref="R29:AC29" si="6">SUM(R30:R35)</f>
        <v>0</v>
      </c>
      <c r="S29" s="95">
        <f t="shared" si="6"/>
        <v>0</v>
      </c>
      <c r="T29" s="85">
        <f t="shared" si="6"/>
        <v>0</v>
      </c>
      <c r="U29" s="95">
        <f t="shared" si="6"/>
        <v>1.26</v>
      </c>
      <c r="V29" s="85">
        <f t="shared" si="6"/>
        <v>0</v>
      </c>
      <c r="W29" s="31">
        <f t="shared" si="6"/>
        <v>0</v>
      </c>
      <c r="X29" s="85">
        <f t="shared" si="6"/>
        <v>0</v>
      </c>
      <c r="Y29" s="31">
        <f t="shared" si="6"/>
        <v>0</v>
      </c>
      <c r="Z29" s="85">
        <f t="shared" si="6"/>
        <v>0</v>
      </c>
      <c r="AA29" s="31">
        <f t="shared" si="6"/>
        <v>0</v>
      </c>
      <c r="AB29" s="85">
        <f t="shared" si="6"/>
        <v>0</v>
      </c>
      <c r="AC29" s="31">
        <f t="shared" si="6"/>
        <v>2</v>
      </c>
      <c r="AD29" s="142">
        <f t="shared" si="3"/>
        <v>0</v>
      </c>
      <c r="AE29" s="142">
        <f t="shared" si="3"/>
        <v>3.26</v>
      </c>
    </row>
    <row r="30" spans="1:31" s="2" customFormat="1" ht="25.5" outlineLevel="1" x14ac:dyDescent="0.2">
      <c r="A30" s="230" t="str">
        <f>'Утв. ИП 2014-2019'!A31</f>
        <v>1.1.1.5.3.1/11</v>
      </c>
      <c r="B30" s="230" t="str">
        <f>'Утв. ИП 2014-2019'!B31</f>
        <v>1.1.3.1</v>
      </c>
      <c r="C30" s="210" t="str">
        <f>'Утв. ИП 2014-2019'!C31</f>
        <v>Реконструкция ПС-35/6 кВ "Студеновская" (замена оборудования) (инв. № 400641, 400640, 400639, 416043А)</v>
      </c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134"/>
      <c r="S30" s="137"/>
      <c r="T30" s="122"/>
      <c r="U30" s="137"/>
      <c r="V30" s="122"/>
      <c r="W30" s="49"/>
      <c r="X30" s="122"/>
      <c r="Y30" s="49"/>
      <c r="Z30" s="122"/>
      <c r="AA30" s="49"/>
      <c r="AB30" s="122"/>
      <c r="AC30" s="49"/>
      <c r="AD30" s="133">
        <f t="shared" si="3"/>
        <v>0</v>
      </c>
      <c r="AE30" s="133">
        <f t="shared" si="3"/>
        <v>0</v>
      </c>
    </row>
    <row r="31" spans="1:31" s="2" customFormat="1" ht="15.75" outlineLevel="1" x14ac:dyDescent="0.2">
      <c r="A31" s="230" t="str">
        <f>'Утв. ИП 2014-2019'!A32</f>
        <v>1.1.1.5.4/14</v>
      </c>
      <c r="B31" s="230" t="str">
        <f>'Утв. ИП 2014-2019'!B32</f>
        <v>1.1.3.2</v>
      </c>
      <c r="C31" s="210" t="str">
        <f>'Утв. ИП 2014-2019'!C32</f>
        <v>Реконструкция РП-30 (инв. № 400662)</v>
      </c>
      <c r="D31" s="8"/>
      <c r="E31" s="8" t="str">
        <f>'Утв. ИП 2014-2019'!L32</f>
        <v>2х0,63 МВА</v>
      </c>
      <c r="F31" s="8"/>
      <c r="G31" s="8"/>
      <c r="H31" s="8"/>
      <c r="I31" s="8"/>
      <c r="J31" s="8" t="str">
        <f>'Утв. ИП 2014-2019'!Q32</f>
        <v>2х0,63МВА</v>
      </c>
      <c r="K31" s="8"/>
      <c r="L31" s="8" t="s">
        <v>2357</v>
      </c>
      <c r="M31" s="5"/>
      <c r="N31" s="5"/>
      <c r="O31" s="8"/>
      <c r="P31" s="8"/>
      <c r="Q31" s="8" t="s">
        <v>2357</v>
      </c>
      <c r="R31" s="134"/>
      <c r="S31" s="137"/>
      <c r="T31" s="122"/>
      <c r="U31" s="137">
        <f>2*0.63</f>
        <v>1.26</v>
      </c>
      <c r="V31" s="122"/>
      <c r="W31" s="49"/>
      <c r="X31" s="122"/>
      <c r="Y31" s="49"/>
      <c r="Z31" s="122"/>
      <c r="AA31" s="49"/>
      <c r="AB31" s="122"/>
      <c r="AC31" s="49"/>
      <c r="AD31" s="133">
        <f t="shared" si="3"/>
        <v>0</v>
      </c>
      <c r="AE31" s="133">
        <f t="shared" si="3"/>
        <v>1.26</v>
      </c>
    </row>
    <row r="32" spans="1:31" s="2" customFormat="1" ht="25.5" outlineLevel="1" x14ac:dyDescent="0.2">
      <c r="A32" s="230" t="str">
        <f>'Утв. ИП 2014-2019'!A33</f>
        <v>1.1.1.5.3.3/10</v>
      </c>
      <c r="B32" s="230" t="str">
        <f>'Утв. ИП 2014-2019'!B33</f>
        <v>1.1.3.3</v>
      </c>
      <c r="C32" s="210" t="str">
        <f>'Утв. ИП 2014-2019'!C33</f>
        <v>Реконструкция РП-17 водозабора № 5 (замена оборудования) (инв. № 416019А)</v>
      </c>
      <c r="D32" s="8"/>
      <c r="E32" s="8"/>
      <c r="F32" s="8"/>
      <c r="G32" s="8"/>
      <c r="H32" s="8"/>
      <c r="I32" s="8" t="str">
        <f>'Утв. ИП 2014-2019'!P33</f>
        <v>2х1 МВА</v>
      </c>
      <c r="J32" s="8" t="str">
        <f>'Утв. ИП 2014-2019'!Q33</f>
        <v>2х1 МВА</v>
      </c>
      <c r="K32" s="8"/>
      <c r="L32" s="8"/>
      <c r="M32" s="8"/>
      <c r="N32" s="8"/>
      <c r="O32" s="8"/>
      <c r="P32" s="8" t="s">
        <v>911</v>
      </c>
      <c r="Q32" s="8" t="s">
        <v>911</v>
      </c>
      <c r="R32" s="134"/>
      <c r="S32" s="137"/>
      <c r="T32" s="122"/>
      <c r="U32" s="137"/>
      <c r="V32" s="122"/>
      <c r="W32" s="49"/>
      <c r="X32" s="122"/>
      <c r="Y32" s="49"/>
      <c r="Z32" s="122"/>
      <c r="AA32" s="49"/>
      <c r="AB32" s="122"/>
      <c r="AC32" s="49">
        <v>2</v>
      </c>
      <c r="AD32" s="133">
        <f t="shared" si="3"/>
        <v>0</v>
      </c>
      <c r="AE32" s="133">
        <f t="shared" si="3"/>
        <v>2</v>
      </c>
    </row>
    <row r="33" spans="1:31" s="2" customFormat="1" ht="15.75" outlineLevel="1" x14ac:dyDescent="0.2">
      <c r="A33" s="230" t="str">
        <f>'Утв. ИП 2014-2019'!A34</f>
        <v>1.1.1.5.3/14</v>
      </c>
      <c r="B33" s="114" t="str">
        <f>'Утв. ИП 2014-2019'!B34</f>
        <v>1.1.3.4</v>
      </c>
      <c r="C33" s="210" t="str">
        <f>'Утв. ИП 2014-2019'!C34</f>
        <v>Реконструкция РУ-6 кВ РП-45 (инв. № 400671)</v>
      </c>
      <c r="D33" s="8"/>
      <c r="E33" s="8"/>
      <c r="F33" s="8"/>
      <c r="G33" s="8"/>
      <c r="H33" s="8"/>
      <c r="I33" s="8"/>
      <c r="J33" s="8"/>
      <c r="K33" s="8"/>
      <c r="L33" s="8"/>
      <c r="M33" s="5"/>
      <c r="N33" s="5"/>
      <c r="O33" s="8"/>
      <c r="P33" s="8"/>
      <c r="Q33" s="8"/>
      <c r="R33" s="134"/>
      <c r="S33" s="137"/>
      <c r="T33" s="122"/>
      <c r="U33" s="137"/>
      <c r="V33" s="122"/>
      <c r="W33" s="49"/>
      <c r="X33" s="122"/>
      <c r="Y33" s="49"/>
      <c r="Z33" s="122"/>
      <c r="AA33" s="49"/>
      <c r="AB33" s="122"/>
      <c r="AC33" s="49"/>
      <c r="AD33" s="142">
        <f t="shared" ref="AD33:AE35" si="7">R33+T33+V33+X33+Z33+AB33</f>
        <v>0</v>
      </c>
      <c r="AE33" s="142">
        <f t="shared" si="7"/>
        <v>0</v>
      </c>
    </row>
    <row r="34" spans="1:31" s="2" customFormat="1" ht="15.75" outlineLevel="1" x14ac:dyDescent="0.2">
      <c r="A34" s="230" t="str">
        <f>'Утв. ИП 2014-2019'!A35</f>
        <v>1.1.3.5</v>
      </c>
      <c r="B34" s="114" t="str">
        <f>'Утв. ИП 2014-2019'!B35</f>
        <v>1.1.3.5</v>
      </c>
      <c r="C34" s="210" t="str">
        <f>'Утв. ИП 2014-2019'!C35</f>
        <v>Реконструкция РУ-6 кВ ТП-732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134"/>
      <c r="S34" s="137"/>
      <c r="T34" s="122"/>
      <c r="U34" s="137"/>
      <c r="V34" s="122"/>
      <c r="W34" s="49"/>
      <c r="X34" s="122"/>
      <c r="Y34" s="49"/>
      <c r="Z34" s="122"/>
      <c r="AA34" s="49"/>
      <c r="AB34" s="122"/>
      <c r="AC34" s="49"/>
      <c r="AD34" s="133">
        <f t="shared" si="7"/>
        <v>0</v>
      </c>
      <c r="AE34" s="133">
        <f t="shared" si="7"/>
        <v>0</v>
      </c>
    </row>
    <row r="35" spans="1:31" s="2" customFormat="1" ht="15.75" outlineLevel="1" x14ac:dyDescent="0.2">
      <c r="A35" s="230" t="str">
        <f>'Утв. ИП 2014-2019'!A36</f>
        <v>1.1.3.6</v>
      </c>
      <c r="B35" s="114" t="str">
        <f>'Утв. ИП 2014-2019'!B36</f>
        <v>1.1.3.6</v>
      </c>
      <c r="C35" s="210" t="str">
        <f>'Утв. ИП 2014-2019'!C36</f>
        <v>Реконструкция РУ-6 кВ ТП-709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134"/>
      <c r="S35" s="137"/>
      <c r="T35" s="122"/>
      <c r="U35" s="137"/>
      <c r="V35" s="122"/>
      <c r="W35" s="49"/>
      <c r="X35" s="122"/>
      <c r="Y35" s="49"/>
      <c r="Z35" s="122"/>
      <c r="AA35" s="49"/>
      <c r="AB35" s="122"/>
      <c r="AC35" s="49"/>
      <c r="AD35" s="133">
        <f t="shared" si="7"/>
        <v>0</v>
      </c>
      <c r="AE35" s="133">
        <f t="shared" si="7"/>
        <v>0</v>
      </c>
    </row>
    <row r="36" spans="1:31" s="112" customFormat="1" ht="25.5" x14ac:dyDescent="0.2">
      <c r="A36" s="28">
        <v>0</v>
      </c>
      <c r="B36" s="28" t="s">
        <v>149</v>
      </c>
      <c r="C36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132">
        <f>SUM(R37:R39)</f>
        <v>15.98</v>
      </c>
      <c r="S36" s="95">
        <f t="shared" ref="S36:AC36" si="8">SUM(S37:S39)</f>
        <v>0</v>
      </c>
      <c r="T36" s="85">
        <f t="shared" si="8"/>
        <v>0</v>
      </c>
      <c r="U36" s="95">
        <f t="shared" si="8"/>
        <v>0</v>
      </c>
      <c r="V36" s="85">
        <f t="shared" si="8"/>
        <v>0</v>
      </c>
      <c r="W36" s="31">
        <f t="shared" si="8"/>
        <v>0</v>
      </c>
      <c r="X36" s="85">
        <f t="shared" si="8"/>
        <v>0</v>
      </c>
      <c r="Y36" s="31">
        <f t="shared" si="8"/>
        <v>0</v>
      </c>
      <c r="Z36" s="85">
        <f t="shared" si="8"/>
        <v>0</v>
      </c>
      <c r="AA36" s="31">
        <f t="shared" si="8"/>
        <v>0</v>
      </c>
      <c r="AB36" s="85">
        <f t="shared" si="8"/>
        <v>0</v>
      </c>
      <c r="AC36" s="31">
        <f t="shared" si="8"/>
        <v>0</v>
      </c>
      <c r="AD36" s="142">
        <f t="shared" si="3"/>
        <v>15.98</v>
      </c>
      <c r="AE36" s="142">
        <f t="shared" si="3"/>
        <v>0</v>
      </c>
    </row>
    <row r="37" spans="1:31" s="112" customFormat="1" ht="15.75" outlineLevel="1" x14ac:dyDescent="0.2">
      <c r="A37" s="230" t="str">
        <f>'Утв. ИП 2014-2019'!A38</f>
        <v>1.1.2.1.2/11</v>
      </c>
      <c r="B37" s="230" t="str">
        <f>'Утв. ИП 2014-2019'!B38</f>
        <v>1.2.1</v>
      </c>
      <c r="C37" s="210" t="str">
        <f>'Утв. ИП 2014-2019'!C38</f>
        <v>Монтаж устройств сбора-передачи данных (УСПД)</v>
      </c>
      <c r="D37" s="8" t="str">
        <f>'Утв. ИП 2014-2019'!K38</f>
        <v>20 шт.</v>
      </c>
      <c r="E37" s="8"/>
      <c r="F37" s="8"/>
      <c r="G37" s="8"/>
      <c r="H37" s="8"/>
      <c r="I37" s="8"/>
      <c r="J37" s="8" t="str">
        <f>'Утв. ИП 2014-2019'!Q38</f>
        <v>20 шт.</v>
      </c>
      <c r="K37" s="8"/>
      <c r="L37" s="8"/>
      <c r="M37" s="8"/>
      <c r="N37" s="8"/>
      <c r="O37" s="8"/>
      <c r="P37" s="8"/>
      <c r="Q37" s="8"/>
      <c r="R37" s="134"/>
      <c r="S37" s="137"/>
      <c r="T37" s="122"/>
      <c r="U37" s="137"/>
      <c r="V37" s="122"/>
      <c r="W37" s="49"/>
      <c r="X37" s="122"/>
      <c r="Y37" s="49"/>
      <c r="Z37" s="122"/>
      <c r="AA37" s="49"/>
      <c r="AB37" s="122"/>
      <c r="AC37" s="49"/>
      <c r="AD37" s="142">
        <f t="shared" si="3"/>
        <v>0</v>
      </c>
      <c r="AE37" s="142">
        <f t="shared" si="3"/>
        <v>0</v>
      </c>
    </row>
    <row r="38" spans="1:31" s="112" customFormat="1" ht="25.5" outlineLevel="1" x14ac:dyDescent="0.2">
      <c r="A38" s="230" t="str">
        <f>'Утв. ИП 2014-2019'!A39</f>
        <v>1.1.1.2.2/13</v>
      </c>
      <c r="B38" s="230" t="str">
        <f>'Утв. ИП 2014-2019'!B39</f>
        <v>1.2.2</v>
      </c>
      <c r="C38" s="210" t="str">
        <f>'Утв. ИП 2014-2019'!C39</f>
        <v>Монтаж приборов коммерческого учета и ввод в эксплуатацию АСКУЭ района с. Сселки</v>
      </c>
      <c r="D38" s="8"/>
      <c r="E38" s="8" t="str">
        <f>'Утв. ИП 2014-2019'!L39</f>
        <v>1614 аб.</v>
      </c>
      <c r="F38" s="8"/>
      <c r="G38" s="8"/>
      <c r="H38" s="8"/>
      <c r="I38" s="8"/>
      <c r="J38" s="8" t="str">
        <f>'Утв. ИП 2014-2019'!Q39</f>
        <v>1614 аб.</v>
      </c>
      <c r="K38" s="8"/>
      <c r="L38" s="8"/>
      <c r="M38" s="12"/>
      <c r="N38" s="8"/>
      <c r="O38" s="8"/>
      <c r="P38" s="8"/>
      <c r="Q38" s="8"/>
      <c r="R38" s="134"/>
      <c r="S38" s="94"/>
      <c r="T38" s="122"/>
      <c r="U38" s="94"/>
      <c r="V38" s="122"/>
      <c r="W38" s="5"/>
      <c r="X38" s="122"/>
      <c r="Y38" s="5"/>
      <c r="Z38" s="122"/>
      <c r="AA38" s="5"/>
      <c r="AB38" s="122"/>
      <c r="AC38" s="5"/>
      <c r="AD38" s="142">
        <f t="shared" si="3"/>
        <v>0</v>
      </c>
      <c r="AE38" s="142">
        <f t="shared" si="3"/>
        <v>0</v>
      </c>
    </row>
    <row r="39" spans="1:31" s="112" customFormat="1" ht="25.5" outlineLevel="1" x14ac:dyDescent="0.2">
      <c r="A39" s="230" t="str">
        <f>'Утв. ИП 2014-2019'!A40</f>
        <v>1.1.2.1.1/09</v>
      </c>
      <c r="B39" s="230" t="str">
        <f>'Утв. ИП 2014-2019'!B40</f>
        <v>1.2.3</v>
      </c>
      <c r="C39" s="210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9" s="8" t="str">
        <f>'Утв. ИП 2014-2019'!K40</f>
        <v>579 аб.
28,743 км</v>
      </c>
      <c r="E39" s="8"/>
      <c r="F39" s="8"/>
      <c r="G39" s="8"/>
      <c r="H39" s="8"/>
      <c r="I39" s="8"/>
      <c r="J39" s="8" t="str">
        <f>'Утв. ИП 2014-2019'!Q40</f>
        <v>579 аб.
28,743 км</v>
      </c>
      <c r="K39" s="8" t="s">
        <v>1404</v>
      </c>
      <c r="L39" s="8"/>
      <c r="M39" s="8"/>
      <c r="N39" s="8"/>
      <c r="O39" s="8"/>
      <c r="P39" s="8"/>
      <c r="Q39" s="8" t="s">
        <v>1404</v>
      </c>
      <c r="R39" s="134">
        <v>15.98</v>
      </c>
      <c r="S39" s="94"/>
      <c r="T39" s="122"/>
      <c r="U39" s="94"/>
      <c r="V39" s="122"/>
      <c r="W39" s="5"/>
      <c r="X39" s="122"/>
      <c r="Y39" s="5"/>
      <c r="Z39" s="122"/>
      <c r="AA39" s="5"/>
      <c r="AB39" s="122"/>
      <c r="AC39" s="5"/>
      <c r="AD39" s="142">
        <f t="shared" si="3"/>
        <v>15.98</v>
      </c>
      <c r="AE39" s="142">
        <f t="shared" si="3"/>
        <v>0</v>
      </c>
    </row>
    <row r="40" spans="1:31" s="112" customFormat="1" ht="15.75" x14ac:dyDescent="0.2">
      <c r="A40" s="28">
        <v>0</v>
      </c>
      <c r="B40" s="28" t="s">
        <v>153</v>
      </c>
      <c r="C40" s="29" t="str">
        <f>'Утв. ИП 2014-2019'!C41</f>
        <v>Создание систем телемеханики и связи</v>
      </c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132">
        <f>SUM(R41:R46)</f>
        <v>0</v>
      </c>
      <c r="S40" s="95">
        <f t="shared" ref="S40:AC40" si="9">SUM(S41:S46)</f>
        <v>0</v>
      </c>
      <c r="T40" s="85">
        <f t="shared" si="9"/>
        <v>0</v>
      </c>
      <c r="U40" s="95">
        <f t="shared" si="9"/>
        <v>0</v>
      </c>
      <c r="V40" s="85">
        <f t="shared" si="9"/>
        <v>0</v>
      </c>
      <c r="W40" s="31">
        <f t="shared" si="9"/>
        <v>0</v>
      </c>
      <c r="X40" s="85">
        <f t="shared" si="9"/>
        <v>0</v>
      </c>
      <c r="Y40" s="31">
        <f t="shared" si="9"/>
        <v>0</v>
      </c>
      <c r="Z40" s="85">
        <f t="shared" si="9"/>
        <v>0</v>
      </c>
      <c r="AA40" s="31">
        <f t="shared" si="9"/>
        <v>0</v>
      </c>
      <c r="AB40" s="85">
        <f t="shared" si="9"/>
        <v>0</v>
      </c>
      <c r="AC40" s="31">
        <f t="shared" si="9"/>
        <v>0</v>
      </c>
      <c r="AD40" s="142">
        <f t="shared" si="3"/>
        <v>0</v>
      </c>
      <c r="AE40" s="142">
        <f t="shared" si="3"/>
        <v>0</v>
      </c>
    </row>
    <row r="41" spans="1:31" s="112" customFormat="1" ht="25.5" outlineLevel="1" x14ac:dyDescent="0.2">
      <c r="A41" s="230" t="str">
        <f>'Утв. ИП 2014-2019'!A42</f>
        <v>1.1.1.4.1/09</v>
      </c>
      <c r="B41" s="230" t="str">
        <f>'Утв. ИП 2014-2019'!B42</f>
        <v>1.3.1</v>
      </c>
      <c r="C41" s="210" t="str">
        <f>'Утв. ИП 2014-2019'!C42</f>
        <v>Монтаж систем охранно-пожарной сигнализации здания по ул. Кузнечная, 1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134"/>
      <c r="S41" s="139"/>
      <c r="T41" s="122"/>
      <c r="U41" s="139"/>
      <c r="V41" s="122"/>
      <c r="W41" s="123"/>
      <c r="X41" s="122"/>
      <c r="Y41" s="123"/>
      <c r="Z41" s="122"/>
      <c r="AA41" s="123"/>
      <c r="AB41" s="122"/>
      <c r="AC41" s="123"/>
      <c r="AD41" s="142">
        <f t="shared" si="3"/>
        <v>0</v>
      </c>
      <c r="AE41" s="142">
        <f t="shared" si="3"/>
        <v>0</v>
      </c>
    </row>
    <row r="42" spans="1:31" s="112" customFormat="1" ht="15.75" outlineLevel="1" x14ac:dyDescent="0.2">
      <c r="A42" s="230" t="str">
        <f>'Утв. ИП 2014-2019'!A43</f>
        <v>1.1.1.4.1.2/14</v>
      </c>
      <c r="B42" s="230" t="str">
        <f>'Утв. ИП 2014-2019'!B43</f>
        <v>1.3.2</v>
      </c>
      <c r="C42" s="248" t="str">
        <f>'Утв. ИП 2014-2019'!C43</f>
        <v>Приобретение программного обеспечения "Стек-Энерго"</v>
      </c>
      <c r="D42" s="8"/>
      <c r="E42" s="8"/>
      <c r="F42" s="5"/>
      <c r="G42" s="5"/>
      <c r="H42" s="8"/>
      <c r="I42" s="8"/>
      <c r="J42" s="8"/>
      <c r="K42" s="8"/>
      <c r="L42" s="8"/>
      <c r="M42" s="5"/>
      <c r="N42" s="5"/>
      <c r="O42" s="8"/>
      <c r="P42" s="8"/>
      <c r="Q42" s="8"/>
      <c r="R42" s="134"/>
      <c r="S42" s="137"/>
      <c r="T42" s="122"/>
      <c r="U42" s="137"/>
      <c r="V42" s="122"/>
      <c r="W42" s="49"/>
      <c r="X42" s="122"/>
      <c r="Y42" s="49"/>
      <c r="Z42" s="122"/>
      <c r="AA42" s="49"/>
      <c r="AB42" s="122"/>
      <c r="AC42" s="49"/>
      <c r="AD42" s="142">
        <f t="shared" si="3"/>
        <v>0</v>
      </c>
      <c r="AE42" s="142">
        <f t="shared" si="3"/>
        <v>0</v>
      </c>
    </row>
    <row r="43" spans="1:31" s="112" customFormat="1" ht="15.75" customHeight="1" outlineLevel="1" x14ac:dyDescent="0.2">
      <c r="A43" s="230" t="str">
        <f>'Утв. ИП 2014-2019'!A44</f>
        <v>1.1.1.4.1.3/14</v>
      </c>
      <c r="B43" s="230" t="str">
        <f>'Утв. ИП 2014-2019'!B44</f>
        <v>1.3.3</v>
      </c>
      <c r="C43" s="248" t="str">
        <f>'Утв. ИП 2014-2019'!C44</f>
        <v>Монтаж отказоустойчивого кластера для системы АСКУЭ "Smart"</v>
      </c>
      <c r="D43" s="8"/>
      <c r="E43" s="8"/>
      <c r="F43" s="5"/>
      <c r="G43" s="5"/>
      <c r="H43" s="8"/>
      <c r="I43" s="8"/>
      <c r="J43" s="8"/>
      <c r="K43" s="8"/>
      <c r="L43" s="8"/>
      <c r="M43" s="5"/>
      <c r="N43" s="5"/>
      <c r="O43" s="8"/>
      <c r="P43" s="8"/>
      <c r="Q43" s="8"/>
      <c r="R43" s="134"/>
      <c r="S43" s="137"/>
      <c r="T43" s="122"/>
      <c r="U43" s="137"/>
      <c r="V43" s="122"/>
      <c r="W43" s="49"/>
      <c r="X43" s="122"/>
      <c r="Y43" s="49"/>
      <c r="Z43" s="122"/>
      <c r="AA43" s="49"/>
      <c r="AB43" s="122"/>
      <c r="AC43" s="49"/>
      <c r="AD43" s="142">
        <f t="shared" si="3"/>
        <v>0</v>
      </c>
      <c r="AE43" s="142">
        <f t="shared" si="3"/>
        <v>0</v>
      </c>
    </row>
    <row r="44" spans="1:31" s="112" customFormat="1" ht="25.5" outlineLevel="1" x14ac:dyDescent="0.2">
      <c r="A44" s="230" t="str">
        <f>'Утв. ИП 2014-2019'!A45</f>
        <v>1.3.4</v>
      </c>
      <c r="B44" s="230" t="str">
        <f>'Утв. ИП 2014-2019'!B45</f>
        <v>1.3.4</v>
      </c>
      <c r="C44" s="210" t="str">
        <f>'Утв. ИП 2014-2019'!C45</f>
        <v>Монтаж системы охранного видеонаблюдения здания по ул. Кузнечная, 1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134"/>
      <c r="S44" s="139"/>
      <c r="T44" s="122"/>
      <c r="U44" s="139"/>
      <c r="V44" s="122"/>
      <c r="W44" s="123"/>
      <c r="X44" s="122"/>
      <c r="Y44" s="123"/>
      <c r="Z44" s="122"/>
      <c r="AA44" s="123"/>
      <c r="AB44" s="122"/>
      <c r="AC44" s="123"/>
      <c r="AD44" s="142">
        <f t="shared" si="3"/>
        <v>0</v>
      </c>
      <c r="AE44" s="142">
        <f t="shared" si="3"/>
        <v>0</v>
      </c>
    </row>
    <row r="45" spans="1:31" s="112" customFormat="1" ht="15.75" outlineLevel="1" x14ac:dyDescent="0.2">
      <c r="A45" s="230" t="str">
        <f>'Утв. ИП 2014-2019'!A46</f>
        <v>1.3.5</v>
      </c>
      <c r="B45" s="230" t="str">
        <f>'Утв. ИП 2014-2019'!B46</f>
        <v>1.3.5</v>
      </c>
      <c r="C45" s="248" t="str">
        <f>'Утв. ИП 2014-2019'!C46</f>
        <v>Внедрение системы контроля и управления доступом к МФУ</v>
      </c>
      <c r="D45" s="8"/>
      <c r="E45" s="8"/>
      <c r="F45" s="5"/>
      <c r="G45" s="5"/>
      <c r="H45" s="8"/>
      <c r="I45" s="8"/>
      <c r="J45" s="8"/>
      <c r="K45" s="8"/>
      <c r="L45" s="8"/>
      <c r="M45" s="5"/>
      <c r="N45" s="5"/>
      <c r="O45" s="8"/>
      <c r="P45" s="8"/>
      <c r="Q45" s="8"/>
      <c r="R45" s="134"/>
      <c r="S45" s="137"/>
      <c r="T45" s="122"/>
      <c r="U45" s="137"/>
      <c r="V45" s="122"/>
      <c r="W45" s="49"/>
      <c r="X45" s="122"/>
      <c r="Y45" s="49"/>
      <c r="Z45" s="122"/>
      <c r="AA45" s="49"/>
      <c r="AB45" s="122"/>
      <c r="AC45" s="49"/>
      <c r="AD45" s="142">
        <f t="shared" si="3"/>
        <v>0</v>
      </c>
      <c r="AE45" s="142">
        <f t="shared" si="3"/>
        <v>0</v>
      </c>
    </row>
    <row r="46" spans="1:31" s="69" customFormat="1" ht="15.75" outlineLevel="1" x14ac:dyDescent="0.2">
      <c r="A46" s="230" t="str">
        <f>'Утв. ИП 2014-2019'!A47</f>
        <v>1.3.6</v>
      </c>
      <c r="B46" s="230" t="str">
        <f>'Утв. ИП 2014-2019'!B47</f>
        <v>1.3.6</v>
      </c>
      <c r="C46" s="248" t="str">
        <f>'Утв. ИП 2014-2019'!C47</f>
        <v>Приобретение серверного и коммутационного оборудования</v>
      </c>
      <c r="D46" s="8"/>
      <c r="E46" s="8"/>
      <c r="F46" s="5"/>
      <c r="G46" s="5"/>
      <c r="H46" s="8"/>
      <c r="I46" s="8"/>
      <c r="J46" s="8"/>
      <c r="K46" s="8"/>
      <c r="L46" s="8"/>
      <c r="M46" s="5"/>
      <c r="N46" s="5"/>
      <c r="O46" s="8"/>
      <c r="P46" s="8"/>
      <c r="Q46" s="8"/>
      <c r="R46" s="134"/>
      <c r="S46" s="137"/>
      <c r="T46" s="122"/>
      <c r="U46" s="137"/>
      <c r="V46" s="122"/>
      <c r="W46" s="49"/>
      <c r="X46" s="122"/>
      <c r="Y46" s="49"/>
      <c r="Z46" s="122"/>
      <c r="AA46" s="49"/>
      <c r="AB46" s="122"/>
      <c r="AC46" s="49"/>
      <c r="AD46" s="142">
        <f t="shared" si="3"/>
        <v>0</v>
      </c>
      <c r="AE46" s="142">
        <f t="shared" si="3"/>
        <v>0</v>
      </c>
    </row>
    <row r="47" spans="1:31" s="54" customFormat="1" ht="25.5" x14ac:dyDescent="0.2">
      <c r="A47" s="39">
        <v>0</v>
      </c>
      <c r="B47" s="39" t="s">
        <v>160</v>
      </c>
      <c r="C47" s="43" t="str">
        <f>'Утв. ИП 2014-2019'!C48</f>
        <v>Новое строительство</v>
      </c>
      <c r="D47" s="41" t="str">
        <f>'Утв. ИП 2014-2019'!K48</f>
        <v>1,32 км
2,80 МВА</v>
      </c>
      <c r="E47" s="41" t="str">
        <f>'Утв. ИП 2014-2019'!L48</f>
        <v>1,45 км
0,63 МВА</v>
      </c>
      <c r="F47" s="41" t="str">
        <f>'Утв. ИП 2014-2019'!M48</f>
        <v>15,62 км
12,00 МВА</v>
      </c>
      <c r="G47" s="41" t="str">
        <f>'Утв. ИП 2014-2019'!N48</f>
        <v>10,28 км
1,66 МВА</v>
      </c>
      <c r="H47" s="41" t="str">
        <f>'Утв. ИП 2014-2019'!O48</f>
        <v>5,02 км
0,00 МВА</v>
      </c>
      <c r="I47" s="41" t="str">
        <f>'Утв. ИП 2014-2019'!P48</f>
        <v>0,50 км
0,63 МВА</v>
      </c>
      <c r="J47" s="41" t="str">
        <f>'Утв. ИП 2014-2019'!Q48</f>
        <v>34,18 км
17,72 МВА</v>
      </c>
      <c r="K47" s="41" t="s">
        <v>1410</v>
      </c>
      <c r="L47" s="41" t="s">
        <v>1411</v>
      </c>
      <c r="M47" s="41" t="s">
        <v>1942</v>
      </c>
      <c r="N47" s="41" t="s">
        <v>1941</v>
      </c>
      <c r="O47" s="41" t="s">
        <v>2392</v>
      </c>
      <c r="P47" s="41" t="s">
        <v>1411</v>
      </c>
      <c r="Q47" s="41" t="s">
        <v>1939</v>
      </c>
      <c r="R47" s="129">
        <f t="shared" ref="R47:AC47" si="10">R48+R89+R90+R94+R105</f>
        <v>0.8</v>
      </c>
      <c r="S47" s="110">
        <f t="shared" si="10"/>
        <v>1.5899999999999999</v>
      </c>
      <c r="T47" s="109">
        <f t="shared" si="10"/>
        <v>0</v>
      </c>
      <c r="U47" s="110">
        <f t="shared" si="10"/>
        <v>0.63</v>
      </c>
      <c r="V47" s="109">
        <f t="shared" si="10"/>
        <v>7.4</v>
      </c>
      <c r="W47" s="41">
        <f t="shared" si="10"/>
        <v>0</v>
      </c>
      <c r="X47" s="109">
        <f t="shared" si="10"/>
        <v>6.5</v>
      </c>
      <c r="Y47" s="41">
        <f t="shared" si="10"/>
        <v>1.6600000000000001</v>
      </c>
      <c r="Z47" s="109">
        <f t="shared" si="10"/>
        <v>1.8</v>
      </c>
      <c r="AA47" s="41">
        <f t="shared" si="10"/>
        <v>0</v>
      </c>
      <c r="AB47" s="109">
        <f t="shared" si="10"/>
        <v>0</v>
      </c>
      <c r="AC47" s="41">
        <f t="shared" si="10"/>
        <v>0.63</v>
      </c>
      <c r="AD47" s="142">
        <f t="shared" si="3"/>
        <v>16.5</v>
      </c>
      <c r="AE47" s="142">
        <f t="shared" si="3"/>
        <v>4.51</v>
      </c>
    </row>
    <row r="48" spans="1:31" s="2" customFormat="1" ht="15.75" customHeight="1" x14ac:dyDescent="0.2">
      <c r="A48" s="28">
        <v>0</v>
      </c>
      <c r="B48" s="28" t="s">
        <v>162</v>
      </c>
      <c r="C48" s="29" t="str">
        <f>'Утв. ИП 2014-2019'!C49</f>
        <v>Энергосбережение и повышение энергетической эффективности</v>
      </c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132">
        <f t="shared" ref="R48:AC48" si="11">R49+R77+R82+R88</f>
        <v>0.8</v>
      </c>
      <c r="S48" s="95">
        <f t="shared" si="11"/>
        <v>1.5899999999999999</v>
      </c>
      <c r="T48" s="85">
        <f t="shared" si="11"/>
        <v>0</v>
      </c>
      <c r="U48" s="95">
        <f t="shared" si="11"/>
        <v>0.63</v>
      </c>
      <c r="V48" s="85">
        <f t="shared" si="11"/>
        <v>7.4</v>
      </c>
      <c r="W48" s="31">
        <f t="shared" si="11"/>
        <v>0</v>
      </c>
      <c r="X48" s="85">
        <f t="shared" si="11"/>
        <v>6.5</v>
      </c>
      <c r="Y48" s="31">
        <f t="shared" si="11"/>
        <v>1.6600000000000001</v>
      </c>
      <c r="Z48" s="85">
        <f t="shared" si="11"/>
        <v>1.8</v>
      </c>
      <c r="AA48" s="31">
        <f t="shared" si="11"/>
        <v>0</v>
      </c>
      <c r="AB48" s="85">
        <f t="shared" si="11"/>
        <v>0</v>
      </c>
      <c r="AC48" s="31">
        <f t="shared" si="11"/>
        <v>0.63</v>
      </c>
      <c r="AD48" s="142">
        <f t="shared" si="3"/>
        <v>16.5</v>
      </c>
      <c r="AE48" s="142">
        <f t="shared" si="3"/>
        <v>4.51</v>
      </c>
    </row>
    <row r="49" spans="1:31" s="2" customFormat="1" ht="15.75" customHeight="1" x14ac:dyDescent="0.2">
      <c r="A49" s="28">
        <v>0</v>
      </c>
      <c r="B49" s="28" t="s">
        <v>163</v>
      </c>
      <c r="C49" s="29" t="str">
        <f>'Утв. ИП 2014-2019'!C50</f>
        <v>Сети среднего напряжения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132">
        <f t="shared" ref="R49:AC49" si="12">SUM(R50:R76)</f>
        <v>0.8</v>
      </c>
      <c r="S49" s="95">
        <f t="shared" si="12"/>
        <v>0.4</v>
      </c>
      <c r="T49" s="85">
        <f t="shared" si="12"/>
        <v>0</v>
      </c>
      <c r="U49" s="95">
        <f t="shared" si="12"/>
        <v>0</v>
      </c>
      <c r="V49" s="85">
        <f t="shared" si="12"/>
        <v>7.28</v>
      </c>
      <c r="W49" s="31">
        <f t="shared" si="12"/>
        <v>0</v>
      </c>
      <c r="X49" s="85">
        <f t="shared" si="12"/>
        <v>6.2</v>
      </c>
      <c r="Y49" s="31">
        <f t="shared" si="12"/>
        <v>0</v>
      </c>
      <c r="Z49" s="85">
        <f t="shared" si="12"/>
        <v>1.8</v>
      </c>
      <c r="AA49" s="31">
        <f t="shared" si="12"/>
        <v>0</v>
      </c>
      <c r="AB49" s="85">
        <f t="shared" si="12"/>
        <v>0</v>
      </c>
      <c r="AC49" s="31">
        <f t="shared" si="12"/>
        <v>0</v>
      </c>
      <c r="AD49" s="142">
        <f t="shared" si="3"/>
        <v>16.080000000000002</v>
      </c>
      <c r="AE49" s="142">
        <f t="shared" si="3"/>
        <v>0.4</v>
      </c>
    </row>
    <row r="50" spans="1:31" s="2" customFormat="1" ht="15.75" customHeight="1" outlineLevel="1" x14ac:dyDescent="0.2">
      <c r="A50" s="230" t="str">
        <f>'Утв. ИП 2014-2019'!A51</f>
        <v>1.1.1.5.1.7/09</v>
      </c>
      <c r="B50" s="230" t="str">
        <f>'Утв. ИП 2014-2019'!B51</f>
        <v>2.1.1.1</v>
      </c>
      <c r="C50" s="210" t="str">
        <f>'Утв. ИП 2014-2019'!C51</f>
        <v xml:space="preserve">Строительство КЛ-6 кВ сети электроснабжения от ТП-93 до ТП-101 </v>
      </c>
      <c r="D50" s="8"/>
      <c r="E50" s="8" t="str">
        <f>'Утв. ИП 2014-2019'!L51</f>
        <v>0,45 км</v>
      </c>
      <c r="F50" s="8"/>
      <c r="G50" s="8"/>
      <c r="H50" s="8"/>
      <c r="I50" s="8"/>
      <c r="J50" s="8" t="str">
        <f>'Утв. ИП 2014-2019'!Q51</f>
        <v>0,45 км</v>
      </c>
      <c r="K50" s="8"/>
      <c r="L50" s="8"/>
      <c r="M50" s="8"/>
      <c r="N50" s="8"/>
      <c r="O50" s="8"/>
      <c r="P50" s="8"/>
      <c r="Q50" s="8"/>
      <c r="R50" s="134"/>
      <c r="S50" s="137"/>
      <c r="T50" s="122"/>
      <c r="U50" s="137"/>
      <c r="V50" s="122"/>
      <c r="W50" s="49"/>
      <c r="X50" s="122"/>
      <c r="Y50" s="49"/>
      <c r="Z50" s="122"/>
      <c r="AA50" s="49"/>
      <c r="AB50" s="122"/>
      <c r="AC50" s="49"/>
      <c r="AD50" s="133">
        <f t="shared" si="3"/>
        <v>0</v>
      </c>
      <c r="AE50" s="133">
        <f t="shared" si="3"/>
        <v>0</v>
      </c>
    </row>
    <row r="51" spans="1:31" s="2" customFormat="1" ht="15.75" outlineLevel="1" x14ac:dyDescent="0.2">
      <c r="A51" s="230" t="str">
        <f>'Утв. ИП 2014-2019'!A52</f>
        <v>1.4.7.25/07</v>
      </c>
      <c r="B51" s="230" t="str">
        <f>'Утв. ИП 2014-2019'!B52</f>
        <v>2.1.1.2</v>
      </c>
      <c r="C51" s="210" t="str">
        <f>'Утв. ИП 2014-2019'!C52</f>
        <v>Строительство КЛ-6 кВ ЦРП "Город" яч. 12 - ТП-101 яч. 6</v>
      </c>
      <c r="D51" s="8"/>
      <c r="E51" s="8" t="str">
        <f>'Утв. ИП 2014-2019'!L52</f>
        <v>0,78 км</v>
      </c>
      <c r="F51" s="8"/>
      <c r="G51" s="8"/>
      <c r="H51" s="8"/>
      <c r="I51" s="8"/>
      <c r="J51" s="8" t="str">
        <f>'Утв. ИП 2014-2019'!Q52</f>
        <v>0,78 км</v>
      </c>
      <c r="K51" s="8"/>
      <c r="L51" s="8"/>
      <c r="M51" s="8"/>
      <c r="N51" s="8"/>
      <c r="O51" s="8"/>
      <c r="P51" s="8"/>
      <c r="Q51" s="8"/>
      <c r="R51" s="134"/>
      <c r="S51" s="137"/>
      <c r="T51" s="122"/>
      <c r="U51" s="137"/>
      <c r="V51" s="122"/>
      <c r="W51" s="49"/>
      <c r="X51" s="122"/>
      <c r="Y51" s="49"/>
      <c r="Z51" s="122"/>
      <c r="AA51" s="49"/>
      <c r="AB51" s="122"/>
      <c r="AC51" s="49"/>
      <c r="AD51" s="133">
        <f>R51+T51+V51+X51+Z51+AB51</f>
        <v>0</v>
      </c>
      <c r="AE51" s="133">
        <f>S51+U51+W51+Y51+AA51+AC51</f>
        <v>0</v>
      </c>
    </row>
    <row r="52" spans="1:31" s="2" customFormat="1" ht="15.75" customHeight="1" outlineLevel="1" x14ac:dyDescent="0.2">
      <c r="A52" s="230" t="str">
        <f>'Утв. ИП 2014-2019'!A53</f>
        <v>1.1.1.5.1.6/10</v>
      </c>
      <c r="B52" s="230" t="str">
        <f>'Утв. ИП 2014-2019'!B53</f>
        <v>2.1.1.3</v>
      </c>
      <c r="C52" s="210" t="str">
        <f>'Утв. ИП 2014-2019'!C53</f>
        <v xml:space="preserve">Строительство КЛ-6 кВ сети электроснабжения от ТП-27 до ТП-127 </v>
      </c>
      <c r="D52" s="8" t="str">
        <f>'Утв. ИП 2014-2019'!K53</f>
        <v>0,85 км</v>
      </c>
      <c r="E52" s="8"/>
      <c r="F52" s="8"/>
      <c r="G52" s="8"/>
      <c r="H52" s="8"/>
      <c r="I52" s="8"/>
      <c r="J52" s="8" t="str">
        <f>'Утв. ИП 2014-2019'!Q53</f>
        <v>0,85 км</v>
      </c>
      <c r="K52" s="8" t="s">
        <v>169</v>
      </c>
      <c r="L52" s="8"/>
      <c r="M52" s="8"/>
      <c r="N52" s="8"/>
      <c r="O52" s="8"/>
      <c r="P52" s="8"/>
      <c r="Q52" s="8" t="s">
        <v>169</v>
      </c>
      <c r="R52" s="134">
        <v>0.8</v>
      </c>
      <c r="S52" s="137"/>
      <c r="T52" s="122"/>
      <c r="U52" s="137"/>
      <c r="V52" s="122"/>
      <c r="W52" s="49"/>
      <c r="X52" s="122"/>
      <c r="Y52" s="49"/>
      <c r="Z52" s="122"/>
      <c r="AA52" s="49"/>
      <c r="AB52" s="122"/>
      <c r="AC52" s="49"/>
      <c r="AD52" s="133">
        <f t="shared" si="3"/>
        <v>0.8</v>
      </c>
      <c r="AE52" s="133">
        <f t="shared" si="3"/>
        <v>0</v>
      </c>
    </row>
    <row r="53" spans="1:31" s="2" customFormat="1" ht="25.5" outlineLevel="1" x14ac:dyDescent="0.2">
      <c r="A53" s="230" t="str">
        <f>'Утв. ИП 2014-2019'!A54</f>
        <v>1.1.5.5.4/10</v>
      </c>
      <c r="B53" s="230" t="str">
        <f>'Утв. ИП 2014-2019'!B54</f>
        <v>2.1.1.4</v>
      </c>
      <c r="C53" s="210" t="str">
        <f>'Утв. ИП 2014-2019'!C54</f>
        <v>Диспансерное отделение областной психоневрологической больницы по ул. Аксакова, 4</v>
      </c>
      <c r="D53" s="8" t="str">
        <f>'Утв. ИП 2014-2019'!K54</f>
        <v>2х0,235 км
2х0,4 МВА</v>
      </c>
      <c r="E53" s="8"/>
      <c r="F53" s="8"/>
      <c r="G53" s="8"/>
      <c r="H53" s="8"/>
      <c r="I53" s="8"/>
      <c r="J53" s="8" t="str">
        <f>'Утв. ИП 2014-2019'!Q54</f>
        <v>2х0,235 км
2х0,4 МВА</v>
      </c>
      <c r="K53" s="8" t="s">
        <v>1405</v>
      </c>
      <c r="L53" s="8"/>
      <c r="M53" s="8"/>
      <c r="N53" s="8"/>
      <c r="P53" s="8"/>
      <c r="Q53" s="8" t="s">
        <v>1405</v>
      </c>
      <c r="R53" s="134">
        <v>0</v>
      </c>
      <c r="S53" s="137">
        <v>0.4</v>
      </c>
      <c r="T53" s="122"/>
      <c r="U53" s="137"/>
      <c r="V53" s="122"/>
      <c r="W53" s="49"/>
      <c r="X53" s="122"/>
      <c r="Y53" s="49"/>
      <c r="Z53" s="122"/>
      <c r="AA53" s="49"/>
      <c r="AB53" s="122"/>
      <c r="AC53" s="49"/>
      <c r="AD53" s="133">
        <f t="shared" si="3"/>
        <v>0</v>
      </c>
      <c r="AE53" s="133">
        <f t="shared" si="3"/>
        <v>0.4</v>
      </c>
    </row>
    <row r="54" spans="1:31" s="2" customFormat="1" ht="22.5" hidden="1" outlineLevel="2" x14ac:dyDescent="0.2">
      <c r="A54" s="249">
        <f>'Утв. ИП 2014-2019'!A55</f>
        <v>0</v>
      </c>
      <c r="B54" s="230"/>
      <c r="C54" s="250" t="str">
        <f>'Утв. ИП 2014-2019'!C55</f>
        <v>Строительство комплектной трансформаторной подстанции с демонтажем ТП-402 на пл. Аксакова</v>
      </c>
      <c r="D54" s="8"/>
      <c r="E54" s="8"/>
      <c r="F54" s="8"/>
      <c r="G54" s="8"/>
      <c r="H54" s="8"/>
      <c r="I54" s="8"/>
      <c r="J54" s="8"/>
      <c r="K54" s="13"/>
      <c r="L54" s="13"/>
      <c r="M54" s="13"/>
      <c r="N54" s="13"/>
      <c r="O54" s="13"/>
      <c r="P54" s="13"/>
      <c r="Q54" s="13"/>
      <c r="R54" s="135"/>
      <c r="S54" s="140"/>
      <c r="T54" s="124"/>
      <c r="U54" s="140"/>
      <c r="V54" s="124"/>
      <c r="W54" s="125"/>
      <c r="X54" s="124"/>
      <c r="Y54" s="125"/>
      <c r="Z54" s="124"/>
      <c r="AA54" s="125"/>
      <c r="AB54" s="124"/>
      <c r="AC54" s="125"/>
      <c r="AD54" s="133">
        <f t="shared" si="3"/>
        <v>0</v>
      </c>
      <c r="AE54" s="133">
        <f t="shared" si="3"/>
        <v>0</v>
      </c>
    </row>
    <row r="55" spans="1:31" s="2" customFormat="1" ht="22.5" hidden="1" outlineLevel="2" x14ac:dyDescent="0.2">
      <c r="A55" s="249">
        <f>'Утв. ИП 2014-2019'!A56</f>
        <v>0</v>
      </c>
      <c r="B55" s="230"/>
      <c r="C55" s="250" t="str">
        <f>'Утв. ИП 2014-2019'!C56</f>
        <v>Строительство КЛ-0,4 кВ от КТП до здания диспансерного отделения на пл. Аксакова, 4</v>
      </c>
      <c r="D55" s="8"/>
      <c r="E55" s="8"/>
      <c r="F55" s="8"/>
      <c r="G55" s="8"/>
      <c r="H55" s="8"/>
      <c r="I55" s="8"/>
      <c r="J55" s="8"/>
      <c r="K55" s="13"/>
      <c r="L55" s="13"/>
      <c r="M55" s="13"/>
      <c r="N55" s="13"/>
      <c r="O55" s="13"/>
      <c r="P55" s="13"/>
      <c r="Q55" s="13"/>
      <c r="R55" s="135"/>
      <c r="S55" s="140"/>
      <c r="T55" s="124"/>
      <c r="U55" s="140"/>
      <c r="V55" s="124"/>
      <c r="W55" s="125"/>
      <c r="X55" s="124"/>
      <c r="Y55" s="125"/>
      <c r="Z55" s="124"/>
      <c r="AA55" s="125"/>
      <c r="AB55" s="124"/>
      <c r="AC55" s="125"/>
      <c r="AD55" s="133">
        <f t="shared" si="3"/>
        <v>0</v>
      </c>
      <c r="AE55" s="133">
        <f t="shared" si="3"/>
        <v>0</v>
      </c>
    </row>
    <row r="56" spans="1:31" s="2" customFormat="1" ht="15.75" hidden="1" outlineLevel="2" x14ac:dyDescent="0.2">
      <c r="A56" s="249">
        <f>'Утв. ИП 2014-2019'!A57</f>
        <v>0</v>
      </c>
      <c r="B56" s="230"/>
      <c r="C56" s="250" t="str">
        <f>'Утв. ИП 2014-2019'!C57</f>
        <v>Монтаж оборудования РУ-6 кВ во вновь смонтированной КТП</v>
      </c>
      <c r="D56" s="8"/>
      <c r="E56" s="8"/>
      <c r="F56" s="8"/>
      <c r="G56" s="8"/>
      <c r="H56" s="8"/>
      <c r="I56" s="8"/>
      <c r="J56" s="8"/>
      <c r="K56" s="13"/>
      <c r="L56" s="13"/>
      <c r="M56" s="13"/>
      <c r="N56" s="13"/>
      <c r="O56" s="13"/>
      <c r="P56" s="13"/>
      <c r="Q56" s="13"/>
      <c r="R56" s="135"/>
      <c r="S56" s="140"/>
      <c r="T56" s="124"/>
      <c r="U56" s="140"/>
      <c r="V56" s="124"/>
      <c r="W56" s="125"/>
      <c r="X56" s="124"/>
      <c r="Y56" s="125"/>
      <c r="Z56" s="124"/>
      <c r="AA56" s="125"/>
      <c r="AB56" s="124"/>
      <c r="AC56" s="125"/>
      <c r="AD56" s="133">
        <f t="shared" si="3"/>
        <v>0</v>
      </c>
      <c r="AE56" s="133">
        <f t="shared" si="3"/>
        <v>0</v>
      </c>
    </row>
    <row r="57" spans="1:31" s="2" customFormat="1" ht="15.75" hidden="1" outlineLevel="2" x14ac:dyDescent="0.2">
      <c r="A57" s="249">
        <f>'Утв. ИП 2014-2019'!A58</f>
        <v>0</v>
      </c>
      <c r="B57" s="230"/>
      <c r="C57" s="250" t="str">
        <f>'Утв. ИП 2014-2019'!C58</f>
        <v>Монтаж оборудования РУ-0,4 кВ во вновь смонтированной КТП</v>
      </c>
      <c r="D57" s="8"/>
      <c r="E57" s="8"/>
      <c r="F57" s="8"/>
      <c r="G57" s="8"/>
      <c r="H57" s="8"/>
      <c r="I57" s="8"/>
      <c r="J57" s="8"/>
      <c r="K57" s="13"/>
      <c r="L57" s="13"/>
      <c r="M57" s="13"/>
      <c r="N57" s="13"/>
      <c r="O57" s="13"/>
      <c r="P57" s="13"/>
      <c r="Q57" s="13"/>
      <c r="R57" s="135"/>
      <c r="S57" s="140"/>
      <c r="T57" s="124"/>
      <c r="U57" s="140"/>
      <c r="V57" s="124"/>
      <c r="W57" s="125"/>
      <c r="X57" s="124"/>
      <c r="Y57" s="125"/>
      <c r="Z57" s="124"/>
      <c r="AA57" s="125"/>
      <c r="AB57" s="124"/>
      <c r="AC57" s="125"/>
      <c r="AD57" s="133">
        <f t="shared" si="3"/>
        <v>0</v>
      </c>
      <c r="AE57" s="133">
        <f t="shared" si="3"/>
        <v>0</v>
      </c>
    </row>
    <row r="58" spans="1:31" s="2" customFormat="1" ht="15.75" hidden="1" outlineLevel="2" x14ac:dyDescent="0.2">
      <c r="A58" s="249">
        <f>'Утв. ИП 2014-2019'!A59</f>
        <v>0</v>
      </c>
      <c r="B58" s="230"/>
      <c r="C58" s="250" t="str">
        <f>'Утв. ИП 2014-2019'!C59</f>
        <v>Монтаж трансформатора №1 во вновь смонтированной КТП</v>
      </c>
      <c r="D58" s="8"/>
      <c r="E58" s="8"/>
      <c r="F58" s="8"/>
      <c r="G58" s="8"/>
      <c r="H58" s="8"/>
      <c r="I58" s="8"/>
      <c r="J58" s="8"/>
      <c r="K58" s="13"/>
      <c r="L58" s="13"/>
      <c r="M58" s="13"/>
      <c r="N58" s="13"/>
      <c r="O58" s="13"/>
      <c r="P58" s="13"/>
      <c r="Q58" s="13"/>
      <c r="R58" s="135"/>
      <c r="S58" s="140"/>
      <c r="T58" s="124"/>
      <c r="U58" s="140"/>
      <c r="V58" s="124"/>
      <c r="W58" s="125"/>
      <c r="X58" s="124"/>
      <c r="Y58" s="125"/>
      <c r="Z58" s="124"/>
      <c r="AA58" s="125"/>
      <c r="AB58" s="124"/>
      <c r="AC58" s="125"/>
      <c r="AD58" s="133">
        <f t="shared" si="3"/>
        <v>0</v>
      </c>
      <c r="AE58" s="133">
        <f t="shared" si="3"/>
        <v>0</v>
      </c>
    </row>
    <row r="59" spans="1:31" s="2" customFormat="1" ht="15.75" hidden="1" outlineLevel="2" x14ac:dyDescent="0.2">
      <c r="A59" s="249">
        <f>'Утв. ИП 2014-2019'!A60</f>
        <v>0</v>
      </c>
      <c r="B59" s="230"/>
      <c r="C59" s="250" t="str">
        <f>'Утв. ИП 2014-2019'!C60</f>
        <v>Монтаж трансформатора №2 во вновь смонтированной КТП</v>
      </c>
      <c r="D59" s="8"/>
      <c r="E59" s="8"/>
      <c r="F59" s="8"/>
      <c r="G59" s="8"/>
      <c r="H59" s="8"/>
      <c r="I59" s="8"/>
      <c r="J59" s="8"/>
      <c r="K59" s="13"/>
      <c r="L59" s="13"/>
      <c r="M59" s="13"/>
      <c r="N59" s="13"/>
      <c r="O59" s="13"/>
      <c r="P59" s="13"/>
      <c r="Q59" s="13"/>
      <c r="R59" s="135"/>
      <c r="S59" s="140"/>
      <c r="T59" s="124"/>
      <c r="U59" s="140"/>
      <c r="V59" s="124"/>
      <c r="W59" s="125"/>
      <c r="X59" s="124"/>
      <c r="Y59" s="125"/>
      <c r="Z59" s="124"/>
      <c r="AA59" s="125"/>
      <c r="AB59" s="124"/>
      <c r="AC59" s="125"/>
      <c r="AD59" s="133">
        <f t="shared" si="3"/>
        <v>0</v>
      </c>
      <c r="AE59" s="133">
        <f t="shared" si="3"/>
        <v>0</v>
      </c>
    </row>
    <row r="60" spans="1:31" s="2" customFormat="1" ht="15.75" hidden="1" outlineLevel="2" x14ac:dyDescent="0.2">
      <c r="A60" s="249">
        <f>'Утв. ИП 2014-2019'!A61</f>
        <v>0</v>
      </c>
      <c r="B60" s="230"/>
      <c r="C60" s="250" t="str">
        <f>'Утв. ИП 2014-2019'!C61</f>
        <v>Монтаж узла учета во вновь смонтированной КТП</v>
      </c>
      <c r="D60" s="8"/>
      <c r="E60" s="8"/>
      <c r="F60" s="8"/>
      <c r="G60" s="8"/>
      <c r="H60" s="8"/>
      <c r="I60" s="8"/>
      <c r="J60" s="8"/>
      <c r="K60" s="13"/>
      <c r="L60" s="13"/>
      <c r="M60" s="13"/>
      <c r="N60" s="13"/>
      <c r="O60" s="13"/>
      <c r="P60" s="13"/>
      <c r="Q60" s="13"/>
      <c r="R60" s="135"/>
      <c r="S60" s="140"/>
      <c r="T60" s="124"/>
      <c r="U60" s="140"/>
      <c r="V60" s="124"/>
      <c r="W60" s="125"/>
      <c r="X60" s="124"/>
      <c r="Y60" s="125"/>
      <c r="Z60" s="124"/>
      <c r="AA60" s="125"/>
      <c r="AB60" s="124"/>
      <c r="AC60" s="125"/>
      <c r="AD60" s="133">
        <f t="shared" si="3"/>
        <v>0</v>
      </c>
      <c r="AE60" s="133">
        <f t="shared" si="3"/>
        <v>0</v>
      </c>
    </row>
    <row r="61" spans="1:31" s="14" customFormat="1" ht="22.5" hidden="1" outlineLevel="2" x14ac:dyDescent="0.2">
      <c r="A61" s="249">
        <f>'Утв. ИП 2014-2019'!A62</f>
        <v>0</v>
      </c>
      <c r="B61" s="230"/>
      <c r="C61" s="250" t="str">
        <f>'Утв. ИП 2014-2019'!C62</f>
        <v>Монтаж охранно-пожарной сигнализации во вновь смонтированной КТП</v>
      </c>
      <c r="D61" s="8"/>
      <c r="E61" s="8"/>
      <c r="F61" s="8"/>
      <c r="G61" s="8"/>
      <c r="H61" s="8"/>
      <c r="I61" s="8"/>
      <c r="J61" s="8"/>
      <c r="K61" s="13"/>
      <c r="L61" s="13"/>
      <c r="M61" s="13"/>
      <c r="N61" s="13"/>
      <c r="O61" s="13"/>
      <c r="P61" s="13"/>
      <c r="Q61" s="13"/>
      <c r="R61" s="135"/>
      <c r="S61" s="140"/>
      <c r="T61" s="124"/>
      <c r="U61" s="140"/>
      <c r="V61" s="124"/>
      <c r="W61" s="125"/>
      <c r="X61" s="124"/>
      <c r="Y61" s="125"/>
      <c r="Z61" s="124"/>
      <c r="AA61" s="125"/>
      <c r="AB61" s="124"/>
      <c r="AC61" s="125"/>
      <c r="AD61" s="133">
        <f t="shared" si="3"/>
        <v>0</v>
      </c>
      <c r="AE61" s="133">
        <f t="shared" si="3"/>
        <v>0</v>
      </c>
    </row>
    <row r="62" spans="1:31" s="14" customFormat="1" ht="25.5" outlineLevel="1" collapsed="1" x14ac:dyDescent="0.2">
      <c r="A62" s="230" t="str">
        <f>'Утв. ИП 2014-2019'!A63</f>
        <v>1.1.1.5.5/13</v>
      </c>
      <c r="B62" s="230" t="str">
        <f>'Утв. ИП 2014-2019'!B63</f>
        <v>2.1.1.5</v>
      </c>
      <c r="C62" s="210" t="str">
        <f>'Утв. ИП 2014-2019'!C63</f>
        <v>Строительство КЛ-10 кВ от ПС "Правобережная" яч.19 до РП-17 яч.9; от ПС "Правобережная" яч.10 до РП-17 яч.7</v>
      </c>
      <c r="D62" s="8"/>
      <c r="E62" s="8"/>
      <c r="F62" s="8" t="str">
        <f>'Утв. ИП 2014-2019'!M63</f>
        <v>2х3,6 км</v>
      </c>
      <c r="G62" s="8"/>
      <c r="H62" s="8"/>
      <c r="I62" s="8"/>
      <c r="J62" s="8" t="str">
        <f>'Утв. ИП 2014-2019'!Q63</f>
        <v>2х3,6 км</v>
      </c>
      <c r="K62" s="8"/>
      <c r="L62" s="8"/>
      <c r="M62" s="8" t="s">
        <v>1406</v>
      </c>
      <c r="N62" s="8"/>
      <c r="O62" s="8"/>
      <c r="P62" s="8"/>
      <c r="Q62" s="8" t="s">
        <v>1406</v>
      </c>
      <c r="R62" s="134"/>
      <c r="S62" s="137"/>
      <c r="T62" s="122"/>
      <c r="U62" s="137"/>
      <c r="V62" s="122">
        <f>3.51+3.32</f>
        <v>6.83</v>
      </c>
      <c r="W62" s="49"/>
      <c r="X62" s="122"/>
      <c r="Y62" s="49"/>
      <c r="Z62" s="122"/>
      <c r="AA62" s="49"/>
      <c r="AB62" s="122"/>
      <c r="AC62" s="49"/>
      <c r="AD62" s="133">
        <f t="shared" si="3"/>
        <v>6.83</v>
      </c>
      <c r="AE62" s="133">
        <f t="shared" si="3"/>
        <v>0</v>
      </c>
    </row>
    <row r="63" spans="1:31" s="14" customFormat="1" ht="25.5" outlineLevel="1" x14ac:dyDescent="0.2">
      <c r="A63" s="230" t="str">
        <f>'Утв. ИП 2014-2019'!A64</f>
        <v>1.4.7.19/07</v>
      </c>
      <c r="B63" s="230" t="str">
        <f>'Утв. ИП 2014-2019'!B64</f>
        <v>2.1.1.6</v>
      </c>
      <c r="C63" s="210" t="str">
        <f>'Утв. ИП 2014-2019'!C64</f>
        <v>Строительство ВЛ-10 кВ и КЛ-10 кВ сети электроснабжения от ПС "Правобережная" яч. 9 до ТП-616</v>
      </c>
      <c r="D63" s="8"/>
      <c r="E63" s="8"/>
      <c r="F63" s="8"/>
      <c r="G63" s="8"/>
      <c r="H63" s="8" t="str">
        <f>'Утв. ИП 2014-2019'!O64</f>
        <v>3,22 км</v>
      </c>
      <c r="I63" s="8"/>
      <c r="J63" s="8" t="str">
        <f>'Утв. ИП 2014-2019'!Q64</f>
        <v>3,22 км</v>
      </c>
      <c r="K63" s="8"/>
      <c r="L63" s="8"/>
      <c r="M63" s="8"/>
      <c r="N63" s="8"/>
      <c r="O63" s="8"/>
      <c r="P63" s="8"/>
      <c r="Q63" s="8"/>
      <c r="R63" s="134"/>
      <c r="S63" s="137"/>
      <c r="T63" s="122"/>
      <c r="U63" s="137"/>
      <c r="V63" s="122"/>
      <c r="W63" s="49"/>
      <c r="X63" s="122"/>
      <c r="Y63" s="49"/>
      <c r="Z63" s="122"/>
      <c r="AA63" s="49"/>
      <c r="AB63" s="122"/>
      <c r="AC63" s="49"/>
      <c r="AD63" s="133">
        <f t="shared" si="3"/>
        <v>0</v>
      </c>
      <c r="AE63" s="133">
        <f t="shared" si="3"/>
        <v>0</v>
      </c>
    </row>
    <row r="64" spans="1:31" s="14" customFormat="1" ht="25.5" outlineLevel="1" x14ac:dyDescent="0.2">
      <c r="A64" s="230" t="str">
        <f>'Утв. ИП 2014-2019'!A65</f>
        <v>1.4.7.20/07</v>
      </c>
      <c r="B64" s="230" t="str">
        <f>'Утв. ИП 2014-2019'!B65</f>
        <v>2.1.1.7</v>
      </c>
      <c r="C64" s="210" t="str">
        <f>'Утв. ИП 2014-2019'!C65</f>
        <v>Строительство ВЛ-10 кВ и КЛ-10 кВ сети электроснабжения от ПС "Правобережная" яч. 18 до ТП-616</v>
      </c>
      <c r="D64" s="8"/>
      <c r="E64" s="8"/>
      <c r="F64" s="8"/>
      <c r="G64" s="8" t="str">
        <f>'Утв. ИП 2014-2019'!N65</f>
        <v>3,38 км</v>
      </c>
      <c r="H64" s="8"/>
      <c r="I64" s="8"/>
      <c r="J64" s="8" t="str">
        <f>'Утв. ИП 2014-2019'!Q65</f>
        <v>3,38 км</v>
      </c>
      <c r="K64" s="8"/>
      <c r="L64" s="8"/>
      <c r="M64" s="8"/>
      <c r="N64" s="8"/>
      <c r="O64" s="8"/>
      <c r="P64" s="8"/>
      <c r="Q64" s="8"/>
      <c r="R64" s="134"/>
      <c r="S64" s="137"/>
      <c r="T64" s="122"/>
      <c r="U64" s="137"/>
      <c r="V64" s="122"/>
      <c r="W64" s="49"/>
      <c r="X64" s="122"/>
      <c r="Y64" s="49"/>
      <c r="Z64" s="122"/>
      <c r="AA64" s="49"/>
      <c r="AB64" s="122"/>
      <c r="AC64" s="49"/>
      <c r="AD64" s="133">
        <f t="shared" si="3"/>
        <v>0</v>
      </c>
      <c r="AE64" s="133">
        <f t="shared" si="3"/>
        <v>0</v>
      </c>
    </row>
    <row r="65" spans="1:31" s="14" customFormat="1" ht="15.75" outlineLevel="1" x14ac:dyDescent="0.2">
      <c r="A65" s="230" t="str">
        <f>'Утв. ИП 2014-2019'!A66</f>
        <v>1.1.1.5.5/14</v>
      </c>
      <c r="B65" s="230" t="str">
        <f>'Утв. ИП 2014-2019'!B66</f>
        <v>2.1.1.8</v>
      </c>
      <c r="C65" s="238" t="str">
        <f>'Утв. ИП 2014-2019'!C66</f>
        <v>Строительство КЛ-10 кВ от ГПП-1 яч. 21 до РП-9 яч. 9</v>
      </c>
      <c r="D65" s="8"/>
      <c r="E65" s="8"/>
      <c r="F65" s="8"/>
      <c r="G65" s="8" t="str">
        <f>'Утв. ИП 2014-2019'!N66</f>
        <v xml:space="preserve">2,7 км </v>
      </c>
      <c r="H65" s="8"/>
      <c r="I65" s="8"/>
      <c r="J65" s="8" t="str">
        <f>'Утв. ИП 2014-2019'!Q66</f>
        <v xml:space="preserve">2,7 км </v>
      </c>
      <c r="K65" s="8"/>
      <c r="L65" s="8"/>
      <c r="M65" s="5"/>
      <c r="N65" s="23" t="s">
        <v>2353</v>
      </c>
      <c r="O65" s="8"/>
      <c r="P65" s="165"/>
      <c r="Q65" s="23" t="s">
        <v>2353</v>
      </c>
      <c r="R65" s="134"/>
      <c r="S65" s="137"/>
      <c r="T65" s="122"/>
      <c r="U65" s="137"/>
      <c r="V65" s="122"/>
      <c r="W65" s="49"/>
      <c r="X65" s="122">
        <v>2.7</v>
      </c>
      <c r="Y65" s="49"/>
      <c r="Z65" s="122"/>
      <c r="AA65" s="49"/>
      <c r="AB65" s="122"/>
      <c r="AC65" s="49"/>
      <c r="AD65" s="133">
        <f t="shared" si="3"/>
        <v>2.7</v>
      </c>
      <c r="AE65" s="133">
        <f t="shared" si="3"/>
        <v>0</v>
      </c>
    </row>
    <row r="66" spans="1:31" s="2" customFormat="1" ht="15.75" outlineLevel="1" x14ac:dyDescent="0.2">
      <c r="A66" s="230" t="str">
        <f>'Утв. ИП 2014-2019'!A67</f>
        <v>1.1.1.5.6/14</v>
      </c>
      <c r="B66" s="230" t="str">
        <f>'Утв. ИП 2014-2019'!B67</f>
        <v>2.1.1.9</v>
      </c>
      <c r="C66" s="238" t="str">
        <f>'Утв. ИП 2014-2019'!C67</f>
        <v>Строительство КЛ-10 кВ от ГПП-9 яч. 97 до РП-9 яч. 5</v>
      </c>
      <c r="D66" s="8"/>
      <c r="E66" s="8"/>
      <c r="F66" s="8"/>
      <c r="G66" s="8" t="str">
        <f>'Утв. ИП 2014-2019'!N67</f>
        <v xml:space="preserve">3,5 км </v>
      </c>
      <c r="H66" s="8"/>
      <c r="I66" s="8"/>
      <c r="J66" s="8" t="str">
        <f>'Утв. ИП 2014-2019'!Q67</f>
        <v xml:space="preserve">3,5 км </v>
      </c>
      <c r="K66" s="8"/>
      <c r="L66" s="8"/>
      <c r="M66" s="5"/>
      <c r="N66" s="23" t="s">
        <v>2354</v>
      </c>
      <c r="O66" s="8"/>
      <c r="P66" s="12"/>
      <c r="Q66" s="23" t="s">
        <v>2354</v>
      </c>
      <c r="R66" s="134"/>
      <c r="S66" s="137"/>
      <c r="T66" s="122"/>
      <c r="U66" s="137"/>
      <c r="V66" s="122"/>
      <c r="W66" s="49"/>
      <c r="X66" s="122">
        <v>3.5</v>
      </c>
      <c r="Y66" s="49"/>
      <c r="Z66" s="122"/>
      <c r="AA66" s="49"/>
      <c r="AB66" s="122"/>
      <c r="AC66" s="49"/>
      <c r="AD66" s="133">
        <f t="shared" si="3"/>
        <v>3.5</v>
      </c>
      <c r="AE66" s="133">
        <f t="shared" si="3"/>
        <v>0</v>
      </c>
    </row>
    <row r="67" spans="1:31" s="2" customFormat="1" ht="25.5" outlineLevel="1" x14ac:dyDescent="0.2">
      <c r="A67" s="230" t="str">
        <f>'Утв. ИП 2014-2019'!A68</f>
        <v>2.1.1.10</v>
      </c>
      <c r="B67" s="230" t="str">
        <f>'Утв. ИП 2014-2019'!B68</f>
        <v>2.1.1.10</v>
      </c>
      <c r="C67" s="210" t="str">
        <f>'Утв. ИП 2014-2019'!C68</f>
        <v>Строительство КЛ-6 кВ РП-36 Св. Сокол яч.2 - РП-25 яч.1 и КЛ-6 кВ РП-36 Св. Сокол яч.12 - РП-25 яч.2</v>
      </c>
      <c r="D67" s="8"/>
      <c r="E67" s="8"/>
      <c r="F67" s="8"/>
      <c r="G67" s="8"/>
      <c r="H67" s="8" t="str">
        <f>'Утв. ИП 2014-2019'!O68</f>
        <v>4х0,45 км</v>
      </c>
      <c r="I67" s="8"/>
      <c r="J67" s="8" t="str">
        <f>'Утв. ИП 2014-2019'!Q68</f>
        <v>4х0,45 км</v>
      </c>
      <c r="K67" s="8"/>
      <c r="L67" s="8"/>
      <c r="M67" s="8"/>
      <c r="N67" s="8"/>
      <c r="O67" s="8" t="s">
        <v>2355</v>
      </c>
      <c r="P67" s="8"/>
      <c r="Q67" s="8" t="s">
        <v>2355</v>
      </c>
      <c r="R67" s="134"/>
      <c r="S67" s="137"/>
      <c r="T67" s="122"/>
      <c r="U67" s="137"/>
      <c r="V67" s="122"/>
      <c r="W67" s="49"/>
      <c r="X67" s="122"/>
      <c r="Y67" s="49"/>
      <c r="Z67" s="122">
        <f>4*0.45</f>
        <v>1.8</v>
      </c>
      <c r="AA67" s="49"/>
      <c r="AB67" s="122"/>
      <c r="AC67" s="49"/>
      <c r="AD67" s="133">
        <f t="shared" si="3"/>
        <v>1.8</v>
      </c>
      <c r="AE67" s="133">
        <f t="shared" si="3"/>
        <v>0</v>
      </c>
    </row>
    <row r="68" spans="1:31" s="2" customFormat="1" ht="15.75" outlineLevel="1" x14ac:dyDescent="0.2">
      <c r="A68" s="230" t="str">
        <f>'Утв. ИП 2014-2019'!A69</f>
        <v>2.1.1.11</v>
      </c>
      <c r="B68" s="230" t="str">
        <f>'Утв. ИП 2014-2019'!B69</f>
        <v>2.1.1.11</v>
      </c>
      <c r="C68" s="210" t="str">
        <f>'Утв. ИП 2014-2019'!C69</f>
        <v>Строительство КЛ-6 кВ ПС-2 Св. Сокол яч.217 - КТП-426</v>
      </c>
      <c r="D68" s="8"/>
      <c r="E68" s="8"/>
      <c r="F68" s="8" t="str">
        <f>'Утв. ИП 2014-2019'!M69</f>
        <v xml:space="preserve">0,7 км </v>
      </c>
      <c r="G68" s="8"/>
      <c r="H68" s="8"/>
      <c r="I68" s="8"/>
      <c r="J68" s="8" t="str">
        <f>'Утв. ИП 2014-2019'!Q69</f>
        <v xml:space="preserve">0,7 км </v>
      </c>
      <c r="K68" s="8"/>
      <c r="L68" s="8"/>
      <c r="M68" s="8" t="s">
        <v>2356</v>
      </c>
      <c r="N68" s="8"/>
      <c r="O68" s="8"/>
      <c r="P68" s="8"/>
      <c r="Q68" s="8" t="s">
        <v>2356</v>
      </c>
      <c r="R68" s="134"/>
      <c r="S68" s="137"/>
      <c r="T68" s="122"/>
      <c r="U68" s="137"/>
      <c r="V68" s="122">
        <v>0.45</v>
      </c>
      <c r="W68" s="49"/>
      <c r="X68" s="122"/>
      <c r="Y68" s="49"/>
      <c r="Z68" s="122"/>
      <c r="AA68" s="49"/>
      <c r="AB68" s="122"/>
      <c r="AC68" s="49"/>
      <c r="AD68" s="133">
        <f t="shared" si="3"/>
        <v>0.45</v>
      </c>
      <c r="AE68" s="133">
        <f t="shared" si="3"/>
        <v>0</v>
      </c>
    </row>
    <row r="69" spans="1:31" s="2" customFormat="1" ht="15.75" outlineLevel="1" x14ac:dyDescent="0.2">
      <c r="A69" s="230" t="str">
        <f>'Утв. ИП 2014-2019'!A70</f>
        <v>1.1.1.5.2/15</v>
      </c>
      <c r="B69" s="230" t="str">
        <f>'Утв. ИП 2014-2019'!B70</f>
        <v>2.1.1.12</v>
      </c>
      <c r="C69" s="210" t="str">
        <f>'Утв. ИП 2014-2019'!C70</f>
        <v>Строительство КЛ-6 кВ от РП-Вилли Огнева до ТП-732</v>
      </c>
      <c r="D69" s="8"/>
      <c r="E69" s="8"/>
      <c r="F69" s="8"/>
      <c r="G69" s="8"/>
      <c r="H69" s="8"/>
      <c r="I69" s="8" t="str">
        <f>'Утв. ИП 2014-2019'!P70</f>
        <v>0,3 км</v>
      </c>
      <c r="J69" s="8" t="str">
        <f>'Утв. ИП 2014-2019'!Q70</f>
        <v>0,3 км</v>
      </c>
      <c r="K69" s="8"/>
      <c r="L69" s="8"/>
      <c r="M69" s="8"/>
      <c r="N69" s="8"/>
      <c r="O69" s="8"/>
      <c r="P69" s="8"/>
      <c r="Q69" s="8"/>
      <c r="R69" s="134"/>
      <c r="S69" s="137"/>
      <c r="T69" s="122"/>
      <c r="U69" s="137"/>
      <c r="V69" s="122"/>
      <c r="W69" s="49"/>
      <c r="X69" s="122"/>
      <c r="Y69" s="49"/>
      <c r="Z69" s="122"/>
      <c r="AA69" s="49"/>
      <c r="AB69" s="122"/>
      <c r="AC69" s="49"/>
      <c r="AD69" s="133">
        <f t="shared" si="3"/>
        <v>0</v>
      </c>
      <c r="AE69" s="133">
        <f t="shared" si="3"/>
        <v>0</v>
      </c>
    </row>
    <row r="70" spans="1:31" s="2" customFormat="1" ht="15.75" outlineLevel="1" x14ac:dyDescent="0.2">
      <c r="A70" s="230" t="str">
        <f>'Утв. ИП 2014-2019'!A71</f>
        <v>1.1.1.5.3/15</v>
      </c>
      <c r="B70" s="230" t="str">
        <f>'Утв. ИП 2014-2019'!B71</f>
        <v>2.1.1.13</v>
      </c>
      <c r="C70" s="210" t="str">
        <f>'Утв. ИП 2014-2019'!C71</f>
        <v>Строительство КЛ-6 кВ от РП-Вилли Огнева до КТП-725</v>
      </c>
      <c r="D70" s="8"/>
      <c r="E70" s="8"/>
      <c r="F70" s="8"/>
      <c r="G70" s="8"/>
      <c r="H70" s="8"/>
      <c r="I70" s="8" t="str">
        <f>'Утв. ИП 2014-2019'!P71</f>
        <v>0,2 км</v>
      </c>
      <c r="J70" s="8" t="str">
        <f>'Утв. ИП 2014-2019'!Q71</f>
        <v>0,2 км</v>
      </c>
      <c r="K70" s="8"/>
      <c r="L70" s="8"/>
      <c r="M70" s="8"/>
      <c r="N70" s="8"/>
      <c r="O70" s="8"/>
      <c r="P70" s="8"/>
      <c r="Q70" s="8"/>
      <c r="R70" s="134"/>
      <c r="S70" s="137"/>
      <c r="T70" s="122"/>
      <c r="U70" s="137"/>
      <c r="V70" s="122"/>
      <c r="W70" s="49"/>
      <c r="X70" s="122"/>
      <c r="Y70" s="49"/>
      <c r="Z70" s="122"/>
      <c r="AA70" s="49"/>
      <c r="AB70" s="122"/>
      <c r="AC70" s="49"/>
      <c r="AD70" s="133">
        <f t="shared" si="3"/>
        <v>0</v>
      </c>
      <c r="AE70" s="133">
        <f t="shared" si="3"/>
        <v>0</v>
      </c>
    </row>
    <row r="71" spans="1:31" s="2" customFormat="1" ht="25.5" hidden="1" outlineLevel="2" x14ac:dyDescent="0.2">
      <c r="A71" s="230" t="str">
        <f>'Утв. ИП 2014-2019'!A72</f>
        <v>1.1.1.5.1.10/10</v>
      </c>
      <c r="B71" s="230" t="str">
        <f>'Утв. ИП 2014-2019'!B72</f>
        <v>2.1.1.14</v>
      </c>
      <c r="C71" s="257" t="str">
        <f>'Утв. ИП 2014-2019'!C72</f>
        <v>Строительство ВЛ, КЛ-35 кВ от ПС "Бугор" до ПС "Город" с отпайкой на ПС "Водозабор №2"</v>
      </c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134"/>
      <c r="S71" s="137"/>
      <c r="T71" s="122"/>
      <c r="U71" s="137"/>
      <c r="V71" s="122"/>
      <c r="W71" s="49"/>
      <c r="X71" s="122"/>
      <c r="Y71" s="49"/>
      <c r="Z71" s="122"/>
      <c r="AA71" s="49"/>
      <c r="AB71" s="122"/>
      <c r="AC71" s="49"/>
      <c r="AD71" s="133">
        <f t="shared" si="3"/>
        <v>0</v>
      </c>
      <c r="AE71" s="133">
        <f t="shared" si="3"/>
        <v>0</v>
      </c>
    </row>
    <row r="72" spans="1:31" s="2" customFormat="1" ht="22.5" hidden="1" outlineLevel="2" x14ac:dyDescent="0.2">
      <c r="A72" s="249">
        <f>'Утв. ИП 2014-2019'!A73</f>
        <v>0</v>
      </c>
      <c r="B72" s="249"/>
      <c r="C72" s="258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72" s="8"/>
      <c r="E72" s="8"/>
      <c r="F72" s="8"/>
      <c r="G72" s="8"/>
      <c r="H72" s="8"/>
      <c r="I72" s="8"/>
      <c r="J72" s="8"/>
      <c r="K72" s="13"/>
      <c r="L72" s="13"/>
      <c r="M72" s="13"/>
      <c r="N72" s="13"/>
      <c r="O72" s="13"/>
      <c r="P72" s="13"/>
      <c r="Q72" s="13"/>
      <c r="R72" s="135"/>
      <c r="S72" s="140"/>
      <c r="T72" s="124"/>
      <c r="U72" s="140"/>
      <c r="V72" s="124"/>
      <c r="W72" s="125"/>
      <c r="X72" s="124"/>
      <c r="Y72" s="125"/>
      <c r="Z72" s="124"/>
      <c r="AA72" s="125"/>
      <c r="AB72" s="124"/>
      <c r="AC72" s="125"/>
      <c r="AD72" s="133">
        <f t="shared" si="3"/>
        <v>0</v>
      </c>
      <c r="AE72" s="133">
        <f t="shared" si="3"/>
        <v>0</v>
      </c>
    </row>
    <row r="73" spans="1:31" s="2" customFormat="1" ht="15.75" hidden="1" outlineLevel="2" x14ac:dyDescent="0.2">
      <c r="A73" s="249">
        <f>'Утв. ИП 2014-2019'!A74</f>
        <v>0</v>
      </c>
      <c r="B73" s="249"/>
      <c r="C73" s="258" t="str">
        <f>'Утв. ИП 2014-2019'!C74</f>
        <v>Строительство ЗРУ - 35 кВ ПС Водозабор № 2</v>
      </c>
      <c r="D73" s="8"/>
      <c r="E73" s="8"/>
      <c r="F73" s="8"/>
      <c r="G73" s="8"/>
      <c r="H73" s="8"/>
      <c r="I73" s="8"/>
      <c r="J73" s="8"/>
      <c r="K73" s="13"/>
      <c r="L73" s="13"/>
      <c r="M73" s="13"/>
      <c r="N73" s="13"/>
      <c r="O73" s="13"/>
      <c r="P73" s="13"/>
      <c r="Q73" s="13"/>
      <c r="R73" s="135"/>
      <c r="S73" s="140"/>
      <c r="T73" s="124"/>
      <c r="U73" s="140"/>
      <c r="V73" s="124"/>
      <c r="W73" s="125"/>
      <c r="X73" s="124"/>
      <c r="Y73" s="125"/>
      <c r="Z73" s="124"/>
      <c r="AA73" s="125"/>
      <c r="AB73" s="124"/>
      <c r="AC73" s="125"/>
      <c r="AD73" s="133">
        <f t="shared" si="3"/>
        <v>0</v>
      </c>
      <c r="AE73" s="133">
        <f t="shared" si="3"/>
        <v>0</v>
      </c>
    </row>
    <row r="74" spans="1:31" s="2" customFormat="1" ht="15.75" hidden="1" outlineLevel="2" x14ac:dyDescent="0.2">
      <c r="A74" s="249">
        <f>'Утв. ИП 2014-2019'!A75</f>
        <v>0</v>
      </c>
      <c r="B74" s="249"/>
      <c r="C74" s="258" t="str">
        <f>'Утв. ИП 2014-2019'!C75</f>
        <v>Строительство КЛ 35 кВ от ПС "Бугор" до ПС Водозабор № 2</v>
      </c>
      <c r="D74" s="8"/>
      <c r="E74" s="8"/>
      <c r="F74" s="8"/>
      <c r="G74" s="8"/>
      <c r="H74" s="8"/>
      <c r="I74" s="8"/>
      <c r="J74" s="8"/>
      <c r="K74" s="13"/>
      <c r="L74" s="13"/>
      <c r="M74" s="13"/>
      <c r="N74" s="13"/>
      <c r="O74" s="13"/>
      <c r="P74" s="13"/>
      <c r="Q74" s="13"/>
      <c r="R74" s="135"/>
      <c r="S74" s="140"/>
      <c r="T74" s="124"/>
      <c r="U74" s="140"/>
      <c r="V74" s="124"/>
      <c r="W74" s="125"/>
      <c r="X74" s="124"/>
      <c r="Y74" s="125"/>
      <c r="Z74" s="124"/>
      <c r="AA74" s="125"/>
      <c r="AB74" s="124"/>
      <c r="AC74" s="125"/>
      <c r="AD74" s="133">
        <f t="shared" si="3"/>
        <v>0</v>
      </c>
      <c r="AE74" s="133">
        <f t="shared" si="3"/>
        <v>0</v>
      </c>
    </row>
    <row r="75" spans="1:31" s="2" customFormat="1" ht="15.75" hidden="1" outlineLevel="2" x14ac:dyDescent="0.2">
      <c r="A75" s="249">
        <f>'Утв. ИП 2014-2019'!A76</f>
        <v>0</v>
      </c>
      <c r="B75" s="249"/>
      <c r="C75" s="258" t="str">
        <f>'Утв. ИП 2014-2019'!C76</f>
        <v>Строительство КЛ 35 кВ от ПС Водозабор № 2 до ЦРП "Город"</v>
      </c>
      <c r="D75" s="8"/>
      <c r="E75" s="8"/>
      <c r="F75" s="8"/>
      <c r="G75" s="8"/>
      <c r="H75" s="8"/>
      <c r="I75" s="8"/>
      <c r="J75" s="8"/>
      <c r="K75" s="13"/>
      <c r="L75" s="13"/>
      <c r="M75" s="13"/>
      <c r="N75" s="13"/>
      <c r="O75" s="13"/>
      <c r="P75" s="13"/>
      <c r="Q75" s="13"/>
      <c r="R75" s="135"/>
      <c r="S75" s="140"/>
      <c r="T75" s="124"/>
      <c r="U75" s="140"/>
      <c r="V75" s="124"/>
      <c r="W75" s="125"/>
      <c r="X75" s="124"/>
      <c r="Y75" s="125"/>
      <c r="Z75" s="124"/>
      <c r="AA75" s="125"/>
      <c r="AB75" s="124"/>
      <c r="AC75" s="125"/>
      <c r="AD75" s="133">
        <f t="shared" si="3"/>
        <v>0</v>
      </c>
      <c r="AE75" s="133">
        <f t="shared" si="3"/>
        <v>0</v>
      </c>
    </row>
    <row r="76" spans="1:31" s="2" customFormat="1" ht="15.75" hidden="1" outlineLevel="2" x14ac:dyDescent="0.2">
      <c r="A76" s="249">
        <f>'Утв. ИП 2014-2019'!A77</f>
        <v>0</v>
      </c>
      <c r="B76" s="249"/>
      <c r="C76" s="258" t="str">
        <f>'Утв. ИП 2014-2019'!C77</f>
        <v>Демонтаж ВЛ 35 кВ от ПС "Бугор" до ЦРП "Город"</v>
      </c>
      <c r="D76" s="8"/>
      <c r="E76" s="8"/>
      <c r="F76" s="8"/>
      <c r="G76" s="8"/>
      <c r="H76" s="8"/>
      <c r="I76" s="8"/>
      <c r="J76" s="8"/>
      <c r="K76" s="13"/>
      <c r="L76" s="13"/>
      <c r="M76" s="13"/>
      <c r="N76" s="13"/>
      <c r="O76" s="13"/>
      <c r="P76" s="13"/>
      <c r="Q76" s="13"/>
      <c r="R76" s="135"/>
      <c r="S76" s="140"/>
      <c r="T76" s="124"/>
      <c r="U76" s="140"/>
      <c r="V76" s="124"/>
      <c r="W76" s="125"/>
      <c r="X76" s="124"/>
      <c r="Y76" s="125"/>
      <c r="Z76" s="124"/>
      <c r="AA76" s="125"/>
      <c r="AB76" s="124"/>
      <c r="AC76" s="125"/>
      <c r="AD76" s="133">
        <f t="shared" si="3"/>
        <v>0</v>
      </c>
      <c r="AE76" s="133">
        <f t="shared" si="3"/>
        <v>0</v>
      </c>
    </row>
    <row r="77" spans="1:31" s="2" customFormat="1" ht="15.75" collapsed="1" x14ac:dyDescent="0.2">
      <c r="A77" s="28">
        <v>0</v>
      </c>
      <c r="B77" s="28" t="str">
        <f>'Утв. ИП 2014-2019'!B78</f>
        <v>2.1.2</v>
      </c>
      <c r="C77" s="29" t="str">
        <f>'Утв. ИП 2014-2019'!C78</f>
        <v>Сети низкого напряжения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132">
        <f t="shared" ref="R77:AC77" si="13">SUM(R78:R81)</f>
        <v>0</v>
      </c>
      <c r="S77" s="95">
        <f t="shared" si="13"/>
        <v>0</v>
      </c>
      <c r="T77" s="85">
        <f t="shared" si="13"/>
        <v>0</v>
      </c>
      <c r="U77" s="95">
        <f t="shared" si="13"/>
        <v>0</v>
      </c>
      <c r="V77" s="85">
        <f t="shared" si="13"/>
        <v>0.12</v>
      </c>
      <c r="W77" s="31">
        <f t="shared" si="13"/>
        <v>0</v>
      </c>
      <c r="X77" s="85">
        <f t="shared" si="13"/>
        <v>0.3</v>
      </c>
      <c r="Y77" s="31">
        <f t="shared" si="13"/>
        <v>0</v>
      </c>
      <c r="Z77" s="85">
        <f t="shared" si="13"/>
        <v>0</v>
      </c>
      <c r="AA77" s="31">
        <f t="shared" si="13"/>
        <v>0</v>
      </c>
      <c r="AB77" s="85">
        <f t="shared" si="13"/>
        <v>0</v>
      </c>
      <c r="AC77" s="31">
        <f t="shared" si="13"/>
        <v>0</v>
      </c>
      <c r="AD77" s="142">
        <f t="shared" si="3"/>
        <v>0.42</v>
      </c>
      <c r="AE77" s="142">
        <f t="shared" si="3"/>
        <v>0</v>
      </c>
    </row>
    <row r="78" spans="1:31" s="2" customFormat="1" ht="25.5" outlineLevel="1" x14ac:dyDescent="0.2">
      <c r="A78" s="230" t="str">
        <f>'Утв. ИП 2014-2019'!A79</f>
        <v>1.1.1.4.2.1/07</v>
      </c>
      <c r="B78" s="259" t="str">
        <f>'Утв. ИП 2014-2019'!B79</f>
        <v>2.1.2.1</v>
      </c>
      <c r="C78" s="239" t="str">
        <f>'Утв. ИП 2014-2019'!C79</f>
        <v>Строительство КЛ-0,4 кВ от ТП-704 до МОУ СШ № 25 по ул. Ильича для повышения надежности электроснабжения</v>
      </c>
      <c r="D78" s="8"/>
      <c r="E78" s="8" t="str">
        <f>'Утв. ИП 2014-2019'!L79</f>
        <v>0,215 км</v>
      </c>
      <c r="F78" s="8"/>
      <c r="G78" s="8"/>
      <c r="H78" s="8"/>
      <c r="I78" s="8"/>
      <c r="J78" s="8" t="str">
        <f>'Утв. ИП 2014-2019'!Q79</f>
        <v>0,215 км</v>
      </c>
      <c r="K78" s="8"/>
      <c r="L78" s="8"/>
      <c r="M78" s="8"/>
      <c r="N78" s="8"/>
      <c r="O78" s="8"/>
      <c r="P78" s="8"/>
      <c r="Q78" s="8"/>
      <c r="R78" s="134"/>
      <c r="S78" s="137"/>
      <c r="T78" s="122"/>
      <c r="U78" s="137"/>
      <c r="V78" s="122"/>
      <c r="W78" s="49"/>
      <c r="X78" s="122"/>
      <c r="Y78" s="49"/>
      <c r="Z78" s="122"/>
      <c r="AA78" s="49"/>
      <c r="AB78" s="122"/>
      <c r="AC78" s="49"/>
      <c r="AD78" s="142">
        <f t="shared" ref="AD78:AE143" si="14">R78+T78+V78+X78+Z78+AB78</f>
        <v>0</v>
      </c>
      <c r="AE78" s="142">
        <f t="shared" si="14"/>
        <v>0</v>
      </c>
    </row>
    <row r="79" spans="1:31" s="2" customFormat="1" ht="38.25" outlineLevel="1" x14ac:dyDescent="0.2">
      <c r="A79" s="230" t="str">
        <f>'Утв. ИП 2014-2019'!A80</f>
        <v>1.1.1.4.2.5/07</v>
      </c>
      <c r="B79" s="230" t="str">
        <f>'Утв. ИП 2014-2019'!B80</f>
        <v>2.1.2.2</v>
      </c>
      <c r="C79" s="210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9" s="8"/>
      <c r="E79" s="8"/>
      <c r="F79" s="8" t="str">
        <f>'Утв. ИП 2014-2019'!M80</f>
        <v>0,115 км</v>
      </c>
      <c r="G79" s="8"/>
      <c r="H79" s="8"/>
      <c r="I79" s="8"/>
      <c r="J79" s="8" t="str">
        <f>'Утв. ИП 2014-2019'!Q80</f>
        <v>0,115 км</v>
      </c>
      <c r="K79" s="8"/>
      <c r="L79" s="8"/>
      <c r="M79" s="8" t="s">
        <v>1201</v>
      </c>
      <c r="N79" s="8"/>
      <c r="O79" s="8"/>
      <c r="P79" s="8"/>
      <c r="Q79" s="8" t="s">
        <v>1201</v>
      </c>
      <c r="R79" s="134"/>
      <c r="S79" s="137"/>
      <c r="T79" s="122"/>
      <c r="U79" s="137"/>
      <c r="V79" s="122">
        <v>0.12</v>
      </c>
      <c r="W79" s="49"/>
      <c r="X79" s="122"/>
      <c r="Y79" s="49"/>
      <c r="Z79" s="122"/>
      <c r="AA79" s="49"/>
      <c r="AB79" s="122"/>
      <c r="AC79" s="49"/>
      <c r="AD79" s="142">
        <f t="shared" si="14"/>
        <v>0.12</v>
      </c>
      <c r="AE79" s="142">
        <f t="shared" si="14"/>
        <v>0</v>
      </c>
    </row>
    <row r="80" spans="1:31" s="2" customFormat="1" ht="27" customHeight="1" outlineLevel="1" x14ac:dyDescent="0.2">
      <c r="A80" s="230" t="str">
        <f>'Утв. ИП 2014-2019'!A81</f>
        <v>2.1.2.3</v>
      </c>
      <c r="B80" s="230" t="str">
        <f>'Утв. ИП 2014-2019'!B81</f>
        <v>2.1.2.3</v>
      </c>
      <c r="C80" s="210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80" s="8"/>
      <c r="E80" s="8"/>
      <c r="F80" s="8"/>
      <c r="G80" s="8" t="str">
        <f>'Утв. ИП 2014-2019'!N81</f>
        <v>0,3 км</v>
      </c>
      <c r="H80" s="8"/>
      <c r="I80" s="8"/>
      <c r="J80" s="8" t="str">
        <f>'Утв. ИП 2014-2019'!Q81</f>
        <v>0,3 км</v>
      </c>
      <c r="K80" s="8"/>
      <c r="L80" s="8"/>
      <c r="M80" s="8"/>
      <c r="N80" s="8" t="s">
        <v>1206</v>
      </c>
      <c r="O80" s="8"/>
      <c r="P80" s="8"/>
      <c r="Q80" s="8" t="s">
        <v>1206</v>
      </c>
      <c r="R80" s="134"/>
      <c r="S80" s="137"/>
      <c r="T80" s="122"/>
      <c r="U80" s="137"/>
      <c r="V80" s="122"/>
      <c r="W80" s="49"/>
      <c r="X80" s="122">
        <v>0.3</v>
      </c>
      <c r="Y80" s="49"/>
      <c r="Z80" s="122"/>
      <c r="AA80" s="49"/>
      <c r="AB80" s="122"/>
      <c r="AC80" s="49"/>
      <c r="AD80" s="142">
        <f t="shared" si="14"/>
        <v>0.3</v>
      </c>
      <c r="AE80" s="142">
        <f t="shared" si="14"/>
        <v>0</v>
      </c>
    </row>
    <row r="81" spans="1:31" s="2" customFormat="1" ht="25.5" outlineLevel="1" x14ac:dyDescent="0.2">
      <c r="A81" s="230" t="str">
        <f>'Утв. ИП 2014-2019'!A82</f>
        <v>2.1.2.4</v>
      </c>
      <c r="B81" s="230" t="str">
        <f>'Утв. ИП 2014-2019'!B82</f>
        <v>2.1.2.4</v>
      </c>
      <c r="C81" s="262" t="str">
        <f>'Утв. ИП 2014-2019'!C82</f>
        <v>Строительство КЛ-0,4 кВ от ТП-68 и от ТП-155 до ВРУ базовой станции, расположенной по адресу: ул. Зегеля, 2</v>
      </c>
      <c r="D81" s="8"/>
      <c r="E81" s="8"/>
      <c r="F81" s="8"/>
      <c r="G81" s="8" t="str">
        <f>'Утв. ИП 2014-2019'!N82</f>
        <v>0,4 км</v>
      </c>
      <c r="H81" s="8"/>
      <c r="I81" s="8"/>
      <c r="J81" s="8" t="str">
        <f>'Утв. ИП 2014-2019'!Q82</f>
        <v>0,4 км</v>
      </c>
      <c r="K81" s="8"/>
      <c r="L81" s="8"/>
      <c r="M81" s="8"/>
      <c r="N81" s="8"/>
      <c r="O81" s="8"/>
      <c r="P81" s="8"/>
      <c r="Q81" s="8"/>
      <c r="R81" s="134"/>
      <c r="S81" s="139"/>
      <c r="T81" s="122"/>
      <c r="U81" s="139"/>
      <c r="V81" s="122"/>
      <c r="W81" s="123"/>
      <c r="X81" s="122"/>
      <c r="Y81" s="143"/>
      <c r="Z81" s="122"/>
      <c r="AA81" s="123"/>
      <c r="AB81" s="122"/>
      <c r="AC81" s="123"/>
      <c r="AD81" s="142">
        <f t="shared" si="14"/>
        <v>0</v>
      </c>
      <c r="AE81" s="142">
        <f t="shared" si="14"/>
        <v>0</v>
      </c>
    </row>
    <row r="82" spans="1:31" s="2" customFormat="1" ht="15.75" x14ac:dyDescent="0.2">
      <c r="A82" s="28">
        <v>0</v>
      </c>
      <c r="B82" s="28" t="s">
        <v>1207</v>
      </c>
      <c r="C82" s="29" t="str">
        <f>'Утв. ИП 2014-2019'!C83</f>
        <v>Объекты электросетевого хозяйства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132">
        <f t="shared" ref="R82:AC82" si="15">SUM(R83:R87)</f>
        <v>0</v>
      </c>
      <c r="S82" s="95">
        <f t="shared" si="15"/>
        <v>1.19</v>
      </c>
      <c r="T82" s="85">
        <f t="shared" si="15"/>
        <v>0</v>
      </c>
      <c r="U82" s="95">
        <f t="shared" si="15"/>
        <v>0.63</v>
      </c>
      <c r="V82" s="85">
        <f t="shared" si="15"/>
        <v>0</v>
      </c>
      <c r="W82" s="31">
        <f t="shared" si="15"/>
        <v>0</v>
      </c>
      <c r="X82" s="85">
        <f t="shared" si="15"/>
        <v>0</v>
      </c>
      <c r="Y82" s="31">
        <f t="shared" si="15"/>
        <v>1.6600000000000001</v>
      </c>
      <c r="Z82" s="85">
        <f t="shared" si="15"/>
        <v>0</v>
      </c>
      <c r="AA82" s="31">
        <f t="shared" si="15"/>
        <v>0</v>
      </c>
      <c r="AB82" s="85">
        <f t="shared" si="15"/>
        <v>0</v>
      </c>
      <c r="AC82" s="31">
        <f t="shared" si="15"/>
        <v>0.63</v>
      </c>
      <c r="AD82" s="142">
        <f t="shared" si="14"/>
        <v>0</v>
      </c>
      <c r="AE82" s="142">
        <f t="shared" si="14"/>
        <v>4.1100000000000003</v>
      </c>
    </row>
    <row r="83" spans="1:31" s="2" customFormat="1" ht="25.5" outlineLevel="1" x14ac:dyDescent="0.2">
      <c r="A83" s="230" t="str">
        <f>'Утв. ИП 2014-2019'!A84</f>
        <v>1.1.1.4.3.1/08</v>
      </c>
      <c r="B83" s="230" t="str">
        <f>'Утв. ИП 2014-2019'!B84</f>
        <v>2.1.3.1</v>
      </c>
      <c r="C83" s="210" t="str">
        <f>'Утв. ИП 2014-2019'!C84</f>
        <v xml:space="preserve">Строительство нового РП-4 по ул. Папина </v>
      </c>
      <c r="D83" s="8" t="str">
        <f>'Утв. ИП 2014-2019'!K84</f>
        <v>2х1,0 МВА</v>
      </c>
      <c r="E83" s="8"/>
      <c r="F83" s="8"/>
      <c r="G83" s="8"/>
      <c r="H83" s="8"/>
      <c r="I83" s="8"/>
      <c r="J83" s="8" t="str">
        <f>'Утв. ИП 2014-2019'!Q84</f>
        <v>2х1,0 МВА</v>
      </c>
      <c r="K83" s="8" t="s">
        <v>1407</v>
      </c>
      <c r="L83" s="8"/>
      <c r="M83" s="8"/>
      <c r="N83" s="8"/>
      <c r="O83" s="8"/>
      <c r="P83" s="8"/>
      <c r="Q83" s="8" t="s">
        <v>1407</v>
      </c>
      <c r="R83" s="134"/>
      <c r="S83" s="141">
        <f>0.56+0.63</f>
        <v>1.19</v>
      </c>
      <c r="T83" s="122"/>
      <c r="U83" s="141"/>
      <c r="V83" s="122"/>
      <c r="W83" s="126"/>
      <c r="X83" s="122"/>
      <c r="Y83" s="126"/>
      <c r="Z83" s="122"/>
      <c r="AA83" s="126"/>
      <c r="AB83" s="122"/>
      <c r="AC83" s="126"/>
      <c r="AD83" s="133">
        <f t="shared" si="14"/>
        <v>0</v>
      </c>
      <c r="AE83" s="133">
        <f t="shared" si="14"/>
        <v>1.19</v>
      </c>
    </row>
    <row r="84" spans="1:31" s="2" customFormat="1" ht="25.5" outlineLevel="1" x14ac:dyDescent="0.2">
      <c r="A84" s="230" t="str">
        <f>'Утв. ИП 2014-2019'!A85</f>
        <v>1.1.1.5.1/13</v>
      </c>
      <c r="B84" s="230" t="str">
        <f>'Утв. ИП 2014-2019'!B85</f>
        <v>2.1.3.2</v>
      </c>
      <c r="C84" s="210" t="str">
        <f>'Утв. ИП 2014-2019'!C85</f>
        <v>Строительство КТП взамен существующей МТП-802 в пос.Северный Рудник</v>
      </c>
      <c r="D84" s="8"/>
      <c r="E84" s="8" t="str">
        <f>'Утв. ИП 2014-2019'!L85</f>
        <v>1х0,63 МВА</v>
      </c>
      <c r="F84" s="8"/>
      <c r="G84" s="8"/>
      <c r="H84" s="8"/>
      <c r="I84" s="8"/>
      <c r="J84" s="8" t="str">
        <f>'Утв. ИП 2014-2019'!Q85</f>
        <v>1х0,63 МВА</v>
      </c>
      <c r="K84" s="8"/>
      <c r="L84" s="23" t="s">
        <v>146</v>
      </c>
      <c r="M84" s="8"/>
      <c r="N84" s="8"/>
      <c r="O84" s="8"/>
      <c r="P84" s="8"/>
      <c r="Q84" s="8" t="s">
        <v>146</v>
      </c>
      <c r="R84" s="134"/>
      <c r="S84" s="137"/>
      <c r="T84" s="122"/>
      <c r="U84" s="137">
        <v>0.63</v>
      </c>
      <c r="V84" s="122"/>
      <c r="W84" s="49"/>
      <c r="X84" s="122"/>
      <c r="Y84" s="49"/>
      <c r="Z84" s="122"/>
      <c r="AA84" s="49"/>
      <c r="AB84" s="122"/>
      <c r="AC84" s="49"/>
      <c r="AD84" s="133">
        <f t="shared" si="14"/>
        <v>0</v>
      </c>
      <c r="AE84" s="133">
        <f t="shared" si="14"/>
        <v>0.63</v>
      </c>
    </row>
    <row r="85" spans="1:31" s="2" customFormat="1" ht="15.75" outlineLevel="1" x14ac:dyDescent="0.2">
      <c r="A85" s="230" t="str">
        <f>'Утв. ИП 2014-2019'!A86</f>
        <v>2.1.3.3</v>
      </c>
      <c r="B85" s="230" t="str">
        <f>'Утв. ИП 2014-2019'!B86</f>
        <v>2.1.3.3</v>
      </c>
      <c r="C85" s="210" t="str">
        <f>'Утв. ИП 2014-2019'!C86</f>
        <v>Строительство новой КТП взамен существующей КТП-426</v>
      </c>
      <c r="D85" s="8"/>
      <c r="E85" s="8"/>
      <c r="F85" s="8"/>
      <c r="G85" s="8" t="str">
        <f>'Утв. ИП 2014-2019'!N86</f>
        <v>1х0,4 МВА</v>
      </c>
      <c r="H85" s="8"/>
      <c r="I85" s="8"/>
      <c r="J85" s="8" t="str">
        <f>'Утв. ИП 2014-2019'!Q86</f>
        <v>1х0,4МВА</v>
      </c>
      <c r="K85" s="8"/>
      <c r="L85" s="8"/>
      <c r="M85" s="23"/>
      <c r="N85" s="8" t="s">
        <v>110</v>
      </c>
      <c r="O85" s="8"/>
      <c r="P85" s="8"/>
      <c r="Q85" s="23" t="s">
        <v>110</v>
      </c>
      <c r="R85" s="134"/>
      <c r="S85" s="137"/>
      <c r="T85" s="122"/>
      <c r="U85" s="137"/>
      <c r="V85" s="122"/>
      <c r="W85" s="49"/>
      <c r="X85" s="122"/>
      <c r="Y85" s="49">
        <v>0.4</v>
      </c>
      <c r="Z85" s="122"/>
      <c r="AA85" s="49"/>
      <c r="AB85" s="122"/>
      <c r="AC85" s="49"/>
      <c r="AD85" s="133">
        <f t="shared" si="14"/>
        <v>0</v>
      </c>
      <c r="AE85" s="133">
        <f t="shared" si="14"/>
        <v>0.4</v>
      </c>
    </row>
    <row r="86" spans="1:31" s="2" customFormat="1" ht="25.5" outlineLevel="1" x14ac:dyDescent="0.2">
      <c r="A86" s="230" t="str">
        <f>'Утв. ИП 2014-2019'!A87</f>
        <v>1.4.0.2.6/08</v>
      </c>
      <c r="B86" s="230" t="str">
        <f>'Утв. ИП 2014-2019'!B87</f>
        <v>2.1.3.4</v>
      </c>
      <c r="C86" s="210" t="str">
        <f>'Утв. ИП 2014-2019'!C87</f>
        <v>Строительство ТП-612 по ул. Исполкомовская (с демонтажем старого здания)</v>
      </c>
      <c r="D86" s="8"/>
      <c r="E86" s="8"/>
      <c r="F86" s="8"/>
      <c r="G86" s="8" t="str">
        <f>'Утв. ИП 2014-2019'!N87</f>
        <v>2х0,63 МВА</v>
      </c>
      <c r="H86" s="8"/>
      <c r="I86" s="8"/>
      <c r="J86" s="8" t="str">
        <f>'Утв. ИП 2014-2019'!Q87</f>
        <v>2х0,63 МВА</v>
      </c>
      <c r="K86" s="8"/>
      <c r="L86" s="8"/>
      <c r="M86" s="8"/>
      <c r="N86" s="8" t="s">
        <v>147</v>
      </c>
      <c r="O86" s="8"/>
      <c r="P86" s="8"/>
      <c r="Q86" s="8" t="s">
        <v>147</v>
      </c>
      <c r="R86" s="134"/>
      <c r="S86" s="137"/>
      <c r="T86" s="122"/>
      <c r="U86" s="137"/>
      <c r="V86" s="122"/>
      <c r="W86" s="49"/>
      <c r="X86" s="122"/>
      <c r="Y86" s="49">
        <f>2*0.63</f>
        <v>1.26</v>
      </c>
      <c r="Z86" s="122"/>
      <c r="AA86" s="49"/>
      <c r="AB86" s="122"/>
      <c r="AC86" s="49"/>
      <c r="AD86" s="133">
        <f t="shared" si="14"/>
        <v>0</v>
      </c>
      <c r="AE86" s="133">
        <f t="shared" si="14"/>
        <v>1.26</v>
      </c>
    </row>
    <row r="87" spans="1:31" s="2" customFormat="1" ht="15.75" outlineLevel="1" x14ac:dyDescent="0.2">
      <c r="A87" s="230" t="str">
        <f>'Утв. ИП 2014-2019'!A88</f>
        <v>1.1.1.5.4/15</v>
      </c>
      <c r="B87" s="230" t="str">
        <f>'Утв. ИП 2014-2019'!B88</f>
        <v>2.1.3.5</v>
      </c>
      <c r="C87" s="210" t="str">
        <f>'Утв. ИП 2014-2019'!C88</f>
        <v>Строительство новой БКТП взамен КТП-725</v>
      </c>
      <c r="D87" s="8"/>
      <c r="E87" s="8"/>
      <c r="F87" s="8"/>
      <c r="G87" s="8"/>
      <c r="H87" s="8"/>
      <c r="I87" s="8" t="str">
        <f>'Утв. ИП 2014-2019'!P88</f>
        <v>1х0,63 МВА</v>
      </c>
      <c r="J87" s="8" t="str">
        <f>'Утв. ИП 2014-2019'!Q88</f>
        <v>1х0,63 МВА</v>
      </c>
      <c r="K87" s="8"/>
      <c r="L87" s="8"/>
      <c r="M87" s="23"/>
      <c r="N87" s="8"/>
      <c r="O87" s="8"/>
      <c r="P87" s="8" t="s">
        <v>146</v>
      </c>
      <c r="Q87" s="8" t="s">
        <v>146</v>
      </c>
      <c r="R87" s="134"/>
      <c r="S87" s="137"/>
      <c r="T87" s="122"/>
      <c r="U87" s="137"/>
      <c r="V87" s="122"/>
      <c r="W87" s="49"/>
      <c r="X87" s="122"/>
      <c r="Y87" s="49"/>
      <c r="Z87" s="122"/>
      <c r="AA87" s="49"/>
      <c r="AB87" s="122"/>
      <c r="AC87" s="49">
        <v>0.63</v>
      </c>
      <c r="AD87" s="133">
        <f t="shared" si="14"/>
        <v>0</v>
      </c>
      <c r="AE87" s="133">
        <f t="shared" si="14"/>
        <v>0.63</v>
      </c>
    </row>
    <row r="88" spans="1:31" s="112" customFormat="1" ht="15.75" x14ac:dyDescent="0.2">
      <c r="A88" s="28">
        <v>0</v>
      </c>
      <c r="B88" s="28" t="s">
        <v>1210</v>
      </c>
      <c r="C88" s="29" t="str">
        <f>'Утв. ИП 2014-2019'!C89</f>
        <v>Расширение существующей системы учета электроэнергии</v>
      </c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132">
        <f>0</f>
        <v>0</v>
      </c>
      <c r="S88" s="95">
        <f>0</f>
        <v>0</v>
      </c>
      <c r="T88" s="85">
        <f>0</f>
        <v>0</v>
      </c>
      <c r="U88" s="95">
        <f>0</f>
        <v>0</v>
      </c>
      <c r="V88" s="85">
        <f>0</f>
        <v>0</v>
      </c>
      <c r="W88" s="31">
        <f>0</f>
        <v>0</v>
      </c>
      <c r="X88" s="85">
        <f>0</f>
        <v>0</v>
      </c>
      <c r="Y88" s="31">
        <f>0</f>
        <v>0</v>
      </c>
      <c r="Z88" s="85">
        <f>0</f>
        <v>0</v>
      </c>
      <c r="AA88" s="31">
        <f>0</f>
        <v>0</v>
      </c>
      <c r="AB88" s="85">
        <f>0</f>
        <v>0</v>
      </c>
      <c r="AC88" s="31">
        <f>0</f>
        <v>0</v>
      </c>
      <c r="AD88" s="142">
        <f t="shared" si="14"/>
        <v>0</v>
      </c>
      <c r="AE88" s="142">
        <f t="shared" si="14"/>
        <v>0</v>
      </c>
    </row>
    <row r="89" spans="1:31" s="2" customFormat="1" ht="25.5" x14ac:dyDescent="0.2">
      <c r="A89" s="28">
        <v>0</v>
      </c>
      <c r="B89" s="28" t="s">
        <v>1211</v>
      </c>
      <c r="C89" s="29" t="str">
        <f>'Утв. ИП 2014-2019'!C90</f>
        <v>Приведение объектов компании к требуемой категории надежности электроснабжения</v>
      </c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132">
        <f>0</f>
        <v>0</v>
      </c>
      <c r="S89" s="95">
        <f>0</f>
        <v>0</v>
      </c>
      <c r="T89" s="85">
        <f>0</f>
        <v>0</v>
      </c>
      <c r="U89" s="95">
        <f>0</f>
        <v>0</v>
      </c>
      <c r="V89" s="85">
        <f>0</f>
        <v>0</v>
      </c>
      <c r="W89" s="31">
        <f>0</f>
        <v>0</v>
      </c>
      <c r="X89" s="85">
        <f>0</f>
        <v>0</v>
      </c>
      <c r="Y89" s="31">
        <f>0</f>
        <v>0</v>
      </c>
      <c r="Z89" s="85">
        <f>0</f>
        <v>0</v>
      </c>
      <c r="AA89" s="31">
        <f>0</f>
        <v>0</v>
      </c>
      <c r="AB89" s="85">
        <f>0</f>
        <v>0</v>
      </c>
      <c r="AC89" s="31">
        <f>0</f>
        <v>0</v>
      </c>
      <c r="AD89" s="142">
        <f t="shared" si="14"/>
        <v>0</v>
      </c>
      <c r="AE89" s="142">
        <f t="shared" si="14"/>
        <v>0</v>
      </c>
    </row>
    <row r="90" spans="1:31" s="2" customFormat="1" ht="15.75" x14ac:dyDescent="0.2">
      <c r="A90" s="28">
        <v>0</v>
      </c>
      <c r="B90" s="28" t="s">
        <v>1214</v>
      </c>
      <c r="C90" s="29" t="str">
        <f>'Утв. ИП 2014-2019'!C91</f>
        <v>Прочее новое строительство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132">
        <f t="shared" ref="R90:AC90" si="16">R91</f>
        <v>0</v>
      </c>
      <c r="S90" s="95">
        <f t="shared" si="16"/>
        <v>0</v>
      </c>
      <c r="T90" s="85">
        <f t="shared" si="16"/>
        <v>0</v>
      </c>
      <c r="U90" s="95">
        <f t="shared" si="16"/>
        <v>0</v>
      </c>
      <c r="V90" s="85">
        <f t="shared" si="16"/>
        <v>0</v>
      </c>
      <c r="W90" s="31">
        <f t="shared" si="16"/>
        <v>0</v>
      </c>
      <c r="X90" s="85">
        <f t="shared" si="16"/>
        <v>0</v>
      </c>
      <c r="Y90" s="31">
        <f t="shared" si="16"/>
        <v>0</v>
      </c>
      <c r="Z90" s="85">
        <f t="shared" si="16"/>
        <v>0</v>
      </c>
      <c r="AA90" s="31">
        <f t="shared" si="16"/>
        <v>0</v>
      </c>
      <c r="AB90" s="85">
        <f t="shared" si="16"/>
        <v>0</v>
      </c>
      <c r="AC90" s="31">
        <f t="shared" si="16"/>
        <v>0</v>
      </c>
      <c r="AD90" s="142">
        <f t="shared" si="14"/>
        <v>0</v>
      </c>
      <c r="AE90" s="142">
        <f t="shared" si="14"/>
        <v>0</v>
      </c>
    </row>
    <row r="91" spans="1:31" s="2" customFormat="1" ht="25.5" outlineLevel="1" x14ac:dyDescent="0.2">
      <c r="A91" s="230" t="str">
        <f>'Утв. ИП 2014-2019'!A92</f>
        <v>1.1.1.3.2/12</v>
      </c>
      <c r="B91" s="230" t="str">
        <f>'Утв. ИП 2014-2019'!B92</f>
        <v>2.3.1</v>
      </c>
      <c r="C91" s="210" t="str">
        <f>'Утв. ИП 2014-2019'!C92</f>
        <v>Строительство РП "Новая Гагарина" и кабельной сети 6 кВ от ПС "Трубная 2"</v>
      </c>
      <c r="D91" s="8"/>
      <c r="E91" s="8"/>
      <c r="F91" s="8" t="str">
        <f>'Утв. ИП 2014-2019'!M92</f>
        <v>4х1,9 км
12 МВА</v>
      </c>
      <c r="G91" s="8"/>
      <c r="H91" s="8"/>
      <c r="I91" s="8"/>
      <c r="J91" s="8" t="str">
        <f>'Утв. ИП 2014-2019'!Q92</f>
        <v>4х1,9 км
12 МВА</v>
      </c>
      <c r="K91" s="8"/>
      <c r="L91" s="8"/>
      <c r="M91" s="23"/>
      <c r="N91" s="8"/>
      <c r="O91" s="8"/>
      <c r="P91" s="8"/>
      <c r="Q91" s="23"/>
      <c r="R91" s="134"/>
      <c r="S91" s="137"/>
      <c r="T91" s="122"/>
      <c r="U91" s="137"/>
      <c r="V91" s="122"/>
      <c r="W91" s="49"/>
      <c r="X91" s="122"/>
      <c r="Y91" s="49"/>
      <c r="Z91" s="122"/>
      <c r="AA91" s="49"/>
      <c r="AB91" s="122"/>
      <c r="AC91" s="49"/>
      <c r="AD91" s="142">
        <f t="shared" si="14"/>
        <v>0</v>
      </c>
      <c r="AE91" s="142">
        <f t="shared" si="14"/>
        <v>0</v>
      </c>
    </row>
    <row r="92" spans="1:31" s="96" customFormat="1" ht="15.75" hidden="1" outlineLevel="2" x14ac:dyDescent="0.2">
      <c r="A92" s="249">
        <f>'Утв. ИП 2014-2019'!A93</f>
        <v>0</v>
      </c>
      <c r="B92" s="249"/>
      <c r="C92" s="250" t="str">
        <f>'Утв. ИП 2014-2019'!C93</f>
        <v>Строительство РП "Новая Гагарина" 6 кВ по ул. Гагарина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4"/>
      <c r="S92" s="140"/>
      <c r="T92" s="122"/>
      <c r="U92" s="140"/>
      <c r="V92" s="122"/>
      <c r="W92" s="125"/>
      <c r="X92" s="122"/>
      <c r="Y92" s="125"/>
      <c r="Z92" s="122"/>
      <c r="AA92" s="125"/>
      <c r="AB92" s="122"/>
      <c r="AC92" s="125"/>
      <c r="AD92" s="142">
        <f t="shared" si="14"/>
        <v>0</v>
      </c>
      <c r="AE92" s="142">
        <f t="shared" si="14"/>
        <v>0</v>
      </c>
    </row>
    <row r="93" spans="1:31" s="2" customFormat="1" ht="22.5" hidden="1" outlineLevel="2" x14ac:dyDescent="0.2">
      <c r="A93" s="249">
        <f>'Утв. ИП 2014-2019'!A94</f>
        <v>0</v>
      </c>
      <c r="B93" s="249"/>
      <c r="C93" s="250" t="str">
        <f>'Утв. ИП 2014-2019'!C94</f>
        <v>Строительство КЛ-6 кВ сети электроснабжения от ПС "Трубная-2" до РП по ул. Гагарина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4"/>
      <c r="S93" s="140"/>
      <c r="T93" s="122"/>
      <c r="U93" s="140"/>
      <c r="V93" s="122"/>
      <c r="W93" s="125"/>
      <c r="X93" s="122"/>
      <c r="Y93" s="125"/>
      <c r="Z93" s="122"/>
      <c r="AA93" s="125"/>
      <c r="AB93" s="122"/>
      <c r="AC93" s="125"/>
      <c r="AD93" s="142">
        <f t="shared" si="14"/>
        <v>0</v>
      </c>
      <c r="AE93" s="142">
        <f t="shared" si="14"/>
        <v>0</v>
      </c>
    </row>
    <row r="94" spans="1:31" s="2" customFormat="1" ht="15.75" collapsed="1" x14ac:dyDescent="0.2">
      <c r="A94" s="28">
        <v>0</v>
      </c>
      <c r="B94" s="28" t="s">
        <v>1217</v>
      </c>
      <c r="C94" s="29" t="str">
        <f>'Утв. ИП 2014-2019'!C95</f>
        <v>Оборудование, не входящее в сметы строек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132">
        <f t="shared" ref="R94:AC94" si="17">SUM(R95:R104)</f>
        <v>0</v>
      </c>
      <c r="S94" s="95">
        <f t="shared" si="17"/>
        <v>0</v>
      </c>
      <c r="T94" s="85">
        <f t="shared" si="17"/>
        <v>0</v>
      </c>
      <c r="U94" s="95">
        <f t="shared" si="17"/>
        <v>0</v>
      </c>
      <c r="V94" s="85">
        <f t="shared" si="17"/>
        <v>0</v>
      </c>
      <c r="W94" s="31">
        <f t="shared" si="17"/>
        <v>0</v>
      </c>
      <c r="X94" s="85">
        <f t="shared" si="17"/>
        <v>0</v>
      </c>
      <c r="Y94" s="31">
        <f t="shared" si="17"/>
        <v>0</v>
      </c>
      <c r="Z94" s="85">
        <f t="shared" si="17"/>
        <v>0</v>
      </c>
      <c r="AA94" s="31">
        <f t="shared" si="17"/>
        <v>0</v>
      </c>
      <c r="AB94" s="85">
        <f t="shared" si="17"/>
        <v>0</v>
      </c>
      <c r="AC94" s="31">
        <f t="shared" si="17"/>
        <v>0</v>
      </c>
      <c r="AD94" s="142">
        <f t="shared" si="14"/>
        <v>0</v>
      </c>
      <c r="AE94" s="142">
        <f t="shared" si="14"/>
        <v>0</v>
      </c>
    </row>
    <row r="95" spans="1:31" s="2" customFormat="1" ht="25.5" outlineLevel="1" x14ac:dyDescent="0.2">
      <c r="A95" s="230" t="str">
        <f>'Утв. ИП 2014-2019'!A96</f>
        <v>1.1.3.1/14</v>
      </c>
      <c r="B95" s="230" t="str">
        <f>'Утв. ИП 2014-2019'!B96</f>
        <v>2.4.1</v>
      </c>
      <c r="C95" s="238" t="str">
        <f>'Утв. ИП 2014-2019'!C96</f>
        <v>Модернизация прибора для измерения показания качества эл. энергии - "Ресурс-UF2M-3T64-3000", инв. № 433101</v>
      </c>
      <c r="D95" s="8" t="str">
        <f>'Утв. ИП 2014-2019'!K96</f>
        <v>1 к-т</v>
      </c>
      <c r="E95" s="8"/>
      <c r="F95" s="5"/>
      <c r="G95" s="5"/>
      <c r="H95" s="8"/>
      <c r="I95" s="8"/>
      <c r="J95" s="23" t="str">
        <f>'Утв. ИП 2014-2019'!Q96</f>
        <v>1 к-т</v>
      </c>
      <c r="K95" s="8"/>
      <c r="L95" s="8"/>
      <c r="M95" s="5"/>
      <c r="N95" s="5"/>
      <c r="O95" s="8"/>
      <c r="P95" s="8"/>
      <c r="Q95" s="8"/>
      <c r="R95" s="134"/>
      <c r="S95" s="137"/>
      <c r="T95" s="122"/>
      <c r="U95" s="137"/>
      <c r="V95" s="122"/>
      <c r="W95" s="49"/>
      <c r="X95" s="122"/>
      <c r="Y95" s="49"/>
      <c r="Z95" s="122"/>
      <c r="AA95" s="49"/>
      <c r="AB95" s="122"/>
      <c r="AC95" s="49"/>
      <c r="AD95" s="142">
        <f t="shared" si="14"/>
        <v>0</v>
      </c>
      <c r="AE95" s="142">
        <f t="shared" si="14"/>
        <v>0</v>
      </c>
    </row>
    <row r="96" spans="1:31" s="112" customFormat="1" ht="25.5" outlineLevel="1" x14ac:dyDescent="0.2">
      <c r="A96" s="230" t="str">
        <f>'Утв. ИП 2014-2019'!A97</f>
        <v>1.1.3.2/14</v>
      </c>
      <c r="B96" s="230" t="str">
        <f>'Утв. ИП 2014-2019'!B97</f>
        <v>2.4.2</v>
      </c>
      <c r="C96" s="238" t="str">
        <f>'Утв. ИП 2014-2019'!C97</f>
        <v>Модернизация прибора для измерения показания качества эл. энергии - "Ресурс-UF2M-3T64-3000", инв. № 433103</v>
      </c>
      <c r="D96" s="8" t="str">
        <f>'Утв. ИП 2014-2019'!K97</f>
        <v>1 к-т</v>
      </c>
      <c r="E96" s="8"/>
      <c r="F96" s="5"/>
      <c r="G96" s="5"/>
      <c r="H96" s="8"/>
      <c r="I96" s="8"/>
      <c r="J96" s="23" t="str">
        <f>'Утв. ИП 2014-2019'!Q97</f>
        <v>1 к-т</v>
      </c>
      <c r="K96" s="8"/>
      <c r="L96" s="8"/>
      <c r="M96" s="5"/>
      <c r="N96" s="5"/>
      <c r="O96" s="8"/>
      <c r="P96" s="8"/>
      <c r="Q96" s="8"/>
      <c r="R96" s="134"/>
      <c r="S96" s="137"/>
      <c r="T96" s="122"/>
      <c r="U96" s="137"/>
      <c r="V96" s="122"/>
      <c r="W96" s="49"/>
      <c r="X96" s="122"/>
      <c r="Y96" s="49"/>
      <c r="Z96" s="122"/>
      <c r="AA96" s="49"/>
      <c r="AB96" s="122"/>
      <c r="AC96" s="49"/>
      <c r="AD96" s="142">
        <f t="shared" si="14"/>
        <v>0</v>
      </c>
      <c r="AE96" s="142">
        <f t="shared" si="14"/>
        <v>0</v>
      </c>
    </row>
    <row r="97" spans="1:31" s="96" customFormat="1" ht="15" customHeight="1" outlineLevel="1" x14ac:dyDescent="0.2">
      <c r="A97" s="230" t="str">
        <f>'Утв. ИП 2014-2019'!A98</f>
        <v>1.1.3.3/14</v>
      </c>
      <c r="B97" s="230" t="str">
        <f>'Утв. ИП 2014-2019'!B98</f>
        <v>2.4.3</v>
      </c>
      <c r="C97" s="210" t="str">
        <f>'Утв. ИП 2014-2019'!C98</f>
        <v>Поисковый комплект КП-100</v>
      </c>
      <c r="D97" s="8" t="str">
        <f>'Утв. ИП 2014-2019'!K98</f>
        <v>1 к-т</v>
      </c>
      <c r="E97" s="8"/>
      <c r="F97" s="8"/>
      <c r="G97" s="8"/>
      <c r="H97" s="8"/>
      <c r="I97" s="8"/>
      <c r="J97" s="23" t="str">
        <f>'Утв. ИП 2014-2019'!Q98</f>
        <v>1 к-т</v>
      </c>
      <c r="K97" s="8"/>
      <c r="L97" s="8"/>
      <c r="M97" s="8"/>
      <c r="N97" s="8"/>
      <c r="O97" s="8"/>
      <c r="P97" s="8"/>
      <c r="Q97" s="8"/>
      <c r="R97" s="134"/>
      <c r="S97" s="137"/>
      <c r="T97" s="122"/>
      <c r="U97" s="137"/>
      <c r="V97" s="122"/>
      <c r="W97" s="49"/>
      <c r="X97" s="122"/>
      <c r="Y97" s="49"/>
      <c r="Z97" s="122"/>
      <c r="AA97" s="49"/>
      <c r="AB97" s="122"/>
      <c r="AC97" s="49"/>
      <c r="AD97" s="142">
        <f t="shared" si="14"/>
        <v>0</v>
      </c>
      <c r="AE97" s="142">
        <f t="shared" si="14"/>
        <v>0</v>
      </c>
    </row>
    <row r="98" spans="1:31" s="2" customFormat="1" ht="15" customHeight="1" outlineLevel="1" x14ac:dyDescent="0.2">
      <c r="A98" s="230" t="str">
        <f>'Утв. ИП 2014-2019'!A99</f>
        <v>1.1.3.4/14</v>
      </c>
      <c r="B98" s="230" t="str">
        <f>'Утв. ИП 2014-2019'!B99</f>
        <v>2.4.4</v>
      </c>
      <c r="C98" s="210" t="str">
        <f>'Утв. ИП 2014-2019'!C99</f>
        <v>Установка поверки счетчиков</v>
      </c>
      <c r="D98" s="8" t="str">
        <f>'Утв. ИП 2014-2019'!K99</f>
        <v>1 к-т</v>
      </c>
      <c r="E98" s="8"/>
      <c r="F98" s="8"/>
      <c r="G98" s="8"/>
      <c r="H98" s="8"/>
      <c r="I98" s="8"/>
      <c r="J98" s="23" t="str">
        <f>'Утв. ИП 2014-2019'!Q99</f>
        <v>1 к-т</v>
      </c>
      <c r="K98" s="8"/>
      <c r="L98" s="8"/>
      <c r="M98" s="8"/>
      <c r="N98" s="8"/>
      <c r="O98" s="8"/>
      <c r="P98" s="8"/>
      <c r="Q98" s="8"/>
      <c r="R98" s="134"/>
      <c r="S98" s="137"/>
      <c r="T98" s="122"/>
      <c r="U98" s="137"/>
      <c r="V98" s="122"/>
      <c r="W98" s="49"/>
      <c r="X98" s="122"/>
      <c r="Y98" s="49"/>
      <c r="Z98" s="122"/>
      <c r="AA98" s="49"/>
      <c r="AB98" s="122"/>
      <c r="AC98" s="49"/>
      <c r="AD98" s="142">
        <f t="shared" si="14"/>
        <v>0</v>
      </c>
      <c r="AE98" s="142">
        <f t="shared" si="14"/>
        <v>0</v>
      </c>
    </row>
    <row r="99" spans="1:31" s="96" customFormat="1" ht="15" customHeight="1" outlineLevel="1" x14ac:dyDescent="0.2">
      <c r="A99" s="230" t="str">
        <f>'Утв. ИП 2014-2019'!A100</f>
        <v>1.1.3.5/14</v>
      </c>
      <c r="B99" s="230" t="str">
        <f>'Утв. ИП 2014-2019'!B100</f>
        <v>2.4.5</v>
      </c>
      <c r="C99" s="210" t="str">
        <f>'Утв. ИП 2014-2019'!C100</f>
        <v>Прибор для поиска однофазных замыканий на КЛ</v>
      </c>
      <c r="D99" s="8" t="str">
        <f>'Утв. ИП 2014-2019'!K100</f>
        <v>1 к-т</v>
      </c>
      <c r="E99" s="8"/>
      <c r="F99" s="8"/>
      <c r="G99" s="8"/>
      <c r="H99" s="8"/>
      <c r="I99" s="8"/>
      <c r="J99" s="23" t="str">
        <f>'Утв. ИП 2014-2019'!Q100</f>
        <v>1 к-т</v>
      </c>
      <c r="K99" s="8"/>
      <c r="L99" s="8"/>
      <c r="M99" s="8"/>
      <c r="N99" s="8"/>
      <c r="O99" s="8"/>
      <c r="P99" s="8"/>
      <c r="Q99" s="8"/>
      <c r="R99" s="134"/>
      <c r="S99" s="137"/>
      <c r="T99" s="122"/>
      <c r="U99" s="137"/>
      <c r="V99" s="122"/>
      <c r="W99" s="49"/>
      <c r="X99" s="122"/>
      <c r="Y99" s="49"/>
      <c r="Z99" s="122"/>
      <c r="AA99" s="49"/>
      <c r="AB99" s="122"/>
      <c r="AC99" s="49"/>
      <c r="AD99" s="142">
        <f t="shared" si="14"/>
        <v>0</v>
      </c>
      <c r="AE99" s="142">
        <f t="shared" si="14"/>
        <v>0</v>
      </c>
    </row>
    <row r="100" spans="1:31" s="112" customFormat="1" ht="15" customHeight="1" outlineLevel="1" x14ac:dyDescent="0.2">
      <c r="A100" s="230" t="str">
        <f>'Утв. ИП 2014-2019'!A101</f>
        <v>1.1.3.6/14</v>
      </c>
      <c r="B100" s="230" t="str">
        <f>'Утв. ИП 2014-2019'!B101</f>
        <v>2.4.6</v>
      </c>
      <c r="C100" s="210" t="str">
        <f>'Утв. ИП 2014-2019'!C101</f>
        <v>Прибор "Энергомонитор"</v>
      </c>
      <c r="D100" s="8" t="str">
        <f>'Утв. ИП 2014-2019'!K101</f>
        <v>1 к-т</v>
      </c>
      <c r="E100" s="8"/>
      <c r="F100" s="8"/>
      <c r="G100" s="8"/>
      <c r="H100" s="8"/>
      <c r="I100" s="8"/>
      <c r="J100" s="23" t="str">
        <f>'Утв. ИП 2014-2019'!Q101</f>
        <v>1 к-т</v>
      </c>
      <c r="K100" s="8"/>
      <c r="L100" s="8"/>
      <c r="M100" s="8"/>
      <c r="N100" s="8"/>
      <c r="O100" s="8"/>
      <c r="P100" s="8"/>
      <c r="Q100" s="8"/>
      <c r="R100" s="134"/>
      <c r="S100" s="137"/>
      <c r="T100" s="122"/>
      <c r="U100" s="137"/>
      <c r="V100" s="122"/>
      <c r="W100" s="49"/>
      <c r="X100" s="122"/>
      <c r="Y100" s="49"/>
      <c r="Z100" s="122"/>
      <c r="AA100" s="49"/>
      <c r="AB100" s="122"/>
      <c r="AC100" s="49"/>
      <c r="AD100" s="142">
        <f t="shared" si="14"/>
        <v>0</v>
      </c>
      <c r="AE100" s="142">
        <f t="shared" si="14"/>
        <v>0</v>
      </c>
    </row>
    <row r="101" spans="1:31" s="116" customFormat="1" ht="15" customHeight="1" outlineLevel="1" x14ac:dyDescent="0.2">
      <c r="A101" s="230" t="str">
        <f>'Утв. ИП 2014-2019'!A102</f>
        <v>2.4.7</v>
      </c>
      <c r="B101" s="230" t="str">
        <f>'Утв. ИП 2014-2019'!B102</f>
        <v>2.4.7</v>
      </c>
      <c r="C101" s="210" t="str">
        <f>'Утв. ИП 2014-2019'!C102</f>
        <v>Асфальторезная машина</v>
      </c>
      <c r="D101" s="8"/>
      <c r="E101" s="23"/>
      <c r="F101" s="8"/>
      <c r="G101" s="8"/>
      <c r="H101" s="8"/>
      <c r="I101" s="23" t="str">
        <f>'Утв. ИП 2014-2019'!P102</f>
        <v>1 шт.</v>
      </c>
      <c r="J101" s="23" t="str">
        <f>'Утв. ИП 2014-2019'!Q102</f>
        <v>1 шт.</v>
      </c>
      <c r="K101" s="23"/>
      <c r="L101" s="23"/>
      <c r="M101" s="8"/>
      <c r="N101" s="8"/>
      <c r="O101" s="8"/>
      <c r="P101" s="23"/>
      <c r="Q101" s="23"/>
      <c r="R101" s="134"/>
      <c r="S101" s="137"/>
      <c r="T101" s="122"/>
      <c r="U101" s="137"/>
      <c r="V101" s="122"/>
      <c r="W101" s="49"/>
      <c r="X101" s="122"/>
      <c r="Y101" s="49"/>
      <c r="Z101" s="122"/>
      <c r="AA101" s="49"/>
      <c r="AB101" s="122"/>
      <c r="AC101" s="49"/>
      <c r="AD101" s="142">
        <f t="shared" si="14"/>
        <v>0</v>
      </c>
      <c r="AE101" s="142">
        <f t="shared" si="14"/>
        <v>0</v>
      </c>
    </row>
    <row r="102" spans="1:31" s="112" customFormat="1" ht="15" customHeight="1" outlineLevel="1" x14ac:dyDescent="0.2">
      <c r="A102" s="230" t="str">
        <f>'Утв. ИП 2014-2019'!A103</f>
        <v>2.4.8</v>
      </c>
      <c r="B102" s="230" t="str">
        <f>'Утв. ИП 2014-2019'!B103</f>
        <v>2.4.8</v>
      </c>
      <c r="C102" s="210" t="str">
        <f>'Утв. ИП 2014-2019'!C103</f>
        <v>Палатка кабельщика</v>
      </c>
      <c r="D102" s="8"/>
      <c r="E102" s="23"/>
      <c r="F102" s="8"/>
      <c r="G102" s="8"/>
      <c r="H102" s="8"/>
      <c r="I102" s="23" t="str">
        <f>'Утв. ИП 2014-2019'!P103</f>
        <v>1 шт.</v>
      </c>
      <c r="J102" s="23" t="str">
        <f>'Утв. ИП 2014-2019'!Q103</f>
        <v>1 шт.</v>
      </c>
      <c r="K102" s="23"/>
      <c r="L102" s="23"/>
      <c r="M102" s="8"/>
      <c r="N102" s="8"/>
      <c r="O102" s="8"/>
      <c r="P102" s="23"/>
      <c r="Q102" s="23"/>
      <c r="R102" s="134"/>
      <c r="S102" s="137"/>
      <c r="T102" s="122"/>
      <c r="U102" s="137"/>
      <c r="V102" s="122"/>
      <c r="W102" s="49"/>
      <c r="X102" s="122"/>
      <c r="Y102" s="49"/>
      <c r="Z102" s="122"/>
      <c r="AA102" s="49"/>
      <c r="AB102" s="122"/>
      <c r="AC102" s="49"/>
      <c r="AD102" s="142">
        <f t="shared" si="14"/>
        <v>0</v>
      </c>
      <c r="AE102" s="142">
        <f t="shared" si="14"/>
        <v>0</v>
      </c>
    </row>
    <row r="103" spans="1:31" s="112" customFormat="1" ht="15" customHeight="1" outlineLevel="1" x14ac:dyDescent="0.2">
      <c r="A103" s="230" t="str">
        <f>'Утв. ИП 2014-2019'!A104</f>
        <v>1.1.3.7/14</v>
      </c>
      <c r="B103" s="230" t="str">
        <f>'Утв. ИП 2014-2019'!B104</f>
        <v>2.4.9</v>
      </c>
      <c r="C103" s="210" t="str">
        <f>'Утв. ИП 2014-2019'!C104</f>
        <v>Приобретение силовых трансформаторов</v>
      </c>
      <c r="D103" s="8" t="str">
        <f>'Утв. ИП 2014-2019'!K104</f>
        <v>14 шт.</v>
      </c>
      <c r="E103" s="23"/>
      <c r="F103" s="8"/>
      <c r="G103" s="8"/>
      <c r="H103" s="8"/>
      <c r="I103" s="23"/>
      <c r="J103" s="23" t="str">
        <f>'Утв. ИП 2014-2019'!Q104</f>
        <v>14 шт.</v>
      </c>
      <c r="K103" s="23"/>
      <c r="L103" s="23"/>
      <c r="M103" s="8"/>
      <c r="N103" s="8"/>
      <c r="O103" s="8"/>
      <c r="P103" s="23"/>
      <c r="Q103" s="23"/>
      <c r="R103" s="134"/>
      <c r="S103" s="137"/>
      <c r="T103" s="122"/>
      <c r="U103" s="137"/>
      <c r="V103" s="122"/>
      <c r="W103" s="49"/>
      <c r="X103" s="122"/>
      <c r="Y103" s="49"/>
      <c r="Z103" s="122"/>
      <c r="AA103" s="49"/>
      <c r="AB103" s="122"/>
      <c r="AC103" s="49"/>
      <c r="AD103" s="142">
        <f>R103+T103+V103+X103+Z103+AB103</f>
        <v>0</v>
      </c>
      <c r="AE103" s="142">
        <f>S103+U103+W103+Y103+AA103+AC103</f>
        <v>0</v>
      </c>
    </row>
    <row r="104" spans="1:31" s="2" customFormat="1" ht="25.5" outlineLevel="1" x14ac:dyDescent="0.2">
      <c r="A104" s="6" t="str">
        <f>'Утв. ИП 2014-2019'!A105</f>
        <v>2.4.10</v>
      </c>
      <c r="B104" s="6" t="str">
        <f>'Утв. ИП 2014-2019'!B105</f>
        <v>2.4.10</v>
      </c>
      <c r="C104" s="7" t="str">
        <f>'Утв. ИП 2014-2019'!C105</f>
        <v>Аппарат для определения температуры вспышки в закрытом тигле ТВЗ</v>
      </c>
      <c r="D104" s="8" t="str">
        <f>'Утв. ИП 2014-2019'!K105</f>
        <v>1 шт.</v>
      </c>
      <c r="E104" s="23"/>
      <c r="F104" s="8"/>
      <c r="G104" s="8"/>
      <c r="H104" s="8"/>
      <c r="I104" s="23"/>
      <c r="J104" s="23" t="str">
        <f>'Утв. ИП 2014-2019'!Q105</f>
        <v>1 шт.</v>
      </c>
      <c r="K104" s="23"/>
      <c r="L104" s="23"/>
      <c r="M104" s="8"/>
      <c r="N104" s="8"/>
      <c r="O104" s="8"/>
      <c r="P104" s="23"/>
      <c r="Q104" s="23"/>
      <c r="R104" s="134"/>
      <c r="S104" s="137"/>
      <c r="T104" s="122"/>
      <c r="U104" s="137"/>
      <c r="V104" s="122"/>
      <c r="W104" s="49"/>
      <c r="X104" s="122"/>
      <c r="Y104" s="49"/>
      <c r="Z104" s="122"/>
      <c r="AA104" s="49"/>
      <c r="AB104" s="122"/>
      <c r="AC104" s="49"/>
      <c r="AD104" s="133">
        <f>R104+T104+V104+X104+Z104+AB104</f>
        <v>0</v>
      </c>
      <c r="AE104" s="133">
        <f>S104+U104+W104+Y104+AA104+AC104</f>
        <v>0</v>
      </c>
    </row>
    <row r="105" spans="1:31" s="112" customFormat="1" ht="15.75" x14ac:dyDescent="0.2">
      <c r="A105" s="28">
        <v>0</v>
      </c>
      <c r="B105" s="28" t="s">
        <v>403</v>
      </c>
      <c r="C105" s="29" t="str">
        <f>'Утв. ИП 2014-2019'!C106</f>
        <v>Автотранспортное обеспечение</v>
      </c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132">
        <f>SUM(R106:R119)</f>
        <v>0</v>
      </c>
      <c r="S105" s="95">
        <f t="shared" ref="S105:AC105" si="18">SUM(S106:S119)</f>
        <v>0</v>
      </c>
      <c r="T105" s="85">
        <f t="shared" si="18"/>
        <v>0</v>
      </c>
      <c r="U105" s="95">
        <f t="shared" si="18"/>
        <v>0</v>
      </c>
      <c r="V105" s="85">
        <f t="shared" si="18"/>
        <v>0</v>
      </c>
      <c r="W105" s="31">
        <f t="shared" si="18"/>
        <v>0</v>
      </c>
      <c r="X105" s="85">
        <f t="shared" si="18"/>
        <v>0</v>
      </c>
      <c r="Y105" s="31">
        <f t="shared" si="18"/>
        <v>0</v>
      </c>
      <c r="Z105" s="85">
        <f t="shared" si="18"/>
        <v>0</v>
      </c>
      <c r="AA105" s="31">
        <f t="shared" si="18"/>
        <v>0</v>
      </c>
      <c r="AB105" s="85">
        <f t="shared" si="18"/>
        <v>0</v>
      </c>
      <c r="AC105" s="31">
        <f t="shared" si="18"/>
        <v>0</v>
      </c>
      <c r="AD105" s="142">
        <f t="shared" si="14"/>
        <v>0</v>
      </c>
      <c r="AE105" s="142">
        <f t="shared" si="14"/>
        <v>0</v>
      </c>
    </row>
    <row r="106" spans="1:31" s="112" customFormat="1" ht="15.75" outlineLevel="1" x14ac:dyDescent="0.2">
      <c r="A106" s="230" t="str">
        <f>'Утв. ИП 2014-2019'!A107</f>
        <v>1.1.4.1/13</v>
      </c>
      <c r="B106" s="230" t="str">
        <f>'Утв. ИП 2014-2019'!B107</f>
        <v>2.5.1</v>
      </c>
      <c r="C106" s="210" t="str">
        <f>'Утв. ИП 2014-2019'!C107</f>
        <v>Экскаватор-погрузчик Volvo BL71B с гидромолотом</v>
      </c>
      <c r="D106" s="8" t="str">
        <f>'Утв. ИП 2014-2019'!K107</f>
        <v>1 шт.</v>
      </c>
      <c r="E106" s="8"/>
      <c r="F106" s="8"/>
      <c r="G106" s="8"/>
      <c r="H106" s="8"/>
      <c r="I106" s="8"/>
      <c r="J106" s="23" t="str">
        <f>'Утв. ИП 2014-2019'!Q107</f>
        <v>1 шт.</v>
      </c>
      <c r="K106" s="23"/>
      <c r="L106" s="8"/>
      <c r="M106" s="8"/>
      <c r="N106" s="8"/>
      <c r="O106" s="8"/>
      <c r="P106" s="8"/>
      <c r="Q106" s="23"/>
      <c r="R106" s="134"/>
      <c r="S106" s="137"/>
      <c r="T106" s="122"/>
      <c r="U106" s="137"/>
      <c r="V106" s="122"/>
      <c r="W106" s="49"/>
      <c r="X106" s="122"/>
      <c r="Y106" s="49"/>
      <c r="Z106" s="122"/>
      <c r="AA106" s="49"/>
      <c r="AB106" s="122"/>
      <c r="AC106" s="49"/>
      <c r="AD106" s="142">
        <f t="shared" si="14"/>
        <v>0</v>
      </c>
      <c r="AE106" s="142">
        <f t="shared" si="14"/>
        <v>0</v>
      </c>
    </row>
    <row r="107" spans="1:31" s="112" customFormat="1" ht="15.75" outlineLevel="1" x14ac:dyDescent="0.2">
      <c r="A107" s="230" t="str">
        <f>'Утв. ИП 2014-2019'!A108</f>
        <v>1.1.4.2/13</v>
      </c>
      <c r="B107" s="230" t="str">
        <f>'Утв. ИП 2014-2019'!B108</f>
        <v>2.5.2</v>
      </c>
      <c r="C107" s="210" t="str">
        <f>'Утв. ИП 2014-2019'!C108</f>
        <v xml:space="preserve">Автолаборатория </v>
      </c>
      <c r="D107" s="8" t="str">
        <f>'Утв. ИП 2014-2019'!K108</f>
        <v>1 шт.</v>
      </c>
      <c r="E107" s="8"/>
      <c r="F107" s="8"/>
      <c r="G107" s="8"/>
      <c r="H107" s="8"/>
      <c r="I107" s="8"/>
      <c r="J107" s="23" t="str">
        <f>'Утв. ИП 2014-2019'!Q108</f>
        <v>1 шт.</v>
      </c>
      <c r="K107" s="23"/>
      <c r="L107" s="8"/>
      <c r="M107" s="8"/>
      <c r="N107" s="8"/>
      <c r="O107" s="8"/>
      <c r="P107" s="8"/>
      <c r="Q107" s="23"/>
      <c r="R107" s="134"/>
      <c r="S107" s="137"/>
      <c r="T107" s="122"/>
      <c r="U107" s="137"/>
      <c r="V107" s="122"/>
      <c r="W107" s="49"/>
      <c r="X107" s="122"/>
      <c r="Y107" s="49"/>
      <c r="Z107" s="122"/>
      <c r="AA107" s="49"/>
      <c r="AB107" s="122"/>
      <c r="AC107" s="49"/>
      <c r="AD107" s="142">
        <f t="shared" si="14"/>
        <v>0</v>
      </c>
      <c r="AE107" s="142">
        <f t="shared" si="14"/>
        <v>0</v>
      </c>
    </row>
    <row r="108" spans="1:31" s="112" customFormat="1" ht="25.5" outlineLevel="1" x14ac:dyDescent="0.2">
      <c r="A108" s="230" t="str">
        <f>'Утв. ИП 2014-2019'!A109</f>
        <v>1.1.4.3/14</v>
      </c>
      <c r="B108" s="230" t="str">
        <f>'Утв. ИП 2014-2019'!B109</f>
        <v>2.5.3</v>
      </c>
      <c r="C108" s="210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8" s="8"/>
      <c r="E108" s="8" t="str">
        <f>'Утв. ИП 2014-2019'!L109</f>
        <v>1 шт.</v>
      </c>
      <c r="F108" s="8"/>
      <c r="G108" s="8"/>
      <c r="H108" s="8"/>
      <c r="I108" s="8"/>
      <c r="J108" s="23" t="str">
        <f>'Утв. ИП 2014-2019'!Q109</f>
        <v>1 шт.</v>
      </c>
      <c r="K108" s="23"/>
      <c r="L108" s="8"/>
      <c r="M108" s="8"/>
      <c r="N108" s="8"/>
      <c r="O108" s="8"/>
      <c r="P108" s="8"/>
      <c r="Q108" s="23"/>
      <c r="R108" s="134"/>
      <c r="S108" s="137"/>
      <c r="T108" s="122"/>
      <c r="U108" s="137"/>
      <c r="V108" s="122"/>
      <c r="W108" s="49"/>
      <c r="X108" s="122"/>
      <c r="Y108" s="49"/>
      <c r="Z108" s="122"/>
      <c r="AA108" s="49"/>
      <c r="AB108" s="122"/>
      <c r="AC108" s="49"/>
      <c r="AD108" s="142">
        <f t="shared" si="14"/>
        <v>0</v>
      </c>
      <c r="AE108" s="142">
        <f t="shared" si="14"/>
        <v>0</v>
      </c>
    </row>
    <row r="109" spans="1:31" s="2" customFormat="1" ht="15.75" outlineLevel="1" x14ac:dyDescent="0.2">
      <c r="A109" s="230" t="str">
        <f>'Утв. ИП 2014-2019'!A110</f>
        <v>1.1.4.4/14</v>
      </c>
      <c r="B109" s="230" t="str">
        <f>'Утв. ИП 2014-2019'!B110</f>
        <v>2.5.4</v>
      </c>
      <c r="C109" s="210" t="str">
        <f>'Утв. ИП 2014-2019'!C110</f>
        <v>Автоподъемник АПТЛ-17</v>
      </c>
      <c r="D109" s="8" t="str">
        <f>'Утв. ИП 2014-2019'!K110</f>
        <v>1 шт.</v>
      </c>
      <c r="E109" s="8"/>
      <c r="F109" s="8"/>
      <c r="G109" s="8"/>
      <c r="H109" s="8"/>
      <c r="I109" s="8"/>
      <c r="J109" s="23" t="str">
        <f>'Утв. ИП 2014-2019'!Q110</f>
        <v>1 шт.</v>
      </c>
      <c r="K109" s="23"/>
      <c r="L109" s="8"/>
      <c r="M109" s="8"/>
      <c r="N109" s="8"/>
      <c r="O109" s="8"/>
      <c r="P109" s="8"/>
      <c r="Q109" s="23"/>
      <c r="R109" s="134"/>
      <c r="S109" s="137"/>
      <c r="T109" s="122"/>
      <c r="U109" s="137"/>
      <c r="V109" s="122"/>
      <c r="W109" s="49"/>
      <c r="X109" s="122"/>
      <c r="Y109" s="49"/>
      <c r="Z109" s="122"/>
      <c r="AA109" s="49"/>
      <c r="AB109" s="122"/>
      <c r="AC109" s="49"/>
      <c r="AD109" s="142">
        <f t="shared" si="14"/>
        <v>0</v>
      </c>
      <c r="AE109" s="142">
        <f t="shared" si="14"/>
        <v>0</v>
      </c>
    </row>
    <row r="110" spans="1:31" s="2" customFormat="1" ht="15.75" outlineLevel="1" x14ac:dyDescent="0.2">
      <c r="A110" s="230" t="str">
        <f>'Утв. ИП 2014-2019'!A111</f>
        <v>1.1.4.5/14</v>
      </c>
      <c r="B110" s="230" t="str">
        <f>'Утв. ИП 2014-2019'!B111</f>
        <v>2.5.5</v>
      </c>
      <c r="C110" s="210" t="str">
        <f>'Утв. ИП 2014-2019'!C111</f>
        <v>Автомобиль Газель полноприводная</v>
      </c>
      <c r="D110" s="8" t="str">
        <f>'Утв. ИП 2014-2019'!K111</f>
        <v>1 шт.</v>
      </c>
      <c r="E110" s="8" t="str">
        <f>'Утв. ИП 2014-2019'!L111</f>
        <v>1 шт.</v>
      </c>
      <c r="F110" s="8" t="str">
        <f>'Утв. ИП 2014-2019'!M111</f>
        <v>1 шт.</v>
      </c>
      <c r="G110" s="8"/>
      <c r="H110" s="8"/>
      <c r="I110" s="8"/>
      <c r="J110" s="23" t="str">
        <f>'Утв. ИП 2014-2019'!Q111</f>
        <v>3 шт.</v>
      </c>
      <c r="K110" s="8"/>
      <c r="L110" s="8"/>
      <c r="M110" s="8"/>
      <c r="N110" s="8"/>
      <c r="O110" s="8"/>
      <c r="P110" s="8"/>
      <c r="Q110" s="8"/>
      <c r="R110" s="134"/>
      <c r="S110" s="137"/>
      <c r="T110" s="122"/>
      <c r="U110" s="137"/>
      <c r="V110" s="122"/>
      <c r="W110" s="49"/>
      <c r="X110" s="122"/>
      <c r="Y110" s="49"/>
      <c r="Z110" s="122"/>
      <c r="AA110" s="49"/>
      <c r="AB110" s="122"/>
      <c r="AC110" s="49"/>
      <c r="AD110" s="142">
        <f t="shared" si="14"/>
        <v>0</v>
      </c>
      <c r="AE110" s="142">
        <f t="shared" si="14"/>
        <v>0</v>
      </c>
    </row>
    <row r="111" spans="1:31" s="2" customFormat="1" ht="15.75" outlineLevel="1" x14ac:dyDescent="0.2">
      <c r="A111" s="230" t="str">
        <f>'Утв. ИП 2014-2019'!A112</f>
        <v>1.1.4.6/14</v>
      </c>
      <c r="B111" s="230" t="str">
        <f>'Утв. ИП 2014-2019'!B112</f>
        <v>2.5.6</v>
      </c>
      <c r="C111" s="210" t="str">
        <f>'Утв. ИП 2014-2019'!C112</f>
        <v>Автомастерская на базе ГАЗ-3309</v>
      </c>
      <c r="D111" s="8" t="str">
        <f>'Утв. ИП 2014-2019'!K112</f>
        <v>2 шт.</v>
      </c>
      <c r="E111" s="8"/>
      <c r="F111" s="8"/>
      <c r="G111" s="8" t="str">
        <f>'Утв. ИП 2014-2019'!N112</f>
        <v>1 шт.</v>
      </c>
      <c r="H111" s="8"/>
      <c r="I111" s="8"/>
      <c r="J111" s="23" t="str">
        <f>'Утв. ИП 2014-2019'!Q112</f>
        <v>3 шт.</v>
      </c>
      <c r="K111" s="8"/>
      <c r="L111" s="8"/>
      <c r="M111" s="8"/>
      <c r="N111" s="8"/>
      <c r="O111" s="8"/>
      <c r="P111" s="8"/>
      <c r="Q111" s="8"/>
      <c r="R111" s="134"/>
      <c r="S111" s="137"/>
      <c r="T111" s="122"/>
      <c r="U111" s="137"/>
      <c r="V111" s="122"/>
      <c r="W111" s="49"/>
      <c r="X111" s="122"/>
      <c r="Y111" s="49"/>
      <c r="Z111" s="122"/>
      <c r="AA111" s="49"/>
      <c r="AB111" s="122"/>
      <c r="AC111" s="49"/>
      <c r="AD111" s="142">
        <f t="shared" si="14"/>
        <v>0</v>
      </c>
      <c r="AE111" s="142">
        <f t="shared" si="14"/>
        <v>0</v>
      </c>
    </row>
    <row r="112" spans="1:31" s="2" customFormat="1" ht="15.75" outlineLevel="1" x14ac:dyDescent="0.2">
      <c r="A112" s="230" t="str">
        <f>'Утв. ИП 2014-2019'!A113</f>
        <v>1.1.4.7/14</v>
      </c>
      <c r="B112" s="230" t="str">
        <f>'Утв. ИП 2014-2019'!B113</f>
        <v>2.5.7</v>
      </c>
      <c r="C112" s="210" t="str">
        <f>'Утв. ИП 2014-2019'!C113</f>
        <v>Лада "Нива" 21214</v>
      </c>
      <c r="D112" s="8" t="str">
        <f>'Утв. ИП 2014-2019'!K113</f>
        <v>1 шт.</v>
      </c>
      <c r="E112" s="8"/>
      <c r="F112" s="8"/>
      <c r="G112" s="8"/>
      <c r="H112" s="8"/>
      <c r="I112" s="8"/>
      <c r="J112" s="23" t="str">
        <f>'Утв. ИП 2014-2019'!Q113</f>
        <v>1 шт.</v>
      </c>
      <c r="K112" s="23"/>
      <c r="L112" s="8"/>
      <c r="M112" s="8"/>
      <c r="N112" s="8"/>
      <c r="O112" s="8"/>
      <c r="P112" s="8"/>
      <c r="Q112" s="23"/>
      <c r="R112" s="134"/>
      <c r="S112" s="137"/>
      <c r="T112" s="122"/>
      <c r="U112" s="137"/>
      <c r="V112" s="122"/>
      <c r="W112" s="49"/>
      <c r="X112" s="122"/>
      <c r="Y112" s="49"/>
      <c r="Z112" s="122"/>
      <c r="AA112" s="49"/>
      <c r="AB112" s="122"/>
      <c r="AC112" s="49"/>
      <c r="AD112" s="142">
        <f t="shared" si="14"/>
        <v>0</v>
      </c>
      <c r="AE112" s="142">
        <f t="shared" si="14"/>
        <v>0</v>
      </c>
    </row>
    <row r="113" spans="1:31" s="112" customFormat="1" ht="15.75" outlineLevel="1" x14ac:dyDescent="0.2">
      <c r="A113" s="230" t="str">
        <f>'Утв. ИП 2014-2019'!A114</f>
        <v>2.5.8</v>
      </c>
      <c r="B113" s="230" t="str">
        <f>'Утв. ИП 2014-2019'!B114</f>
        <v>2.5.8</v>
      </c>
      <c r="C113" s="210" t="str">
        <f>'Утв. ИП 2014-2019'!C114</f>
        <v xml:space="preserve">УАЗ-39099 </v>
      </c>
      <c r="D113" s="8"/>
      <c r="E113" s="8"/>
      <c r="F113" s="8"/>
      <c r="G113" s="8"/>
      <c r="H113" s="8">
        <f>'Утв. ИП 2014-2019'!O114</f>
        <v>0</v>
      </c>
      <c r="I113" s="8" t="str">
        <f>'Утв. ИП 2014-2019'!P114</f>
        <v>1 шт.</v>
      </c>
      <c r="J113" s="23" t="str">
        <f>'Утв. ИП 2014-2019'!Q114</f>
        <v>1 шт.</v>
      </c>
      <c r="K113" s="8"/>
      <c r="L113" s="8"/>
      <c r="M113" s="23"/>
      <c r="N113" s="8"/>
      <c r="O113" s="8"/>
      <c r="P113" s="8"/>
      <c r="Q113" s="23"/>
      <c r="R113" s="134"/>
      <c r="S113" s="137"/>
      <c r="T113" s="122"/>
      <c r="U113" s="137"/>
      <c r="V113" s="122"/>
      <c r="W113" s="49"/>
      <c r="X113" s="122"/>
      <c r="Y113" s="49"/>
      <c r="Z113" s="122"/>
      <c r="AA113" s="49"/>
      <c r="AB113" s="122"/>
      <c r="AC113" s="49"/>
      <c r="AD113" s="142">
        <f t="shared" si="14"/>
        <v>0</v>
      </c>
      <c r="AE113" s="142">
        <f t="shared" si="14"/>
        <v>0</v>
      </c>
    </row>
    <row r="114" spans="1:31" s="112" customFormat="1" ht="15.75" outlineLevel="1" x14ac:dyDescent="0.2">
      <c r="A114" s="230" t="str">
        <f>'Утв. ИП 2014-2019'!A115</f>
        <v>2.5.9</v>
      </c>
      <c r="B114" s="230" t="str">
        <f>'Утв. ИП 2014-2019'!B115</f>
        <v>2.5.9</v>
      </c>
      <c r="C114" s="210" t="str">
        <f>'Утв. ИП 2014-2019'!C115</f>
        <v>Бурильно-крановая установка БМ-302 на базе МТЗ-82</v>
      </c>
      <c r="D114" s="8"/>
      <c r="E114" s="8"/>
      <c r="F114" s="8"/>
      <c r="G114" s="8"/>
      <c r="H114" s="8">
        <f>'Утв. ИП 2014-2019'!O115</f>
        <v>0</v>
      </c>
      <c r="I114" s="8" t="str">
        <f>'Утв. ИП 2014-2019'!P115</f>
        <v>1 шт.</v>
      </c>
      <c r="J114" s="23" t="str">
        <f>'Утв. ИП 2014-2019'!Q115</f>
        <v>1 шт.</v>
      </c>
      <c r="K114" s="8"/>
      <c r="L114" s="8"/>
      <c r="M114" s="23"/>
      <c r="N114" s="8"/>
      <c r="O114" s="8"/>
      <c r="P114" s="8"/>
      <c r="Q114" s="23"/>
      <c r="R114" s="134"/>
      <c r="S114" s="137"/>
      <c r="T114" s="122"/>
      <c r="U114" s="137"/>
      <c r="V114" s="122"/>
      <c r="W114" s="49"/>
      <c r="X114" s="122"/>
      <c r="Y114" s="49"/>
      <c r="Z114" s="122"/>
      <c r="AA114" s="49"/>
      <c r="AB114" s="122"/>
      <c r="AC114" s="49"/>
      <c r="AD114" s="142">
        <f t="shared" si="14"/>
        <v>0</v>
      </c>
      <c r="AE114" s="142">
        <f t="shared" si="14"/>
        <v>0</v>
      </c>
    </row>
    <row r="115" spans="1:31" s="112" customFormat="1" ht="15.75" outlineLevel="1" x14ac:dyDescent="0.2">
      <c r="A115" s="230" t="str">
        <f>'Утв. ИП 2014-2019'!A116</f>
        <v>2.5.10</v>
      </c>
      <c r="B115" s="230" t="str">
        <f>'Утв. ИП 2014-2019'!B116</f>
        <v>2.5.10</v>
      </c>
      <c r="C115" s="210" t="str">
        <f>'Утв. ИП 2014-2019'!C116</f>
        <v>Самосвал КАМАЗ-53605</v>
      </c>
      <c r="D115" s="8"/>
      <c r="E115" s="8"/>
      <c r="F115" s="8"/>
      <c r="G115" s="8"/>
      <c r="H115" s="8" t="str">
        <f>'Утв. ИП 2014-2019'!O116</f>
        <v>1 шт.</v>
      </c>
      <c r="I115" s="8" t="str">
        <f>'Утв. ИП 2014-2019'!P116</f>
        <v>1 шт.</v>
      </c>
      <c r="J115" s="23" t="str">
        <f>'Утв. ИП 2014-2019'!Q116</f>
        <v>2 шт.</v>
      </c>
      <c r="K115" s="8"/>
      <c r="L115" s="8"/>
      <c r="M115" s="8"/>
      <c r="N115" s="8"/>
      <c r="O115" s="8"/>
      <c r="P115" s="8"/>
      <c r="Q115" s="8"/>
      <c r="R115" s="134"/>
      <c r="S115" s="137"/>
      <c r="T115" s="122"/>
      <c r="U115" s="137"/>
      <c r="V115" s="122"/>
      <c r="W115" s="49"/>
      <c r="X115" s="122"/>
      <c r="Y115" s="49"/>
      <c r="Z115" s="122"/>
      <c r="AA115" s="49"/>
      <c r="AB115" s="122"/>
      <c r="AC115" s="49"/>
      <c r="AD115" s="142">
        <f t="shared" si="14"/>
        <v>0</v>
      </c>
      <c r="AE115" s="142">
        <f t="shared" si="14"/>
        <v>0</v>
      </c>
    </row>
    <row r="116" spans="1:31" s="112" customFormat="1" ht="15.75" outlineLevel="1" x14ac:dyDescent="0.2">
      <c r="A116" s="230" t="str">
        <f>'Утв. ИП 2014-2019'!A117</f>
        <v>2.5.11</v>
      </c>
      <c r="B116" s="230" t="str">
        <f>'Утв. ИП 2014-2019'!B117</f>
        <v>2.5.11</v>
      </c>
      <c r="C116" s="210" t="str">
        <f>'Утв. ИП 2014-2019'!C117</f>
        <v>Бортовой КАМАЗ-53215</v>
      </c>
      <c r="D116" s="8"/>
      <c r="E116" s="8"/>
      <c r="F116" s="8"/>
      <c r="G116" s="8"/>
      <c r="H116" s="8"/>
      <c r="I116" s="8" t="str">
        <f>'Утв. ИП 2014-2019'!P117</f>
        <v>1 шт.</v>
      </c>
      <c r="J116" s="23" t="str">
        <f>'Утв. ИП 2014-2019'!Q117</f>
        <v>1 шт.</v>
      </c>
      <c r="K116" s="8"/>
      <c r="L116" s="8"/>
      <c r="M116" s="8"/>
      <c r="N116" s="8"/>
      <c r="O116" s="8"/>
      <c r="P116" s="23"/>
      <c r="Q116" s="23"/>
      <c r="R116" s="134"/>
      <c r="S116" s="137"/>
      <c r="T116" s="122"/>
      <c r="U116" s="137"/>
      <c r="V116" s="122"/>
      <c r="W116" s="49"/>
      <c r="X116" s="122"/>
      <c r="Y116" s="49"/>
      <c r="Z116" s="122"/>
      <c r="AA116" s="49"/>
      <c r="AB116" s="122"/>
      <c r="AC116" s="49"/>
      <c r="AD116" s="142">
        <f t="shared" si="14"/>
        <v>0</v>
      </c>
      <c r="AE116" s="142">
        <f t="shared" si="14"/>
        <v>0</v>
      </c>
    </row>
    <row r="117" spans="1:31" s="112" customFormat="1" ht="15.75" outlineLevel="1" x14ac:dyDescent="0.2">
      <c r="A117" s="230" t="str">
        <f>'Утв. ИП 2014-2019'!A118</f>
        <v>2.5.12</v>
      </c>
      <c r="B117" s="230" t="str">
        <f>'Утв. ИП 2014-2019'!B118</f>
        <v>2.5.12</v>
      </c>
      <c r="C117" s="210" t="str">
        <f>'Утв. ИП 2014-2019'!C118</f>
        <v>Бортовой КАМАЗ с манипулятором</v>
      </c>
      <c r="D117" s="8"/>
      <c r="E117" s="8"/>
      <c r="F117" s="8"/>
      <c r="G117" s="8"/>
      <c r="H117" s="8"/>
      <c r="I117" s="8" t="str">
        <f>'Утв. ИП 2014-2019'!P118</f>
        <v>1 шт.</v>
      </c>
      <c r="J117" s="23" t="str">
        <f>'Утв. ИП 2014-2019'!Q118</f>
        <v>1 шт.</v>
      </c>
      <c r="K117" s="8"/>
      <c r="L117" s="8"/>
      <c r="M117" s="8"/>
      <c r="N117" s="8"/>
      <c r="O117" s="8"/>
      <c r="P117" s="23"/>
      <c r="Q117" s="23"/>
      <c r="R117" s="134"/>
      <c r="S117" s="137"/>
      <c r="T117" s="122"/>
      <c r="U117" s="137"/>
      <c r="V117" s="122"/>
      <c r="W117" s="49"/>
      <c r="X117" s="122"/>
      <c r="Y117" s="49"/>
      <c r="Z117" s="122"/>
      <c r="AA117" s="49"/>
      <c r="AB117" s="122"/>
      <c r="AC117" s="49"/>
      <c r="AD117" s="142">
        <f t="shared" si="14"/>
        <v>0</v>
      </c>
      <c r="AE117" s="142">
        <f t="shared" si="14"/>
        <v>0</v>
      </c>
    </row>
    <row r="118" spans="1:31" s="116" customFormat="1" ht="15.75" outlineLevel="1" x14ac:dyDescent="0.2">
      <c r="A118" s="230" t="str">
        <f>'Утв. ИП 2014-2019'!A119</f>
        <v>2.5.13</v>
      </c>
      <c r="B118" s="230" t="str">
        <f>'Утв. ИП 2014-2019'!B119</f>
        <v>2.5.13</v>
      </c>
      <c r="C118" s="210" t="str">
        <f>'Утв. ИП 2014-2019'!C119</f>
        <v>Грузопассажирский УАЗ-390994</v>
      </c>
      <c r="D118" s="8"/>
      <c r="E118" s="8"/>
      <c r="F118" s="8"/>
      <c r="G118" s="8"/>
      <c r="H118" s="8"/>
      <c r="I118" s="8" t="str">
        <f>'Утв. ИП 2014-2019'!P119</f>
        <v>2 шт.</v>
      </c>
      <c r="J118" s="23" t="str">
        <f>'Утв. ИП 2014-2019'!Q119</f>
        <v>2 шт.</v>
      </c>
      <c r="K118" s="8"/>
      <c r="L118" s="8"/>
      <c r="M118" s="8"/>
      <c r="N118" s="8"/>
      <c r="O118" s="8"/>
      <c r="P118" s="23"/>
      <c r="Q118" s="23"/>
      <c r="R118" s="134"/>
      <c r="S118" s="137"/>
      <c r="T118" s="122"/>
      <c r="U118" s="137"/>
      <c r="V118" s="122"/>
      <c r="W118" s="49"/>
      <c r="X118" s="122"/>
      <c r="Y118" s="49"/>
      <c r="Z118" s="122"/>
      <c r="AA118" s="49"/>
      <c r="AB118" s="122"/>
      <c r="AC118" s="49"/>
      <c r="AD118" s="142">
        <f t="shared" si="14"/>
        <v>0</v>
      </c>
      <c r="AE118" s="142">
        <f t="shared" si="14"/>
        <v>0</v>
      </c>
    </row>
    <row r="119" spans="1:31" s="14" customFormat="1" ht="15.75" outlineLevel="1" x14ac:dyDescent="0.2">
      <c r="A119" s="230" t="str">
        <f>'Утв. ИП 2014-2019'!A120</f>
        <v>2.5.14</v>
      </c>
      <c r="B119" s="230" t="str">
        <f>'Утв. ИП 2014-2019'!B120</f>
        <v>2.5.14</v>
      </c>
      <c r="C119" s="210" t="str">
        <f>'Утв. ИП 2014-2019'!C120</f>
        <v>Автокран МАЗ-5337 А2 КС-35715</v>
      </c>
      <c r="D119" s="8"/>
      <c r="E119" s="8"/>
      <c r="F119" s="8"/>
      <c r="G119" s="8"/>
      <c r="H119" s="8"/>
      <c r="I119" s="8" t="str">
        <f>'Утв. ИП 2014-2019'!P120</f>
        <v>1 шт.</v>
      </c>
      <c r="J119" s="23" t="str">
        <f>'Утв. ИП 2014-2019'!Q120</f>
        <v>1 шт.</v>
      </c>
      <c r="K119" s="8"/>
      <c r="L119" s="8"/>
      <c r="M119" s="8"/>
      <c r="N119" s="8"/>
      <c r="O119" s="8"/>
      <c r="P119" s="23"/>
      <c r="Q119" s="23"/>
      <c r="R119" s="134"/>
      <c r="S119" s="137"/>
      <c r="T119" s="122"/>
      <c r="U119" s="137"/>
      <c r="V119" s="122"/>
      <c r="W119" s="49"/>
      <c r="X119" s="122"/>
      <c r="Y119" s="49"/>
      <c r="Z119" s="122"/>
      <c r="AA119" s="49"/>
      <c r="AB119" s="122"/>
      <c r="AC119" s="49"/>
      <c r="AD119" s="142">
        <f t="shared" si="14"/>
        <v>0</v>
      </c>
      <c r="AE119" s="142">
        <f t="shared" si="14"/>
        <v>0</v>
      </c>
    </row>
    <row r="120" spans="1:31" s="14" customFormat="1" ht="25.5" x14ac:dyDescent="0.2">
      <c r="A120" s="39">
        <v>0</v>
      </c>
      <c r="B120" s="39" t="s">
        <v>426</v>
      </c>
      <c r="C120" s="40" t="s">
        <v>427</v>
      </c>
      <c r="D120" s="41" t="str">
        <f>'Утв. ИП 2014-2019'!K121</f>
        <v>93,96 км
30,28 МВА</v>
      </c>
      <c r="E120" s="41" t="str">
        <f>'Утв. ИП 2014-2019'!L121</f>
        <v>95,15 км
38,384 МВА</v>
      </c>
      <c r="F120" s="41" t="str">
        <f>'Утв. ИП 2014-2019'!M121</f>
        <v>81,03 км
12,74 МВА</v>
      </c>
      <c r="G120" s="41" t="str">
        <f>'Утв. ИП 2014-2019'!N121</f>
        <v>88,95 км
12,06 МВА</v>
      </c>
      <c r="H120" s="41" t="str">
        <f>'Утв. ИП 2014-2019'!O121</f>
        <v>89,22 км
15,85 МВА</v>
      </c>
      <c r="I120" s="41" t="str">
        <f>'Утв. ИП 2014-2019'!P121</f>
        <v>89,22 км
15,85 МВА</v>
      </c>
      <c r="J120" s="41" t="str">
        <f>'Утв. ИП 2014-2019'!Q121</f>
        <v>537,53 км
125,16 МВА</v>
      </c>
      <c r="K120" s="104" t="s">
        <v>2746</v>
      </c>
      <c r="L120" s="104" t="s">
        <v>2748</v>
      </c>
      <c r="M120" s="104" t="s">
        <v>2750</v>
      </c>
      <c r="N120" s="104" t="s">
        <v>2751</v>
      </c>
      <c r="O120" s="104" t="s">
        <v>1385</v>
      </c>
      <c r="P120" s="104" t="s">
        <v>1385</v>
      </c>
      <c r="Q120" s="104" t="s">
        <v>2752</v>
      </c>
      <c r="R120" s="129">
        <f t="shared" ref="R120:AC120" si="19">R121+R241+R1331</f>
        <v>1.5300000000000005</v>
      </c>
      <c r="S120" s="110">
        <f t="shared" si="19"/>
        <v>14.940000000000001</v>
      </c>
      <c r="T120" s="109">
        <f t="shared" si="19"/>
        <v>3.6700000000000008</v>
      </c>
      <c r="U120" s="110">
        <f t="shared" si="19"/>
        <v>11.290000000000001</v>
      </c>
      <c r="V120" s="109">
        <f t="shared" si="19"/>
        <v>0</v>
      </c>
      <c r="W120" s="41">
        <f t="shared" si="19"/>
        <v>5.6350000000000007</v>
      </c>
      <c r="X120" s="109">
        <f t="shared" si="19"/>
        <v>0</v>
      </c>
      <c r="Y120" s="41">
        <f t="shared" si="19"/>
        <v>2.7</v>
      </c>
      <c r="Z120" s="109">
        <f t="shared" si="19"/>
        <v>0</v>
      </c>
      <c r="AA120" s="41">
        <f t="shared" si="19"/>
        <v>0</v>
      </c>
      <c r="AB120" s="109">
        <f t="shared" si="19"/>
        <v>0</v>
      </c>
      <c r="AC120" s="41">
        <f t="shared" si="19"/>
        <v>0</v>
      </c>
      <c r="AD120" s="142">
        <f t="shared" si="14"/>
        <v>5.2000000000000011</v>
      </c>
      <c r="AE120" s="142">
        <f t="shared" si="14"/>
        <v>34.565000000000005</v>
      </c>
    </row>
    <row r="121" spans="1:31" s="2" customFormat="1" ht="38.25" x14ac:dyDescent="0.2">
      <c r="A121" s="37">
        <f>'Утв. ИП 2014-2019'!A122</f>
        <v>0</v>
      </c>
      <c r="B121" s="28" t="str">
        <f>'Утв. ИП 2014-2019'!B122</f>
        <v>3.1</v>
      </c>
      <c r="C121" s="29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21" s="31" t="str">
        <f>'Утв. ИП 2014-2019'!K122</f>
        <v>16,66 км
19,33 МВА</v>
      </c>
      <c r="E121" s="31" t="str">
        <f>'Утв. ИП 2014-2019'!L122</f>
        <v>32,07 км
29,12 МВА</v>
      </c>
      <c r="F121" s="31" t="str">
        <f>'Утв. ИП 2014-2019'!M122</f>
        <v>20,46 км
8,12 МВА</v>
      </c>
      <c r="G121" s="31" t="str">
        <f>'Утв. ИП 2014-2019'!N122</f>
        <v>22,30 км
3,78 МВА</v>
      </c>
      <c r="H121" s="31" t="str">
        <f>'Утв. ИП 2014-2019'!O122</f>
        <v>22,57 км
7,57 МВА</v>
      </c>
      <c r="I121" s="31" t="str">
        <f>'Утв. ИП 2014-2019'!P122</f>
        <v>22,57 км
7,57 МВА</v>
      </c>
      <c r="J121" s="31" t="str">
        <f>'Утв. ИП 2014-2019'!Q122</f>
        <v>136,63 км
75,49 МВА</v>
      </c>
      <c r="K121" s="31" t="s">
        <v>2747</v>
      </c>
      <c r="L121" s="31" t="s">
        <v>2749</v>
      </c>
      <c r="M121" s="31" t="s">
        <v>2750</v>
      </c>
      <c r="N121" s="31" t="s">
        <v>2751</v>
      </c>
      <c r="O121" s="31" t="s">
        <v>1385</v>
      </c>
      <c r="P121" s="31" t="s">
        <v>1385</v>
      </c>
      <c r="Q121" s="31" t="s">
        <v>2753</v>
      </c>
      <c r="R121" s="132">
        <f t="shared" ref="R121:AC121" si="20">SUM(R122:R239)</f>
        <v>0</v>
      </c>
      <c r="S121" s="132">
        <f t="shared" si="20"/>
        <v>14.940000000000001</v>
      </c>
      <c r="T121" s="132">
        <f t="shared" si="20"/>
        <v>0</v>
      </c>
      <c r="U121" s="132">
        <f t="shared" si="20"/>
        <v>11.290000000000001</v>
      </c>
      <c r="V121" s="132">
        <f t="shared" si="20"/>
        <v>0</v>
      </c>
      <c r="W121" s="132">
        <f t="shared" si="20"/>
        <v>5.6350000000000007</v>
      </c>
      <c r="X121" s="132">
        <f t="shared" si="20"/>
        <v>0</v>
      </c>
      <c r="Y121" s="132">
        <f t="shared" si="20"/>
        <v>2.7</v>
      </c>
      <c r="Z121" s="132">
        <f t="shared" si="20"/>
        <v>0</v>
      </c>
      <c r="AA121" s="132">
        <f t="shared" si="20"/>
        <v>0</v>
      </c>
      <c r="AB121" s="132">
        <f t="shared" si="20"/>
        <v>0</v>
      </c>
      <c r="AC121" s="132">
        <f t="shared" si="20"/>
        <v>0</v>
      </c>
      <c r="AD121" s="142">
        <f>R121+T121+V121+X121+Z121+AB121</f>
        <v>0</v>
      </c>
      <c r="AE121" s="142">
        <f t="shared" si="14"/>
        <v>34.565000000000005</v>
      </c>
    </row>
    <row r="122" spans="1:31" s="422" customFormat="1" ht="38.25" outlineLevel="1" x14ac:dyDescent="0.2">
      <c r="A122" s="350" t="str">
        <f>'Утв. ИП 2014-2019'!A123</f>
        <v>4.1.30/09</v>
      </c>
      <c r="B122" s="350" t="str">
        <f>'Утв. ИП 2014-2019'!B123</f>
        <v>3.1.1</v>
      </c>
      <c r="C122" s="351" t="str">
        <f>'Утв. ИП 2014-2019'!C123</f>
        <v>Реконструкция оборудования в РУ-0,4 кВ ТП-702 для электроснабжения помещений №2, №3 по ул. Ильича, д.4, запитанных от ТП-702; 130 кВт, 380 В, 2 категория</v>
      </c>
      <c r="D122" s="352" t="str">
        <f>'Утв. ИП 2014-2019'!K123</f>
        <v>0 км/ 0 МВА</v>
      </c>
      <c r="E122" s="352"/>
      <c r="F122" s="352"/>
      <c r="G122" s="352"/>
      <c r="H122" s="352"/>
      <c r="I122" s="352"/>
      <c r="J122" s="352" t="str">
        <f>'Утв. ИП 2014-2019'!Q123</f>
        <v>0 км/ 0 МВА</v>
      </c>
      <c r="K122" s="352"/>
      <c r="L122" s="352"/>
      <c r="M122" s="352"/>
      <c r="N122" s="349"/>
      <c r="O122" s="352"/>
      <c r="P122" s="352"/>
      <c r="Q122" s="349"/>
      <c r="R122" s="353"/>
      <c r="S122" s="354"/>
      <c r="T122" s="355"/>
      <c r="U122" s="354"/>
      <c r="V122" s="355"/>
      <c r="W122" s="356"/>
      <c r="X122" s="355"/>
      <c r="Y122" s="356"/>
      <c r="Z122" s="355"/>
      <c r="AA122" s="356"/>
      <c r="AB122" s="355"/>
      <c r="AC122" s="356"/>
      <c r="AD122" s="357">
        <f t="shared" si="14"/>
        <v>0</v>
      </c>
      <c r="AE122" s="357">
        <f t="shared" si="14"/>
        <v>0</v>
      </c>
    </row>
    <row r="123" spans="1:31" s="422" customFormat="1" ht="38.25" outlineLevel="1" x14ac:dyDescent="0.2">
      <c r="A123" s="350" t="str">
        <f>'Утв. ИП 2014-2019'!A124</f>
        <v>4.1.79/09</v>
      </c>
      <c r="B123" s="350" t="str">
        <f>'Утв. ИП 2014-2019'!B124</f>
        <v>3.1.2</v>
      </c>
      <c r="C123" s="351" t="str">
        <f>'Утв. ИП 2014-2019'!C124</f>
        <v>Монтаж оборудования в РУ-0,4 ТП-11, реконструкция КЛ-6 кВ для электроснабжения административного здания по ул. Неделина, 25, запитанного от ТП-11; 114 кВт, 380 В, 2 категория</v>
      </c>
      <c r="D123" s="352" t="str">
        <f>'Утв. ИП 2014-2019'!K124</f>
        <v>0,05 км / 0 МВА</v>
      </c>
      <c r="E123" s="352"/>
      <c r="F123" s="352"/>
      <c r="G123" s="352"/>
      <c r="H123" s="352"/>
      <c r="I123" s="352"/>
      <c r="J123" s="352" t="str">
        <f>'Утв. ИП 2014-2019'!Q124</f>
        <v>0,05 км / 0 МВА</v>
      </c>
      <c r="K123" s="352"/>
      <c r="L123" s="352"/>
      <c r="M123" s="352"/>
      <c r="N123" s="349"/>
      <c r="O123" s="352"/>
      <c r="P123" s="352"/>
      <c r="Q123" s="349"/>
      <c r="R123" s="353"/>
      <c r="S123" s="354"/>
      <c r="T123" s="355"/>
      <c r="U123" s="354"/>
      <c r="V123" s="355"/>
      <c r="W123" s="356"/>
      <c r="X123" s="355"/>
      <c r="Y123" s="356"/>
      <c r="Z123" s="355"/>
      <c r="AA123" s="356"/>
      <c r="AB123" s="355"/>
      <c r="AC123" s="356"/>
      <c r="AD123" s="357">
        <f t="shared" si="14"/>
        <v>0</v>
      </c>
      <c r="AE123" s="357">
        <f t="shared" si="14"/>
        <v>0</v>
      </c>
    </row>
    <row r="124" spans="1:31" s="358" customFormat="1" ht="38.25" outlineLevel="1" x14ac:dyDescent="0.2">
      <c r="A124" s="350" t="str">
        <f>'Утв. ИП 2014-2019'!A125</f>
        <v>1.1.6.4.24/10</v>
      </c>
      <c r="B124" s="350" t="str">
        <f>'Утв. ИП 2014-2019'!B125</f>
        <v>3.1.3</v>
      </c>
      <c r="C124" s="351" t="str">
        <f>'Утв. ИП 2014-2019'!C125</f>
        <v>Реконструкция оборудования ТП-79 для электроснабжение кирпичного здания склада с пристройками по пр. поперечный, д. 2 "а", запитанного от ТП-79; 70 кВт, 380 В, 3 категория</v>
      </c>
      <c r="D124" s="352" t="str">
        <f>'Утв. ИП 2014-2019'!K125</f>
        <v>0 км / 0 МВА</v>
      </c>
      <c r="E124" s="352"/>
      <c r="F124" s="352"/>
      <c r="G124" s="352"/>
      <c r="H124" s="352"/>
      <c r="I124" s="352"/>
      <c r="J124" s="352" t="str">
        <f>'Утв. ИП 2014-2019'!Q125</f>
        <v>0 км / 0 МВА</v>
      </c>
      <c r="K124" s="352"/>
      <c r="L124" s="352"/>
      <c r="M124" s="352"/>
      <c r="N124" s="349"/>
      <c r="O124" s="352"/>
      <c r="P124" s="352"/>
      <c r="Q124" s="349"/>
      <c r="R124" s="353"/>
      <c r="S124" s="354"/>
      <c r="T124" s="355"/>
      <c r="U124" s="354"/>
      <c r="V124" s="355"/>
      <c r="W124" s="356"/>
      <c r="X124" s="355"/>
      <c r="Y124" s="356"/>
      <c r="Z124" s="355"/>
      <c r="AA124" s="356"/>
      <c r="AB124" s="355"/>
      <c r="AC124" s="356"/>
      <c r="AD124" s="357">
        <f t="shared" si="14"/>
        <v>0</v>
      </c>
      <c r="AE124" s="357">
        <f t="shared" si="14"/>
        <v>0</v>
      </c>
    </row>
    <row r="125" spans="1:31" s="422" customFormat="1" ht="38.25" outlineLevel="1" x14ac:dyDescent="0.2">
      <c r="A125" s="350" t="str">
        <f>'Утв. ИП 2014-2019'!A126</f>
        <v>1.1.6.4.25/10</v>
      </c>
      <c r="B125" s="350" t="str">
        <f>'Утв. ИП 2014-2019'!B126</f>
        <v>3.1.4</v>
      </c>
      <c r="C125" s="351" t="str">
        <f>'Утв. ИП 2014-2019'!C126</f>
        <v>Монтаж прибора учета в РУ-0,4кВ ТП-809 для электроснабжения административного здания по ул. Неделина, запитанного от ТП-809; 95 кВт, 380 В, 3 категория</v>
      </c>
      <c r="D125" s="352" t="str">
        <f>'Утв. ИП 2014-2019'!K126</f>
        <v>0 км / 0 МВА</v>
      </c>
      <c r="E125" s="352"/>
      <c r="F125" s="352"/>
      <c r="G125" s="352"/>
      <c r="H125" s="352"/>
      <c r="I125" s="352"/>
      <c r="J125" s="352" t="str">
        <f>'Утв. ИП 2014-2019'!Q126</f>
        <v>0 км / 0 МВА</v>
      </c>
      <c r="K125" s="352"/>
      <c r="L125" s="352"/>
      <c r="M125" s="352"/>
      <c r="N125" s="381"/>
      <c r="O125" s="352"/>
      <c r="P125" s="352"/>
      <c r="Q125" s="352"/>
      <c r="R125" s="353"/>
      <c r="S125" s="354"/>
      <c r="T125" s="355"/>
      <c r="U125" s="354"/>
      <c r="V125" s="355"/>
      <c r="W125" s="356"/>
      <c r="X125" s="355"/>
      <c r="Y125" s="356"/>
      <c r="Z125" s="355"/>
      <c r="AA125" s="356"/>
      <c r="AB125" s="355"/>
      <c r="AC125" s="356"/>
      <c r="AD125" s="357">
        <f t="shared" si="14"/>
        <v>0</v>
      </c>
      <c r="AE125" s="357">
        <f t="shared" si="14"/>
        <v>0</v>
      </c>
    </row>
    <row r="126" spans="1:31" s="422" customFormat="1" ht="51" outlineLevel="1" x14ac:dyDescent="0.2">
      <c r="A126" s="350" t="str">
        <f>'Утв. ИП 2014-2019'!A127</f>
        <v>1.1.6.4.31/10</v>
      </c>
      <c r="B126" s="350" t="str">
        <f>'Утв. ИП 2014-2019'!B127</f>
        <v>3.1.5</v>
      </c>
      <c r="C126" s="351" t="str">
        <f>'Утв. ИП 2014-2019'!C127</f>
        <v>Монтаж реклоузера для электроснабжение зданий и сооружений автоцентра грузового транспорта в районе Цемзавода и трассы Орел-Тамбов, запитанного от ВЛ-6 кВ ПС "Цементная" яч. 47 - ТП-450; 500 кВт; 6 кВ, 3 категория</v>
      </c>
      <c r="D126" s="352"/>
      <c r="E126" s="352"/>
      <c r="F126" s="352" t="str">
        <f>'Утв. ИП 2014-2019'!M127</f>
        <v>0 км/ 0 МВА</v>
      </c>
      <c r="G126" s="352"/>
      <c r="H126" s="352"/>
      <c r="I126" s="352"/>
      <c r="J126" s="352" t="str">
        <f>'Утв. ИП 2014-2019'!Q127</f>
        <v>0 км/ 0 МВА</v>
      </c>
      <c r="K126" s="352"/>
      <c r="L126" s="352"/>
      <c r="M126" s="349"/>
      <c r="N126" s="352"/>
      <c r="O126" s="352"/>
      <c r="P126" s="352"/>
      <c r="Q126" s="349"/>
      <c r="R126" s="353"/>
      <c r="S126" s="354"/>
      <c r="T126" s="355"/>
      <c r="U126" s="354"/>
      <c r="V126" s="355"/>
      <c r="W126" s="356"/>
      <c r="X126" s="355"/>
      <c r="Y126" s="356"/>
      <c r="Z126" s="355"/>
      <c r="AA126" s="356"/>
      <c r="AB126" s="355"/>
      <c r="AC126" s="356"/>
      <c r="AD126" s="357">
        <f t="shared" si="14"/>
        <v>0</v>
      </c>
      <c r="AE126" s="357">
        <f t="shared" si="14"/>
        <v>0</v>
      </c>
    </row>
    <row r="127" spans="1:31" s="358" customFormat="1" ht="51" outlineLevel="1" x14ac:dyDescent="0.2">
      <c r="A127" s="350" t="str">
        <f>'Утв. ИП 2014-2019'!A128</f>
        <v>1.1.6.4.11/10</v>
      </c>
      <c r="B127" s="350" t="str">
        <f>'Утв. ИП 2014-2019'!B128</f>
        <v>3.1.6</v>
      </c>
      <c r="C127" s="351" t="str">
        <f>'Утв. ИП 2014-2019'!C128</f>
        <v>Монтаж оборудования в РП-50 для электроснабжения комбината школьного питания мощностью 60 тысяч обедов в сутки по ул. Минская в 34 микр., запитанного от РУ-10 кВ РП-50, 2002 кВт, 10 кВ, II категория</v>
      </c>
      <c r="D127" s="352" t="str">
        <f>'Утв. ИП 2014-2019'!K128</f>
        <v>0,0 км/ 0 МВА</v>
      </c>
      <c r="E127" s="352"/>
      <c r="F127" s="352"/>
      <c r="G127" s="352"/>
      <c r="H127" s="352"/>
      <c r="I127" s="352"/>
      <c r="J127" s="352" t="str">
        <f>'Утв. ИП 2014-2019'!Q128</f>
        <v>0,0 км/ 0 МВА</v>
      </c>
      <c r="K127" s="352"/>
      <c r="L127" s="352"/>
      <c r="M127" s="352"/>
      <c r="N127" s="349"/>
      <c r="O127" s="352"/>
      <c r="P127" s="352"/>
      <c r="Q127" s="349"/>
      <c r="R127" s="353"/>
      <c r="S127" s="354"/>
      <c r="T127" s="355"/>
      <c r="U127" s="354"/>
      <c r="V127" s="355"/>
      <c r="W127" s="356"/>
      <c r="X127" s="355"/>
      <c r="Y127" s="356"/>
      <c r="Z127" s="355"/>
      <c r="AA127" s="356"/>
      <c r="AB127" s="355"/>
      <c r="AC127" s="356"/>
      <c r="AD127" s="357">
        <f t="shared" si="14"/>
        <v>0</v>
      </c>
      <c r="AE127" s="357">
        <f t="shared" si="14"/>
        <v>0</v>
      </c>
    </row>
    <row r="128" spans="1:31" s="422" customFormat="1" ht="102" outlineLevel="1" x14ac:dyDescent="0.2">
      <c r="A128" s="350" t="str">
        <f>'Утв. ИП 2014-2019'!A129</f>
        <v>1.1.6.4.41/10</v>
      </c>
      <c r="B128" s="350" t="str">
        <f>'Утв. ИП 2014-2019'!B129</f>
        <v>3.1.7</v>
      </c>
      <c r="C128" s="351" t="str">
        <f>'Утв. ИП 2014-2019'!C129</f>
        <v>Строительство новой ТП, строительство КЛ-10 кВ от РП-Центр до вновь смонтированной ТП, монтаж устройства передачи данных (УСПД) по учету электрической энергии в РУ-0,4 кВ вновь смонтированной ТП, монтаж пожарно-охранной сигнализации во вновь смонтированной ТП, монтаж приборов учета в РУ-0,4 кВ вновь смонтированной ТП для электроснабжения 10 этажного жилого здания по ул. Котовского.</v>
      </c>
      <c r="D128" s="352"/>
      <c r="E128" s="352" t="str">
        <f>'Утв. ИП 2014-2019'!L129</f>
        <v>1 км/ 1,26 МВА</v>
      </c>
      <c r="F128" s="352"/>
      <c r="G128" s="352"/>
      <c r="H128" s="352"/>
      <c r="I128" s="352"/>
      <c r="J128" s="352" t="str">
        <f>'Утв. ИП 2014-2019'!Q129</f>
        <v>1 км/ 1,26 МВА</v>
      </c>
      <c r="K128" s="352"/>
      <c r="L128" s="349"/>
      <c r="M128" s="352"/>
      <c r="N128" s="352"/>
      <c r="O128" s="352"/>
      <c r="P128" s="352"/>
      <c r="Q128" s="349"/>
      <c r="R128" s="353"/>
      <c r="S128" s="354"/>
      <c r="T128" s="355"/>
      <c r="U128" s="354"/>
      <c r="V128" s="355"/>
      <c r="W128" s="356"/>
      <c r="X128" s="355"/>
      <c r="Y128" s="356"/>
      <c r="Z128" s="355"/>
      <c r="AA128" s="356"/>
      <c r="AB128" s="355"/>
      <c r="AC128" s="356"/>
      <c r="AD128" s="357">
        <f t="shared" si="14"/>
        <v>0</v>
      </c>
      <c r="AE128" s="357">
        <f t="shared" si="14"/>
        <v>0</v>
      </c>
    </row>
    <row r="129" spans="1:31" s="422" customFormat="1" ht="51" outlineLevel="1" x14ac:dyDescent="0.2">
      <c r="A129" s="350" t="str">
        <f>'Утв. ИП 2014-2019'!A130</f>
        <v>1.1.6.1.40/12</v>
      </c>
      <c r="B129" s="350" t="str">
        <f>'Утв. ИП 2014-2019'!B130</f>
        <v>3.1.8</v>
      </c>
      <c r="C129" s="351" t="str">
        <f>'Утв. ИП 2014-2019'!C130</f>
        <v>Монтаж УСПД по учету электрической энергии в РУ-0,4кВ ТП-289 для электроснабжения объекта: "Жилые здания № 1, № 2 со встроенными помещениями соцкультбыта." (Жилое здание №1) по адресу: г. Липецк, ул. 50 лет НЛМК, владение 21 А.</v>
      </c>
      <c r="D129" s="352" t="str">
        <f>'Утв. ИП 2014-2019'!K130</f>
        <v xml:space="preserve"> 0 км/0 МВА</v>
      </c>
      <c r="E129" s="352"/>
      <c r="F129" s="352"/>
      <c r="G129" s="352"/>
      <c r="H129" s="352"/>
      <c r="I129" s="352"/>
      <c r="J129" s="352" t="str">
        <f>'Утв. ИП 2014-2019'!Q130</f>
        <v xml:space="preserve"> 0 км/0 МВА</v>
      </c>
      <c r="K129" s="352"/>
      <c r="L129" s="349"/>
      <c r="M129" s="352"/>
      <c r="N129" s="352"/>
      <c r="O129" s="352"/>
      <c r="P129" s="352"/>
      <c r="Q129" s="349"/>
      <c r="R129" s="353"/>
      <c r="S129" s="354"/>
      <c r="T129" s="355"/>
      <c r="U129" s="354"/>
      <c r="V129" s="355"/>
      <c r="W129" s="356"/>
      <c r="X129" s="355"/>
      <c r="Y129" s="356"/>
      <c r="Z129" s="355"/>
      <c r="AA129" s="356"/>
      <c r="AB129" s="355"/>
      <c r="AC129" s="356"/>
      <c r="AD129" s="357">
        <f t="shared" si="14"/>
        <v>0</v>
      </c>
      <c r="AE129" s="357">
        <f t="shared" si="14"/>
        <v>0</v>
      </c>
    </row>
    <row r="130" spans="1:31" s="422" customFormat="1" ht="51" outlineLevel="1" x14ac:dyDescent="0.2">
      <c r="A130" s="350" t="str">
        <f>'Утв. ИП 2014-2019'!A131</f>
        <v>1.1.6.4.39/10</v>
      </c>
      <c r="B130" s="350" t="str">
        <f>'Утв. ИП 2014-2019'!B131</f>
        <v>3.1.9</v>
      </c>
      <c r="C130" s="351" t="str">
        <f>'Утв. ИП 2014-2019'!C131</f>
        <v>Монтаж ячейки в РУ-6кВ РП-8, монтаж трансформатора напряжения в яч. №2 РУ-6кВ РП-8, монтаж прибора учета РУ-6кВ РП-8 для электроснабжения индивидуального жилого дома по ул. Баумана, д.4</v>
      </c>
      <c r="D130" s="352" t="str">
        <f>'Утв. ИП 2014-2019'!K131</f>
        <v xml:space="preserve"> 0 км/0 МВА</v>
      </c>
      <c r="E130" s="352"/>
      <c r="F130" s="352"/>
      <c r="G130" s="352"/>
      <c r="H130" s="352"/>
      <c r="I130" s="352"/>
      <c r="J130" s="352" t="str">
        <f>'Утв. ИП 2014-2019'!Q131</f>
        <v xml:space="preserve"> 0 км/0 МВА</v>
      </c>
      <c r="K130" s="352"/>
      <c r="L130" s="349"/>
      <c r="M130" s="352"/>
      <c r="N130" s="352"/>
      <c r="O130" s="352"/>
      <c r="P130" s="352"/>
      <c r="Q130" s="349"/>
      <c r="R130" s="353"/>
      <c r="S130" s="354"/>
      <c r="T130" s="355"/>
      <c r="U130" s="354"/>
      <c r="V130" s="355"/>
      <c r="W130" s="356"/>
      <c r="X130" s="355"/>
      <c r="Y130" s="356"/>
      <c r="Z130" s="355"/>
      <c r="AA130" s="356"/>
      <c r="AB130" s="355"/>
      <c r="AC130" s="356"/>
      <c r="AD130" s="357">
        <f t="shared" si="14"/>
        <v>0</v>
      </c>
      <c r="AE130" s="357">
        <f t="shared" si="14"/>
        <v>0</v>
      </c>
    </row>
    <row r="131" spans="1:31" s="422" customFormat="1" ht="127.5" outlineLevel="1" x14ac:dyDescent="0.2">
      <c r="A131" s="350" t="str">
        <f>'Утв. ИП 2014-2019'!A132</f>
        <v>1.1.6.1.32/11</v>
      </c>
      <c r="B131" s="350" t="str">
        <f>'Утв. ИП 2014-2019'!B132</f>
        <v>3.1.10</v>
      </c>
      <c r="C131" s="351" t="str">
        <f>'Утв. ИП 2014-2019'!C132</f>
        <v xml:space="preserve">Реконструкция оборудования в ТП-241 (инв. №400713), строительство КЛ-6кВ от ПС "Бугор" до ТП-241, Монтаж выключателей нагрузки в яч. №4 и №5 РУ-6кВ ТП-80, Монтаж нового трансформатора взамен существующего (инв. №41022А) в ТП-80, Монтаж нового автоматического выключателя в панели №1 РУ-0,4кВ ТП-80, Монтаж нового автоматического выключателя в панели №1 РУ-0,4кВ ТП-80, Монтаж нового секционного рубильника в панели №4 РУ-0,4кВ ТП-80 для электроснабжение встроенного нежилого помещения №7 по адресу: г.Липецк, пр.Победы, д.53 </v>
      </c>
      <c r="D131" s="352"/>
      <c r="E131" s="352" t="str">
        <f>'Утв. ИП 2014-2019'!L132</f>
        <v>3 км/ 0,23 МВА</v>
      </c>
      <c r="F131" s="352"/>
      <c r="G131" s="352"/>
      <c r="H131" s="352"/>
      <c r="I131" s="352"/>
      <c r="J131" s="352" t="str">
        <f>'Утв. ИП 2014-2019'!Q132</f>
        <v>3 км/ 0,23 МВА</v>
      </c>
      <c r="K131" s="352"/>
      <c r="L131" s="349"/>
      <c r="M131" s="352"/>
      <c r="N131" s="352"/>
      <c r="O131" s="352"/>
      <c r="P131" s="352"/>
      <c r="Q131" s="349"/>
      <c r="R131" s="353"/>
      <c r="S131" s="354"/>
      <c r="T131" s="355"/>
      <c r="U131" s="354"/>
      <c r="V131" s="355"/>
      <c r="W131" s="356"/>
      <c r="X131" s="355"/>
      <c r="Y131" s="356"/>
      <c r="Z131" s="355"/>
      <c r="AA131" s="356"/>
      <c r="AB131" s="355"/>
      <c r="AC131" s="356"/>
      <c r="AD131" s="357">
        <f t="shared" si="14"/>
        <v>0</v>
      </c>
      <c r="AE131" s="357">
        <f t="shared" si="14"/>
        <v>0</v>
      </c>
    </row>
    <row r="132" spans="1:31" s="422" customFormat="1" ht="51" outlineLevel="1" x14ac:dyDescent="0.2">
      <c r="A132" s="350" t="str">
        <f>'Утв. ИП 2014-2019'!A133</f>
        <v>1.1.6.1.46/11</v>
      </c>
      <c r="B132" s="350" t="str">
        <f>'Утв. ИП 2014-2019'!B133</f>
        <v>3.1.11</v>
      </c>
      <c r="C132" s="351" t="str">
        <f>'Утв. ИП 2014-2019'!C133</f>
        <v>Монтаж устройства передачи данных (УСПД) по учету электрической энергии в РУ-0,4 кВ ТП-5 для электроснабжение стройплощадки административно-гостиничного здания по адресу: г.Липецк, ул.Крайняя, д.4</v>
      </c>
      <c r="D132" s="352" t="str">
        <f>'Утв. ИП 2014-2019'!K133</f>
        <v>0 км/ 0 МВА</v>
      </c>
      <c r="E132" s="352"/>
      <c r="F132" s="352"/>
      <c r="G132" s="352"/>
      <c r="H132" s="352"/>
      <c r="I132" s="352"/>
      <c r="J132" s="352" t="str">
        <f>'Утв. ИП 2014-2019'!Q133</f>
        <v>0 км/ 0 МВА</v>
      </c>
      <c r="K132" s="352" t="s">
        <v>435</v>
      </c>
      <c r="L132" s="349"/>
      <c r="M132" s="349"/>
      <c r="N132" s="352"/>
      <c r="O132" s="352"/>
      <c r="P132" s="352"/>
      <c r="Q132" s="349" t="s">
        <v>435</v>
      </c>
      <c r="R132" s="353"/>
      <c r="S132" s="354">
        <v>0.4</v>
      </c>
      <c r="T132" s="355"/>
      <c r="U132" s="354"/>
      <c r="V132" s="355"/>
      <c r="W132" s="356"/>
      <c r="X132" s="355"/>
      <c r="Y132" s="356"/>
      <c r="Z132" s="355"/>
      <c r="AA132" s="356"/>
      <c r="AB132" s="355"/>
      <c r="AC132" s="356"/>
      <c r="AD132" s="357">
        <f t="shared" si="14"/>
        <v>0</v>
      </c>
      <c r="AE132" s="357">
        <f t="shared" si="14"/>
        <v>0.4</v>
      </c>
    </row>
    <row r="133" spans="1:31" s="422" customFormat="1" ht="127.5" outlineLevel="1" x14ac:dyDescent="0.2">
      <c r="A133" s="350" t="str">
        <f>'Утв. ИП 2014-2019'!A134</f>
        <v>1.1.6.1.62/11</v>
      </c>
      <c r="B133" s="350" t="str">
        <f>'Утв. ИП 2014-2019'!B134</f>
        <v>3.1.12</v>
      </c>
      <c r="C133" s="351" t="str">
        <f>'Утв. ИП 2014-2019'!C134</f>
        <v>Монтаж коммутационного аппарата в панели №1 в РУ-0,4кВ ТП-131, монтаж коммутационного аппарата в панели №10 в РУ-0,4кВ ТП-131, монтаж нового оборудования в ТП-11, строительство КЛ-10 кВ от ТП-11 до ТП-176, строительство КЛ-10 кВ от ТП-11 до ТП-178, реконструкция КЛ-6 кВ " ТП-11 - ТП-365" (инв. №345356) и "ТП-11, яч. №3 - ТП-176, яч. №5" (инв. №345353), реконструкция КЛ-6 кВ " ТП-11 - ТП-179" (инв. №345355) и "ТП-11, яч. №4 - ТП-178, яч. №6" (инв. №345354) для электроснабжения жилого дома с объектами соцкультбыта в цокольном этаже по адресу: г.Липецк, ул.Гоголя</v>
      </c>
      <c r="D133" s="352"/>
      <c r="E133" s="352"/>
      <c r="F133" s="352"/>
      <c r="G133" s="352" t="str">
        <f>'Утв. ИП 2014-2019'!N134</f>
        <v>4,0 км/ 1,26 МВА</v>
      </c>
      <c r="H133" s="352"/>
      <c r="I133" s="352"/>
      <c r="J133" s="352" t="str">
        <f>'Утв. ИП 2014-2019'!Q134</f>
        <v>4,0 км/ 1,26 МВА</v>
      </c>
      <c r="K133" s="352"/>
      <c r="L133" s="349"/>
      <c r="M133" s="352"/>
      <c r="N133" s="352"/>
      <c r="O133" s="352"/>
      <c r="P133" s="352"/>
      <c r="Q133" s="349"/>
      <c r="R133" s="353"/>
      <c r="S133" s="354"/>
      <c r="T133" s="355"/>
      <c r="U133" s="354"/>
      <c r="V133" s="355"/>
      <c r="W133" s="356"/>
      <c r="X133" s="355"/>
      <c r="Y133" s="356"/>
      <c r="Z133" s="355"/>
      <c r="AA133" s="356"/>
      <c r="AB133" s="355"/>
      <c r="AC133" s="356"/>
      <c r="AD133" s="357">
        <f t="shared" si="14"/>
        <v>0</v>
      </c>
      <c r="AE133" s="357">
        <f t="shared" si="14"/>
        <v>0</v>
      </c>
    </row>
    <row r="134" spans="1:31" s="358" customFormat="1" ht="51" outlineLevel="1" x14ac:dyDescent="0.2">
      <c r="A134" s="350" t="str">
        <f>'Утв. ИП 2014-2019'!A135</f>
        <v>1.1.6.1.3/12</v>
      </c>
      <c r="B134" s="350" t="str">
        <f>'Утв. ИП 2014-2019'!B135</f>
        <v>3.1.13</v>
      </c>
      <c r="C134" s="351" t="str">
        <f>'Утв. ИП 2014-2019'!C135</f>
        <v>Монтаж коммутационного аппарата в панели №1 в РУ-0,4кВ ТП-808 для электроснабжения двухэтажной автостоянки закрытого типа (индивидуальные гаражи) по адресу: г.Липецк, ул. Стаханова, в районе МЖК НЛМК</v>
      </c>
      <c r="D134" s="352" t="str">
        <f>'Утв. ИП 2014-2019'!K135</f>
        <v>0 км / 0 МВА</v>
      </c>
      <c r="E134" s="352"/>
      <c r="F134" s="352"/>
      <c r="G134" s="352"/>
      <c r="H134" s="352"/>
      <c r="I134" s="352"/>
      <c r="J134" s="352" t="str">
        <f>'Утв. ИП 2014-2019'!Q135</f>
        <v>0 км / 0 МВА</v>
      </c>
      <c r="K134" s="352"/>
      <c r="L134" s="352"/>
      <c r="M134" s="349"/>
      <c r="N134" s="352"/>
      <c r="O134" s="352"/>
      <c r="P134" s="352"/>
      <c r="Q134" s="349"/>
      <c r="R134" s="353"/>
      <c r="S134" s="354"/>
      <c r="T134" s="355"/>
      <c r="U134" s="354"/>
      <c r="V134" s="355"/>
      <c r="W134" s="356"/>
      <c r="X134" s="355"/>
      <c r="Y134" s="356"/>
      <c r="Z134" s="355"/>
      <c r="AA134" s="356"/>
      <c r="AB134" s="355"/>
      <c r="AC134" s="356"/>
      <c r="AD134" s="357">
        <f t="shared" si="14"/>
        <v>0</v>
      </c>
      <c r="AE134" s="357">
        <f t="shared" si="14"/>
        <v>0</v>
      </c>
    </row>
    <row r="135" spans="1:31" s="422" customFormat="1" ht="38.25" outlineLevel="1" x14ac:dyDescent="0.2">
      <c r="A135" s="350" t="str">
        <f>'Утв. ИП 2014-2019'!A136</f>
        <v>1.1.6.1.8/12</v>
      </c>
      <c r="B135" s="350" t="str">
        <f>'Утв. ИП 2014-2019'!B136</f>
        <v>3.1.14</v>
      </c>
      <c r="C135" s="351" t="str">
        <f>'Утв. ИП 2014-2019'!C136</f>
        <v>Монтаж ошиновки трансформаторов в ТП-203 (инв. №410113А) для электроснабжения помещения №2 по адресу: г.Липецк, ул.Терешковой, д.2</v>
      </c>
      <c r="D135" s="352" t="str">
        <f>'Утв. ИП 2014-2019'!K136</f>
        <v>0 км / 0 МВА</v>
      </c>
      <c r="E135" s="352"/>
      <c r="F135" s="352"/>
      <c r="G135" s="352"/>
      <c r="H135" s="352"/>
      <c r="I135" s="352"/>
      <c r="J135" s="352" t="str">
        <f>'Утв. ИП 2014-2019'!Q136</f>
        <v>0 км / 0 МВА</v>
      </c>
      <c r="K135" s="352"/>
      <c r="L135" s="349"/>
      <c r="M135" s="352"/>
      <c r="N135" s="352"/>
      <c r="O135" s="352"/>
      <c r="P135" s="352"/>
      <c r="Q135" s="349"/>
      <c r="R135" s="353"/>
      <c r="S135" s="354"/>
      <c r="T135" s="355"/>
      <c r="U135" s="354"/>
      <c r="V135" s="355"/>
      <c r="W135" s="356"/>
      <c r="X135" s="355"/>
      <c r="Y135" s="356"/>
      <c r="Z135" s="355"/>
      <c r="AA135" s="356"/>
      <c r="AB135" s="355"/>
      <c r="AC135" s="356"/>
      <c r="AD135" s="357">
        <f t="shared" si="14"/>
        <v>0</v>
      </c>
      <c r="AE135" s="357">
        <f t="shared" si="14"/>
        <v>0</v>
      </c>
    </row>
    <row r="136" spans="1:31" s="422" customFormat="1" ht="76.5" outlineLevel="1" x14ac:dyDescent="0.2">
      <c r="A136" s="350" t="str">
        <f>'Утв. ИП 2014-2019'!A137</f>
        <v>1.1.6.1.42/12</v>
      </c>
      <c r="B136" s="350" t="str">
        <f>'Утв. ИП 2014-2019'!B137</f>
        <v>3.1.15</v>
      </c>
      <c r="C136" s="351" t="str">
        <f>'Утв. ИП 2014-2019'!C137</f>
        <v>Монтаж оборудования в РП-32, строительство КЛ-10 кВ от ПС "Манежная" до РП-32, монтаж оборудования в ТП-339, перезавод КЛ-10 кВ из ПС "Южная" в ТП-339 для электроснабжения административного здания по ул. 50 лет НЛМК, запитанного от РУ-10 кВ ПС "Манежная"; 256,6 кВт, 380 В, II категория</v>
      </c>
      <c r="D136" s="352"/>
      <c r="E136" s="352"/>
      <c r="F136" s="352" t="str">
        <f>'Утв. ИП 2014-2019'!M137</f>
        <v>1,1 км/ 0 МВА</v>
      </c>
      <c r="G136" s="352"/>
      <c r="H136" s="352"/>
      <c r="I136" s="352"/>
      <c r="J136" s="352" t="str">
        <f>'Утв. ИП 2014-2019'!Q137</f>
        <v>1,1 км/ 0 МВА</v>
      </c>
      <c r="K136" s="352"/>
      <c r="L136" s="352"/>
      <c r="M136" s="349"/>
      <c r="N136" s="352"/>
      <c r="O136" s="352"/>
      <c r="P136" s="352"/>
      <c r="Q136" s="349"/>
      <c r="R136" s="353"/>
      <c r="S136" s="354"/>
      <c r="T136" s="355"/>
      <c r="U136" s="354"/>
      <c r="V136" s="355"/>
      <c r="W136" s="356"/>
      <c r="X136" s="355"/>
      <c r="Y136" s="356"/>
      <c r="Z136" s="355"/>
      <c r="AA136" s="356"/>
      <c r="AB136" s="355"/>
      <c r="AC136" s="356"/>
      <c r="AD136" s="357">
        <f t="shared" si="14"/>
        <v>0</v>
      </c>
      <c r="AE136" s="357">
        <f t="shared" si="14"/>
        <v>0</v>
      </c>
    </row>
    <row r="137" spans="1:31" s="358" customFormat="1" ht="51" outlineLevel="1" x14ac:dyDescent="0.2">
      <c r="A137" s="350" t="str">
        <f>'Утв. ИП 2014-2019'!A138</f>
        <v>1.1.6.1.39/12</v>
      </c>
      <c r="B137" s="350" t="str">
        <f>'Утв. ИП 2014-2019'!B138</f>
        <v>3.1.16</v>
      </c>
      <c r="C137" s="351" t="str">
        <f>'Утв. ИП 2014-2019'!C138</f>
        <v>Монтаж оборудования в РУ-0,4 кВ ТП-143 для электроснабжения магазина продовольственных и непродовольственных товаров по адресу: г. Липецк, ул. Ю. Натуралистов - ул. Папина.</v>
      </c>
      <c r="D137" s="352" t="str">
        <f>'Утв. ИП 2014-2019'!K138</f>
        <v>0 км / 0 МВА</v>
      </c>
      <c r="E137" s="352"/>
      <c r="F137" s="352"/>
      <c r="G137" s="352"/>
      <c r="H137" s="352"/>
      <c r="I137" s="352"/>
      <c r="J137" s="352" t="str">
        <f>'Утв. ИП 2014-2019'!Q138</f>
        <v>0 км / 0 МВА</v>
      </c>
      <c r="K137" s="349"/>
      <c r="L137" s="352"/>
      <c r="M137" s="352"/>
      <c r="N137" s="352"/>
      <c r="O137" s="352"/>
      <c r="P137" s="352"/>
      <c r="Q137" s="349"/>
      <c r="R137" s="353"/>
      <c r="S137" s="354"/>
      <c r="T137" s="355"/>
      <c r="U137" s="354"/>
      <c r="V137" s="355"/>
      <c r="W137" s="356"/>
      <c r="X137" s="355"/>
      <c r="Y137" s="356"/>
      <c r="Z137" s="355"/>
      <c r="AA137" s="356"/>
      <c r="AB137" s="355"/>
      <c r="AC137" s="356"/>
      <c r="AD137" s="357">
        <f t="shared" si="14"/>
        <v>0</v>
      </c>
      <c r="AE137" s="357">
        <f t="shared" si="14"/>
        <v>0</v>
      </c>
    </row>
    <row r="138" spans="1:31" s="422" customFormat="1" ht="63.75" outlineLevel="1" x14ac:dyDescent="0.2">
      <c r="A138" s="350" t="str">
        <f>'Утв. ИП 2014-2019'!A139</f>
        <v>1.1.6.1.45/12</v>
      </c>
      <c r="B138" s="350" t="str">
        <f>'Утв. ИП 2014-2019'!B139</f>
        <v>3.1.17</v>
      </c>
      <c r="C138" s="351" t="str">
        <f>'Утв. ИП 2014-2019'!C139</f>
        <v>Монтаж оборудования в РУ-0,4 кВ ТП-400, Монтаж УСПД по учету электрической энергии в РУ-0,4кВ ТП-400 для электроснабжения 9-ти этажного жилого здания по адресу: г. Липецк, потребительское общество пенсионеров и инвалидов "Сокол-1".</v>
      </c>
      <c r="D138" s="352"/>
      <c r="E138" s="352" t="str">
        <f>'Утв. ИП 2014-2019'!L139</f>
        <v>0 км / 0 МВА</v>
      </c>
      <c r="F138" s="352"/>
      <c r="G138" s="352"/>
      <c r="H138" s="352"/>
      <c r="I138" s="352"/>
      <c r="J138" s="352" t="str">
        <f>'Утв. ИП 2014-2019'!Q139</f>
        <v>0 км / 0 МВА</v>
      </c>
      <c r="K138" s="349"/>
      <c r="L138" s="352"/>
      <c r="M138" s="352"/>
      <c r="N138" s="352"/>
      <c r="O138" s="352"/>
      <c r="P138" s="352"/>
      <c r="Q138" s="349"/>
      <c r="R138" s="353"/>
      <c r="S138" s="354"/>
      <c r="T138" s="355"/>
      <c r="U138" s="354"/>
      <c r="V138" s="355"/>
      <c r="W138" s="356"/>
      <c r="X138" s="355"/>
      <c r="Y138" s="356"/>
      <c r="Z138" s="355"/>
      <c r="AA138" s="356"/>
      <c r="AB138" s="355"/>
      <c r="AC138" s="356"/>
      <c r="AD138" s="357">
        <f t="shared" si="14"/>
        <v>0</v>
      </c>
      <c r="AE138" s="357">
        <f t="shared" si="14"/>
        <v>0</v>
      </c>
    </row>
    <row r="139" spans="1:31" s="358" customFormat="1" ht="38.25" outlineLevel="1" x14ac:dyDescent="0.2">
      <c r="A139" s="350" t="str">
        <f>'Утв. ИП 2014-2019'!A140</f>
        <v>1.1.6.1.47/12</v>
      </c>
      <c r="B139" s="350" t="str">
        <f>'Утв. ИП 2014-2019'!B140</f>
        <v>3.1.18</v>
      </c>
      <c r="C139" s="351" t="str">
        <f>'Утв. ИП 2014-2019'!C140</f>
        <v>Монтаж оборудования в РУ-0,4 кВ ТП-153 для электроснабжения нежилого помещения № 22 по адресу: г. Липецк, ул. 8 Марта, д. 36</v>
      </c>
      <c r="D139" s="352" t="str">
        <f>'Утв. ИП 2014-2019'!K140</f>
        <v>0 км / 0 МВА</v>
      </c>
      <c r="E139" s="352"/>
      <c r="F139" s="352"/>
      <c r="G139" s="352"/>
      <c r="H139" s="352"/>
      <c r="I139" s="352"/>
      <c r="J139" s="352" t="str">
        <f>'Утв. ИП 2014-2019'!Q140</f>
        <v>0 км / 0 МВА</v>
      </c>
      <c r="K139" s="352"/>
      <c r="L139" s="349"/>
      <c r="M139" s="352"/>
      <c r="N139" s="352"/>
      <c r="O139" s="352"/>
      <c r="P139" s="352"/>
      <c r="Q139" s="349"/>
      <c r="R139" s="353"/>
      <c r="S139" s="354"/>
      <c r="T139" s="355"/>
      <c r="U139" s="354"/>
      <c r="V139" s="355"/>
      <c r="W139" s="356"/>
      <c r="X139" s="355"/>
      <c r="Y139" s="356"/>
      <c r="Z139" s="355"/>
      <c r="AA139" s="356"/>
      <c r="AB139" s="355"/>
      <c r="AC139" s="356"/>
      <c r="AD139" s="357">
        <f t="shared" si="14"/>
        <v>0</v>
      </c>
      <c r="AE139" s="357">
        <f t="shared" si="14"/>
        <v>0</v>
      </c>
    </row>
    <row r="140" spans="1:31" s="358" customFormat="1" ht="51" outlineLevel="1" x14ac:dyDescent="0.2">
      <c r="A140" s="350" t="str">
        <f>'Утв. ИП 2014-2019'!A141</f>
        <v>1.1.6.1.78/12</v>
      </c>
      <c r="B140" s="350" t="str">
        <f>'Утв. ИП 2014-2019'!B141</f>
        <v>3.1.19</v>
      </c>
      <c r="C140" s="351" t="str">
        <f>'Утв. ИП 2014-2019'!C141</f>
        <v>Монтаж оборудования в РУ-6 кВ ТП-151, Монтаж оборудования в РУ-0,4 кВ ТП-151 для электроснабжения нежилого помещения № 1 по адресу: г. Липецк, ул. Советская, д. 26</v>
      </c>
      <c r="D140" s="352"/>
      <c r="E140" s="352" t="str">
        <f>'Утв. ИП 2014-2019'!L141</f>
        <v>0 км / 0 МВА</v>
      </c>
      <c r="F140" s="352"/>
      <c r="G140" s="352"/>
      <c r="H140" s="352"/>
      <c r="I140" s="352"/>
      <c r="J140" s="352" t="str">
        <f>'Утв. ИП 2014-2019'!Q141</f>
        <v>0 км / 0 МВА</v>
      </c>
      <c r="K140" s="352"/>
      <c r="L140" s="352"/>
      <c r="M140" s="352"/>
      <c r="N140" s="349"/>
      <c r="O140" s="352"/>
      <c r="P140" s="352"/>
      <c r="Q140" s="349"/>
      <c r="R140" s="353"/>
      <c r="S140" s="354"/>
      <c r="T140" s="355"/>
      <c r="U140" s="354"/>
      <c r="V140" s="355"/>
      <c r="W140" s="356"/>
      <c r="X140" s="355"/>
      <c r="Y140" s="356"/>
      <c r="Z140" s="355"/>
      <c r="AA140" s="356"/>
      <c r="AB140" s="355"/>
      <c r="AC140" s="356"/>
      <c r="AD140" s="357">
        <f t="shared" si="14"/>
        <v>0</v>
      </c>
      <c r="AE140" s="357">
        <f t="shared" si="14"/>
        <v>0</v>
      </c>
    </row>
    <row r="141" spans="1:31" s="358" customFormat="1" ht="51" outlineLevel="1" x14ac:dyDescent="0.2">
      <c r="A141" s="350" t="str">
        <f>'Утв. ИП 2014-2019'!A142</f>
        <v>1.1.5.1.19/13</v>
      </c>
      <c r="B141" s="350" t="str">
        <f>'Утв. ИП 2014-2019'!B142</f>
        <v>3.1.20</v>
      </c>
      <c r="C141" s="351" t="str">
        <f>'Утв. ИП 2014-2019'!C142</f>
        <v>Замена трансформаторов и реконструкция РУ-0,4 кВ ТП-84 для электроснабжение нежилого встроенного-пристроенного помещения № 3 (магазина) по адресу: г. Липецк, ул. Папина, д. 6</v>
      </c>
      <c r="D141" s="352" t="str">
        <f>'Утв. ИП 2014-2019'!K142</f>
        <v>0 км / 1,26 МВА</v>
      </c>
      <c r="E141" s="352"/>
      <c r="F141" s="352"/>
      <c r="G141" s="352"/>
      <c r="H141" s="352"/>
      <c r="I141" s="352"/>
      <c r="J141" s="352" t="str">
        <f>'Утв. ИП 2014-2019'!Q142</f>
        <v>0 км / 1,26 МВА</v>
      </c>
      <c r="K141" s="352" t="s">
        <v>2727</v>
      </c>
      <c r="L141" s="349"/>
      <c r="M141" s="352"/>
      <c r="N141" s="352"/>
      <c r="O141" s="352"/>
      <c r="P141" s="352"/>
      <c r="Q141" s="352" t="s">
        <v>2727</v>
      </c>
      <c r="R141" s="353"/>
      <c r="S141" s="354">
        <v>1.26</v>
      </c>
      <c r="T141" s="355"/>
      <c r="U141" s="354"/>
      <c r="V141" s="355"/>
      <c r="W141" s="356"/>
      <c r="X141" s="355"/>
      <c r="Y141" s="356"/>
      <c r="Z141" s="355"/>
      <c r="AA141" s="356"/>
      <c r="AB141" s="355"/>
      <c r="AC141" s="356"/>
      <c r="AD141" s="357">
        <f t="shared" si="14"/>
        <v>0</v>
      </c>
      <c r="AE141" s="357">
        <f t="shared" si="14"/>
        <v>1.26</v>
      </c>
    </row>
    <row r="142" spans="1:31" s="358" customFormat="1" ht="127.5" outlineLevel="1" x14ac:dyDescent="0.2">
      <c r="A142" s="350" t="str">
        <f>'Утв. ИП 2014-2019'!A143</f>
        <v>1.1.6.4.50/10</v>
      </c>
      <c r="B142" s="350" t="str">
        <f>'Утв. ИП 2014-2019'!B143</f>
        <v>3.1.21</v>
      </c>
      <c r="C142" s="351" t="str">
        <f>'Утв. ИП 2014-2019'!C143</f>
        <v>Строительство ВЛ-10 кВ "ПС "Бутырки", яч.№6 - ТП-846" (инв. №3452047А) от ПС "Бутырки" до опоры №56, реконструкция отпайки к ПП-3 от ВЛ-10 кВ "ПС "Бутырки", яч.№6 - ТП-846" (инв. №340009) от опоры №56 ВЛ-10 кВ "ПС "Бутырки", яч.№6 - ТП-846" до ПП-3, реконструкция ВЛ-10 кВ "ПП-3 - ТП-415" (инв. №345700) от ПП-3 до ТП-415, монтаж вакуумного реклоузера на опоре ВЛ-10 кВ "ПП-3 - ТП-415"для электроснабжения объектов недвижимости культурно-оздоровительного лагеря в Грязинском районе, Плехановском лесничестве, Ленинском лесхозе, квартал 54</v>
      </c>
      <c r="D142" s="352" t="str">
        <f>'Утв. ИП 2014-2019'!K143</f>
        <v>8,0 км/ 0 МВА</v>
      </c>
      <c r="E142" s="352"/>
      <c r="F142" s="352"/>
      <c r="G142" s="352"/>
      <c r="H142" s="352"/>
      <c r="I142" s="352"/>
      <c r="J142" s="352" t="str">
        <f>'Утв. ИП 2014-2019'!Q143</f>
        <v>8,0 км/ 0 МВА</v>
      </c>
      <c r="K142" s="352"/>
      <c r="L142" s="349"/>
      <c r="M142" s="352"/>
      <c r="N142" s="352"/>
      <c r="O142" s="352"/>
      <c r="P142" s="352"/>
      <c r="Q142" s="349"/>
      <c r="R142" s="353"/>
      <c r="S142" s="354"/>
      <c r="T142" s="355"/>
      <c r="U142" s="354"/>
      <c r="V142" s="355"/>
      <c r="W142" s="356"/>
      <c r="X142" s="355"/>
      <c r="Y142" s="356"/>
      <c r="Z142" s="355"/>
      <c r="AA142" s="356"/>
      <c r="AB142" s="355"/>
      <c r="AC142" s="356"/>
      <c r="AD142" s="357">
        <f t="shared" si="14"/>
        <v>0</v>
      </c>
      <c r="AE142" s="357">
        <f t="shared" si="14"/>
        <v>0</v>
      </c>
    </row>
    <row r="143" spans="1:31" s="358" customFormat="1" ht="76.5" outlineLevel="1" x14ac:dyDescent="0.2">
      <c r="A143" s="350" t="str">
        <f>'Утв. ИП 2014-2019'!A144</f>
        <v>1.1.6.4.29/10</v>
      </c>
      <c r="B143" s="350" t="str">
        <f>'Утв. ИП 2014-2019'!B144</f>
        <v>3.1.22</v>
      </c>
      <c r="C143" s="351" t="str">
        <f>'Утв. ИП 2014-2019'!C144</f>
        <v>Монтаж ячеек в РУ-10 кВ РП на пл.Петра Великого, строительство КЛ-10 кВ от РП на пл.Петра Великого до ТП яхт-клуба в районе ресторана "Фрегат" по ул.К.Маркса, монтаж приборов учета в РУ-10 кВ РП на пл.Петра Великого для электроснабжения яхт-клуба со стоянкой яхт, запитанного от РУ-10 кВ РП на пл. Петра Великого; 250 кВт, 10 кВ, 2 категория</v>
      </c>
      <c r="D143" s="352" t="str">
        <f>'Утв. ИП 2014-2019'!K144</f>
        <v>1 км / 0 МВА</v>
      </c>
      <c r="E143" s="352"/>
      <c r="F143" s="352"/>
      <c r="G143" s="352"/>
      <c r="H143" s="352"/>
      <c r="I143" s="352"/>
      <c r="J143" s="352" t="str">
        <f>'Утв. ИП 2014-2019'!Q144</f>
        <v>1 км / 0 МВА</v>
      </c>
      <c r="K143" s="352"/>
      <c r="L143" s="349"/>
      <c r="M143" s="352"/>
      <c r="N143" s="352"/>
      <c r="O143" s="352"/>
      <c r="P143" s="352"/>
      <c r="Q143" s="349"/>
      <c r="R143" s="353"/>
      <c r="S143" s="354"/>
      <c r="T143" s="355"/>
      <c r="U143" s="354"/>
      <c r="V143" s="355"/>
      <c r="W143" s="356"/>
      <c r="X143" s="355"/>
      <c r="Y143" s="356"/>
      <c r="Z143" s="355"/>
      <c r="AA143" s="356"/>
      <c r="AB143" s="355"/>
      <c r="AC143" s="356"/>
      <c r="AD143" s="357">
        <f t="shared" si="14"/>
        <v>0</v>
      </c>
      <c r="AE143" s="357">
        <f t="shared" si="14"/>
        <v>0</v>
      </c>
    </row>
    <row r="144" spans="1:31" s="358" customFormat="1" ht="51" outlineLevel="1" x14ac:dyDescent="0.2">
      <c r="A144" s="350" t="str">
        <f>'Утв. ИП 2014-2019'!A145</f>
        <v>1.1.6.1.55/11</v>
      </c>
      <c r="B144" s="350" t="str">
        <f>'Утв. ИП 2014-2019'!B145</f>
        <v>3.1.23</v>
      </c>
      <c r="C144" s="351" t="str">
        <f>'Утв. ИП 2014-2019'!C145</f>
        <v>Монтаж реклоузера на вновь смонтированной опоре ВЛ-10кВ ПС "Юго-Западная" , яч. №3 - КТП-314 , для электроснабжения автосалона со станцией технического обслуживания по адресу: г.Липецк, ул.Московская, стр.34</v>
      </c>
      <c r="D144" s="352" t="str">
        <f>'Утв. ИП 2014-2019'!K145</f>
        <v>0 км / 0 МВА</v>
      </c>
      <c r="E144" s="352"/>
      <c r="F144" s="352"/>
      <c r="G144" s="352"/>
      <c r="H144" s="352"/>
      <c r="I144" s="352"/>
      <c r="J144" s="352" t="str">
        <f>'Утв. ИП 2014-2019'!Q145</f>
        <v>0 км / 0 МВА</v>
      </c>
      <c r="K144" s="349"/>
      <c r="L144" s="352"/>
      <c r="M144" s="352"/>
      <c r="N144" s="352"/>
      <c r="O144" s="352"/>
      <c r="P144" s="352"/>
      <c r="Q144" s="349"/>
      <c r="R144" s="353"/>
      <c r="S144" s="354"/>
      <c r="T144" s="355"/>
      <c r="U144" s="354"/>
      <c r="V144" s="355"/>
      <c r="W144" s="356"/>
      <c r="X144" s="355"/>
      <c r="Y144" s="356"/>
      <c r="Z144" s="355"/>
      <c r="AA144" s="356"/>
      <c r="AB144" s="355"/>
      <c r="AC144" s="356"/>
      <c r="AD144" s="357">
        <f t="shared" ref="AD144:AE206" si="21">R144+T144+V144+X144+Z144+AB144</f>
        <v>0</v>
      </c>
      <c r="AE144" s="357">
        <f t="shared" si="21"/>
        <v>0</v>
      </c>
    </row>
    <row r="145" spans="1:31" s="358" customFormat="1" ht="102" outlineLevel="1" x14ac:dyDescent="0.2">
      <c r="A145" s="350" t="str">
        <f>'Утв. ИП 2014-2019'!A146</f>
        <v>1.1.6.1.2/12</v>
      </c>
      <c r="B145" s="350" t="str">
        <f>'Утв. ИП 2014-2019'!B146</f>
        <v>3.1.24</v>
      </c>
      <c r="C145" s="351" t="str">
        <f>'Утв. ИП 2014-2019'!C146</f>
        <v>Монтаж новой ТП взамен существующей ТП-65, строительство КЛ-10кВ от ЦРП "Город" до новой ТП, Строительство КЛ-10кВ от ТП-121 до новой ТП, монтаж устройства передачи данных (УСПД) по учету электрической энергии в РУ-0,4кВ новой ТП, монтаж пожарно-охранной сигнализации в новой ТП, монтаж приборов учета в РУ-0,4кВ новой ТП для электроснабжения многоэтажного жилого дома с подземной автостоянкой по адресу: г.Липецк, ул.Гагарина, д.27"а"</v>
      </c>
      <c r="D145" s="352"/>
      <c r="E145" s="352"/>
      <c r="F145" s="352" t="str">
        <f>'Утв. ИП 2014-2019'!M146</f>
        <v>5,4 км/ 1,60 МВА</v>
      </c>
      <c r="G145" s="352"/>
      <c r="H145" s="352"/>
      <c r="I145" s="352"/>
      <c r="J145" s="352" t="str">
        <f>'Утв. ИП 2014-2019'!Q146</f>
        <v>5,4 км/ 1,60 МВА</v>
      </c>
      <c r="K145" s="352"/>
      <c r="L145" s="349"/>
      <c r="M145" s="352" t="s">
        <v>435</v>
      </c>
      <c r="N145" s="352"/>
      <c r="O145" s="352"/>
      <c r="P145" s="352"/>
      <c r="Q145" s="352" t="s">
        <v>435</v>
      </c>
      <c r="R145" s="353"/>
      <c r="S145" s="354"/>
      <c r="T145" s="355"/>
      <c r="U145" s="354"/>
      <c r="V145" s="355"/>
      <c r="W145" s="356"/>
      <c r="X145" s="355"/>
      <c r="Y145" s="356"/>
      <c r="Z145" s="355"/>
      <c r="AA145" s="356"/>
      <c r="AB145" s="355"/>
      <c r="AC145" s="356"/>
      <c r="AD145" s="357">
        <f t="shared" si="21"/>
        <v>0</v>
      </c>
      <c r="AE145" s="357">
        <f t="shared" si="21"/>
        <v>0</v>
      </c>
    </row>
    <row r="146" spans="1:31" s="358" customFormat="1" ht="76.5" outlineLevel="1" x14ac:dyDescent="0.2">
      <c r="A146" s="350" t="str">
        <f>'Утв. ИП 2014-2019'!A147</f>
        <v>1.1.6.1.20/12</v>
      </c>
      <c r="B146" s="350" t="str">
        <f>'Утв. ИП 2014-2019'!B147</f>
        <v>3.1.25</v>
      </c>
      <c r="C146" s="351" t="str">
        <f>'Утв. ИП 2014-2019'!C147</f>
        <v xml:space="preserve">Строительство КЛ-6 кВ ПС "Южная", яч. 42 - РП-45, яч. 15, монтаж трансформаторов в ТП-5 взамен существующих (инв. № 41604А, № 42032А), монтаж оборудования РУ-0,4 кВ ТП-5, монтаж узла учета в РУ-0,4 кВ ТП-5 для электроснабжения административно-гостиничного здания по адресу: г. Липецк, ул. Крайняя, д. 4 </v>
      </c>
      <c r="D146" s="352"/>
      <c r="E146" s="352"/>
      <c r="F146" s="352" t="str">
        <f>'Утв. ИП 2014-2019'!M147</f>
        <v>5 км/ 1,26 МВА</v>
      </c>
      <c r="G146" s="352"/>
      <c r="H146" s="352"/>
      <c r="I146" s="352"/>
      <c r="J146" s="352" t="str">
        <f>'Утв. ИП 2014-2019'!Q147</f>
        <v>5 км/ 1,26 МВА</v>
      </c>
      <c r="K146" s="349"/>
      <c r="L146" s="352"/>
      <c r="M146" s="352" t="s">
        <v>435</v>
      </c>
      <c r="N146" s="349"/>
      <c r="O146" s="352"/>
      <c r="P146" s="352"/>
      <c r="Q146" s="349" t="s">
        <v>435</v>
      </c>
      <c r="R146" s="353"/>
      <c r="S146" s="354"/>
      <c r="T146" s="355"/>
      <c r="U146" s="354"/>
      <c r="V146" s="355"/>
      <c r="W146" s="356">
        <v>0.4</v>
      </c>
      <c r="X146" s="355"/>
      <c r="Y146" s="356"/>
      <c r="Z146" s="355"/>
      <c r="AA146" s="356"/>
      <c r="AB146" s="355"/>
      <c r="AC146" s="356"/>
      <c r="AD146" s="357">
        <f t="shared" si="21"/>
        <v>0</v>
      </c>
      <c r="AE146" s="357">
        <f t="shared" si="21"/>
        <v>0.4</v>
      </c>
    </row>
    <row r="147" spans="1:31" s="358" customFormat="1" ht="51" outlineLevel="1" x14ac:dyDescent="0.2">
      <c r="A147" s="350" t="str">
        <f>'Утв. ИП 2014-2019'!A148</f>
        <v>1.1.6.1.32/12</v>
      </c>
      <c r="B147" s="350" t="str">
        <f>'Утв. ИП 2014-2019'!B148</f>
        <v>3.1.26</v>
      </c>
      <c r="C147" s="351" t="str">
        <f>'Утв. ИП 2014-2019'!C148</f>
        <v>Монтаж оборудования в РУ-10 кВ РП-53, монтаж узла учета в РУ-10 кВ РП-53, для электроснабжения лечебно-диагностического комплекса по адресу: г. Липецк, пл. Петра Великого, владение 2</v>
      </c>
      <c r="D147" s="352" t="str">
        <f>'Утв. ИП 2014-2019'!K148</f>
        <v>0 км / 0 МВА</v>
      </c>
      <c r="E147" s="352"/>
      <c r="F147" s="352"/>
      <c r="G147" s="352"/>
      <c r="H147" s="352"/>
      <c r="I147" s="352"/>
      <c r="J147" s="352" t="str">
        <f>'Утв. ИП 2014-2019'!Q148</f>
        <v>0 км / 0 МВА</v>
      </c>
      <c r="K147" s="352" t="s">
        <v>1413</v>
      </c>
      <c r="L147" s="352"/>
      <c r="M147" s="352"/>
      <c r="N147" s="352"/>
      <c r="O147" s="352"/>
      <c r="P147" s="352"/>
      <c r="Q147" s="352" t="s">
        <v>1413</v>
      </c>
      <c r="R147" s="355"/>
      <c r="S147" s="356">
        <v>0.8</v>
      </c>
      <c r="T147" s="355"/>
      <c r="U147" s="354"/>
      <c r="V147" s="355"/>
      <c r="W147" s="356"/>
      <c r="X147" s="355"/>
      <c r="Y147" s="356"/>
      <c r="Z147" s="355"/>
      <c r="AA147" s="356"/>
      <c r="AB147" s="355"/>
      <c r="AC147" s="356"/>
      <c r="AD147" s="357">
        <f t="shared" si="21"/>
        <v>0</v>
      </c>
      <c r="AE147" s="357">
        <f t="shared" si="21"/>
        <v>0.8</v>
      </c>
    </row>
    <row r="148" spans="1:31" s="358" customFormat="1" ht="76.5" outlineLevel="1" x14ac:dyDescent="0.2">
      <c r="A148" s="350" t="str">
        <f>'Утв. ИП 2014-2019'!A149</f>
        <v>1.1.6.1.46/12</v>
      </c>
      <c r="B148" s="350" t="str">
        <f>'Утв. ИП 2014-2019'!B149</f>
        <v>3.1.27</v>
      </c>
      <c r="C148" s="351" t="str">
        <f>'Утв. ИП 2014-2019'!C149</f>
        <v>Монтаж оборудования в РУ-6 кВ ТП-196, строительство КЛ-6 кВ от РП-3 до ТП-196, монтаж трансформатора № 1 в ТП-196, монтаж трансформатора № 2 в ТП-196, монтаж оборудования в РУ-0,4 кВ ТП-196 для электроснабжения объекта: "Реконструкция МОУ СОШ № 27 по ул. Шкатова" по адресу: г. Липецк, ул. Шкатова, д. 23.</v>
      </c>
      <c r="D148" s="352"/>
      <c r="E148" s="352"/>
      <c r="F148" s="352" t="str">
        <f>'Утв. ИП 2014-2019'!M149</f>
        <v>2 км/ 2,0 МВА</v>
      </c>
      <c r="G148" s="352"/>
      <c r="H148" s="352"/>
      <c r="I148" s="352"/>
      <c r="J148" s="352" t="str">
        <f>'Утв. ИП 2014-2019'!Q149</f>
        <v>2 км/ 2,0 МВА</v>
      </c>
      <c r="K148" s="352"/>
      <c r="L148" s="349"/>
      <c r="M148" s="352" t="s">
        <v>1416</v>
      </c>
      <c r="N148" s="352"/>
      <c r="O148" s="352"/>
      <c r="P148" s="352"/>
      <c r="Q148" s="349" t="str">
        <f>M148</f>
        <v>1,03 МВА</v>
      </c>
      <c r="R148" s="353"/>
      <c r="S148" s="354"/>
      <c r="T148" s="355"/>
      <c r="U148" s="354"/>
      <c r="V148" s="355"/>
      <c r="W148" s="356">
        <v>1.03</v>
      </c>
      <c r="X148" s="355"/>
      <c r="Y148" s="356"/>
      <c r="Z148" s="355"/>
      <c r="AA148" s="356"/>
      <c r="AB148" s="355"/>
      <c r="AC148" s="356"/>
      <c r="AD148" s="357">
        <f t="shared" si="21"/>
        <v>0</v>
      </c>
      <c r="AE148" s="357">
        <f t="shared" si="21"/>
        <v>1.03</v>
      </c>
    </row>
    <row r="149" spans="1:31" s="358" customFormat="1" ht="51" outlineLevel="1" x14ac:dyDescent="0.2">
      <c r="A149" s="350" t="str">
        <f>'Утв. ИП 2014-2019'!A150</f>
        <v>1.1.6.1.50/12</v>
      </c>
      <c r="B149" s="350" t="str">
        <f>'Утв. ИП 2014-2019'!B150</f>
        <v>3.1.28</v>
      </c>
      <c r="C149" s="351" t="str">
        <f>'Утв. ИП 2014-2019'!C150</f>
        <v>Монтаж пожарно-охранной сигнализации в РУ-0,4 кВ ТП-528, монтаж узла учета в РУ-0,4 кВ ТП-528 для электроснабжения магазина непродовольственных товаров по адресу: г. Липецк, ул. З. Космодемьянской</v>
      </c>
      <c r="D149" s="352" t="str">
        <f>'Утв. ИП 2014-2019'!K150</f>
        <v xml:space="preserve"> 0 км/0 МВА</v>
      </c>
      <c r="E149" s="352"/>
      <c r="F149" s="352"/>
      <c r="G149" s="352"/>
      <c r="H149" s="352"/>
      <c r="I149" s="352"/>
      <c r="J149" s="352" t="str">
        <f>'Утв. ИП 2014-2019'!Q150</f>
        <v xml:space="preserve"> 0 км/0 МВА</v>
      </c>
      <c r="K149" s="349"/>
      <c r="L149" s="352"/>
      <c r="M149" s="349"/>
      <c r="N149" s="352"/>
      <c r="O149" s="352"/>
      <c r="P149" s="352"/>
      <c r="Q149" s="349"/>
      <c r="R149" s="355"/>
      <c r="S149" s="356"/>
      <c r="T149" s="355"/>
      <c r="U149" s="354"/>
      <c r="V149" s="355"/>
      <c r="W149" s="356"/>
      <c r="X149" s="355"/>
      <c r="Y149" s="356"/>
      <c r="Z149" s="355"/>
      <c r="AA149" s="356"/>
      <c r="AB149" s="355"/>
      <c r="AC149" s="356"/>
      <c r="AD149" s="357">
        <f t="shared" si="21"/>
        <v>0</v>
      </c>
      <c r="AE149" s="357">
        <f t="shared" si="21"/>
        <v>0</v>
      </c>
    </row>
    <row r="150" spans="1:31" s="358" customFormat="1" ht="242.25" outlineLevel="1" x14ac:dyDescent="0.2">
      <c r="A150" s="350" t="str">
        <f>'Утв. ИП 2014-2019'!A151</f>
        <v>1.1.6.1.54/12</v>
      </c>
      <c r="B150" s="350" t="str">
        <f>'Утв. ИП 2014-2019'!B151</f>
        <v>3.1.29</v>
      </c>
      <c r="C150" s="351" t="str">
        <f>'Утв. ИП 2014-2019'!C151</f>
        <v>I этап: Монтаж трансформатора № 1 в ТП-71, монтаж трансформатора № 2 в ТП-71, монтаж оборудования в РУ-6 кВ ТП-71, монтаж оборудования в РУ-0,4 кВ ТП-71, строительство КЛ-0,4 кВ от ТП-71 до нежилого помещения № 1 по адресу: г. Липецк, ул. Ворошилова, д. 4; II этап: Реконструкция оборудования в РУ-6 кВ ТП-71, реконструкция оборудования в РУ-0,4 кВ ТП-71,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2 в ТП-71 взамен трансформатора, смонтированного по п. 1.1.6.1.54.2/12, строительство КЛ-10 кВ от РП-П.Великого до ТП-71, строительство КЛ-10 кВ от РП-П.Великого до ТП-71, реконструкция КЛ-6 кВ "ТП-71 - ТП-59" (инв. № 340413) и "ТП-71 - ТП-14" (инв. № 345398), монтаж узла учета в РУ-0,4кВ ТП-71 для электроснабжения нежилого помещения № 1 по адресу: г. Липецк, ул. Ворошилова, д. 4.</v>
      </c>
      <c r="D150" s="352" t="str">
        <f>'Утв. ИП 2014-2019'!K151</f>
        <v xml:space="preserve"> 2 км/2,0 МВА</v>
      </c>
      <c r="E150" s="352"/>
      <c r="F150" s="352"/>
      <c r="G150" s="352"/>
      <c r="H150" s="352"/>
      <c r="I150" s="352"/>
      <c r="J150" s="352" t="str">
        <f>'Утв. ИП 2014-2019'!Q151</f>
        <v xml:space="preserve"> 2 км/2,0 МВА</v>
      </c>
      <c r="K150" s="349" t="s">
        <v>1412</v>
      </c>
      <c r="L150" s="352"/>
      <c r="M150" s="352"/>
      <c r="N150" s="352"/>
      <c r="O150" s="352"/>
      <c r="P150" s="352"/>
      <c r="Q150" s="349" t="str">
        <f>K150</f>
        <v>1,26 МВА</v>
      </c>
      <c r="R150" s="353"/>
      <c r="S150" s="354">
        <v>1.26</v>
      </c>
      <c r="T150" s="355"/>
      <c r="U150" s="354"/>
      <c r="V150" s="355"/>
      <c r="W150" s="356"/>
      <c r="X150" s="355"/>
      <c r="Y150" s="356"/>
      <c r="Z150" s="355"/>
      <c r="AA150" s="356"/>
      <c r="AB150" s="355"/>
      <c r="AC150" s="356"/>
      <c r="AD150" s="357">
        <f t="shared" si="21"/>
        <v>0</v>
      </c>
      <c r="AE150" s="357">
        <f t="shared" si="21"/>
        <v>1.26</v>
      </c>
    </row>
    <row r="151" spans="1:31" s="358" customFormat="1" ht="76.5" outlineLevel="1" x14ac:dyDescent="0.2">
      <c r="A151" s="350" t="str">
        <f>'Утв. ИП 2014-2019'!A152</f>
        <v>1.1.6.1.58/12</v>
      </c>
      <c r="B151" s="350" t="str">
        <f>'Утв. ИП 2014-2019'!B152</f>
        <v>3.1.30</v>
      </c>
      <c r="C151" s="351" t="str">
        <f>'Утв. ИП 2014-2019'!C152</f>
        <v>Монтаж трансформатора № 1 в ТП-79 взамен существующего (инв. № 431460), монтаж трансформатора № 2 в ТП-79 взамен существующего (инв. № 431461),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3.</v>
      </c>
      <c r="D151" s="352"/>
      <c r="E151" s="352" t="str">
        <f>'Утв. ИП 2014-2019'!L152</f>
        <v xml:space="preserve"> 0 км/1,26 МВА</v>
      </c>
      <c r="F151" s="352"/>
      <c r="G151" s="352"/>
      <c r="H151" s="352"/>
      <c r="I151" s="352"/>
      <c r="J151" s="352" t="str">
        <f>'Утв. ИП 2014-2019'!Q152</f>
        <v xml:space="preserve"> 0 км/1,26 МВА</v>
      </c>
      <c r="K151" s="349"/>
      <c r="L151" s="349" t="s">
        <v>1413</v>
      </c>
      <c r="M151" s="349"/>
      <c r="N151" s="352"/>
      <c r="O151" s="352"/>
      <c r="P151" s="352"/>
      <c r="Q151" s="349" t="str">
        <f>L151</f>
        <v>0,8 МВА</v>
      </c>
      <c r="R151" s="353"/>
      <c r="S151" s="354"/>
      <c r="T151" s="355"/>
      <c r="U151" s="356">
        <v>0.8</v>
      </c>
      <c r="V151" s="355"/>
      <c r="W151" s="356"/>
      <c r="X151" s="355"/>
      <c r="Y151" s="356"/>
      <c r="Z151" s="355"/>
      <c r="AA151" s="356"/>
      <c r="AB151" s="355"/>
      <c r="AC151" s="356"/>
      <c r="AD151" s="357">
        <f t="shared" si="21"/>
        <v>0</v>
      </c>
      <c r="AE151" s="357">
        <f t="shared" si="21"/>
        <v>0.8</v>
      </c>
    </row>
    <row r="152" spans="1:31" s="358" customFormat="1" ht="76.5" outlineLevel="1" x14ac:dyDescent="0.2">
      <c r="A152" s="350" t="str">
        <f>'Утв. ИП 2014-2019'!A153</f>
        <v>1.1.6.1.66/12</v>
      </c>
      <c r="B152" s="350" t="str">
        <f>'Утв. ИП 2014-2019'!B153</f>
        <v>3.1.31</v>
      </c>
      <c r="C152" s="351" t="str">
        <f>'Утв. ИП 2014-2019'!C153</f>
        <v>Монтаж трансформатора № 1 в ТП-326 взамен существующего (инв. № 41358 А), монтаж трансформатора № 2 в ТП-326 взамен существующего (инв. № 41970 А), монтаж оборудования в РУ-0,4 кВ ТП-326 для электроснабжения торгово-административного здания по адресу: г. Липецк, ул. Меркулова, д. 24 а</v>
      </c>
      <c r="D152" s="352"/>
      <c r="E152" s="352" t="str">
        <f>'Утв. ИП 2014-2019'!L153</f>
        <v xml:space="preserve"> 0 км/2,0 МВА</v>
      </c>
      <c r="F152" s="352"/>
      <c r="G152" s="352"/>
      <c r="H152" s="352"/>
      <c r="I152" s="352"/>
      <c r="J152" s="352" t="str">
        <f>'Утв. ИП 2014-2019'!Q153</f>
        <v xml:space="preserve"> 0 км/2,0 МВА</v>
      </c>
      <c r="K152" s="352"/>
      <c r="L152" s="349" t="s">
        <v>1412</v>
      </c>
      <c r="M152" s="349"/>
      <c r="N152" s="352"/>
      <c r="O152" s="352"/>
      <c r="P152" s="352"/>
      <c r="Q152" s="349" t="str">
        <f>L152</f>
        <v>1,26 МВА</v>
      </c>
      <c r="R152" s="353"/>
      <c r="S152" s="354"/>
      <c r="T152" s="355"/>
      <c r="U152" s="356">
        <v>1.26</v>
      </c>
      <c r="V152" s="355"/>
      <c r="W152" s="356"/>
      <c r="X152" s="355"/>
      <c r="Y152" s="356"/>
      <c r="Z152" s="355"/>
      <c r="AA152" s="356"/>
      <c r="AB152" s="355"/>
      <c r="AC152" s="356"/>
      <c r="AD152" s="357">
        <f t="shared" si="21"/>
        <v>0</v>
      </c>
      <c r="AE152" s="357">
        <f t="shared" si="21"/>
        <v>1.26</v>
      </c>
    </row>
    <row r="153" spans="1:31" s="358" customFormat="1" ht="51" outlineLevel="1" x14ac:dyDescent="0.2">
      <c r="A153" s="350" t="str">
        <f>'Утв. ИП 2014-2019'!A154</f>
        <v>1.1.5.1.6/13</v>
      </c>
      <c r="B153" s="350" t="str">
        <f>'Утв. ИП 2014-2019'!B154</f>
        <v>3.1.32</v>
      </c>
      <c r="C153" s="351" t="str">
        <f>'Утв. ИП 2014-2019'!C154</f>
        <v>Монтаж оборудования в РУ-10 кВ ТП-517, монтаж оборудования в РУ-10 кВ ТП-541, строительство КЛ-10 кВ от ТП-541 до ТП-540 для электроснабжения ТП-517 а по адресу: г. Липецк, ул. Адмирала Макарова, д. 1 К</v>
      </c>
      <c r="D153" s="352"/>
      <c r="E153" s="352"/>
      <c r="F153" s="352" t="str">
        <f>'Утв. ИП 2014-2019'!M154</f>
        <v xml:space="preserve"> 0,05 км/0 МВА</v>
      </c>
      <c r="G153" s="352"/>
      <c r="H153" s="352"/>
      <c r="I153" s="352"/>
      <c r="J153" s="352" t="str">
        <f>'Утв. ИП 2014-2019'!Q154</f>
        <v xml:space="preserve"> 0,05 км/0 МВА</v>
      </c>
      <c r="K153" s="352"/>
      <c r="L153" s="349"/>
      <c r="M153" s="349" t="s">
        <v>1412</v>
      </c>
      <c r="N153" s="352"/>
      <c r="O153" s="352"/>
      <c r="P153" s="352"/>
      <c r="Q153" s="349" t="s">
        <v>1412</v>
      </c>
      <c r="R153" s="353"/>
      <c r="S153" s="354"/>
      <c r="T153" s="355"/>
      <c r="U153" s="354"/>
      <c r="V153" s="355"/>
      <c r="W153" s="356">
        <v>1.26</v>
      </c>
      <c r="X153" s="355"/>
      <c r="Y153" s="356"/>
      <c r="Z153" s="355"/>
      <c r="AA153" s="356"/>
      <c r="AB153" s="355"/>
      <c r="AC153" s="356"/>
      <c r="AD153" s="357">
        <f t="shared" si="21"/>
        <v>0</v>
      </c>
      <c r="AE153" s="357">
        <f t="shared" si="21"/>
        <v>1.26</v>
      </c>
    </row>
    <row r="154" spans="1:31" s="358" customFormat="1" ht="89.25" outlineLevel="1" x14ac:dyDescent="0.2">
      <c r="A154" s="350" t="str">
        <f>'Утв. ИП 2014-2019'!A155</f>
        <v>1.1.5.1.8/13</v>
      </c>
      <c r="B154" s="350" t="str">
        <f>'Утв. ИП 2014-2019'!B155</f>
        <v>3.1.33</v>
      </c>
      <c r="C154" s="351" t="str">
        <f>'Утв. ИП 2014-2019'!C155</f>
        <v>Монтаж трансформатора № 1 в ТП-241 взамен существующего (инв. № 41315 А), монтаж трансформатора № 2 в ТП-241 взамен существующего (инв. № 41332 А), реконструкция оборудования в РУ-6 кВ ТП-241 (инв. № 400713), реконструкция оборудования в РУ-0,4 кВ ТП-241 (инв. № 400713), монтаж узла учета в РУ-0,4 кВ ТП-241 для электроснабжения здания магазина по адресу: г. Липецк, пр. Победы</v>
      </c>
      <c r="D154" s="352" t="str">
        <f>'Утв. ИП 2014-2019'!K155</f>
        <v xml:space="preserve"> 0 км/1,26 МВА</v>
      </c>
      <c r="E154" s="352"/>
      <c r="F154" s="352"/>
      <c r="G154" s="352"/>
      <c r="H154" s="352"/>
      <c r="I154" s="352"/>
      <c r="J154" s="352" t="str">
        <f>'Утв. ИП 2014-2019'!Q155</f>
        <v xml:space="preserve"> 0 км/1,26 МВА</v>
      </c>
      <c r="K154" s="352" t="s">
        <v>1413</v>
      </c>
      <c r="L154" s="349"/>
      <c r="M154" s="352"/>
      <c r="N154" s="352"/>
      <c r="O154" s="352"/>
      <c r="P154" s="352"/>
      <c r="Q154" s="349" t="str">
        <f>K154</f>
        <v>0,8 МВА</v>
      </c>
      <c r="R154" s="353"/>
      <c r="S154" s="354">
        <v>0.8</v>
      </c>
      <c r="T154" s="355"/>
      <c r="U154" s="354"/>
      <c r="V154" s="355"/>
      <c r="W154" s="356"/>
      <c r="X154" s="355"/>
      <c r="Y154" s="356"/>
      <c r="Z154" s="355"/>
      <c r="AA154" s="356"/>
      <c r="AB154" s="355"/>
      <c r="AC154" s="356"/>
      <c r="AD154" s="357">
        <f t="shared" si="21"/>
        <v>0</v>
      </c>
      <c r="AE154" s="357">
        <f t="shared" si="21"/>
        <v>0.8</v>
      </c>
    </row>
    <row r="155" spans="1:31" s="358" customFormat="1" ht="38.25" outlineLevel="1" x14ac:dyDescent="0.2">
      <c r="A155" s="350" t="str">
        <f>'Утв. ИП 2014-2019'!A156</f>
        <v>1.1.5.1.10/13</v>
      </c>
      <c r="B155" s="350" t="str">
        <f>'Утв. ИП 2014-2019'!B156</f>
        <v>3.1.34</v>
      </c>
      <c r="C155" s="351" t="str">
        <f>'Утв. ИП 2014-2019'!C156</f>
        <v>Монтаж оборудования в РУ-0,4 кВ ТП-649, монтаж узла учета в РУ-0,4 кВ ТП-649 для электроснабжения здания спортивного клуба по адресу: г. Липецк, ул. Геологическая</v>
      </c>
      <c r="D155" s="352" t="str">
        <f>'Утв. ИП 2014-2019'!K156</f>
        <v xml:space="preserve"> 0 км/0 МВА</v>
      </c>
      <c r="E155" s="352"/>
      <c r="F155" s="352"/>
      <c r="G155" s="352"/>
      <c r="H155" s="352"/>
      <c r="I155" s="352"/>
      <c r="J155" s="352" t="str">
        <f>'Утв. ИП 2014-2019'!Q156</f>
        <v xml:space="preserve"> 0 км/0 МВА</v>
      </c>
      <c r="K155" s="352"/>
      <c r="L155" s="349"/>
      <c r="M155" s="352"/>
      <c r="N155" s="352"/>
      <c r="O155" s="352"/>
      <c r="P155" s="352"/>
      <c r="Q155" s="349"/>
      <c r="R155" s="353"/>
      <c r="S155" s="354"/>
      <c r="T155" s="355"/>
      <c r="U155" s="354"/>
      <c r="V155" s="355"/>
      <c r="W155" s="356"/>
      <c r="X155" s="355"/>
      <c r="Y155" s="356"/>
      <c r="Z155" s="355"/>
      <c r="AA155" s="356"/>
      <c r="AB155" s="355"/>
      <c r="AC155" s="356"/>
      <c r="AD155" s="357">
        <f t="shared" si="21"/>
        <v>0</v>
      </c>
      <c r="AE155" s="357">
        <f t="shared" si="21"/>
        <v>0</v>
      </c>
    </row>
    <row r="156" spans="1:31" s="358" customFormat="1" ht="63.75" outlineLevel="1" x14ac:dyDescent="0.2">
      <c r="A156" s="350" t="str">
        <f>'Утв. ИП 2014-2019'!A157</f>
        <v>4.1.70/09</v>
      </c>
      <c r="B156" s="350" t="str">
        <f>'Утв. ИП 2014-2019'!B157</f>
        <v>3.1.35</v>
      </c>
      <c r="C156" s="351" t="str">
        <f>'Утв. ИП 2014-2019'!C157</f>
        <v>Модернизация оборудования ТП-810, кабельная сеть от ТП-810 до РП на пл. Петра Великого, замена трансформаторов в ТП-810 для электроснабжения жилого здания с объектами соцкультбыта по ул. Скороходова-Радиаторная, запитанного от РУ-0,4 кВ ТП-810; 300 кВт, 380В, 2 категория</v>
      </c>
      <c r="D156" s="352"/>
      <c r="E156" s="352" t="str">
        <f>'Утв. ИП 2014-2019'!L157</f>
        <v>1 км/2,0МВА</v>
      </c>
      <c r="F156" s="352"/>
      <c r="G156" s="352"/>
      <c r="H156" s="352"/>
      <c r="I156" s="352"/>
      <c r="J156" s="352" t="str">
        <f>'Утв. ИП 2014-2019'!Q157</f>
        <v>1 км/2,0МВА</v>
      </c>
      <c r="K156" s="352"/>
      <c r="L156" s="349" t="s">
        <v>1413</v>
      </c>
      <c r="M156" s="352"/>
      <c r="N156" s="352"/>
      <c r="O156" s="352"/>
      <c r="P156" s="352"/>
      <c r="Q156" s="349" t="s">
        <v>1413</v>
      </c>
      <c r="R156" s="353"/>
      <c r="S156" s="354"/>
      <c r="T156" s="355"/>
      <c r="U156" s="354">
        <v>0.8</v>
      </c>
      <c r="V156" s="355"/>
      <c r="W156" s="356"/>
      <c r="X156" s="355"/>
      <c r="Y156" s="356"/>
      <c r="Z156" s="355"/>
      <c r="AA156" s="356"/>
      <c r="AB156" s="355"/>
      <c r="AC156" s="356"/>
      <c r="AD156" s="357">
        <f t="shared" si="21"/>
        <v>0</v>
      </c>
      <c r="AE156" s="357">
        <f t="shared" si="21"/>
        <v>0.8</v>
      </c>
    </row>
    <row r="157" spans="1:31" s="358" customFormat="1" ht="38.25" outlineLevel="1" x14ac:dyDescent="0.2">
      <c r="A157" s="350" t="str">
        <f>'Утв. ИП 2014-2019'!A158</f>
        <v>1.1.6.4.51/10</v>
      </c>
      <c r="B157" s="350" t="str">
        <f>'Утв. ИП 2014-2019'!B158</f>
        <v>3.1.36</v>
      </c>
      <c r="C157" s="351" t="str">
        <f>'Утв. ИП 2014-2019'!C158</f>
        <v>Монтаж телемеханики РП-49, монтаж приборов учета в РУ-10кВ РП-49 для электроснабжения 29 микр. в г. Липецке, запитанного от РУ-10 кВ РП-49; 4440 кВт, 10кВт, 2 категория</v>
      </c>
      <c r="D157" s="352"/>
      <c r="E157" s="352" t="str">
        <f>'Утв. ИП 2014-2019'!L158</f>
        <v>0 км/ 0 МВА</v>
      </c>
      <c r="F157" s="352"/>
      <c r="G157" s="352"/>
      <c r="H157" s="352"/>
      <c r="I157" s="352"/>
      <c r="J157" s="352" t="str">
        <f>'Утв. ИП 2014-2019'!Q158</f>
        <v>0 км/ 0 МВА</v>
      </c>
      <c r="K157" s="352"/>
      <c r="L157" s="352"/>
      <c r="M157" s="349"/>
      <c r="N157" s="352"/>
      <c r="O157" s="352"/>
      <c r="P157" s="352"/>
      <c r="Q157" s="349"/>
      <c r="R157" s="353"/>
      <c r="S157" s="354"/>
      <c r="T157" s="355"/>
      <c r="U157" s="356"/>
      <c r="V157" s="355"/>
      <c r="W157" s="356"/>
      <c r="X157" s="355"/>
      <c r="Y157" s="356"/>
      <c r="Z157" s="355"/>
      <c r="AA157" s="356"/>
      <c r="AB157" s="355"/>
      <c r="AC157" s="356"/>
      <c r="AD157" s="357">
        <f t="shared" si="21"/>
        <v>0</v>
      </c>
      <c r="AE157" s="357">
        <f t="shared" si="21"/>
        <v>0</v>
      </c>
    </row>
    <row r="158" spans="1:31" s="358" customFormat="1" ht="102" outlineLevel="1" x14ac:dyDescent="0.2">
      <c r="A158" s="350" t="str">
        <f>'Утв. ИП 2014-2019'!A159</f>
        <v>1.1.6.4.52/10</v>
      </c>
      <c r="B158" s="350" t="str">
        <f>'Утв. ИП 2014-2019'!B159</f>
        <v>3.1.37</v>
      </c>
      <c r="C158" s="351" t="str">
        <f>'Утв. ИП 2014-2019'!C159</f>
        <v>Монтаж трансформаторов в ТП-183 взамен существующих (инв.№41251А, №41140А), монтаж оборудования в РУ-0,4 кВ ТП-183, строительство КЛ-10 кВ от РП "Центр" до ТП-380, реконструкция КЛ-6 кВ "ТП-180 - ТП-380" (инв.№345665) и "ТП-56 - ТП-380" (инв.№345666), строительство КЛ-6 кВ "ТП-16 - ТП-176" для электроснабжения жилого дома строительный №1 с предприятиями соцкультбыта по ул. Неделина, запитанного от ТП-183</v>
      </c>
      <c r="D158" s="352"/>
      <c r="E158" s="352"/>
      <c r="F158" s="352"/>
      <c r="G158" s="352" t="str">
        <f>'Утв. ИП 2014-2019'!N159</f>
        <v>2,0 км/ 2,0 МВА</v>
      </c>
      <c r="H158" s="352"/>
      <c r="I158" s="352"/>
      <c r="J158" s="352" t="str">
        <f>'Утв. ИП 2014-2019'!Q159</f>
        <v>2,0 км/ 2,0 МВА</v>
      </c>
      <c r="K158" s="352"/>
      <c r="L158" s="349"/>
      <c r="M158" s="349"/>
      <c r="N158" s="352" t="s">
        <v>1412</v>
      </c>
      <c r="O158" s="352"/>
      <c r="P158" s="352"/>
      <c r="Q158" s="349" t="s">
        <v>1412</v>
      </c>
      <c r="R158" s="353"/>
      <c r="S158" s="354"/>
      <c r="T158" s="355"/>
      <c r="U158" s="354"/>
      <c r="V158" s="355"/>
      <c r="W158" s="354"/>
      <c r="X158" s="355"/>
      <c r="Y158" s="356">
        <v>1.26</v>
      </c>
      <c r="Z158" s="355"/>
      <c r="AA158" s="356"/>
      <c r="AB158" s="355"/>
      <c r="AC158" s="356"/>
      <c r="AD158" s="357">
        <f t="shared" si="21"/>
        <v>0</v>
      </c>
      <c r="AE158" s="357">
        <f t="shared" si="21"/>
        <v>1.26</v>
      </c>
    </row>
    <row r="159" spans="1:31" s="358" customFormat="1" ht="153" outlineLevel="1" x14ac:dyDescent="0.2">
      <c r="A159" s="350" t="str">
        <f>'Утв. ИП 2014-2019'!A160</f>
        <v>1.1.6.4.7/10</v>
      </c>
      <c r="B159" s="350" t="str">
        <f>'Утв. ИП 2014-2019'!B160</f>
        <v>3.1.38</v>
      </c>
      <c r="C159" s="351" t="str">
        <f>'Утв. ИП 2014-2019'!C160</f>
        <v>Монтаж ячеек №3 и №8 взамен существующих в РУ-6кВ ТП-131, строительство КЛ-6кВ от ТП-131 до РП-26, монтаж панелей №2,4,5 взамен существующих в РУ-0,4кВ ТП-131, строительство КЛ-10кВ от ТП-180 до РП "Центр", реконструкция КЛ-6кВ "ТП-180 - ТП-380" (инв. №345665), монтаж оборудования в ТП-180 взамен существующего (инв. №410102А), монтаж устройства передачи данных (УСПД) по учету электрической энергии в РУ-0,4кВ ТП-131, реконструкция КЛ-6кВ "ТП-16 - ТП-180" (инв. №345423) для электроснабжения многоэтажного жилого здания со встроенными помещениями соцкультбыта по ул.У.Громовой, запитанного от ТП-131; 248 кВт, 380 В, 2 категория</v>
      </c>
      <c r="D159" s="352"/>
      <c r="E159" s="352" t="str">
        <f>'Утв. ИП 2014-2019'!L160</f>
        <v>4,0 км/ 0 МВА</v>
      </c>
      <c r="F159" s="352"/>
      <c r="G159" s="352"/>
      <c r="H159" s="352"/>
      <c r="I159" s="352"/>
      <c r="J159" s="352" t="str">
        <f>'Утв. ИП 2014-2019'!Q160</f>
        <v>4,0 км/ 0 МВА</v>
      </c>
      <c r="K159" s="352"/>
      <c r="L159" s="352"/>
      <c r="M159" s="349"/>
      <c r="N159" s="352"/>
      <c r="O159" s="352"/>
      <c r="P159" s="352"/>
      <c r="Q159" s="349"/>
      <c r="R159" s="353"/>
      <c r="S159" s="354"/>
      <c r="T159" s="355"/>
      <c r="U159" s="354"/>
      <c r="V159" s="355"/>
      <c r="W159" s="356"/>
      <c r="X159" s="355"/>
      <c r="Y159" s="356"/>
      <c r="Z159" s="355"/>
      <c r="AA159" s="356"/>
      <c r="AB159" s="355"/>
      <c r="AC159" s="356"/>
      <c r="AD159" s="357">
        <f t="shared" si="21"/>
        <v>0</v>
      </c>
      <c r="AE159" s="357">
        <f t="shared" si="21"/>
        <v>0</v>
      </c>
    </row>
    <row r="160" spans="1:31" s="358" customFormat="1" ht="63.75" outlineLevel="1" x14ac:dyDescent="0.2">
      <c r="A160" s="350" t="str">
        <f>'Утв. ИП 2014-2019'!A161</f>
        <v>1.1.6.1.12/11</v>
      </c>
      <c r="B160" s="350" t="str">
        <f>'Утв. ИП 2014-2019'!B161</f>
        <v>3.1.39</v>
      </c>
      <c r="C160" s="351" t="str">
        <f>'Утв. ИП 2014-2019'!C161</f>
        <v>Строительство КЛ-6кВ от ТП-43 до ТП-63, монтаж трансформатора в ТП-62 взамен существующего (инв. №41208А), монтаж панели в РУ-0,4 кВ ТП-62 для электроснабжение здания с административными, жилыми помещениями и подземной автостоянкой по ул.Плеханова</v>
      </c>
      <c r="D160" s="352" t="str">
        <f>'Утв. ИП 2014-2019'!K161</f>
        <v xml:space="preserve"> 1 км/1,26 МВА</v>
      </c>
      <c r="E160" s="352"/>
      <c r="F160" s="352"/>
      <c r="G160" s="352"/>
      <c r="H160" s="352"/>
      <c r="I160" s="352"/>
      <c r="J160" s="361" t="str">
        <f>'Утв. ИП 2014-2019'!Q161</f>
        <v xml:space="preserve"> 1 км/1,26 МВА</v>
      </c>
      <c r="K160" s="362" t="s">
        <v>1414</v>
      </c>
      <c r="L160" s="349"/>
      <c r="M160" s="381"/>
      <c r="N160" s="349"/>
      <c r="O160" s="352"/>
      <c r="P160" s="352"/>
      <c r="Q160" s="362" t="s">
        <v>1414</v>
      </c>
      <c r="R160" s="353"/>
      <c r="S160" s="354">
        <v>1.26</v>
      </c>
      <c r="T160" s="355"/>
      <c r="U160" s="354"/>
      <c r="V160" s="355"/>
      <c r="W160" s="356"/>
      <c r="X160" s="355"/>
      <c r="Y160" s="356"/>
      <c r="Z160" s="355"/>
      <c r="AA160" s="356"/>
      <c r="AB160" s="355"/>
      <c r="AC160" s="356"/>
      <c r="AD160" s="357">
        <f t="shared" si="21"/>
        <v>0</v>
      </c>
      <c r="AE160" s="357">
        <f t="shared" si="21"/>
        <v>1.26</v>
      </c>
    </row>
    <row r="161" spans="1:31" s="358" customFormat="1" ht="76.5" outlineLevel="1" x14ac:dyDescent="0.2">
      <c r="A161" s="350" t="str">
        <f>'Утв. ИП 2014-2019'!A162</f>
        <v>1.1.6.1.16/11</v>
      </c>
      <c r="B161" s="350" t="str">
        <f>'Утв. ИП 2014-2019'!B162</f>
        <v>3.1.40</v>
      </c>
      <c r="C161" s="351" t="str">
        <f>'Утв. ИП 2014-2019'!C162</f>
        <v xml:space="preserve">Монтаж вакуумного выключателя в яч.3,4 РУ-6 кВ ТП-36, монтаж силовых трансформаторов в ТП-36 взамен существующих (инв. №41333А, 41984А), монтаж панелей в РУ-0,4 кВ ТП-36, Реконструкция КЛ-0,4 кВ "ТП-36 - ул.Советская,77" (инв. №343507) для электроснабжения нежилого помещения №6 по ул.Советская, д.77 </v>
      </c>
      <c r="D161" s="352"/>
      <c r="E161" s="352" t="str">
        <f>'Утв. ИП 2014-2019'!L162</f>
        <v xml:space="preserve"> 0 км/1,0 МВА</v>
      </c>
      <c r="F161" s="352"/>
      <c r="G161" s="352"/>
      <c r="H161" s="352"/>
      <c r="I161" s="352"/>
      <c r="J161" s="352" t="str">
        <f>'Утв. ИП 2014-2019'!Q162</f>
        <v xml:space="preserve"> 0 км/1,0 МВА</v>
      </c>
      <c r="K161" s="352"/>
      <c r="L161" s="352"/>
      <c r="M161" s="352"/>
      <c r="N161" s="381"/>
      <c r="O161" s="352"/>
      <c r="P161" s="352"/>
      <c r="Q161" s="349"/>
      <c r="R161" s="353"/>
      <c r="S161" s="354"/>
      <c r="T161" s="355"/>
      <c r="U161" s="354"/>
      <c r="V161" s="355"/>
      <c r="W161" s="356"/>
      <c r="X161" s="355"/>
      <c r="Y161" s="356"/>
      <c r="Z161" s="355"/>
      <c r="AA161" s="356"/>
      <c r="AB161" s="355"/>
      <c r="AC161" s="356"/>
      <c r="AD161" s="357">
        <f t="shared" si="21"/>
        <v>0</v>
      </c>
      <c r="AE161" s="357">
        <f t="shared" si="21"/>
        <v>0</v>
      </c>
    </row>
    <row r="162" spans="1:31" s="358" customFormat="1" ht="51" outlineLevel="1" x14ac:dyDescent="0.2">
      <c r="A162" s="350" t="str">
        <f>'Утв. ИП 2014-2019'!A163</f>
        <v>1.1.6.1.38/11</v>
      </c>
      <c r="B162" s="350" t="str">
        <f>'Утв. ИП 2014-2019'!B163</f>
        <v>3.1.41</v>
      </c>
      <c r="C162" s="351" t="str">
        <f>'Утв. ИП 2014-2019'!C163</f>
        <v>Строительство КЛ-10 кВ от ТП-810 до ТП-839а для электроснабжения группы жилых домов с объектами соцкультбыта по адресу: г. Липецк, ул. Фрунзе, запитанного от РУ-10 кВ ТП-810 и ТП-377; 540 кВт, 10 кВ, II категория</v>
      </c>
      <c r="D162" s="352"/>
      <c r="E162" s="352"/>
      <c r="F162" s="352" t="str">
        <f>'Утв. ИП 2014-2019'!M163</f>
        <v>2,0 км/0 МВА</v>
      </c>
      <c r="G162" s="352"/>
      <c r="H162" s="352"/>
      <c r="I162" s="352"/>
      <c r="J162" s="352" t="str">
        <f>'Утв. ИП 2014-2019'!Q163</f>
        <v>2,0 км/0 МВА</v>
      </c>
      <c r="K162" s="349"/>
      <c r="L162" s="352"/>
      <c r="M162" s="349" t="s">
        <v>1414</v>
      </c>
      <c r="N162" s="352"/>
      <c r="O162" s="352"/>
      <c r="P162" s="352"/>
      <c r="Q162" s="349" t="s">
        <v>1414</v>
      </c>
      <c r="R162" s="353"/>
      <c r="S162" s="354"/>
      <c r="T162" s="355"/>
      <c r="U162" s="354"/>
      <c r="V162" s="355"/>
      <c r="W162" s="356">
        <v>0.315</v>
      </c>
      <c r="X162" s="355"/>
      <c r="Y162" s="356"/>
      <c r="Z162" s="355"/>
      <c r="AA162" s="356"/>
      <c r="AB162" s="355"/>
      <c r="AC162" s="356"/>
      <c r="AD162" s="357">
        <f t="shared" si="21"/>
        <v>0</v>
      </c>
      <c r="AE162" s="357">
        <f t="shared" si="21"/>
        <v>0.315</v>
      </c>
    </row>
    <row r="163" spans="1:31" s="358" customFormat="1" ht="63.75" outlineLevel="1" x14ac:dyDescent="0.2">
      <c r="A163" s="350" t="str">
        <f>'Утв. ИП 2014-2019'!A164</f>
        <v>1.1.6.1.43/11</v>
      </c>
      <c r="B163" s="350" t="str">
        <f>'Утв. ИП 2014-2019'!B164</f>
        <v>3.1.42</v>
      </c>
      <c r="C163" s="351" t="str">
        <f>'Утв. ИП 2014-2019'!C164</f>
        <v>Реконструкция ВЛ-0,4 кВ по ул.Бачурина от ТП-713 (инв. №346005) от опоры №19 до опоры №1, строительство КЛ-0,4 кВ от ТП-713 до опоры №19 ВЛ-0,4кВ по ул.Бачурина от ТП-713 для электроснабжения помещения №1 (магазина) по адресу: г.Липецк, ул.Бачурина,1</v>
      </c>
      <c r="D163" s="352" t="str">
        <f>'Утв. ИП 2014-2019'!K164</f>
        <v xml:space="preserve"> 0,5 км/0 МВА</v>
      </c>
      <c r="E163" s="352"/>
      <c r="F163" s="352"/>
      <c r="G163" s="352"/>
      <c r="H163" s="352"/>
      <c r="I163" s="352"/>
      <c r="J163" s="352" t="str">
        <f>'Утв. ИП 2014-2019'!Q164</f>
        <v xml:space="preserve"> 0,5 км/0 МВА</v>
      </c>
      <c r="K163" s="349" t="s">
        <v>1415</v>
      </c>
      <c r="L163" s="349"/>
      <c r="M163" s="349"/>
      <c r="N163" s="352"/>
      <c r="O163" s="352"/>
      <c r="P163" s="352"/>
      <c r="Q163" s="349" t="s">
        <v>1415</v>
      </c>
      <c r="R163" s="353"/>
      <c r="S163" s="354">
        <v>0.63</v>
      </c>
      <c r="T163" s="355"/>
      <c r="U163" s="354"/>
      <c r="V163" s="355"/>
      <c r="W163" s="356"/>
      <c r="X163" s="355"/>
      <c r="Y163" s="356"/>
      <c r="Z163" s="355"/>
      <c r="AA163" s="356"/>
      <c r="AB163" s="355"/>
      <c r="AC163" s="356"/>
      <c r="AD163" s="357">
        <f t="shared" si="21"/>
        <v>0</v>
      </c>
      <c r="AE163" s="357">
        <f t="shared" si="21"/>
        <v>0.63</v>
      </c>
    </row>
    <row r="164" spans="1:31" s="358" customFormat="1" ht="38.25" outlineLevel="1" x14ac:dyDescent="0.2">
      <c r="A164" s="350" t="str">
        <f>'Утв. ИП 2014-2019'!A165</f>
        <v>1.1.6.1.44/11</v>
      </c>
      <c r="B164" s="350" t="str">
        <f>'Утв. ИП 2014-2019'!B165</f>
        <v>3.1.43</v>
      </c>
      <c r="C164" s="351" t="str">
        <f>'Утв. ИП 2014-2019'!C165</f>
        <v>Монтаж прибора учета в РУ-0,4кВ ТП-506 для электроснабжения встроенного нежилого помещения №2 по адресу: г.Липецк, пр.Мира, д.5</v>
      </c>
      <c r="D164" s="352" t="str">
        <f>'Утв. ИП 2014-2019'!K165</f>
        <v xml:space="preserve"> 0 км/0 МВА</v>
      </c>
      <c r="E164" s="352"/>
      <c r="F164" s="352"/>
      <c r="G164" s="352"/>
      <c r="H164" s="352"/>
      <c r="I164" s="352"/>
      <c r="J164" s="352" t="str">
        <f>'Утв. ИП 2014-2019'!Q165</f>
        <v xml:space="preserve"> 0 км/0 МВА</v>
      </c>
      <c r="K164" s="349"/>
      <c r="L164" s="352"/>
      <c r="M164" s="352"/>
      <c r="N164" s="352"/>
      <c r="O164" s="352"/>
      <c r="P164" s="352"/>
      <c r="Q164" s="349"/>
      <c r="R164" s="353"/>
      <c r="S164" s="354"/>
      <c r="T164" s="355"/>
      <c r="U164" s="354"/>
      <c r="V164" s="355"/>
      <c r="W164" s="356"/>
      <c r="X164" s="355"/>
      <c r="Y164" s="356"/>
      <c r="Z164" s="355"/>
      <c r="AA164" s="356"/>
      <c r="AB164" s="355"/>
      <c r="AC164" s="356"/>
      <c r="AD164" s="357">
        <f t="shared" si="21"/>
        <v>0</v>
      </c>
      <c r="AE164" s="357">
        <f t="shared" si="21"/>
        <v>0</v>
      </c>
    </row>
    <row r="165" spans="1:31" s="358" customFormat="1" ht="63.75" outlineLevel="1" x14ac:dyDescent="0.2">
      <c r="A165" s="350" t="str">
        <f>'Утв. ИП 2014-2019'!A166</f>
        <v>1.1.6.1.49/11</v>
      </c>
      <c r="B165" s="350" t="str">
        <f>'Утв. ИП 2014-2019'!B166</f>
        <v>3.1.44</v>
      </c>
      <c r="C165" s="351" t="str">
        <f>'Утв. ИП 2014-2019'!C166</f>
        <v>Реконструкция ВЛ -6кВ "ПС "Тепличная" , яч. №6 - ТП-316" ( с отпайкой на ТП-397) ( инв. №340060), монтаж вакуумного реклоузера, монтаж высоковольтного пункта коммерческого учета электрической энергии для электроснабжения СНТ "Березка" по адресу: ОПХ "Липецкое" Липецкого района</v>
      </c>
      <c r="D165" s="352"/>
      <c r="E165" s="352" t="str">
        <f>'Утв. ИП 2014-2019'!L166</f>
        <v xml:space="preserve"> 2,5км/0 МВА</v>
      </c>
      <c r="F165" s="352"/>
      <c r="G165" s="352"/>
      <c r="H165" s="352"/>
      <c r="I165" s="352"/>
      <c r="J165" s="352" t="str">
        <f>'Утв. ИП 2014-2019'!Q166</f>
        <v xml:space="preserve"> 2,5км/0 МВА</v>
      </c>
      <c r="K165" s="352"/>
      <c r="L165" s="352"/>
      <c r="M165" s="349"/>
      <c r="N165" s="352"/>
      <c r="O165" s="352"/>
      <c r="P165" s="352"/>
      <c r="Q165" s="349"/>
      <c r="R165" s="353"/>
      <c r="S165" s="354"/>
      <c r="T165" s="355"/>
      <c r="U165" s="354"/>
      <c r="V165" s="355"/>
      <c r="W165" s="356"/>
      <c r="X165" s="355"/>
      <c r="Y165" s="356"/>
      <c r="Z165" s="355"/>
      <c r="AA165" s="356"/>
      <c r="AB165" s="355"/>
      <c r="AC165" s="356"/>
      <c r="AD165" s="357">
        <f t="shared" si="21"/>
        <v>0</v>
      </c>
      <c r="AE165" s="357">
        <f t="shared" si="21"/>
        <v>0</v>
      </c>
    </row>
    <row r="166" spans="1:31" s="358" customFormat="1" ht="51" outlineLevel="1" x14ac:dyDescent="0.2">
      <c r="A166" s="350" t="str">
        <f>'Утв. ИП 2014-2019'!A167</f>
        <v>1.1.6.1.51/11</v>
      </c>
      <c r="B166" s="350" t="str">
        <f>'Утв. ИП 2014-2019'!B167</f>
        <v>3.1.45</v>
      </c>
      <c r="C166" s="351" t="str">
        <f>'Утв. ИП 2014-2019'!C167</f>
        <v>Монтаж вводно-линейной панели в РУ-0,4 кВ КТП-619, монтаж устройства передачи данных (УСПД) по учету электрической энергии для электроснабжения столовой с овощехранилищем по адресу: г.Липецк, ул.Подгоренская,д.51</v>
      </c>
      <c r="D166" s="352" t="str">
        <f>'Утв. ИП 2014-2019'!K167</f>
        <v xml:space="preserve"> 0 км/0 МВА</v>
      </c>
      <c r="E166" s="352"/>
      <c r="F166" s="352"/>
      <c r="G166" s="352"/>
      <c r="H166" s="352"/>
      <c r="I166" s="352"/>
      <c r="J166" s="352" t="str">
        <f>'Утв. ИП 2014-2019'!Q167</f>
        <v xml:space="preserve"> 0 км/0 МВА</v>
      </c>
      <c r="K166" s="352"/>
      <c r="L166" s="352"/>
      <c r="M166" s="349"/>
      <c r="N166" s="352"/>
      <c r="O166" s="352"/>
      <c r="P166" s="352"/>
      <c r="Q166" s="349"/>
      <c r="R166" s="353"/>
      <c r="S166" s="354"/>
      <c r="T166" s="355"/>
      <c r="U166" s="354"/>
      <c r="V166" s="355"/>
      <c r="W166" s="356"/>
      <c r="X166" s="355"/>
      <c r="Y166" s="356"/>
      <c r="Z166" s="355"/>
      <c r="AA166" s="356"/>
      <c r="AB166" s="355"/>
      <c r="AC166" s="356"/>
      <c r="AD166" s="357">
        <f t="shared" si="21"/>
        <v>0</v>
      </c>
      <c r="AE166" s="357">
        <f t="shared" si="21"/>
        <v>0</v>
      </c>
    </row>
    <row r="167" spans="1:31" s="358" customFormat="1" ht="38.25" outlineLevel="1" x14ac:dyDescent="0.2">
      <c r="A167" s="350" t="str">
        <f>'Утв. ИП 2014-2019'!A168</f>
        <v>1.1.6.1.10/12</v>
      </c>
      <c r="B167" s="350" t="str">
        <f>'Утв. ИП 2014-2019'!B168</f>
        <v>3.1.46</v>
      </c>
      <c r="C167" s="351" t="str">
        <f>'Утв. ИП 2014-2019'!C168</f>
        <v>Монтаж оборудования в РУ-0,4кВ ТП-278 для электроснабжения медицинского центра по адресу: г. Липецк, ул. Московская в районе областной детской больницы</v>
      </c>
      <c r="D167" s="352" t="str">
        <f>'Утв. ИП 2014-2019'!K168</f>
        <v xml:space="preserve"> 0 км/0 МВА</v>
      </c>
      <c r="E167" s="352"/>
      <c r="F167" s="352"/>
      <c r="G167" s="352"/>
      <c r="H167" s="352"/>
      <c r="I167" s="352"/>
      <c r="J167" s="352" t="str">
        <f>'Утв. ИП 2014-2019'!Q168</f>
        <v xml:space="preserve"> 0 км/0 МВА</v>
      </c>
      <c r="K167" s="352"/>
      <c r="L167" s="352"/>
      <c r="M167" s="349"/>
      <c r="N167" s="352"/>
      <c r="O167" s="352"/>
      <c r="P167" s="352"/>
      <c r="Q167" s="349"/>
      <c r="R167" s="353"/>
      <c r="S167" s="354"/>
      <c r="T167" s="355"/>
      <c r="U167" s="354"/>
      <c r="V167" s="355"/>
      <c r="W167" s="356"/>
      <c r="X167" s="355"/>
      <c r="Y167" s="356"/>
      <c r="Z167" s="355"/>
      <c r="AA167" s="356"/>
      <c r="AB167" s="355"/>
      <c r="AC167" s="356"/>
      <c r="AD167" s="357">
        <f t="shared" si="21"/>
        <v>0</v>
      </c>
      <c r="AE167" s="357">
        <f t="shared" si="21"/>
        <v>0</v>
      </c>
    </row>
    <row r="168" spans="1:31" s="358" customFormat="1" ht="76.5" outlineLevel="1" x14ac:dyDescent="0.2">
      <c r="A168" s="350" t="str">
        <f>'Утв. ИП 2014-2019'!A169</f>
        <v>1.1.6.1.12/12</v>
      </c>
      <c r="B168" s="350" t="str">
        <f>'Утв. ИП 2014-2019'!B169</f>
        <v>3.1.47</v>
      </c>
      <c r="C168" s="351" t="str">
        <f>'Утв. ИП 2014-2019'!C169</f>
        <v>Реконструкция ВЛ-6кВ ПС "Бугор", яч.№25 - ТП-368; ПС "Бугор", яч.№26 - ТП-368 (инв. №340006), реконструкция КЛ-6кВ от ТП-368 (инв. №345652), реконструкция оборудования ТП-368 (инв.№400749) для электроснабжения многоэтажного жилого дома с объектами соцкультбыта по адресу: г. Липецк, пр. Победы</v>
      </c>
      <c r="D168" s="352"/>
      <c r="E168" s="352"/>
      <c r="F168" s="352"/>
      <c r="G168" s="352" t="str">
        <f>'Утв. ИП 2014-2019'!N169</f>
        <v>4,1 км/ 0 МВА</v>
      </c>
      <c r="H168" s="352"/>
      <c r="I168" s="352"/>
      <c r="J168" s="352" t="str">
        <f>'Утв. ИП 2014-2019'!Q169</f>
        <v>4,1 км/ 0 МВА</v>
      </c>
      <c r="K168" s="349"/>
      <c r="L168" s="352"/>
      <c r="M168" s="352"/>
      <c r="N168" s="352"/>
      <c r="O168" s="352"/>
      <c r="P168" s="352"/>
      <c r="Q168" s="349"/>
      <c r="R168" s="353"/>
      <c r="S168" s="354"/>
      <c r="T168" s="355"/>
      <c r="U168" s="354"/>
      <c r="V168" s="355"/>
      <c r="W168" s="356"/>
      <c r="X168" s="355"/>
      <c r="Y168" s="356"/>
      <c r="Z168" s="355"/>
      <c r="AA168" s="356"/>
      <c r="AB168" s="355"/>
      <c r="AC168" s="356"/>
      <c r="AD168" s="357">
        <f t="shared" si="21"/>
        <v>0</v>
      </c>
      <c r="AE168" s="357">
        <f t="shared" si="21"/>
        <v>0</v>
      </c>
    </row>
    <row r="169" spans="1:31" s="358" customFormat="1" ht="38.25" outlineLevel="1" x14ac:dyDescent="0.2">
      <c r="A169" s="350" t="str">
        <f>'Утв. ИП 2014-2019'!A170</f>
        <v>1.1.6.1.14/12</v>
      </c>
      <c r="B169" s="350" t="str">
        <f>'Утв. ИП 2014-2019'!B170</f>
        <v>3.1.48</v>
      </c>
      <c r="C169" s="351" t="str">
        <f>'Утв. ИП 2014-2019'!C170</f>
        <v>Реконструкция КЛ-0,4 кВ "ТП-107 - ул. Гагарина, д. 60 "а" для электроснабжения здания лабораторного корпуса по адресу: г. Липецк, ул. Гагарина, д. 60 "а" (инв. № 341211)</v>
      </c>
      <c r="D169" s="352" t="str">
        <f>'Утв. ИП 2014-2019'!K170</f>
        <v xml:space="preserve"> 0,1 км/0 МВА</v>
      </c>
      <c r="E169" s="352"/>
      <c r="F169" s="352"/>
      <c r="G169" s="352"/>
      <c r="H169" s="352"/>
      <c r="I169" s="352"/>
      <c r="J169" s="352" t="str">
        <f>'Утв. ИП 2014-2019'!Q170</f>
        <v xml:space="preserve"> 0,1 км/0 МВА</v>
      </c>
      <c r="K169" s="352"/>
      <c r="L169" s="352"/>
      <c r="M169" s="349"/>
      <c r="N169" s="352"/>
      <c r="O169" s="352"/>
      <c r="P169" s="352"/>
      <c r="Q169" s="349"/>
      <c r="R169" s="353"/>
      <c r="S169" s="354"/>
      <c r="T169" s="355"/>
      <c r="U169" s="354"/>
      <c r="V169" s="355"/>
      <c r="W169" s="356"/>
      <c r="X169" s="355"/>
      <c r="Y169" s="356"/>
      <c r="Z169" s="355"/>
      <c r="AA169" s="356"/>
      <c r="AB169" s="355"/>
      <c r="AC169" s="356"/>
      <c r="AD169" s="357">
        <f t="shared" si="21"/>
        <v>0</v>
      </c>
      <c r="AE169" s="357">
        <f t="shared" si="21"/>
        <v>0</v>
      </c>
    </row>
    <row r="170" spans="1:31" s="358" customFormat="1" ht="25.5" outlineLevel="1" x14ac:dyDescent="0.2">
      <c r="A170" s="350" t="str">
        <f>'Утв. ИП 2014-2019'!A171</f>
        <v>1.1.6.1.16/12</v>
      </c>
      <c r="B170" s="350" t="str">
        <f>'Утв. ИП 2014-2019'!B171</f>
        <v>3.1.49</v>
      </c>
      <c r="C170" s="351" t="str">
        <f>'Утв. ИП 2014-2019'!C171</f>
        <v>Монтаж УСПД в ТП-283 для электроснабжения магазина по адресу: г. Липецк, пр. 60 лет СССР, д. 2</v>
      </c>
      <c r="D170" s="352" t="str">
        <f>'Утв. ИП 2014-2019'!K171</f>
        <v xml:space="preserve"> 0 км/0 МВА</v>
      </c>
      <c r="E170" s="352"/>
      <c r="F170" s="352"/>
      <c r="G170" s="352"/>
      <c r="H170" s="352"/>
      <c r="I170" s="352"/>
      <c r="J170" s="352" t="str">
        <f>'Утв. ИП 2014-2019'!Q171</f>
        <v xml:space="preserve"> 0 км/0 МВА</v>
      </c>
      <c r="K170" s="352"/>
      <c r="L170" s="352"/>
      <c r="M170" s="349"/>
      <c r="N170" s="349"/>
      <c r="O170" s="352"/>
      <c r="P170" s="352"/>
      <c r="Q170" s="349"/>
      <c r="R170" s="353"/>
      <c r="S170" s="354"/>
      <c r="T170" s="355"/>
      <c r="U170" s="354"/>
      <c r="V170" s="355"/>
      <c r="W170" s="356"/>
      <c r="X170" s="355"/>
      <c r="Y170" s="356"/>
      <c r="Z170" s="355"/>
      <c r="AA170" s="356"/>
      <c r="AB170" s="355"/>
      <c r="AC170" s="356"/>
      <c r="AD170" s="357">
        <f t="shared" si="21"/>
        <v>0</v>
      </c>
      <c r="AE170" s="357">
        <f t="shared" si="21"/>
        <v>0</v>
      </c>
    </row>
    <row r="171" spans="1:31" s="358" customFormat="1" ht="63.75" outlineLevel="1" x14ac:dyDescent="0.2">
      <c r="A171" s="350" t="str">
        <f>'Утв. ИП 2014-2019'!A172</f>
        <v>1.1.6.1.21/12</v>
      </c>
      <c r="B171" s="350" t="str">
        <f>'Утв. ИП 2014-2019'!B172</f>
        <v>3.1.50</v>
      </c>
      <c r="C171" s="351" t="str">
        <f>'Утв. ИП 2014-2019'!C172</f>
        <v xml:space="preserve">Реконструкция оборудования РУ-0,4 кВ КТП-571 (инв. № 340408), реконструкция узла учета в КТП-571 (инв. № 414089) для электроснабжения магазина продовольственных и непродовольственных товаров по адресу: г. Липецк, 
ул. Владимирская, район д. № 42 </v>
      </c>
      <c r="D171" s="352" t="str">
        <f>'Утв. ИП 2014-2019'!K172</f>
        <v xml:space="preserve"> 0 км/0 МВА</v>
      </c>
      <c r="E171" s="352"/>
      <c r="F171" s="352"/>
      <c r="G171" s="352"/>
      <c r="H171" s="352"/>
      <c r="I171" s="352"/>
      <c r="J171" s="352" t="str">
        <f>'Утв. ИП 2014-2019'!Q172</f>
        <v xml:space="preserve"> 0 км/0 МВА</v>
      </c>
      <c r="K171" s="349"/>
      <c r="L171" s="352"/>
      <c r="M171" s="352"/>
      <c r="N171" s="352"/>
      <c r="O171" s="352"/>
      <c r="P171" s="352"/>
      <c r="Q171" s="349"/>
      <c r="R171" s="353"/>
      <c r="S171" s="354"/>
      <c r="T171" s="355"/>
      <c r="U171" s="354"/>
      <c r="V171" s="355"/>
      <c r="W171" s="356"/>
      <c r="X171" s="355"/>
      <c r="Y171" s="356"/>
      <c r="Z171" s="355"/>
      <c r="AA171" s="356"/>
      <c r="AB171" s="355"/>
      <c r="AC171" s="356"/>
      <c r="AD171" s="357">
        <f t="shared" si="21"/>
        <v>0</v>
      </c>
      <c r="AE171" s="357">
        <f t="shared" si="21"/>
        <v>0</v>
      </c>
    </row>
    <row r="172" spans="1:31" s="358" customFormat="1" ht="63.75" outlineLevel="1" x14ac:dyDescent="0.2">
      <c r="A172" s="350" t="str">
        <f>'Утв. ИП 2014-2019'!A173</f>
        <v>1.1.6.1.30/12</v>
      </c>
      <c r="B172" s="350" t="str">
        <f>'Утв. ИП 2014-2019'!B173</f>
        <v>3.1.51</v>
      </c>
      <c r="C172" s="351" t="str">
        <f>'Утв. ИП 2014-2019'!C173</f>
        <v>Монтаж оборудования в РУ-0,4кВ КТП-91, монтаж узла учета в РУ-0,4кВ КТП-91, строительство ВЛ-0,4кВ от КТП-91 до потребителей в СНТ "Тракторостроитель-1" для электроснабжения садовых домиков в СНТ "Тракторостроитель-1".</v>
      </c>
      <c r="D172" s="352" t="str">
        <f>'Утв. ИП 2014-2019'!K173</f>
        <v xml:space="preserve"> 0 км/0 МВА</v>
      </c>
      <c r="E172" s="352"/>
      <c r="F172" s="352"/>
      <c r="G172" s="352"/>
      <c r="H172" s="352"/>
      <c r="I172" s="352"/>
      <c r="J172" s="352" t="str">
        <f>'Утв. ИП 2014-2019'!Q173</f>
        <v xml:space="preserve"> 0 км/0 МВА</v>
      </c>
      <c r="K172" s="352"/>
      <c r="L172" s="352"/>
      <c r="M172" s="349"/>
      <c r="N172" s="352"/>
      <c r="O172" s="352"/>
      <c r="P172" s="352"/>
      <c r="Q172" s="349"/>
      <c r="R172" s="353"/>
      <c r="S172" s="354"/>
      <c r="T172" s="355"/>
      <c r="U172" s="354"/>
      <c r="V172" s="355"/>
      <c r="W172" s="356"/>
      <c r="X172" s="355"/>
      <c r="Y172" s="356"/>
      <c r="Z172" s="355"/>
      <c r="AA172" s="356"/>
      <c r="AB172" s="355"/>
      <c r="AC172" s="356"/>
      <c r="AD172" s="357">
        <f t="shared" si="21"/>
        <v>0</v>
      </c>
      <c r="AE172" s="357">
        <f t="shared" si="21"/>
        <v>0</v>
      </c>
    </row>
    <row r="173" spans="1:31" s="358" customFormat="1" ht="51" outlineLevel="1" x14ac:dyDescent="0.2">
      <c r="A173" s="350" t="str">
        <f>'Утв. ИП 2014-2019'!A174</f>
        <v>1.1.6.1.31/12</v>
      </c>
      <c r="B173" s="350" t="str">
        <f>'Утв. ИП 2014-2019'!B174</f>
        <v>3.1.52</v>
      </c>
      <c r="C173" s="351" t="str">
        <f>'Утв. ИП 2014-2019'!C174</f>
        <v>Монтаж оборудования в РУ-0,4кВ ТП-618, Монтаж узла учета в РУ-0,4кВ ТП-618 для электроснабжения производственно-технологического помещения по адресу: г. Липецк, ул. Прудная, 1</v>
      </c>
      <c r="D173" s="352" t="str">
        <f>'Утв. ИП 2014-2019'!K174</f>
        <v xml:space="preserve"> 0 км/0 МВА</v>
      </c>
      <c r="E173" s="352"/>
      <c r="F173" s="352"/>
      <c r="G173" s="352"/>
      <c r="H173" s="352"/>
      <c r="I173" s="352"/>
      <c r="J173" s="352" t="str">
        <f>'Утв. ИП 2014-2019'!Q174</f>
        <v xml:space="preserve"> 0 км/0 МВА</v>
      </c>
      <c r="K173" s="352"/>
      <c r="L173" s="352"/>
      <c r="M173" s="349"/>
      <c r="N173" s="352"/>
      <c r="O173" s="352"/>
      <c r="P173" s="352"/>
      <c r="Q173" s="349"/>
      <c r="R173" s="353"/>
      <c r="S173" s="354"/>
      <c r="T173" s="355"/>
      <c r="U173" s="354"/>
      <c r="V173" s="355"/>
      <c r="W173" s="356"/>
      <c r="X173" s="355"/>
      <c r="Y173" s="356"/>
      <c r="Z173" s="355"/>
      <c r="AA173" s="356"/>
      <c r="AB173" s="355"/>
      <c r="AC173" s="356"/>
      <c r="AD173" s="357">
        <f t="shared" si="21"/>
        <v>0</v>
      </c>
      <c r="AE173" s="357">
        <f t="shared" si="21"/>
        <v>0</v>
      </c>
    </row>
    <row r="174" spans="1:31" s="358" customFormat="1" ht="89.25" outlineLevel="1" x14ac:dyDescent="0.2">
      <c r="A174" s="350" t="str">
        <f>'Утв. ИП 2014-2019'!A175</f>
        <v>1.1.6.1.33/12</v>
      </c>
      <c r="B174" s="350" t="str">
        <f>'Утв. ИП 2014-2019'!B175</f>
        <v>3.1.53</v>
      </c>
      <c r="C174" s="351" t="str">
        <f>'Утв. ИП 2014-2019'!C175</f>
        <v>Монтаж оборудования в РУ-10 кВ РП-15, монтаж оборудования в РУ-10 кВ ТП-555, строительство КЛ-10кВ от РП-15, яч.13 до ТП-555, строительство КЛ-10кВ от РП-15, яч.14 до ТП-555, монтаж узла учета в РУ-10кВ РП-15 для электроснабжения основной пристройки к административно-бытовому комплексу по адресу: г. Липецк, проезд Осенний, владение 1г.</v>
      </c>
      <c r="D174" s="352"/>
      <c r="E174" s="352"/>
      <c r="F174" s="352" t="str">
        <f>'Утв. ИП 2014-2019'!M175</f>
        <v>1,5 км/ 0 МВА</v>
      </c>
      <c r="G174" s="352"/>
      <c r="H174" s="352"/>
      <c r="I174" s="352"/>
      <c r="J174" s="352" t="str">
        <f>'Утв. ИП 2014-2019'!Q175</f>
        <v>1,5 км/ 0 МВА</v>
      </c>
      <c r="K174" s="352"/>
      <c r="L174" s="352"/>
      <c r="M174" s="349"/>
      <c r="N174" s="352"/>
      <c r="O174" s="352"/>
      <c r="P174" s="352"/>
      <c r="Q174" s="349"/>
      <c r="R174" s="353"/>
      <c r="S174" s="354"/>
      <c r="T174" s="355"/>
      <c r="U174" s="354"/>
      <c r="V174" s="355"/>
      <c r="W174" s="356"/>
      <c r="X174" s="355"/>
      <c r="Y174" s="356"/>
      <c r="Z174" s="355"/>
      <c r="AA174" s="356"/>
      <c r="AB174" s="355"/>
      <c r="AC174" s="356"/>
      <c r="AD174" s="357">
        <f t="shared" si="21"/>
        <v>0</v>
      </c>
      <c r="AE174" s="357">
        <f t="shared" si="21"/>
        <v>0</v>
      </c>
    </row>
    <row r="175" spans="1:31" s="358" customFormat="1" ht="63.75" outlineLevel="1" x14ac:dyDescent="0.2">
      <c r="A175" s="350" t="str">
        <f>'Утв. ИП 2014-2019'!A176</f>
        <v xml:space="preserve">1.1.6.1.44/12 </v>
      </c>
      <c r="B175" s="350" t="str">
        <f>'Утв. ИП 2014-2019'!B176</f>
        <v>3.1.54</v>
      </c>
      <c r="C175" s="351" t="str">
        <f>'Утв. ИП 2014-2019'!C176</f>
        <v>Монтаж оборудования в РУ-10 кВ РП-32 и монтаж узла учета в РУ-10 кВ в РП-32 для электроснабжения комплекса зданий и сооружений, связанных с организацией отдыха на воде по адресу: г. Липецк, прибрежная зона реки Воронеж по ул. 50 лет НЛМК</v>
      </c>
      <c r="D175" s="352" t="str">
        <f>'Утв. ИП 2014-2019'!K176</f>
        <v>0 км/0 МВА</v>
      </c>
      <c r="E175" s="352"/>
      <c r="F175" s="352" t="str">
        <f>'Утв. ИП 2014-2019'!M176</f>
        <v xml:space="preserve"> </v>
      </c>
      <c r="G175" s="352"/>
      <c r="H175" s="352"/>
      <c r="I175" s="352"/>
      <c r="J175" s="352" t="str">
        <f>'Утв. ИП 2014-2019'!Q176</f>
        <v xml:space="preserve"> 0 км/0 МВА</v>
      </c>
      <c r="K175" s="352"/>
      <c r="L175" s="352"/>
      <c r="M175" s="349"/>
      <c r="N175" s="352"/>
      <c r="O175" s="352"/>
      <c r="P175" s="352"/>
      <c r="Q175" s="349"/>
      <c r="R175" s="353"/>
      <c r="S175" s="354"/>
      <c r="T175" s="355"/>
      <c r="U175" s="354"/>
      <c r="V175" s="355"/>
      <c r="W175" s="356"/>
      <c r="X175" s="355"/>
      <c r="Y175" s="356"/>
      <c r="Z175" s="355"/>
      <c r="AA175" s="356"/>
      <c r="AB175" s="355"/>
      <c r="AC175" s="356"/>
      <c r="AD175" s="357">
        <f t="shared" si="21"/>
        <v>0</v>
      </c>
      <c r="AE175" s="357">
        <f t="shared" si="21"/>
        <v>0</v>
      </c>
    </row>
    <row r="176" spans="1:31" s="358" customFormat="1" ht="114.75" outlineLevel="1" x14ac:dyDescent="0.2">
      <c r="A176" s="350" t="str">
        <f>'Утв. ИП 2014-2019'!A177</f>
        <v>1.1.6.1.53/12</v>
      </c>
      <c r="B176" s="350" t="str">
        <f>'Утв. ИП 2014-2019'!B177</f>
        <v>3.1.55</v>
      </c>
      <c r="C176" s="351" t="str">
        <f>'Утв. ИП 2014-2019'!C177</f>
        <v>Монтаж трансформатора № 1 в ТП-143 взамен существующего (инв. № 41298А), монтаж трансформатора № 2 в ТП-143 взамен существующего (инв. № 41299А), монтаж оборудования в РУ-0,4 кВ ТП-143, монтаж узла учета в РУ-0,4 кВ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и сносом существующего здания магазина с пристройками по адресу: г. Липецк, ул. Юных Натуралистов, 7 А</v>
      </c>
      <c r="D176" s="352" t="str">
        <f>'Утв. ИП 2014-2019'!K177</f>
        <v>0,0 км/ 1,26 МВА</v>
      </c>
      <c r="E176" s="352"/>
      <c r="F176" s="352"/>
      <c r="G176" s="352"/>
      <c r="H176" s="352"/>
      <c r="I176" s="352"/>
      <c r="J176" s="352" t="str">
        <f>'Утв. ИП 2014-2019'!Q177</f>
        <v>0,0 км/ 1,26 МВА</v>
      </c>
      <c r="K176" s="349" t="s">
        <v>1413</v>
      </c>
      <c r="L176" s="352"/>
      <c r="M176" s="352"/>
      <c r="N176" s="352"/>
      <c r="O176" s="352"/>
      <c r="P176" s="352"/>
      <c r="Q176" s="349" t="str">
        <f>K176</f>
        <v>0,8 МВА</v>
      </c>
      <c r="R176" s="353"/>
      <c r="S176" s="354">
        <v>0.8</v>
      </c>
      <c r="T176" s="355"/>
      <c r="U176" s="354"/>
      <c r="V176" s="355"/>
      <c r="W176" s="356"/>
      <c r="X176" s="355"/>
      <c r="Y176" s="356"/>
      <c r="Z176" s="355"/>
      <c r="AA176" s="356"/>
      <c r="AB176" s="355"/>
      <c r="AC176" s="356"/>
      <c r="AD176" s="357">
        <f t="shared" si="21"/>
        <v>0</v>
      </c>
      <c r="AE176" s="357">
        <f t="shared" si="21"/>
        <v>0.8</v>
      </c>
    </row>
    <row r="177" spans="1:31" s="358" customFormat="1" ht="51" outlineLevel="1" x14ac:dyDescent="0.2">
      <c r="A177" s="350" t="str">
        <f>'Утв. ИП 2014-2019'!A178</f>
        <v>1.1.6.1.57/12</v>
      </c>
      <c r="B177" s="350" t="str">
        <f>'Утв. ИП 2014-2019'!B178</f>
        <v>3.1.56</v>
      </c>
      <c r="C177" s="351" t="str">
        <f>'Утв. ИП 2014-2019'!C178</f>
        <v>Реконструкция узла учета в ТП-630 (инв. № 414063) для электроснабжения здания магазина продовольственных товаров по адресу: г. Липецк, пос. Матырский, в районе пересечения ул. Надежды и пер. Каштанового</v>
      </c>
      <c r="D177" s="352" t="str">
        <f>'Утв. ИП 2014-2019'!K178</f>
        <v xml:space="preserve"> 0 км/0 МВА</v>
      </c>
      <c r="E177" s="352"/>
      <c r="F177" s="352"/>
      <c r="G177" s="352"/>
      <c r="H177" s="352"/>
      <c r="I177" s="352"/>
      <c r="J177" s="352" t="str">
        <f>'Утв. ИП 2014-2019'!Q178</f>
        <v xml:space="preserve"> 0 км/0 МВА</v>
      </c>
      <c r="K177" s="352"/>
      <c r="L177" s="352"/>
      <c r="M177" s="349"/>
      <c r="N177" s="352"/>
      <c r="O177" s="352"/>
      <c r="P177" s="352"/>
      <c r="Q177" s="349"/>
      <c r="R177" s="353"/>
      <c r="S177" s="354"/>
      <c r="T177" s="355"/>
      <c r="U177" s="354"/>
      <c r="V177" s="355"/>
      <c r="W177" s="356"/>
      <c r="X177" s="355"/>
      <c r="Y177" s="356"/>
      <c r="Z177" s="355"/>
      <c r="AA177" s="356"/>
      <c r="AB177" s="355"/>
      <c r="AC177" s="356"/>
      <c r="AD177" s="357">
        <f t="shared" si="21"/>
        <v>0</v>
      </c>
      <c r="AE177" s="357">
        <f t="shared" si="21"/>
        <v>0</v>
      </c>
    </row>
    <row r="178" spans="1:31" s="358" customFormat="1" ht="63.75" outlineLevel="1" x14ac:dyDescent="0.2">
      <c r="A178" s="350" t="str">
        <f>'Утв. ИП 2014-2019'!A179</f>
        <v>1.1.6.1.72/12</v>
      </c>
      <c r="B178" s="350" t="str">
        <f>'Утв. ИП 2014-2019'!B179</f>
        <v>3.1.57</v>
      </c>
      <c r="C178" s="351" t="str">
        <f>'Утв. ИП 2014-2019'!C179</f>
        <v>Монтаж оборудования в РУ-10 кВ РП-33, монтаж узла учета в РУ-10 кВ РП-33 для электроснабжения здания КНС для 7-го жилого района в составе объекта: "Многофункциональный спортивный комплекс" по адресу: г. Липецк, Молодежный парк по ул. Леонтия Кривенкова</v>
      </c>
      <c r="D178" s="352" t="str">
        <f>'Утв. ИП 2014-2019'!K179</f>
        <v xml:space="preserve"> 0 км/0,0 МВА</v>
      </c>
      <c r="E178" s="352"/>
      <c r="F178" s="352"/>
      <c r="G178" s="352"/>
      <c r="H178" s="352"/>
      <c r="I178" s="352"/>
      <c r="J178" s="352" t="str">
        <f>'Утв. ИП 2014-2019'!Q179</f>
        <v xml:space="preserve"> 0 км/0,0 МВА</v>
      </c>
      <c r="K178" s="349" t="s">
        <v>1413</v>
      </c>
      <c r="L178" s="352"/>
      <c r="M178" s="349"/>
      <c r="N178" s="352"/>
      <c r="O178" s="352"/>
      <c r="P178" s="352"/>
      <c r="Q178" s="349" t="s">
        <v>1413</v>
      </c>
      <c r="R178" s="353"/>
      <c r="S178" s="354">
        <v>0.8</v>
      </c>
      <c r="T178" s="355"/>
      <c r="U178" s="354"/>
      <c r="V178" s="355"/>
      <c r="W178" s="356"/>
      <c r="X178" s="355"/>
      <c r="Y178" s="356"/>
      <c r="Z178" s="355"/>
      <c r="AA178" s="356"/>
      <c r="AB178" s="355"/>
      <c r="AC178" s="356"/>
      <c r="AD178" s="357">
        <f t="shared" si="21"/>
        <v>0</v>
      </c>
      <c r="AE178" s="357">
        <f t="shared" si="21"/>
        <v>0.8</v>
      </c>
    </row>
    <row r="179" spans="1:31" s="358" customFormat="1" ht="51" outlineLevel="1" x14ac:dyDescent="0.2">
      <c r="A179" s="350" t="str">
        <f>'Утв. ИП 2014-2019'!A180</f>
        <v>1.1.6.1.74/12</v>
      </c>
      <c r="B179" s="350" t="str">
        <f>'Утв. ИП 2014-2019'!B180</f>
        <v>3.1.58</v>
      </c>
      <c r="C179" s="351" t="str">
        <f>'Утв. ИП 2014-2019'!C180</f>
        <v>Монтаж оборудования в РУ-0,4 кВ ТП-580,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v>
      </c>
      <c r="D179" s="352" t="str">
        <f>'Утв. ИП 2014-2019'!K180</f>
        <v xml:space="preserve"> 0 км/0 МВА</v>
      </c>
      <c r="E179" s="352"/>
      <c r="F179" s="352"/>
      <c r="G179" s="352"/>
      <c r="H179" s="352"/>
      <c r="I179" s="352"/>
      <c r="J179" s="352" t="str">
        <f>'Утв. ИП 2014-2019'!Q180</f>
        <v xml:space="preserve"> 0 км/0 МВА</v>
      </c>
      <c r="K179" s="352"/>
      <c r="L179" s="352"/>
      <c r="M179" s="349"/>
      <c r="N179" s="352"/>
      <c r="O179" s="352"/>
      <c r="P179" s="352"/>
      <c r="Q179" s="349"/>
      <c r="R179" s="353"/>
      <c r="S179" s="354"/>
      <c r="T179" s="355"/>
      <c r="U179" s="354"/>
      <c r="V179" s="355"/>
      <c r="W179" s="356"/>
      <c r="X179" s="355"/>
      <c r="Y179" s="356"/>
      <c r="Z179" s="355"/>
      <c r="AA179" s="356"/>
      <c r="AB179" s="355"/>
      <c r="AC179" s="356"/>
      <c r="AD179" s="357">
        <f t="shared" si="21"/>
        <v>0</v>
      </c>
      <c r="AE179" s="357">
        <f t="shared" si="21"/>
        <v>0</v>
      </c>
    </row>
    <row r="180" spans="1:31" s="358" customFormat="1" ht="51" outlineLevel="1" x14ac:dyDescent="0.2">
      <c r="A180" s="350" t="str">
        <f>'Утв. ИП 2014-2019'!A181</f>
        <v>1.1.6.1.75/12</v>
      </c>
      <c r="B180" s="350" t="str">
        <f>'Утв. ИП 2014-2019'!B181</f>
        <v>3.1.59</v>
      </c>
      <c r="C180" s="351" t="str">
        <f>'Утв. ИП 2014-2019'!C181</f>
        <v>Монтаж оборудования в РУ-10 кВ РП-50, монтаж узла учета в РУ-10 кВ РП-50 для электроснабжения стройплощадки многоквартирного жилого дома по адресу: г. Липецк, 7-й жилой район, 33 микрорайон</v>
      </c>
      <c r="D180" s="352" t="str">
        <f>'Утв. ИП 2014-2019'!K181</f>
        <v xml:space="preserve"> 0 км/0 МВА</v>
      </c>
      <c r="E180" s="352"/>
      <c r="F180" s="352"/>
      <c r="G180" s="352"/>
      <c r="H180" s="352"/>
      <c r="I180" s="352"/>
      <c r="J180" s="352" t="str">
        <f>'Утв. ИП 2014-2019'!Q181</f>
        <v xml:space="preserve"> 0 км/0 МВА</v>
      </c>
      <c r="K180" s="349"/>
      <c r="L180" s="352"/>
      <c r="M180" s="352"/>
      <c r="N180" s="352"/>
      <c r="O180" s="352"/>
      <c r="P180" s="352"/>
      <c r="Q180" s="349"/>
      <c r="R180" s="353"/>
      <c r="S180" s="354"/>
      <c r="T180" s="355"/>
      <c r="U180" s="354"/>
      <c r="V180" s="355"/>
      <c r="W180" s="356"/>
      <c r="X180" s="355"/>
      <c r="Y180" s="356"/>
      <c r="Z180" s="355"/>
      <c r="AA180" s="356"/>
      <c r="AB180" s="355"/>
      <c r="AC180" s="356"/>
      <c r="AD180" s="357">
        <f t="shared" si="21"/>
        <v>0</v>
      </c>
      <c r="AE180" s="357">
        <f t="shared" si="21"/>
        <v>0</v>
      </c>
    </row>
    <row r="181" spans="1:31" s="358" customFormat="1" ht="38.25" outlineLevel="1" x14ac:dyDescent="0.2">
      <c r="A181" s="350" t="str">
        <f>'Утв. ИП 2014-2019'!A182</f>
        <v>1.1.6.1.62/12</v>
      </c>
      <c r="B181" s="350" t="str">
        <f>'Утв. ИП 2014-2019'!B182</f>
        <v>3.1.60</v>
      </c>
      <c r="C181" s="351" t="str">
        <f>'Утв. ИП 2014-2019'!C182</f>
        <v>Реконструкция ВЛ-10 кВ "ТП-555 - ТП-37 а" (инв. № 346166) для электроснабжения зонального центра кинологической службы по адресу: г. Липецк, ул. Фурманова, д. 23 а</v>
      </c>
      <c r="D181" s="352" t="str">
        <f>'Утв. ИП 2014-2019'!K182</f>
        <v xml:space="preserve"> 1,7 км/0 МВА</v>
      </c>
      <c r="E181" s="352"/>
      <c r="F181" s="352"/>
      <c r="G181" s="352"/>
      <c r="H181" s="352"/>
      <c r="I181" s="352"/>
      <c r="J181" s="352" t="str">
        <f>'Утв. ИП 2014-2019'!Q182</f>
        <v xml:space="preserve"> 1,7 км/0 МВА</v>
      </c>
      <c r="K181" s="349"/>
      <c r="L181" s="352"/>
      <c r="M181" s="352"/>
      <c r="N181" s="352"/>
      <c r="O181" s="352"/>
      <c r="P181" s="352"/>
      <c r="Q181" s="349"/>
      <c r="R181" s="353"/>
      <c r="S181" s="354"/>
      <c r="T181" s="355"/>
      <c r="U181" s="354"/>
      <c r="V181" s="355"/>
      <c r="W181" s="356"/>
      <c r="X181" s="355"/>
      <c r="Y181" s="356"/>
      <c r="Z181" s="355"/>
      <c r="AA181" s="356"/>
      <c r="AB181" s="355"/>
      <c r="AC181" s="356"/>
      <c r="AD181" s="357">
        <f t="shared" si="21"/>
        <v>0</v>
      </c>
      <c r="AE181" s="357">
        <f t="shared" si="21"/>
        <v>0</v>
      </c>
    </row>
    <row r="182" spans="1:31" s="358" customFormat="1" ht="38.25" outlineLevel="1" x14ac:dyDescent="0.2">
      <c r="A182" s="350" t="str">
        <f>'Утв. ИП 2014-2019'!A183</f>
        <v>1.1.6.1.76/12</v>
      </c>
      <c r="B182" s="350" t="str">
        <f>'Утв. ИП 2014-2019'!B183</f>
        <v>3.1.61</v>
      </c>
      <c r="C182" s="351" t="str">
        <f>'Утв. ИП 2014-2019'!C183</f>
        <v>Монтаж узла учета в РУ-0,4 кВ РП-25 для электроснабжения магазина и кафе-бара по адресу: г. Липецк, пл. Заводская, д. 9 "А"</v>
      </c>
      <c r="D182" s="352" t="str">
        <f>'Утв. ИП 2014-2019'!K183</f>
        <v xml:space="preserve"> 0 км/0 МВА</v>
      </c>
      <c r="E182" s="352"/>
      <c r="F182" s="352"/>
      <c r="G182" s="352"/>
      <c r="H182" s="352"/>
      <c r="I182" s="352"/>
      <c r="J182" s="352" t="str">
        <f>'Утв. ИП 2014-2019'!Q183</f>
        <v xml:space="preserve"> 0 км/0 МВА</v>
      </c>
      <c r="K182" s="349"/>
      <c r="L182" s="352"/>
      <c r="M182" s="352"/>
      <c r="N182" s="352"/>
      <c r="O182" s="352"/>
      <c r="P182" s="352"/>
      <c r="Q182" s="349"/>
      <c r="R182" s="353"/>
      <c r="S182" s="354"/>
      <c r="T182" s="355"/>
      <c r="U182" s="354"/>
      <c r="V182" s="355"/>
      <c r="W182" s="356"/>
      <c r="X182" s="355"/>
      <c r="Y182" s="356"/>
      <c r="Z182" s="355"/>
      <c r="AA182" s="356"/>
      <c r="AB182" s="355"/>
      <c r="AC182" s="356"/>
      <c r="AD182" s="357">
        <f t="shared" si="21"/>
        <v>0</v>
      </c>
      <c r="AE182" s="357">
        <f t="shared" si="21"/>
        <v>0</v>
      </c>
    </row>
    <row r="183" spans="1:31" s="358" customFormat="1" ht="38.25" outlineLevel="1" x14ac:dyDescent="0.2">
      <c r="A183" s="350" t="str">
        <f>'Утв. ИП 2014-2019'!A184</f>
        <v>1.1.6.1.79/12</v>
      </c>
      <c r="B183" s="350" t="str">
        <f>'Утв. ИП 2014-2019'!B184</f>
        <v>3.1.62</v>
      </c>
      <c r="C183" s="351" t="str">
        <f>'Утв. ИП 2014-2019'!C184</f>
        <v>Монтаж оборудования в РУ-0,4 кВ ТП-264, монтаж узла учета в РУ-0,4 кВ ТП-264 для электроснабжения многоэтажной автостоянки по адресу: г. Липецк, ул. Космонавтов</v>
      </c>
      <c r="D183" s="352" t="str">
        <f>'Утв. ИП 2014-2019'!K184</f>
        <v>0,0 км/ 0 МВА</v>
      </c>
      <c r="E183" s="352"/>
      <c r="F183" s="352"/>
      <c r="G183" s="352"/>
      <c r="H183" s="352"/>
      <c r="I183" s="352"/>
      <c r="J183" s="352" t="str">
        <f>'Утв. ИП 2014-2019'!Q184</f>
        <v>0,0 км/ 0 МВА</v>
      </c>
      <c r="K183" s="349"/>
      <c r="L183" s="352"/>
      <c r="M183" s="352"/>
      <c r="N183" s="352"/>
      <c r="O183" s="352"/>
      <c r="P183" s="352"/>
      <c r="Q183" s="349"/>
      <c r="R183" s="353"/>
      <c r="S183" s="354"/>
      <c r="T183" s="355"/>
      <c r="U183" s="354"/>
      <c r="V183" s="355"/>
      <c r="W183" s="356"/>
      <c r="X183" s="355"/>
      <c r="Y183" s="356"/>
      <c r="Z183" s="355"/>
      <c r="AA183" s="356"/>
      <c r="AB183" s="355"/>
      <c r="AC183" s="356"/>
      <c r="AD183" s="357">
        <f t="shared" si="21"/>
        <v>0</v>
      </c>
      <c r="AE183" s="357">
        <f t="shared" si="21"/>
        <v>0</v>
      </c>
    </row>
    <row r="184" spans="1:31" s="358" customFormat="1" ht="76.5" outlineLevel="1" x14ac:dyDescent="0.2">
      <c r="A184" s="350" t="str">
        <f>'Утв. ИП 2014-2019'!A185</f>
        <v>1.1.5.1.1/13</v>
      </c>
      <c r="B184" s="350" t="str">
        <f>'Утв. ИП 2014-2019'!B185</f>
        <v>3.1.63</v>
      </c>
      <c r="C184" s="351" t="str">
        <f>'Утв. ИП 2014-2019'!C185</f>
        <v>Реконструкция оборудования в РУ-10 кВ РП-П.Великого, строительство КЛ-10 кВ от врезки в КЛ-10 кВ "РП-П.Великого - КТП Яхт-клуб"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v>
      </c>
      <c r="D184" s="352" t="str">
        <f>'Утв. ИП 2014-2019'!K185</f>
        <v xml:space="preserve"> 0 км/0 МВА</v>
      </c>
      <c r="E184" s="352"/>
      <c r="F184" s="352"/>
      <c r="G184" s="352"/>
      <c r="H184" s="352"/>
      <c r="I184" s="352"/>
      <c r="J184" s="352" t="str">
        <f>'Утв. ИП 2014-2019'!Q185</f>
        <v xml:space="preserve"> 0 км/0 МВА</v>
      </c>
      <c r="K184" s="352"/>
      <c r="L184" s="352"/>
      <c r="M184" s="349"/>
      <c r="N184" s="352"/>
      <c r="O184" s="352"/>
      <c r="P184" s="352"/>
      <c r="Q184" s="349"/>
      <c r="R184" s="353"/>
      <c r="S184" s="354"/>
      <c r="T184" s="355"/>
      <c r="U184" s="354"/>
      <c r="V184" s="355"/>
      <c r="W184" s="356"/>
      <c r="X184" s="355"/>
      <c r="Y184" s="356"/>
      <c r="Z184" s="355"/>
      <c r="AA184" s="356"/>
      <c r="AB184" s="355"/>
      <c r="AC184" s="356"/>
      <c r="AD184" s="357">
        <f t="shared" si="21"/>
        <v>0</v>
      </c>
      <c r="AE184" s="357">
        <f t="shared" si="21"/>
        <v>0</v>
      </c>
    </row>
    <row r="185" spans="1:31" s="358" customFormat="1" ht="51" outlineLevel="1" x14ac:dyDescent="0.2">
      <c r="A185" s="350" t="str">
        <f>'Утв. ИП 2014-2019'!A186</f>
        <v>1.1.5.1.2/13</v>
      </c>
      <c r="B185" s="350" t="str">
        <f>'Утв. ИП 2014-2019'!B186</f>
        <v>3.1.64</v>
      </c>
      <c r="C185" s="351" t="str">
        <f>'Утв. ИП 2014-2019'!C186</f>
        <v>Строительство КЛ-0,4 кВ от ТП-122 до опоры № 1 ВЛ-0,4 кВ по ул. Доватора, реконструкция ВЛ-0,4 кВ по ул. Доватора от ТП-122 (инв. № 346077) для электроснабжения многоквартирного жилого дома по адресу: г. Липецк, ул. Доватора, д. 49, 51</v>
      </c>
      <c r="D185" s="352"/>
      <c r="E185" s="352" t="str">
        <f>'Утв. ИП 2014-2019'!L186</f>
        <v xml:space="preserve"> 1 км/0 МВА</v>
      </c>
      <c r="F185" s="352"/>
      <c r="G185" s="352"/>
      <c r="H185" s="352"/>
      <c r="I185" s="352"/>
      <c r="J185" s="352" t="str">
        <f>'Утв. ИП 2014-2019'!Q186</f>
        <v xml:space="preserve"> 1 км/0 МВА</v>
      </c>
      <c r="K185" s="349"/>
      <c r="L185" s="352"/>
      <c r="M185" s="352"/>
      <c r="N185" s="352"/>
      <c r="O185" s="352"/>
      <c r="P185" s="352"/>
      <c r="Q185" s="349"/>
      <c r="R185" s="353"/>
      <c r="S185" s="354"/>
      <c r="T185" s="355"/>
      <c r="U185" s="354"/>
      <c r="V185" s="355"/>
      <c r="W185" s="356"/>
      <c r="X185" s="355"/>
      <c r="Y185" s="356"/>
      <c r="Z185" s="355"/>
      <c r="AA185" s="356"/>
      <c r="AB185" s="355"/>
      <c r="AC185" s="356"/>
      <c r="AD185" s="357">
        <f t="shared" si="21"/>
        <v>0</v>
      </c>
      <c r="AE185" s="357">
        <f t="shared" si="21"/>
        <v>0</v>
      </c>
    </row>
    <row r="186" spans="1:31" s="358" customFormat="1" ht="51" outlineLevel="1" x14ac:dyDescent="0.2">
      <c r="A186" s="350" t="str">
        <f>'Утв. ИП 2014-2019'!A187</f>
        <v>1.1.6.1.45/11</v>
      </c>
      <c r="B186" s="350" t="str">
        <f>'Утв. ИП 2014-2019'!B187</f>
        <v>3.1.65</v>
      </c>
      <c r="C186" s="351" t="str">
        <f>'Утв. ИП 2014-2019'!C187</f>
        <v>Монтаж оборудования в РУ-0,4 кВ ТП-175 для электроснабжения здания спортивно-оздоровительного центра по адресу: г. Липецк, Правобережный округ, район городского пляжа</v>
      </c>
      <c r="D186" s="352" t="str">
        <f>'Утв. ИП 2014-2019'!K187</f>
        <v xml:space="preserve"> 0 км/0 МВА</v>
      </c>
      <c r="E186" s="352"/>
      <c r="F186" s="352"/>
      <c r="G186" s="352"/>
      <c r="H186" s="352"/>
      <c r="I186" s="352"/>
      <c r="J186" s="352" t="str">
        <f>'Утв. ИП 2014-2019'!Q187</f>
        <v xml:space="preserve"> 0 км/0 МВА</v>
      </c>
      <c r="K186" s="349"/>
      <c r="L186" s="352"/>
      <c r="M186" s="352"/>
      <c r="N186" s="352"/>
      <c r="O186" s="352"/>
      <c r="P186" s="352"/>
      <c r="Q186" s="349"/>
      <c r="R186" s="353"/>
      <c r="S186" s="354"/>
      <c r="T186" s="355"/>
      <c r="U186" s="354"/>
      <c r="V186" s="355"/>
      <c r="W186" s="356"/>
      <c r="X186" s="355"/>
      <c r="Y186" s="356"/>
      <c r="Z186" s="355"/>
      <c r="AA186" s="356"/>
      <c r="AB186" s="355"/>
      <c r="AC186" s="356"/>
      <c r="AD186" s="357">
        <f t="shared" si="21"/>
        <v>0</v>
      </c>
      <c r="AE186" s="357">
        <f t="shared" si="21"/>
        <v>0</v>
      </c>
    </row>
    <row r="187" spans="1:31" s="358" customFormat="1" ht="38.25" outlineLevel="1" x14ac:dyDescent="0.2">
      <c r="A187" s="350" t="str">
        <f>'Утв. ИП 2014-2019'!A188</f>
        <v>1.1.5.1.3/13</v>
      </c>
      <c r="B187" s="350" t="str">
        <f>'Утв. ИП 2014-2019'!B188</f>
        <v>3.1.66</v>
      </c>
      <c r="C187" s="351" t="str">
        <f>'Утв. ИП 2014-2019'!C188</f>
        <v>Монтаж оборудования в РУ-0,4 кВ ТП-583 для электроснабжения здания магазина по адресу: г. Липецк, ул. З. Космодемьянской, д. 8</v>
      </c>
      <c r="D187" s="352" t="str">
        <f>'Утв. ИП 2014-2019'!K188</f>
        <v xml:space="preserve"> 0 км/0 МВА</v>
      </c>
      <c r="E187" s="352"/>
      <c r="F187" s="352"/>
      <c r="G187" s="352"/>
      <c r="H187" s="352"/>
      <c r="I187" s="352"/>
      <c r="J187" s="352" t="str">
        <f>'Утв. ИП 2014-2019'!Q188</f>
        <v xml:space="preserve"> 0 км/0 МВА</v>
      </c>
      <c r="K187" s="349"/>
      <c r="L187" s="352"/>
      <c r="M187" s="352"/>
      <c r="N187" s="352"/>
      <c r="O187" s="352"/>
      <c r="P187" s="352"/>
      <c r="Q187" s="349"/>
      <c r="R187" s="353"/>
      <c r="S187" s="354"/>
      <c r="T187" s="355"/>
      <c r="U187" s="354"/>
      <c r="V187" s="355"/>
      <c r="W187" s="356"/>
      <c r="X187" s="355"/>
      <c r="Y187" s="356"/>
      <c r="Z187" s="355"/>
      <c r="AA187" s="356"/>
      <c r="AB187" s="355"/>
      <c r="AC187" s="356"/>
      <c r="AD187" s="357">
        <f t="shared" si="21"/>
        <v>0</v>
      </c>
      <c r="AE187" s="357">
        <f t="shared" si="21"/>
        <v>0</v>
      </c>
    </row>
    <row r="188" spans="1:31" s="358" customFormat="1" ht="153" outlineLevel="1" x14ac:dyDescent="0.2">
      <c r="A188" s="350" t="str">
        <f>'Утв. ИП 2014-2019'!A189</f>
        <v>1.1.5.1.5/13</v>
      </c>
      <c r="B188" s="350" t="str">
        <f>'Утв. ИП 2014-2019'!B189</f>
        <v>3.1.67</v>
      </c>
      <c r="C188" s="351" t="str">
        <f>'Утв. ИП 2014-2019'!C189</f>
        <v>Строительство новой КТП взамен существующей (инв. № 100954), монтаж трансформатора в новой КТП, монтаж РУ-6 кВ в новой КТП, монтаж РУ-0,4 кВ в новой КТП, Строительство ВЛ-6 кВ от ВЛ-6 кВ "ПС "Трубная" - ТП-395" до новой КТП, Строительство КВЛ-0,4 кВ от новой КТП до бокса по ремонту оборудования по адресу: г. Липецк, ул. Опытная, строение № 1 А, монтаж пожарно-охранной сигнализации в новой КТП, монтаж узла учета в РУ-0,4 кВ новой КТП,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</v>
      </c>
      <c r="D188" s="352" t="str">
        <f>'Утв. ИП 2014-2019'!K189</f>
        <v xml:space="preserve"> 0,3 км/0,25 МВА</v>
      </c>
      <c r="E188" s="352"/>
      <c r="F188" s="352"/>
      <c r="G188" s="352"/>
      <c r="H188" s="352"/>
      <c r="I188" s="352"/>
      <c r="J188" s="352" t="str">
        <f>'Утв. ИП 2014-2019'!Q189</f>
        <v xml:space="preserve"> 0,3 км/0,25 МВА</v>
      </c>
      <c r="K188" s="349" t="s">
        <v>1417</v>
      </c>
      <c r="L188" s="352"/>
      <c r="M188" s="352"/>
      <c r="N188" s="352"/>
      <c r="O188" s="352"/>
      <c r="P188" s="352"/>
      <c r="Q188" s="349" t="str">
        <f>K188</f>
        <v>0,25 МВА</v>
      </c>
      <c r="R188" s="353"/>
      <c r="S188" s="354">
        <v>0.25</v>
      </c>
      <c r="T188" s="355"/>
      <c r="U188" s="354"/>
      <c r="V188" s="355"/>
      <c r="W188" s="356"/>
      <c r="X188" s="355"/>
      <c r="Y188" s="356"/>
      <c r="Z188" s="355"/>
      <c r="AA188" s="356"/>
      <c r="AB188" s="355"/>
      <c r="AC188" s="356"/>
      <c r="AD188" s="357">
        <f t="shared" si="21"/>
        <v>0</v>
      </c>
      <c r="AE188" s="357">
        <f t="shared" si="21"/>
        <v>0.25</v>
      </c>
    </row>
    <row r="189" spans="1:31" s="358" customFormat="1" ht="25.5" outlineLevel="1" x14ac:dyDescent="0.2">
      <c r="A189" s="350" t="str">
        <f>'Утв. ИП 2014-2019'!A190</f>
        <v>1.1.5.1.7/13</v>
      </c>
      <c r="B189" s="350" t="str">
        <f>'Утв. ИП 2014-2019'!B190</f>
        <v>3.1.68</v>
      </c>
      <c r="C189" s="351" t="str">
        <f>'Утв. ИП 2014-2019'!C190</f>
        <v>Монтаж оборудования в РУ-0,4 кВ ТП-3 для электроснабжения стройплощадки по адресу: г. Липецк, ул. Гагарина, д. 70 А</v>
      </c>
      <c r="D189" s="352" t="str">
        <f>'Утв. ИП 2014-2019'!K190</f>
        <v xml:space="preserve"> 0 км/0 МВА</v>
      </c>
      <c r="E189" s="352"/>
      <c r="F189" s="352"/>
      <c r="G189" s="352"/>
      <c r="H189" s="352"/>
      <c r="I189" s="352"/>
      <c r="J189" s="352" t="str">
        <f>'Утв. ИП 2014-2019'!Q190</f>
        <v xml:space="preserve"> 0 км/0 МВА</v>
      </c>
      <c r="K189" s="349"/>
      <c r="L189" s="352"/>
      <c r="M189" s="352"/>
      <c r="N189" s="352"/>
      <c r="O189" s="352"/>
      <c r="P189" s="352"/>
      <c r="Q189" s="349"/>
      <c r="R189" s="353"/>
      <c r="S189" s="354"/>
      <c r="T189" s="355"/>
      <c r="U189" s="354"/>
      <c r="V189" s="355"/>
      <c r="W189" s="356"/>
      <c r="X189" s="355"/>
      <c r="Y189" s="356"/>
      <c r="Z189" s="355"/>
      <c r="AA189" s="356"/>
      <c r="AB189" s="355"/>
      <c r="AC189" s="356"/>
      <c r="AD189" s="357">
        <f t="shared" si="21"/>
        <v>0</v>
      </c>
      <c r="AE189" s="357">
        <f t="shared" si="21"/>
        <v>0</v>
      </c>
    </row>
    <row r="190" spans="1:31" s="358" customFormat="1" ht="63.75" outlineLevel="1" x14ac:dyDescent="0.2">
      <c r="A190" s="350" t="str">
        <f>'Утв. ИП 2014-2019'!A191</f>
        <v>1.1.5.1.9/13</v>
      </c>
      <c r="B190" s="350" t="str">
        <f>'Утв. ИП 2014-2019'!B191</f>
        <v>3.1.69</v>
      </c>
      <c r="C190" s="351" t="str">
        <f>'Утв. ИП 2014-2019'!C191</f>
        <v>Монтаж оборудования в РУ-0,4 кВ ТП-289,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А.</v>
      </c>
      <c r="D190" s="352" t="str">
        <f>'Утв. ИП 2014-2019'!K191</f>
        <v xml:space="preserve"> 0 км/0 МВА</v>
      </c>
      <c r="E190" s="352"/>
      <c r="F190" s="352"/>
      <c r="G190" s="352"/>
      <c r="H190" s="352"/>
      <c r="I190" s="352"/>
      <c r="J190" s="352" t="str">
        <f>'Утв. ИП 2014-2019'!Q191</f>
        <v xml:space="preserve"> 0 км/0 МВА</v>
      </c>
      <c r="K190" s="352"/>
      <c r="L190" s="352"/>
      <c r="M190" s="349"/>
      <c r="N190" s="352"/>
      <c r="O190" s="352"/>
      <c r="P190" s="352"/>
      <c r="Q190" s="349"/>
      <c r="R190" s="353"/>
      <c r="S190" s="354"/>
      <c r="T190" s="355"/>
      <c r="U190" s="354"/>
      <c r="V190" s="355"/>
      <c r="W190" s="356"/>
      <c r="X190" s="355"/>
      <c r="Y190" s="356"/>
      <c r="Z190" s="355"/>
      <c r="AA190" s="356"/>
      <c r="AB190" s="355"/>
      <c r="AC190" s="356"/>
      <c r="AD190" s="357">
        <f t="shared" si="21"/>
        <v>0</v>
      </c>
      <c r="AE190" s="357">
        <f t="shared" si="21"/>
        <v>0</v>
      </c>
    </row>
    <row r="191" spans="1:31" s="358" customFormat="1" ht="51" outlineLevel="1" x14ac:dyDescent="0.2">
      <c r="A191" s="350" t="str">
        <f>'Утв. ИП 2014-2019'!A192</f>
        <v>1.1.5.1.11/13</v>
      </c>
      <c r="B191" s="350" t="str">
        <f>'Утв. ИП 2014-2019'!B192</f>
        <v>3.1.70</v>
      </c>
      <c r="C191" s="351" t="str">
        <f>'Утв. ИП 2014-2019'!C192</f>
        <v>Монтаж оборудования в РУ-10 кВ ПП-3 для, монтаж узла учета в РУ-10 кВ ПП-3 электроснабжения здания трансформаторной подстанции по адресу: Липецкая обл., Грязинский район, Плехановское лесничество, Ленинский лесхоз, квартал 78, 90</v>
      </c>
      <c r="D191" s="352"/>
      <c r="E191" s="352" t="str">
        <f>'Утв. ИП 2014-2019'!L192</f>
        <v>0 км/0 МВА</v>
      </c>
      <c r="F191" s="352"/>
      <c r="G191" s="352"/>
      <c r="H191" s="352"/>
      <c r="I191" s="352"/>
      <c r="J191" s="352" t="str">
        <f>'Утв. ИП 2014-2019'!Q192</f>
        <v>0 км/0 МВА</v>
      </c>
      <c r="K191" s="349"/>
      <c r="L191" s="349" t="s">
        <v>1417</v>
      </c>
      <c r="M191" s="349"/>
      <c r="N191" s="352"/>
      <c r="O191" s="352"/>
      <c r="P191" s="352"/>
      <c r="Q191" s="349" t="s">
        <v>1417</v>
      </c>
      <c r="R191" s="353"/>
      <c r="S191" s="354"/>
      <c r="T191" s="355"/>
      <c r="U191" s="354">
        <v>0.25</v>
      </c>
      <c r="V191" s="355"/>
      <c r="W191" s="356"/>
      <c r="X191" s="355"/>
      <c r="Y191" s="356"/>
      <c r="Z191" s="355"/>
      <c r="AA191" s="356"/>
      <c r="AB191" s="355"/>
      <c r="AC191" s="356"/>
      <c r="AD191" s="357">
        <f t="shared" si="21"/>
        <v>0</v>
      </c>
      <c r="AE191" s="357">
        <f t="shared" si="21"/>
        <v>0.25</v>
      </c>
    </row>
    <row r="192" spans="1:31" s="358" customFormat="1" ht="63.75" outlineLevel="1" x14ac:dyDescent="0.2">
      <c r="A192" s="350" t="str">
        <f>'Утв. ИП 2014-2019'!A193</f>
        <v>1.1.5.1.14/13</v>
      </c>
      <c r="B192" s="350" t="str">
        <f>'Утв. ИП 2014-2019'!B193</f>
        <v>3.1.71</v>
      </c>
      <c r="C192" s="351" t="str">
        <f>'Утв. ИП 2014-2019'!C193</f>
        <v>Строительство новой КТП (взамен КТП-558), КЛ-6 кВ от ТП-712 до новой КТП, реконструкция оборудования РУ-6 кВ ТП-712 для электроснабжения объекта: "Здание автосалона и станции технического обслуживания по ул. Краснозаводская, стр. 2В, запитанного от новой КТП; 333 кВт, 6 кВ, III категория</v>
      </c>
      <c r="D192" s="352"/>
      <c r="E192" s="352" t="str">
        <f>'Утв. ИП 2014-2019'!L193</f>
        <v xml:space="preserve"> 1,45 км/ 0 МВА</v>
      </c>
      <c r="F192" s="352"/>
      <c r="G192" s="352"/>
      <c r="H192" s="352"/>
      <c r="I192" s="352"/>
      <c r="J192" s="352" t="str">
        <f>'Утв. ИП 2014-2019'!Q193</f>
        <v xml:space="preserve"> 1,45 км/ 0 МВА</v>
      </c>
      <c r="K192" s="352"/>
      <c r="L192" s="352"/>
      <c r="M192" s="349"/>
      <c r="N192" s="352"/>
      <c r="O192" s="352"/>
      <c r="P192" s="352"/>
      <c r="Q192" s="349"/>
      <c r="R192" s="353"/>
      <c r="S192" s="354"/>
      <c r="T192" s="355"/>
      <c r="U192" s="354"/>
      <c r="V192" s="355"/>
      <c r="W192" s="356"/>
      <c r="X192" s="355"/>
      <c r="Y192" s="356"/>
      <c r="Z192" s="355"/>
      <c r="AA192" s="356"/>
      <c r="AB192" s="355"/>
      <c r="AC192" s="356"/>
      <c r="AD192" s="357">
        <f t="shared" si="21"/>
        <v>0</v>
      </c>
      <c r="AE192" s="357">
        <f t="shared" si="21"/>
        <v>0</v>
      </c>
    </row>
    <row r="193" spans="1:31" s="358" customFormat="1" ht="114.75" outlineLevel="1" x14ac:dyDescent="0.2">
      <c r="A193" s="350" t="str">
        <f>'Утв. ИП 2014-2019'!A194</f>
        <v>1.1.5.1.15/13</v>
      </c>
      <c r="B193" s="350" t="str">
        <f>'Утв. ИП 2014-2019'!B194</f>
        <v>3.1.72</v>
      </c>
      <c r="C193" s="351" t="str">
        <f>'Утв. ИП 2014-2019'!C194</f>
        <v>I этап: монтаж оборудования в РУ-10 кВ ТП-593 для электроснабжения здания магазина по адресу: г. Липецк, ул. Моршанская, д. 9; II этап: Монтаж трансформатора № 1 в ТП-593 взамен существующего (инв. № 41889 А), монтаж трансформатора № 2 в ТП-593 взамен существующего (инв. № 41890 А), монтаж оборудования в РУ-0,4 кВ ТП-593, строительство КВЛ-10 кВ от ВЛ-10 кВ "ПС "Казинка", яч. № 2 "Юшино" до ТП-593 для электроснабжения здания магазина по адресу: г. Липецк, ул. Моршанская, д. 9</v>
      </c>
      <c r="D193" s="352" t="str">
        <f>'Утв. ИП 2014-2019'!K194</f>
        <v xml:space="preserve"> 0,01 км/1,26 МВА</v>
      </c>
      <c r="E193" s="352"/>
      <c r="F193" s="352"/>
      <c r="G193" s="352"/>
      <c r="H193" s="352"/>
      <c r="I193" s="352"/>
      <c r="J193" s="352" t="str">
        <f>'Утв. ИП 2014-2019'!Q194</f>
        <v xml:space="preserve"> 0,01 км/1,26 МВА</v>
      </c>
      <c r="K193" s="349" t="s">
        <v>1413</v>
      </c>
      <c r="L193" s="352"/>
      <c r="M193" s="352"/>
      <c r="N193" s="352"/>
      <c r="O193" s="352"/>
      <c r="P193" s="352"/>
      <c r="Q193" s="349" t="str">
        <f>K193</f>
        <v>0,8 МВА</v>
      </c>
      <c r="R193" s="353"/>
      <c r="S193" s="354">
        <v>0.8</v>
      </c>
      <c r="T193" s="355"/>
      <c r="U193" s="354"/>
      <c r="V193" s="355"/>
      <c r="W193" s="356"/>
      <c r="X193" s="355"/>
      <c r="Y193" s="356"/>
      <c r="Z193" s="355"/>
      <c r="AA193" s="356"/>
      <c r="AB193" s="355"/>
      <c r="AC193" s="356"/>
      <c r="AD193" s="357">
        <f t="shared" si="21"/>
        <v>0</v>
      </c>
      <c r="AE193" s="357">
        <f t="shared" si="21"/>
        <v>0.8</v>
      </c>
    </row>
    <row r="194" spans="1:31" s="358" customFormat="1" ht="63.75" outlineLevel="1" x14ac:dyDescent="0.2">
      <c r="A194" s="350" t="str">
        <f>'Утв. ИП 2014-2019'!A195</f>
        <v>1.1.5.1.16/13</v>
      </c>
      <c r="B194" s="350" t="str">
        <f>'Утв. ИП 2014-2019'!B195</f>
        <v>3.1.73</v>
      </c>
      <c r="C194" s="351" t="str">
        <f>'Утв. ИП 2014-2019'!C195</f>
        <v>I этап: Монтаж разъединителя на опоре ВЛ-6 кВ "КТП-465 - КТП-135 А" II этап: Монтаж оборудования в РУ-6 кВ РП-28, строительство КЛ-6 кВ от РП-28 до опоры ВЛ-6 кВ "КТП-465 - КТП-135 А" для электроснабжения производственной базы по адресу: г. Липецк, ул. Дружбы, д. 3 "а"</v>
      </c>
      <c r="D194" s="352" t="str">
        <f>'Утв. ИП 2014-2019'!K195</f>
        <v xml:space="preserve"> 0 км/0 МВА</v>
      </c>
      <c r="E194" s="352"/>
      <c r="F194" s="352"/>
      <c r="G194" s="352"/>
      <c r="H194" s="352"/>
      <c r="I194" s="352"/>
      <c r="J194" s="352" t="str">
        <f>'Утв. ИП 2014-2019'!Q195</f>
        <v xml:space="preserve"> 0 км/0 МВА</v>
      </c>
      <c r="K194" s="349"/>
      <c r="L194" s="352"/>
      <c r="M194" s="352"/>
      <c r="N194" s="352"/>
      <c r="O194" s="352"/>
      <c r="P194" s="352"/>
      <c r="Q194" s="349"/>
      <c r="R194" s="353"/>
      <c r="S194" s="354"/>
      <c r="T194" s="355"/>
      <c r="U194" s="354"/>
      <c r="V194" s="355"/>
      <c r="W194" s="356"/>
      <c r="X194" s="355"/>
      <c r="Y194" s="356"/>
      <c r="Z194" s="355"/>
      <c r="AA194" s="356"/>
      <c r="AB194" s="355"/>
      <c r="AC194" s="356"/>
      <c r="AD194" s="357">
        <f t="shared" si="21"/>
        <v>0</v>
      </c>
      <c r="AE194" s="357">
        <f t="shared" si="21"/>
        <v>0</v>
      </c>
    </row>
    <row r="195" spans="1:31" s="358" customFormat="1" ht="63.75" outlineLevel="1" x14ac:dyDescent="0.2">
      <c r="A195" s="350" t="str">
        <f>'Утв. ИП 2014-2019'!A196</f>
        <v>1.1.5.1.17/13</v>
      </c>
      <c r="B195" s="350" t="str">
        <f>'Утв. ИП 2014-2019'!B196</f>
        <v>3.1.74</v>
      </c>
      <c r="C195" s="351" t="str">
        <f>'Утв. ИП 2014-2019'!C196</f>
        <v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</v>
      </c>
      <c r="D195" s="352" t="str">
        <f>'Утв. ИП 2014-2019'!K196</f>
        <v xml:space="preserve"> 0 км/0 МВА</v>
      </c>
      <c r="E195" s="352"/>
      <c r="F195" s="352"/>
      <c r="G195" s="352"/>
      <c r="H195" s="352"/>
      <c r="I195" s="352"/>
      <c r="J195" s="352" t="str">
        <f>'Утв. ИП 2014-2019'!Q196</f>
        <v xml:space="preserve"> 0 км/0 МВА</v>
      </c>
      <c r="K195" s="349"/>
      <c r="L195" s="352"/>
      <c r="M195" s="352"/>
      <c r="N195" s="352"/>
      <c r="O195" s="352"/>
      <c r="P195" s="352"/>
      <c r="Q195" s="349"/>
      <c r="R195" s="353"/>
      <c r="S195" s="354"/>
      <c r="T195" s="355"/>
      <c r="U195" s="354"/>
      <c r="V195" s="355"/>
      <c r="W195" s="356"/>
      <c r="X195" s="355"/>
      <c r="Y195" s="356"/>
      <c r="Z195" s="355"/>
      <c r="AA195" s="356"/>
      <c r="AB195" s="355"/>
      <c r="AC195" s="356"/>
      <c r="AD195" s="357">
        <f t="shared" si="21"/>
        <v>0</v>
      </c>
      <c r="AE195" s="357">
        <f t="shared" si="21"/>
        <v>0</v>
      </c>
    </row>
    <row r="196" spans="1:31" s="358" customFormat="1" ht="63.75" outlineLevel="1" x14ac:dyDescent="0.2">
      <c r="A196" s="350" t="str">
        <f>'Утв. ИП 2014-2019'!A197</f>
        <v>1.1.5.1.18/13</v>
      </c>
      <c r="B196" s="350" t="str">
        <f>'Утв. ИП 2014-2019'!B197</f>
        <v>3.1.75</v>
      </c>
      <c r="C196" s="351" t="str">
        <f>'Утв. ИП 2014-2019'!C197</f>
        <v>Монтаж трансформатора № 1 в РП-38 взамен существующего (инв. № 42142 А), монтаж трансформатора № 2 в РП-38 взамен существующего (инв. № 42143 А), монтаж оборудования в РУ-10 кВ РП-38 для электроснабжения хлебозавода № 5 по адресу: г. Липецк, ул. Катукова, 40</v>
      </c>
      <c r="D196" s="352" t="str">
        <f>'Утв. ИП 2014-2019'!K197</f>
        <v xml:space="preserve"> 0 км/3,2 МВА</v>
      </c>
      <c r="E196" s="352"/>
      <c r="F196" s="352"/>
      <c r="G196" s="352"/>
      <c r="H196" s="352"/>
      <c r="I196" s="352"/>
      <c r="J196" s="352" t="str">
        <f>'Утв. ИП 2014-2019'!Q197</f>
        <v xml:space="preserve"> 0 км/3,2 МВА</v>
      </c>
      <c r="K196" s="349" t="s">
        <v>1412</v>
      </c>
      <c r="L196" s="352"/>
      <c r="M196" s="352"/>
      <c r="N196" s="352"/>
      <c r="O196" s="352"/>
      <c r="P196" s="352"/>
      <c r="Q196" s="349" t="str">
        <f>K196</f>
        <v>1,26 МВА</v>
      </c>
      <c r="R196" s="353"/>
      <c r="S196" s="354">
        <v>1.26</v>
      </c>
      <c r="T196" s="355"/>
      <c r="U196" s="354"/>
      <c r="V196" s="355"/>
      <c r="W196" s="356"/>
      <c r="X196" s="355"/>
      <c r="Y196" s="356"/>
      <c r="Z196" s="355"/>
      <c r="AA196" s="356"/>
      <c r="AB196" s="355"/>
      <c r="AC196" s="356"/>
      <c r="AD196" s="357">
        <f t="shared" si="21"/>
        <v>0</v>
      </c>
      <c r="AE196" s="357">
        <f t="shared" si="21"/>
        <v>1.26</v>
      </c>
    </row>
    <row r="197" spans="1:31" s="358" customFormat="1" ht="38.25" outlineLevel="1" x14ac:dyDescent="0.2">
      <c r="A197" s="350" t="str">
        <f>'Утв. ИП 2014-2019'!A198</f>
        <v>1.1.6.1.43/12</v>
      </c>
      <c r="B197" s="350" t="str">
        <f>'Утв. ИП 2014-2019'!B198</f>
        <v>3.1.76</v>
      </c>
      <c r="C197" s="351" t="str">
        <f>'Утв. ИП 2014-2019'!C198</f>
        <v>Монтаж оборудования в РУ-0,4 кВ ТП-360 для электроснабжения продовольственного магазина по адресу: г. Липецк, ул. Катукова.</v>
      </c>
      <c r="D197" s="352" t="str">
        <f>'Утв. ИП 2014-2019'!K198</f>
        <v>0,0 км/ 0 МВА</v>
      </c>
      <c r="E197" s="352"/>
      <c r="F197" s="352"/>
      <c r="G197" s="352"/>
      <c r="H197" s="352"/>
      <c r="I197" s="352"/>
      <c r="J197" s="352" t="str">
        <f>'Утв. ИП 2014-2019'!Q198</f>
        <v>0,0 км/ 0 МВА</v>
      </c>
      <c r="K197" s="352"/>
      <c r="L197" s="352"/>
      <c r="M197" s="349"/>
      <c r="N197" s="352"/>
      <c r="O197" s="352"/>
      <c r="P197" s="352"/>
      <c r="Q197" s="349"/>
      <c r="R197" s="353"/>
      <c r="S197" s="354"/>
      <c r="T197" s="355"/>
      <c r="U197" s="354"/>
      <c r="V197" s="355"/>
      <c r="W197" s="356"/>
      <c r="X197" s="355"/>
      <c r="Y197" s="356"/>
      <c r="Z197" s="355"/>
      <c r="AA197" s="356"/>
      <c r="AB197" s="355"/>
      <c r="AC197" s="356"/>
      <c r="AD197" s="357">
        <f t="shared" si="21"/>
        <v>0</v>
      </c>
      <c r="AE197" s="357">
        <f t="shared" si="21"/>
        <v>0</v>
      </c>
    </row>
    <row r="198" spans="1:31" s="358" customFormat="1" ht="63.75" outlineLevel="1" x14ac:dyDescent="0.2">
      <c r="A198" s="350" t="str">
        <f>'Утв. ИП 2014-2019'!A199</f>
        <v>1.1.5.1.20/13</v>
      </c>
      <c r="B198" s="350" t="str">
        <f>'Утв. ИП 2014-2019'!B199</f>
        <v>3.1.77</v>
      </c>
      <c r="C198" s="351" t="str">
        <f>'Утв. ИП 2014-2019'!C199</f>
        <v>Монтаж трансформаторов в ТП-51, монтаж оборудования в ТП-51, строительство нового РП-1 (взамен старого РП-1) для электроснабжения объекта: "Реконструкция ДОУ № 119 по ул. Айвазовского", запитанного от ТП-51; 95 кВт (в том числе существующая 40 кВт), 380 В, II категория</v>
      </c>
      <c r="D198" s="352"/>
      <c r="E198" s="352" t="str">
        <f>'Утв. ИП 2014-2019'!L199</f>
        <v>3 км/2 МВА</v>
      </c>
      <c r="F198" s="352"/>
      <c r="G198" s="352"/>
      <c r="H198" s="352"/>
      <c r="I198" s="352"/>
      <c r="J198" s="352" t="str">
        <f>'Утв. ИП 2014-2019'!Q199</f>
        <v>3 км/2 МВА</v>
      </c>
      <c r="K198" s="352"/>
      <c r="L198" s="352"/>
      <c r="M198" s="349"/>
      <c r="N198" s="352"/>
      <c r="O198" s="352"/>
      <c r="P198" s="352"/>
      <c r="Q198" s="349"/>
      <c r="R198" s="353"/>
      <c r="S198" s="354"/>
      <c r="T198" s="355"/>
      <c r="U198" s="354"/>
      <c r="V198" s="355"/>
      <c r="W198" s="356"/>
      <c r="X198" s="355"/>
      <c r="Y198" s="356"/>
      <c r="Z198" s="355"/>
      <c r="AA198" s="356"/>
      <c r="AB198" s="355"/>
      <c r="AC198" s="356"/>
      <c r="AD198" s="357">
        <f t="shared" si="21"/>
        <v>0</v>
      </c>
      <c r="AE198" s="357">
        <f t="shared" si="21"/>
        <v>0</v>
      </c>
    </row>
    <row r="199" spans="1:31" s="358" customFormat="1" ht="63.75" outlineLevel="1" x14ac:dyDescent="0.2">
      <c r="A199" s="350" t="str">
        <f>'Утв. ИП 2014-2019'!A200</f>
        <v>1.1.5.1.21/13</v>
      </c>
      <c r="B199" s="350" t="str">
        <f>'Утв. ИП 2014-2019'!B200</f>
        <v>3.1.78</v>
      </c>
      <c r="C199" s="351" t="str">
        <f>'Утв. ИП 2014-2019'!C200</f>
        <v>Замена силовых трансформаторов в ТП-273 (без увеличения мощности), реконструкция РУ-0,4 кВт ТП-273 для электроснабжение нежилого помещения и нежилого помещения (цоколь) по адресу: г. Липецк, проезд Сержанта Кувшинова, д. 5 а</v>
      </c>
      <c r="D199" s="352" t="str">
        <f>'Утв. ИП 2014-2019'!K200</f>
        <v>0/ 0 МВА</v>
      </c>
      <c r="E199" s="352"/>
      <c r="F199" s="352"/>
      <c r="G199" s="352"/>
      <c r="H199" s="352"/>
      <c r="I199" s="352"/>
      <c r="J199" s="352" t="str">
        <f>'Утв. ИП 2014-2019'!Q200</f>
        <v>0/ 0 МВА</v>
      </c>
      <c r="K199" s="349"/>
      <c r="L199" s="352"/>
      <c r="M199" s="352"/>
      <c r="N199" s="352"/>
      <c r="O199" s="352"/>
      <c r="P199" s="352"/>
      <c r="Q199" s="349"/>
      <c r="R199" s="353"/>
      <c r="S199" s="354"/>
      <c r="T199" s="355"/>
      <c r="U199" s="354"/>
      <c r="V199" s="355"/>
      <c r="W199" s="356"/>
      <c r="X199" s="355"/>
      <c r="Y199" s="356"/>
      <c r="Z199" s="355"/>
      <c r="AA199" s="356"/>
      <c r="AB199" s="355"/>
      <c r="AC199" s="356"/>
      <c r="AD199" s="357">
        <f t="shared" si="21"/>
        <v>0</v>
      </c>
      <c r="AE199" s="357">
        <f t="shared" si="21"/>
        <v>0</v>
      </c>
    </row>
    <row r="200" spans="1:31" s="358" customFormat="1" ht="25.5" outlineLevel="1" x14ac:dyDescent="0.2">
      <c r="A200" s="350" t="str">
        <f>'Утв. ИП 2014-2019'!A201</f>
        <v>1.1.5.1.22/13</v>
      </c>
      <c r="B200" s="350" t="str">
        <f>'Утв. ИП 2014-2019'!B201</f>
        <v>3.1.79</v>
      </c>
      <c r="C200" s="351" t="str">
        <f>'Утв. ИП 2014-2019'!C201</f>
        <v>Реконструкция РУ-0,4 кВ ТП-61 для электроснабжения помещения № 1 по адресу: г. Липецк, ул. Зегеля, д. 11</v>
      </c>
      <c r="D200" s="352" t="str">
        <f>'Утв. ИП 2014-2019'!K201</f>
        <v xml:space="preserve"> 0 км/0 МВА</v>
      </c>
      <c r="E200" s="352"/>
      <c r="F200" s="352"/>
      <c r="G200" s="352"/>
      <c r="H200" s="352"/>
      <c r="I200" s="352"/>
      <c r="J200" s="352" t="str">
        <f>'Утв. ИП 2014-2019'!Q201</f>
        <v xml:space="preserve"> 0 км/0 МВА</v>
      </c>
      <c r="K200" s="349"/>
      <c r="L200" s="352"/>
      <c r="M200" s="352"/>
      <c r="N200" s="352"/>
      <c r="O200" s="352"/>
      <c r="P200" s="352"/>
      <c r="Q200" s="349"/>
      <c r="R200" s="353"/>
      <c r="S200" s="354"/>
      <c r="T200" s="355"/>
      <c r="U200" s="354"/>
      <c r="V200" s="355"/>
      <c r="W200" s="356"/>
      <c r="X200" s="355"/>
      <c r="Y200" s="356"/>
      <c r="Z200" s="355"/>
      <c r="AA200" s="356"/>
      <c r="AB200" s="355"/>
      <c r="AC200" s="356"/>
      <c r="AD200" s="357">
        <f t="shared" si="21"/>
        <v>0</v>
      </c>
      <c r="AE200" s="357">
        <f t="shared" si="21"/>
        <v>0</v>
      </c>
    </row>
    <row r="201" spans="1:31" s="358" customFormat="1" ht="38.25" outlineLevel="1" x14ac:dyDescent="0.2">
      <c r="A201" s="350" t="str">
        <f>'Утв. ИП 2014-2019'!A202</f>
        <v>1.1.5.1.23/13</v>
      </c>
      <c r="B201" s="350" t="str">
        <f>'Утв. ИП 2014-2019'!B202</f>
        <v>3.1.80</v>
      </c>
      <c r="C201" s="351" t="str">
        <f>'Утв. ИП 2014-2019'!C202</f>
        <v>Монтаж коммутационных аппаратов в РУ-0,4 кВ ТП-11 для электроснабжения многоквартирного жилого дома по адресу: г. Липецк, ул. Мичурина, кадастровый № 48:20:0045703:231</v>
      </c>
      <c r="D201" s="352" t="str">
        <f>'Утв. ИП 2014-2019'!K202</f>
        <v xml:space="preserve"> 0 км/0 МВА</v>
      </c>
      <c r="E201" s="352"/>
      <c r="F201" s="352"/>
      <c r="G201" s="352"/>
      <c r="H201" s="352"/>
      <c r="I201" s="352"/>
      <c r="J201" s="352" t="str">
        <f>'Утв. ИП 2014-2019'!Q202</f>
        <v xml:space="preserve"> 0 км/0 МВА</v>
      </c>
      <c r="K201" s="352"/>
      <c r="L201" s="352"/>
      <c r="M201" s="352"/>
      <c r="N201" s="349"/>
      <c r="O201" s="352"/>
      <c r="P201" s="352"/>
      <c r="Q201" s="349"/>
      <c r="R201" s="353"/>
      <c r="S201" s="354"/>
      <c r="T201" s="355"/>
      <c r="U201" s="354"/>
      <c r="V201" s="355"/>
      <c r="W201" s="356"/>
      <c r="X201" s="355"/>
      <c r="Y201" s="356"/>
      <c r="Z201" s="355"/>
      <c r="AA201" s="356"/>
      <c r="AB201" s="355"/>
      <c r="AC201" s="356"/>
      <c r="AD201" s="357">
        <f t="shared" si="21"/>
        <v>0</v>
      </c>
      <c r="AE201" s="357">
        <f t="shared" si="21"/>
        <v>0</v>
      </c>
    </row>
    <row r="202" spans="1:31" s="358" customFormat="1" ht="38.25" outlineLevel="1" x14ac:dyDescent="0.2">
      <c r="A202" s="350" t="str">
        <f>'Утв. ИП 2014-2019'!A203</f>
        <v>1.1.5.1.24/13</v>
      </c>
      <c r="B202" s="350" t="str">
        <f>'Утв. ИП 2014-2019'!B203</f>
        <v>3.1.81</v>
      </c>
      <c r="C202" s="351" t="str">
        <f>'Утв. ИП 2014-2019'!C203</f>
        <v>Реконструкция РУ-0,4 кВ ТП-67 для электроснабжения встроенного нежилого помещения № 2 по адресу: г. Липецк, ул. Плеханова, д. 34</v>
      </c>
      <c r="D202" s="352" t="str">
        <f>'Утв. ИП 2014-2019'!K203</f>
        <v>0 км/ 0 МВА</v>
      </c>
      <c r="E202" s="352"/>
      <c r="F202" s="352"/>
      <c r="G202" s="352"/>
      <c r="H202" s="352"/>
      <c r="I202" s="352"/>
      <c r="J202" s="352" t="str">
        <f>'Утв. ИП 2014-2019'!Q203</f>
        <v>0 км/ 0 МВА</v>
      </c>
      <c r="K202" s="352"/>
      <c r="L202" s="352"/>
      <c r="M202" s="349"/>
      <c r="N202" s="352"/>
      <c r="O202" s="352"/>
      <c r="P202" s="352"/>
      <c r="Q202" s="349"/>
      <c r="R202" s="353"/>
      <c r="S202" s="354"/>
      <c r="T202" s="355"/>
      <c r="U202" s="354"/>
      <c r="V202" s="355"/>
      <c r="W202" s="356"/>
      <c r="X202" s="355"/>
      <c r="Y202" s="356"/>
      <c r="Z202" s="355"/>
      <c r="AA202" s="356"/>
      <c r="AB202" s="355"/>
      <c r="AC202" s="356"/>
      <c r="AD202" s="357">
        <f t="shared" si="21"/>
        <v>0</v>
      </c>
      <c r="AE202" s="357">
        <f t="shared" si="21"/>
        <v>0</v>
      </c>
    </row>
    <row r="203" spans="1:31" s="358" customFormat="1" ht="51" outlineLevel="1" x14ac:dyDescent="0.2">
      <c r="A203" s="350" t="str">
        <f>'Утв. ИП 2014-2019'!A204</f>
        <v>1.1.5.1.25/13</v>
      </c>
      <c r="B203" s="350" t="str">
        <f>'Утв. ИП 2014-2019'!B204</f>
        <v>3.1.82</v>
      </c>
      <c r="C203" s="351" t="str">
        <f>'Утв. ИП 2014-2019'!C204</f>
        <v>Реконструкция РУ-10 кВ ТП-539, монтаж в/в прибора учета в РУ-10 кВ ТП-539 для электроснабжения станции технического обслуживания автомобилей с автостоянкой по адресу: г. Липецк, ул. Ферросплавная, владение 21</v>
      </c>
      <c r="D203" s="352" t="str">
        <f>'Утв. ИП 2014-2019'!K204</f>
        <v xml:space="preserve"> 0 км/0 МВА</v>
      </c>
      <c r="E203" s="352"/>
      <c r="F203" s="352"/>
      <c r="G203" s="352"/>
      <c r="H203" s="352"/>
      <c r="I203" s="352"/>
      <c r="J203" s="352" t="str">
        <f>'Утв. ИП 2014-2019'!Q204</f>
        <v xml:space="preserve"> 0 км/0 МВА</v>
      </c>
      <c r="K203" s="349"/>
      <c r="L203" s="352"/>
      <c r="M203" s="352"/>
      <c r="N203" s="352"/>
      <c r="O203" s="352"/>
      <c r="P203" s="352"/>
      <c r="Q203" s="349"/>
      <c r="R203" s="353"/>
      <c r="S203" s="354"/>
      <c r="T203" s="355"/>
      <c r="U203" s="354"/>
      <c r="V203" s="355"/>
      <c r="W203" s="356"/>
      <c r="X203" s="355"/>
      <c r="Y203" s="356"/>
      <c r="Z203" s="355"/>
      <c r="AA203" s="356"/>
      <c r="AB203" s="355"/>
      <c r="AC203" s="356"/>
      <c r="AD203" s="357">
        <f t="shared" si="21"/>
        <v>0</v>
      </c>
      <c r="AE203" s="357">
        <f t="shared" si="21"/>
        <v>0</v>
      </c>
    </row>
    <row r="204" spans="1:31" s="358" customFormat="1" ht="38.25" outlineLevel="1" x14ac:dyDescent="0.2">
      <c r="A204" s="350" t="str">
        <f>'Утв. ИП 2014-2019'!A205</f>
        <v>1.1.5.1.26/13</v>
      </c>
      <c r="B204" s="350" t="str">
        <f>'Утв. ИП 2014-2019'!B205</f>
        <v>3.1.83</v>
      </c>
      <c r="C204" s="351" t="str">
        <f>'Утв. ИП 2014-2019'!C205</f>
        <v>Монтаж коммутационных аппаратов в РУ-0,4 кВ ТП-280 для электроснабжения административно-бытового корпуса по адресу: г. Липецк, ул. Московская, д. 83</v>
      </c>
      <c r="D204" s="352" t="str">
        <f>'Утв. ИП 2014-2019'!K205</f>
        <v xml:space="preserve"> 0 км/0 МВА</v>
      </c>
      <c r="E204" s="352"/>
      <c r="F204" s="352"/>
      <c r="G204" s="352"/>
      <c r="H204" s="352"/>
      <c r="I204" s="352"/>
      <c r="J204" s="352" t="str">
        <f>'Утв. ИП 2014-2019'!Q205</f>
        <v xml:space="preserve"> 0 км/0 МВА</v>
      </c>
      <c r="K204" s="349"/>
      <c r="L204" s="352"/>
      <c r="M204" s="352"/>
      <c r="N204" s="352"/>
      <c r="O204" s="352"/>
      <c r="P204" s="352"/>
      <c r="Q204" s="349"/>
      <c r="R204" s="353"/>
      <c r="S204" s="354"/>
      <c r="T204" s="355"/>
      <c r="U204" s="354"/>
      <c r="V204" s="355"/>
      <c r="W204" s="356"/>
      <c r="X204" s="355"/>
      <c r="Y204" s="356"/>
      <c r="Z204" s="355"/>
      <c r="AA204" s="356"/>
      <c r="AB204" s="355"/>
      <c r="AC204" s="356"/>
      <c r="AD204" s="357">
        <f t="shared" si="21"/>
        <v>0</v>
      </c>
      <c r="AE204" s="357">
        <f t="shared" si="21"/>
        <v>0</v>
      </c>
    </row>
    <row r="205" spans="1:31" s="358" customFormat="1" ht="38.25" outlineLevel="1" x14ac:dyDescent="0.2">
      <c r="A205" s="350" t="str">
        <f>'Утв. ИП 2014-2019'!A206</f>
        <v>1.1.5.1.27/13</v>
      </c>
      <c r="B205" s="350" t="str">
        <f>'Утв. ИП 2014-2019'!B206</f>
        <v>3.1.84</v>
      </c>
      <c r="C205" s="351" t="str">
        <f>'Утв. ИП 2014-2019'!C206</f>
        <v>Монтаж 4 в/в ячеек в РУ-6 кВ РП-37 для электроснабжение комплекса зданий и сооружений по адресу: г. Липецк, Универсальный проезд № 12</v>
      </c>
      <c r="D205" s="352" t="str">
        <f>'Утв. ИП 2014-2019'!K206</f>
        <v xml:space="preserve"> 0 км/0 МВА</v>
      </c>
      <c r="E205" s="352"/>
      <c r="F205" s="352"/>
      <c r="G205" s="352"/>
      <c r="H205" s="352"/>
      <c r="I205" s="352"/>
      <c r="J205" s="352" t="str">
        <f>'Утв. ИП 2014-2019'!Q206</f>
        <v xml:space="preserve"> 0 км/0 МВА</v>
      </c>
      <c r="K205" s="349"/>
      <c r="L205" s="352"/>
      <c r="M205" s="352"/>
      <c r="N205" s="352"/>
      <c r="O205" s="352"/>
      <c r="P205" s="352"/>
      <c r="Q205" s="349"/>
      <c r="R205" s="353"/>
      <c r="S205" s="354"/>
      <c r="T205" s="355"/>
      <c r="U205" s="354"/>
      <c r="V205" s="355"/>
      <c r="W205" s="356"/>
      <c r="X205" s="355"/>
      <c r="Y205" s="356"/>
      <c r="Z205" s="355"/>
      <c r="AA205" s="356"/>
      <c r="AB205" s="355"/>
      <c r="AC205" s="356"/>
      <c r="AD205" s="357">
        <f t="shared" si="21"/>
        <v>0</v>
      </c>
      <c r="AE205" s="357">
        <f t="shared" si="21"/>
        <v>0</v>
      </c>
    </row>
    <row r="206" spans="1:31" s="358" customFormat="1" ht="38.25" outlineLevel="1" x14ac:dyDescent="0.2">
      <c r="A206" s="350" t="str">
        <f>'Утв. ИП 2014-2019'!A207</f>
        <v>1.1.5.1.30/13</v>
      </c>
      <c r="B206" s="350" t="str">
        <f>'Утв. ИП 2014-2019'!B207</f>
        <v>3.1.85</v>
      </c>
      <c r="C206" s="351" t="str">
        <f>'Утв. ИП 2014-2019'!C207</f>
        <v>Монтаж 3 в/в ячеек в РУ-10 кВ РП-50 для электроснабжения объекта: "Электроснабжение 7-го жилого района в Октябрьском округе г. Липецка"</v>
      </c>
      <c r="D206" s="352"/>
      <c r="E206" s="352" t="str">
        <f>'Утв. ИП 2014-2019'!L207</f>
        <v xml:space="preserve"> 0 км/0 МВА</v>
      </c>
      <c r="F206" s="352"/>
      <c r="G206" s="352"/>
      <c r="H206" s="352"/>
      <c r="I206" s="352"/>
      <c r="J206" s="352" t="str">
        <f>'Утв. ИП 2014-2019'!Q207</f>
        <v xml:space="preserve"> 0 км/0 МВА</v>
      </c>
      <c r="K206" s="349"/>
      <c r="L206" s="352"/>
      <c r="M206" s="352"/>
      <c r="N206" s="352"/>
      <c r="O206" s="352"/>
      <c r="P206" s="352"/>
      <c r="Q206" s="349"/>
      <c r="R206" s="353"/>
      <c r="S206" s="354"/>
      <c r="T206" s="355"/>
      <c r="U206" s="354"/>
      <c r="V206" s="355"/>
      <c r="W206" s="356"/>
      <c r="X206" s="355"/>
      <c r="Y206" s="356"/>
      <c r="Z206" s="355"/>
      <c r="AA206" s="356"/>
      <c r="AB206" s="355"/>
      <c r="AC206" s="356"/>
      <c r="AD206" s="357">
        <f t="shared" si="21"/>
        <v>0</v>
      </c>
      <c r="AE206" s="357">
        <f t="shared" si="21"/>
        <v>0</v>
      </c>
    </row>
    <row r="207" spans="1:31" s="358" customFormat="1" ht="25.5" outlineLevel="1" x14ac:dyDescent="0.2">
      <c r="A207" s="350" t="str">
        <f>'Утв. ИП 2014-2019'!A208</f>
        <v>1.1.5.1.32/13</v>
      </c>
      <c r="B207" s="350" t="str">
        <f>'Утв. ИП 2014-2019'!B208</f>
        <v>3.1.86</v>
      </c>
      <c r="C207" s="351" t="str">
        <f>'Утв. ИП 2014-2019'!C208</f>
        <v>Монтаж УСПД в РУ-0,4 кВ ТП-849 для электроснабжения купели-часовни по адресу: г. Липецк, ул. Салтыкова-Щедрина</v>
      </c>
      <c r="D207" s="352"/>
      <c r="E207" s="352" t="str">
        <f>'Утв. ИП 2014-2019'!L208</f>
        <v xml:space="preserve"> 0 км/0 МВА</v>
      </c>
      <c r="F207" s="352"/>
      <c r="G207" s="352"/>
      <c r="H207" s="352"/>
      <c r="I207" s="352"/>
      <c r="J207" s="352" t="str">
        <f>'Утв. ИП 2014-2019'!Q208</f>
        <v xml:space="preserve"> 0 км/0 МВА</v>
      </c>
      <c r="K207" s="352"/>
      <c r="L207" s="352"/>
      <c r="M207" s="349"/>
      <c r="N207" s="352"/>
      <c r="O207" s="352"/>
      <c r="P207" s="352"/>
      <c r="Q207" s="349"/>
      <c r="R207" s="353"/>
      <c r="S207" s="354"/>
      <c r="T207" s="355"/>
      <c r="U207" s="354"/>
      <c r="V207" s="355"/>
      <c r="W207" s="356"/>
      <c r="X207" s="355"/>
      <c r="Y207" s="356"/>
      <c r="Z207" s="355"/>
      <c r="AA207" s="356"/>
      <c r="AB207" s="355"/>
      <c r="AC207" s="356"/>
      <c r="AD207" s="357">
        <f t="shared" ref="AD207:AE234" si="22">R207+T207+V207+X207+Z207+AB207</f>
        <v>0</v>
      </c>
      <c r="AE207" s="357">
        <f t="shared" si="22"/>
        <v>0</v>
      </c>
    </row>
    <row r="208" spans="1:31" s="358" customFormat="1" ht="89.25" outlineLevel="1" x14ac:dyDescent="0.2">
      <c r="A208" s="350" t="str">
        <f>'Утв. ИП 2014-2019'!A209</f>
        <v>1.1.5.1.33/13</v>
      </c>
      <c r="B208" s="350" t="str">
        <f>'Утв. ИП 2014-2019'!B209</f>
        <v>3.1.87</v>
      </c>
      <c r="C208" s="351" t="str">
        <f>'Утв. ИП 2014-2019'!C209</f>
        <v>Монтаж панелей в РУ-0,4 кВ ТП-702, монтаж приборов учета в РУ-0,4 кВ ТП-702 для электроснабжения реконструкции стационарного отделения областного наркологического диспансера под монтаж и установку оборудования, приобретенного в рамках реализации мероприятий по совершенствованию медицинской помощи наркологическим больным по адресу: г. Липецк, ул. Студенческая</v>
      </c>
      <c r="D208" s="352" t="str">
        <f>'Утв. ИП 2014-2019'!K209</f>
        <v xml:space="preserve"> 0 км/0 МВА</v>
      </c>
      <c r="E208" s="352"/>
      <c r="F208" s="352"/>
      <c r="G208" s="352"/>
      <c r="H208" s="352"/>
      <c r="I208" s="352"/>
      <c r="J208" s="352" t="str">
        <f>'Утв. ИП 2014-2019'!Q209</f>
        <v xml:space="preserve"> 0 км/0 МВА</v>
      </c>
      <c r="K208" s="349"/>
      <c r="L208" s="352"/>
      <c r="M208" s="352"/>
      <c r="N208" s="352"/>
      <c r="O208" s="352"/>
      <c r="P208" s="352"/>
      <c r="Q208" s="349"/>
      <c r="R208" s="353"/>
      <c r="S208" s="354"/>
      <c r="T208" s="355"/>
      <c r="U208" s="354"/>
      <c r="V208" s="355"/>
      <c r="W208" s="356"/>
      <c r="X208" s="355"/>
      <c r="Y208" s="356"/>
      <c r="Z208" s="355"/>
      <c r="AA208" s="356"/>
      <c r="AB208" s="355"/>
      <c r="AC208" s="356"/>
      <c r="AD208" s="357">
        <f t="shared" si="22"/>
        <v>0</v>
      </c>
      <c r="AE208" s="357">
        <f t="shared" si="22"/>
        <v>0</v>
      </c>
    </row>
    <row r="209" spans="1:31" s="358" customFormat="1" ht="63.75" outlineLevel="1" x14ac:dyDescent="0.2">
      <c r="A209" s="350" t="str">
        <f>'Утв. ИП 2014-2019'!A210</f>
        <v>1.1.5.1.34/13</v>
      </c>
      <c r="B209" s="350" t="str">
        <f>'Утв. ИП 2014-2019'!B210</f>
        <v>3.1.88</v>
      </c>
      <c r="C209" s="351" t="str">
        <f>'Утв. ИП 2014-2019'!C210</f>
        <v>Реконструкция РУ-6 кВ ТП-460, реконструкция РУ-0,4 кВ ТП-460, монтаж приборов учета в РУ-0,4 кВ ТП-460 для электроснабжения строительства основания футбольного поля с подогревом для детско-юношеских школ на территории МУ СК "Сокол" по адресу: г. Липецк, ул. Ушинского, 5</v>
      </c>
      <c r="D209" s="352"/>
      <c r="E209" s="352" t="str">
        <f>'Утв. ИП 2014-2019'!L210</f>
        <v xml:space="preserve"> 0 км/0 МВА</v>
      </c>
      <c r="F209" s="352"/>
      <c r="G209" s="352"/>
      <c r="H209" s="352"/>
      <c r="I209" s="352"/>
      <c r="J209" s="352" t="str">
        <f>'Утв. ИП 2014-2019'!Q210</f>
        <v xml:space="preserve"> 0 км/0 МВА</v>
      </c>
      <c r="K209" s="352"/>
      <c r="L209" s="352"/>
      <c r="M209" s="352"/>
      <c r="N209" s="349"/>
      <c r="O209" s="352"/>
      <c r="P209" s="352"/>
      <c r="Q209" s="349"/>
      <c r="R209" s="353"/>
      <c r="S209" s="354"/>
      <c r="T209" s="355"/>
      <c r="U209" s="354"/>
      <c r="V209" s="355"/>
      <c r="W209" s="356"/>
      <c r="X209" s="355"/>
      <c r="Y209" s="356"/>
      <c r="Z209" s="355"/>
      <c r="AA209" s="356"/>
      <c r="AB209" s="355"/>
      <c r="AC209" s="356"/>
      <c r="AD209" s="357">
        <f t="shared" si="22"/>
        <v>0</v>
      </c>
      <c r="AE209" s="357">
        <f t="shared" si="22"/>
        <v>0</v>
      </c>
    </row>
    <row r="210" spans="1:31" s="358" customFormat="1" ht="38.25" outlineLevel="1" x14ac:dyDescent="0.2">
      <c r="A210" s="350" t="str">
        <f>'Утв. ИП 2014-2019'!A211</f>
        <v>1.1.5.1.36/13</v>
      </c>
      <c r="B210" s="350" t="str">
        <f>'Утв. ИП 2014-2019'!B211</f>
        <v>3.1.89</v>
      </c>
      <c r="C210" s="351" t="str">
        <f>'Утв. ИП 2014-2019'!C211</f>
        <v>Реконструкция ВЛ-6 кВ "ТП-175-ТП-189", монтаж в/в ПКУ для электроснабжения стройплощадки туристического центра по адресу: г. Липецк, ул. Маяковского</v>
      </c>
      <c r="D210" s="352"/>
      <c r="E210" s="352" t="str">
        <f>'Утв. ИП 2014-2019'!L211</f>
        <v xml:space="preserve"> 2,1 км/0 МВА</v>
      </c>
      <c r="F210" s="352"/>
      <c r="G210" s="352"/>
      <c r="H210" s="352"/>
      <c r="I210" s="352"/>
      <c r="J210" s="352" t="str">
        <f>'Утв. ИП 2014-2019'!Q211</f>
        <v xml:space="preserve"> 2,1 км/0 МВА</v>
      </c>
      <c r="K210" s="349"/>
      <c r="L210" s="352"/>
      <c r="M210" s="352"/>
      <c r="N210" s="352"/>
      <c r="O210" s="352"/>
      <c r="P210" s="352"/>
      <c r="Q210" s="349"/>
      <c r="R210" s="353"/>
      <c r="S210" s="354"/>
      <c r="T210" s="355"/>
      <c r="U210" s="354"/>
      <c r="V210" s="355"/>
      <c r="W210" s="356"/>
      <c r="X210" s="355"/>
      <c r="Y210" s="356"/>
      <c r="Z210" s="355"/>
      <c r="AA210" s="356"/>
      <c r="AB210" s="355"/>
      <c r="AC210" s="356"/>
      <c r="AD210" s="357">
        <f t="shared" si="22"/>
        <v>0</v>
      </c>
      <c r="AE210" s="357">
        <f t="shared" si="22"/>
        <v>0</v>
      </c>
    </row>
    <row r="211" spans="1:31" s="358" customFormat="1" ht="51" outlineLevel="1" x14ac:dyDescent="0.2">
      <c r="A211" s="350" t="str">
        <f>'Утв. ИП 2014-2019'!A212</f>
        <v>1.1.5.1.37/13</v>
      </c>
      <c r="B211" s="350" t="str">
        <f>'Утв. ИП 2014-2019'!B212</f>
        <v>3.1.90</v>
      </c>
      <c r="C211" s="351" t="str">
        <f>'Утв. ИП 2014-2019'!C212</f>
        <v>Реконструкция КЛ-6 кВ "ПС Привокзальная - ТП-79" для электроснабжение долей зданий склада (деревообрабатывающего цеха) по адресу: г. Липецк, пр. Поперечный, 1</v>
      </c>
      <c r="D211" s="352"/>
      <c r="E211" s="352" t="str">
        <f>'Утв. ИП 2014-2019'!L212</f>
        <v xml:space="preserve"> 1,2 км/1,26 МВА</v>
      </c>
      <c r="F211" s="352"/>
      <c r="G211" s="352"/>
      <c r="H211" s="352"/>
      <c r="I211" s="352"/>
      <c r="J211" s="352" t="str">
        <f>'Утв. ИП 2014-2019'!Q212</f>
        <v xml:space="preserve"> 1,2 км/1,26 МВА</v>
      </c>
      <c r="K211" s="352"/>
      <c r="L211" s="352" t="s">
        <v>1413</v>
      </c>
      <c r="M211" s="352"/>
      <c r="N211" s="349"/>
      <c r="O211" s="352"/>
      <c r="P211" s="352"/>
      <c r="Q211" s="349" t="str">
        <f>L211</f>
        <v>0,8 МВА</v>
      </c>
      <c r="R211" s="353"/>
      <c r="S211" s="354"/>
      <c r="T211" s="355"/>
      <c r="U211" s="354">
        <v>0.8</v>
      </c>
      <c r="V211" s="355"/>
      <c r="W211" s="356"/>
      <c r="X211" s="355"/>
      <c r="Y211" s="356"/>
      <c r="Z211" s="355"/>
      <c r="AA211" s="356"/>
      <c r="AB211" s="355"/>
      <c r="AC211" s="356"/>
      <c r="AD211" s="357">
        <f t="shared" si="22"/>
        <v>0</v>
      </c>
      <c r="AE211" s="357">
        <f t="shared" si="22"/>
        <v>0.8</v>
      </c>
    </row>
    <row r="212" spans="1:31" s="358" customFormat="1" ht="38.25" outlineLevel="1" x14ac:dyDescent="0.2">
      <c r="A212" s="350" t="str">
        <f>'Утв. ИП 2014-2019'!A213</f>
        <v>1.1.5.1.38/13</v>
      </c>
      <c r="B212" s="350" t="str">
        <f>'Утв. ИП 2014-2019'!B213</f>
        <v>3.1.91</v>
      </c>
      <c r="C212" s="351" t="str">
        <f>'Утв. ИП 2014-2019'!C213</f>
        <v>Замена трансформаторов тока в РУ-0,4 кВ ТП-309 для электроснабжение нежилых помещений по адресу: г. Липецк, ул. Базарная, строения 3 "В", 3 "Г"</v>
      </c>
      <c r="D212" s="352" t="str">
        <f>'Утв. ИП 2014-2019'!K213</f>
        <v>1 км/ 0 МВА</v>
      </c>
      <c r="E212" s="352"/>
      <c r="F212" s="352"/>
      <c r="G212" s="352"/>
      <c r="H212" s="352"/>
      <c r="I212" s="352"/>
      <c r="J212" s="352" t="str">
        <f>'Утв. ИП 2014-2019'!Q213</f>
        <v>1 км/ 0 МВА</v>
      </c>
      <c r="K212" s="352"/>
      <c r="L212" s="352"/>
      <c r="M212" s="352"/>
      <c r="N212" s="349"/>
      <c r="O212" s="352"/>
      <c r="P212" s="352"/>
      <c r="Q212" s="349"/>
      <c r="R212" s="353"/>
      <c r="S212" s="354"/>
      <c r="T212" s="355"/>
      <c r="U212" s="354"/>
      <c r="V212" s="355"/>
      <c r="W212" s="356"/>
      <c r="X212" s="355"/>
      <c r="Y212" s="356"/>
      <c r="Z212" s="355"/>
      <c r="AA212" s="356"/>
      <c r="AB212" s="355"/>
      <c r="AC212" s="356"/>
      <c r="AD212" s="357">
        <f t="shared" si="22"/>
        <v>0</v>
      </c>
      <c r="AE212" s="357">
        <f t="shared" si="22"/>
        <v>0</v>
      </c>
    </row>
    <row r="213" spans="1:31" s="358" customFormat="1" ht="38.25" outlineLevel="1" x14ac:dyDescent="0.2">
      <c r="A213" s="350" t="str">
        <f>'Утв. ИП 2014-2019'!A214</f>
        <v>1.1.5.1.39/13</v>
      </c>
      <c r="B213" s="350" t="str">
        <f>'Утв. ИП 2014-2019'!B214</f>
        <v>3.1.92</v>
      </c>
      <c r="C213" s="351" t="str">
        <f>'Утв. ИП 2014-2019'!C214</f>
        <v>Реконструкция РУ-10 кВ РП-17 для электроснабжения здания автомойки, магазина и кафе по адресу: г. Липецк, ул. им. Генерала Меркулова в районе водозабора № 5</v>
      </c>
      <c r="D213" s="352"/>
      <c r="E213" s="352" t="str">
        <f>'Утв. ИП 2014-2019'!L214</f>
        <v xml:space="preserve"> 0 км/0 МВА</v>
      </c>
      <c r="F213" s="352"/>
      <c r="G213" s="352"/>
      <c r="H213" s="352"/>
      <c r="I213" s="352"/>
      <c r="J213" s="352" t="str">
        <f>'Утв. ИП 2014-2019'!Q214</f>
        <v xml:space="preserve"> 0 км/0 МВА</v>
      </c>
      <c r="K213" s="352"/>
      <c r="L213" s="352"/>
      <c r="M213" s="349"/>
      <c r="N213" s="352"/>
      <c r="O213" s="352"/>
      <c r="P213" s="352"/>
      <c r="Q213" s="349"/>
      <c r="R213" s="353"/>
      <c r="S213" s="354"/>
      <c r="T213" s="355"/>
      <c r="U213" s="354"/>
      <c r="V213" s="355"/>
      <c r="W213" s="356"/>
      <c r="X213" s="355"/>
      <c r="Y213" s="356"/>
      <c r="Z213" s="355"/>
      <c r="AA213" s="356"/>
      <c r="AB213" s="355"/>
      <c r="AC213" s="356"/>
      <c r="AD213" s="357">
        <f t="shared" si="22"/>
        <v>0</v>
      </c>
      <c r="AE213" s="357">
        <f t="shared" si="22"/>
        <v>0</v>
      </c>
    </row>
    <row r="214" spans="1:31" s="358" customFormat="1" ht="51" outlineLevel="1" x14ac:dyDescent="0.2">
      <c r="A214" s="350" t="str">
        <f>'Утв. ИП 2014-2019'!A215</f>
        <v>1.1.5.1.40/13</v>
      </c>
      <c r="B214" s="350" t="str">
        <f>'Утв. ИП 2014-2019'!B215</f>
        <v>3.1.93</v>
      </c>
      <c r="C214" s="351" t="str">
        <f>'Утв. ИП 2014-2019'!C215</f>
        <v>Замена трансформатора 400 кВА на 630 кВА в ТП-280, реконструкция оборудования РУ-0,4 кВ ТП-280, для электроснабжения объекта: "Коммутатор по ул. Московская, вл. 83а, запитанного от РУ-0,4 кВ ТП-280, 100 кВт, II категория"</v>
      </c>
      <c r="D214" s="352"/>
      <c r="E214" s="352" t="str">
        <f>'Утв. ИП 2014-2019'!L215</f>
        <v xml:space="preserve"> 0 км/0,63 МВА</v>
      </c>
      <c r="F214" s="352"/>
      <c r="G214" s="352"/>
      <c r="H214" s="352"/>
      <c r="I214" s="352"/>
      <c r="J214" s="352" t="str">
        <f>'Утв. ИП 2014-2019'!Q215</f>
        <v xml:space="preserve"> 0 км/0,63 МВА</v>
      </c>
      <c r="K214" s="352"/>
      <c r="L214" s="352" t="s">
        <v>435</v>
      </c>
      <c r="M214" s="352"/>
      <c r="N214" s="349"/>
      <c r="O214" s="352"/>
      <c r="P214" s="352"/>
      <c r="Q214" s="349" t="str">
        <f>L214</f>
        <v>0,4 МВА</v>
      </c>
      <c r="R214" s="353"/>
      <c r="S214" s="354"/>
      <c r="T214" s="355"/>
      <c r="U214" s="354">
        <v>0.4</v>
      </c>
      <c r="V214" s="355"/>
      <c r="W214" s="356"/>
      <c r="X214" s="355"/>
      <c r="Y214" s="356"/>
      <c r="Z214" s="355"/>
      <c r="AA214" s="356"/>
      <c r="AB214" s="355"/>
      <c r="AC214" s="356"/>
      <c r="AD214" s="357">
        <f t="shared" si="22"/>
        <v>0</v>
      </c>
      <c r="AE214" s="357">
        <f t="shared" si="22"/>
        <v>0.4</v>
      </c>
    </row>
    <row r="215" spans="1:31" s="358" customFormat="1" ht="63.75" outlineLevel="1" x14ac:dyDescent="0.2">
      <c r="A215" s="350" t="str">
        <f>'Утв. ИП 2014-2019'!A216</f>
        <v>1.1.5.1.41/13</v>
      </c>
      <c r="B215" s="350" t="str">
        <f>'Утв. ИП 2014-2019'!B216</f>
        <v>3.1.94</v>
      </c>
      <c r="C215" s="351" t="str">
        <f>'Утв. ИП 2014-2019'!C216</f>
        <v>Замена трансформаторов 630 на 1000 кВА и реконструкция РУ-0,4 кВ ТП-890а для электроснабжение жилых домов строительные № 1а,1б,1в,1г со встроенно-пристроенными помещениями соцкультбыта строительные № 24,25,26 по адресу: г. Липецк, 28 микрорайон</v>
      </c>
      <c r="D215" s="352" t="str">
        <f>'Утв. ИП 2014-2019'!K216</f>
        <v xml:space="preserve"> 0 км/2,0 МВА</v>
      </c>
      <c r="E215" s="352"/>
      <c r="F215" s="352"/>
      <c r="G215" s="352"/>
      <c r="H215" s="352"/>
      <c r="I215" s="352"/>
      <c r="J215" s="352" t="str">
        <f>'Утв. ИП 2014-2019'!Q216</f>
        <v xml:space="preserve"> 0 км/2,0 МВА</v>
      </c>
      <c r="K215" s="349" t="s">
        <v>1412</v>
      </c>
      <c r="L215" s="352"/>
      <c r="M215" s="352"/>
      <c r="N215" s="352"/>
      <c r="O215" s="352"/>
      <c r="P215" s="352"/>
      <c r="Q215" s="349" t="str">
        <f>K215</f>
        <v>1,26 МВА</v>
      </c>
      <c r="R215" s="353"/>
      <c r="S215" s="354">
        <v>1.26</v>
      </c>
      <c r="T215" s="355"/>
      <c r="U215" s="354"/>
      <c r="V215" s="355"/>
      <c r="W215" s="356"/>
      <c r="X215" s="355"/>
      <c r="Y215" s="356"/>
      <c r="Z215" s="355"/>
      <c r="AA215" s="356"/>
      <c r="AB215" s="355"/>
      <c r="AC215" s="356"/>
      <c r="AD215" s="357">
        <f t="shared" si="22"/>
        <v>0</v>
      </c>
      <c r="AE215" s="357">
        <f t="shared" si="22"/>
        <v>1.26</v>
      </c>
    </row>
    <row r="216" spans="1:31" s="358" customFormat="1" ht="51" outlineLevel="1" x14ac:dyDescent="0.2">
      <c r="A216" s="350" t="str">
        <f>'Утв. ИП 2014-2019'!A217</f>
        <v>1.1.5.1.42/13</v>
      </c>
      <c r="B216" s="350" t="str">
        <f>'Утв. ИП 2014-2019'!B217</f>
        <v>3.1.95</v>
      </c>
      <c r="C216" s="351" t="str">
        <f>'Утв. ИП 2014-2019'!C217</f>
        <v>Реконструкция РУ-0,4 кВ ТП-346 для электроснабжение многоквартирного жилого дома с объектами соцкультбыта по адресу: г. Липецк, ул. 50 лет НЛМК, кадастровый № 48:20:0000000:72</v>
      </c>
      <c r="D216" s="352" t="str">
        <f>'Утв. ИП 2014-2019'!K217</f>
        <v xml:space="preserve"> 0 км/0 МВА</v>
      </c>
      <c r="E216" s="352"/>
      <c r="F216" s="352"/>
      <c r="G216" s="352"/>
      <c r="H216" s="352"/>
      <c r="I216" s="352"/>
      <c r="J216" s="352" t="str">
        <f>'Утв. ИП 2014-2019'!Q217</f>
        <v xml:space="preserve"> 0 км/0 МВА</v>
      </c>
      <c r="K216" s="349"/>
      <c r="L216" s="352"/>
      <c r="M216" s="352"/>
      <c r="N216" s="352"/>
      <c r="O216" s="352"/>
      <c r="P216" s="352"/>
      <c r="Q216" s="349"/>
      <c r="R216" s="353"/>
      <c r="S216" s="354"/>
      <c r="T216" s="355"/>
      <c r="U216" s="354"/>
      <c r="V216" s="355"/>
      <c r="W216" s="356"/>
      <c r="X216" s="355"/>
      <c r="Y216" s="356"/>
      <c r="Z216" s="355"/>
      <c r="AA216" s="356"/>
      <c r="AB216" s="355"/>
      <c r="AC216" s="356"/>
      <c r="AD216" s="357">
        <f t="shared" si="22"/>
        <v>0</v>
      </c>
      <c r="AE216" s="357">
        <f t="shared" si="22"/>
        <v>0</v>
      </c>
    </row>
    <row r="217" spans="1:31" s="358" customFormat="1" ht="51" outlineLevel="1" x14ac:dyDescent="0.2">
      <c r="A217" s="350" t="str">
        <f>'Утв. ИП 2014-2019'!A218</f>
        <v>1.1.5.1.43/13</v>
      </c>
      <c r="B217" s="350" t="str">
        <f>'Утв. ИП 2014-2019'!B218</f>
        <v>3.1.96</v>
      </c>
      <c r="C217" s="351" t="str">
        <f>'Утв. ИП 2014-2019'!C218</f>
        <v>Замена 2 трансформаторов 400 кВА на 630 кВА в ТП-324 и реконструкция РУ-0,4 кВ ТП-324 для электроснабжение жилого здания со встроенными объектами соцкультбыта по адресу: г. Липецк, ул. Водопьянова-Берзина</v>
      </c>
      <c r="D217" s="352"/>
      <c r="E217" s="352" t="str">
        <f>'Утв. ИП 2014-2019'!L218</f>
        <v xml:space="preserve"> 0 км/1,26 МВА</v>
      </c>
      <c r="F217" s="352"/>
      <c r="G217" s="352"/>
      <c r="H217" s="352"/>
      <c r="I217" s="352"/>
      <c r="J217" s="352" t="str">
        <f>'Утв. ИП 2014-2019'!Q218</f>
        <v xml:space="preserve"> 0 км/1,26 МВА</v>
      </c>
      <c r="K217" s="349"/>
      <c r="L217" s="352" t="s">
        <v>1413</v>
      </c>
      <c r="M217" s="352"/>
      <c r="N217" s="352"/>
      <c r="O217" s="352"/>
      <c r="P217" s="352"/>
      <c r="Q217" s="349" t="str">
        <f>L217</f>
        <v>0,8 МВА</v>
      </c>
      <c r="R217" s="353"/>
      <c r="S217" s="354"/>
      <c r="T217" s="355"/>
      <c r="U217" s="354">
        <v>0.8</v>
      </c>
      <c r="V217" s="355"/>
      <c r="W217" s="356"/>
      <c r="X217" s="355"/>
      <c r="Y217" s="356"/>
      <c r="Z217" s="355"/>
      <c r="AA217" s="356"/>
      <c r="AB217" s="355"/>
      <c r="AC217" s="356"/>
      <c r="AD217" s="357">
        <f t="shared" si="22"/>
        <v>0</v>
      </c>
      <c r="AE217" s="357">
        <f t="shared" si="22"/>
        <v>0.8</v>
      </c>
    </row>
    <row r="218" spans="1:31" s="358" customFormat="1" ht="63.75" outlineLevel="1" x14ac:dyDescent="0.2">
      <c r="A218" s="350" t="str">
        <f>'Утв. ИП 2014-2019'!A219</f>
        <v>1.1.5.1.44/13</v>
      </c>
      <c r="B218" s="350" t="str">
        <f>'Утв. ИП 2014-2019'!B219</f>
        <v>3.1.97</v>
      </c>
      <c r="C218" s="351" t="str">
        <f>'Утв. ИП 2014-2019'!C219</f>
        <v>Реконструкция ВЛ-6 кВ от ПС "Трубная" до ТП-396 с отпайками для электроснабжение стройплощадки объекта "Комплексное освоение в целях индивидуального и малоэтажного жилищного строительства" по адресу: г. Липецк, Лебедянское шоссе</v>
      </c>
      <c r="D218" s="352"/>
      <c r="E218" s="352" t="str">
        <f>'Утв. ИП 2014-2019'!L219</f>
        <v>2,7 км/ 0 МВА</v>
      </c>
      <c r="F218" s="352"/>
      <c r="G218" s="352"/>
      <c r="H218" s="352"/>
      <c r="I218" s="352"/>
      <c r="J218" s="352" t="str">
        <f>'Утв. ИП 2014-2019'!Q219</f>
        <v>2,7 км/ 0 МВА</v>
      </c>
      <c r="K218" s="352"/>
      <c r="L218" s="352"/>
      <c r="M218" s="352"/>
      <c r="N218" s="349"/>
      <c r="O218" s="352"/>
      <c r="P218" s="352"/>
      <c r="Q218" s="349"/>
      <c r="R218" s="353"/>
      <c r="S218" s="354"/>
      <c r="T218" s="355"/>
      <c r="U218" s="354"/>
      <c r="V218" s="355"/>
      <c r="W218" s="356"/>
      <c r="X218" s="355"/>
      <c r="Y218" s="356"/>
      <c r="Z218" s="355"/>
      <c r="AA218" s="356"/>
      <c r="AB218" s="355"/>
      <c r="AC218" s="356"/>
      <c r="AD218" s="357">
        <f t="shared" si="22"/>
        <v>0</v>
      </c>
      <c r="AE218" s="357">
        <f t="shared" si="22"/>
        <v>0</v>
      </c>
    </row>
    <row r="219" spans="1:31" s="358" customFormat="1" ht="25.5" outlineLevel="1" x14ac:dyDescent="0.2">
      <c r="A219" s="350" t="str">
        <f>'Утв. ИП 2014-2019'!A220</f>
        <v>1.1.5.1.45/13</v>
      </c>
      <c r="B219" s="350" t="str">
        <f>'Утв. ИП 2014-2019'!B220</f>
        <v>3.1.98</v>
      </c>
      <c r="C219" s="351" t="str">
        <f>'Утв. ИП 2014-2019'!C220</f>
        <v>Реконструкция КЛ-0,4 кВ от ТП-260 для электроснабжение 4-х этажной жилой вставки по адресу: г. Липецк, ул. Терешковой</v>
      </c>
      <c r="D219" s="352" t="str">
        <f>'Утв. ИП 2014-2019'!K220</f>
        <v xml:space="preserve"> 0 км/0 МВА</v>
      </c>
      <c r="E219" s="352"/>
      <c r="F219" s="352"/>
      <c r="G219" s="352"/>
      <c r="H219" s="352"/>
      <c r="I219" s="352"/>
      <c r="J219" s="352" t="str">
        <f>'Утв. ИП 2014-2019'!Q220</f>
        <v xml:space="preserve"> 0 км/0 МВА</v>
      </c>
      <c r="K219" s="352"/>
      <c r="L219" s="352"/>
      <c r="M219" s="349"/>
      <c r="N219" s="352"/>
      <c r="O219" s="352"/>
      <c r="P219" s="352"/>
      <c r="Q219" s="349"/>
      <c r="R219" s="353"/>
      <c r="S219" s="354"/>
      <c r="T219" s="355"/>
      <c r="U219" s="354"/>
      <c r="V219" s="355"/>
      <c r="W219" s="356"/>
      <c r="X219" s="355"/>
      <c r="Y219" s="356"/>
      <c r="Z219" s="355"/>
      <c r="AA219" s="356"/>
      <c r="AB219" s="355"/>
      <c r="AC219" s="356"/>
      <c r="AD219" s="357">
        <f t="shared" si="22"/>
        <v>0</v>
      </c>
      <c r="AE219" s="357">
        <f t="shared" si="22"/>
        <v>0</v>
      </c>
    </row>
    <row r="220" spans="1:31" s="358" customFormat="1" ht="25.5" outlineLevel="1" x14ac:dyDescent="0.2">
      <c r="A220" s="350" t="str">
        <f>'Утв. ИП 2014-2019'!A221</f>
        <v>1.1.5.1.46/13</v>
      </c>
      <c r="B220" s="350" t="str">
        <f>'Утв. ИП 2014-2019'!B221</f>
        <v>3.1.99</v>
      </c>
      <c r="C220" s="351" t="str">
        <f>'Утв. ИП 2014-2019'!C221</f>
        <v>Реконструкция РУ-0,4 кВ ТП-575 для электроснабжение здания склада по адресу: г. Липецк, ул. Металлургов, владение 1</v>
      </c>
      <c r="D220" s="352"/>
      <c r="E220" s="352" t="str">
        <f>'Утв. ИП 2014-2019'!L221</f>
        <v xml:space="preserve"> 0 км/0 МВА</v>
      </c>
      <c r="F220" s="352"/>
      <c r="G220" s="352"/>
      <c r="H220" s="352"/>
      <c r="I220" s="352"/>
      <c r="J220" s="352" t="str">
        <f>'Утв. ИП 2014-2019'!Q221</f>
        <v xml:space="preserve"> 0 км/0 МВА</v>
      </c>
      <c r="K220" s="352"/>
      <c r="L220" s="352"/>
      <c r="M220" s="352"/>
      <c r="N220" s="349"/>
      <c r="O220" s="352"/>
      <c r="P220" s="352"/>
      <c r="Q220" s="349"/>
      <c r="R220" s="353"/>
      <c r="S220" s="354"/>
      <c r="T220" s="355"/>
      <c r="U220" s="354"/>
      <c r="V220" s="355"/>
      <c r="W220" s="356"/>
      <c r="X220" s="355"/>
      <c r="Y220" s="356"/>
      <c r="Z220" s="355"/>
      <c r="AA220" s="356"/>
      <c r="AB220" s="355"/>
      <c r="AC220" s="356"/>
      <c r="AD220" s="357">
        <f t="shared" si="22"/>
        <v>0</v>
      </c>
      <c r="AE220" s="357">
        <f t="shared" si="22"/>
        <v>0</v>
      </c>
    </row>
    <row r="221" spans="1:31" s="358" customFormat="1" ht="38.25" outlineLevel="1" x14ac:dyDescent="0.2">
      <c r="A221" s="350" t="str">
        <f>'Утв. ИП 2014-2019'!A222</f>
        <v>1.1.5.1.47/13</v>
      </c>
      <c r="B221" s="350" t="str">
        <f>'Утв. ИП 2014-2019'!B222</f>
        <v>3.1.100</v>
      </c>
      <c r="C221" s="351" t="str">
        <f>'Утв. ИП 2014-2019'!C222</f>
        <v xml:space="preserve">Монтаж в/в ячеек в РУ-6 кВ ТП-191 для электроснабжение комплекса зданий автоцентров по адресу: г. Липецк, ул. Ю.Натуралистов, д. 18, 18 А </v>
      </c>
      <c r="D221" s="352"/>
      <c r="E221" s="352" t="str">
        <f>'Утв. ИП 2014-2019'!L222</f>
        <v xml:space="preserve"> 0 км/0 МВА</v>
      </c>
      <c r="F221" s="352"/>
      <c r="G221" s="352"/>
      <c r="H221" s="352"/>
      <c r="I221" s="352"/>
      <c r="J221" s="352" t="str">
        <f>'Утв. ИП 2014-2019'!Q222</f>
        <v xml:space="preserve"> 0 км/0 МВА</v>
      </c>
      <c r="K221" s="352"/>
      <c r="L221" s="352"/>
      <c r="M221" s="352"/>
      <c r="N221" s="349"/>
      <c r="O221" s="352"/>
      <c r="P221" s="352"/>
      <c r="Q221" s="349"/>
      <c r="R221" s="353"/>
      <c r="S221" s="354"/>
      <c r="T221" s="355"/>
      <c r="U221" s="354"/>
      <c r="V221" s="355"/>
      <c r="W221" s="356"/>
      <c r="X221" s="355"/>
      <c r="Y221" s="356"/>
      <c r="Z221" s="355"/>
      <c r="AA221" s="356"/>
      <c r="AB221" s="355"/>
      <c r="AC221" s="356"/>
      <c r="AD221" s="357">
        <f t="shared" si="22"/>
        <v>0</v>
      </c>
      <c r="AE221" s="357">
        <f t="shared" si="22"/>
        <v>0</v>
      </c>
    </row>
    <row r="222" spans="1:31" s="358" customFormat="1" ht="51" outlineLevel="1" x14ac:dyDescent="0.2">
      <c r="A222" s="350" t="str">
        <f>'Утв. ИП 2014-2019'!A223</f>
        <v>1.1.5.1.49/13</v>
      </c>
      <c r="B222" s="350" t="str">
        <f>'Утв. ИП 2014-2019'!B223</f>
        <v>3.1.101</v>
      </c>
      <c r="C222" s="351" t="str">
        <f>'Утв. ИП 2014-2019'!C223</f>
        <v>Монтаж вводно-линейной панели в РУ-0,4 кВ ТП-33, 
Монтаж ошиновки тр-ра, 
Монтаж прибора учета для электроснабжение отеля по адресу: г. Липецк, ул. Верхняя, д. 2</v>
      </c>
      <c r="D222" s="352"/>
      <c r="E222" s="352" t="str">
        <f>'Утв. ИП 2014-2019'!L223</f>
        <v xml:space="preserve"> 0 км/0 МВА</v>
      </c>
      <c r="F222" s="352"/>
      <c r="G222" s="352"/>
      <c r="H222" s="352"/>
      <c r="I222" s="352"/>
      <c r="J222" s="352" t="str">
        <f>'Утв. ИП 2014-2019'!Q223</f>
        <v xml:space="preserve"> 0 км/0 МВА</v>
      </c>
      <c r="K222" s="352"/>
      <c r="L222" s="352"/>
      <c r="M222" s="352"/>
      <c r="N222" s="349"/>
      <c r="O222" s="352"/>
      <c r="P222" s="352"/>
      <c r="Q222" s="349"/>
      <c r="R222" s="353"/>
      <c r="S222" s="354"/>
      <c r="T222" s="355"/>
      <c r="U222" s="354"/>
      <c r="V222" s="355"/>
      <c r="W222" s="356"/>
      <c r="X222" s="355"/>
      <c r="Y222" s="356"/>
      <c r="Z222" s="355"/>
      <c r="AA222" s="356"/>
      <c r="AB222" s="355"/>
      <c r="AC222" s="356"/>
      <c r="AD222" s="357">
        <f t="shared" si="22"/>
        <v>0</v>
      </c>
      <c r="AE222" s="357">
        <f t="shared" si="22"/>
        <v>0</v>
      </c>
    </row>
    <row r="223" spans="1:31" s="358" customFormat="1" ht="38.25" outlineLevel="1" x14ac:dyDescent="0.2">
      <c r="A223" s="350" t="str">
        <f>'Утв. ИП 2014-2019'!A224</f>
        <v>1.1.5.1.50/13</v>
      </c>
      <c r="B223" s="350" t="str">
        <f>'Утв. ИП 2014-2019'!B224</f>
        <v>3.1.102</v>
      </c>
      <c r="C223" s="351" t="str">
        <f>'Утв. ИП 2014-2019'!C224</f>
        <v>Замена 2 трансформаторов с 630 на 1000 кВА, реконструкция РУ-0,4 кВ ТП-182 для электроснабжения помещение № 4 по адресу: г. Липецк, пр. Победы, д. 21</v>
      </c>
      <c r="D223" s="352"/>
      <c r="E223" s="352" t="str">
        <f>'Утв. ИП 2014-2019'!L224</f>
        <v xml:space="preserve"> 0 км/2,0 МВА</v>
      </c>
      <c r="F223" s="352"/>
      <c r="G223" s="352"/>
      <c r="H223" s="352"/>
      <c r="I223" s="352"/>
      <c r="J223" s="352" t="str">
        <f>'Утв. ИП 2014-2019'!Q224</f>
        <v xml:space="preserve"> 0 км/2,0 МВА</v>
      </c>
      <c r="K223" s="352"/>
      <c r="L223" s="352" t="s">
        <v>1412</v>
      </c>
      <c r="M223" s="352"/>
      <c r="N223" s="349"/>
      <c r="O223" s="352"/>
      <c r="P223" s="352"/>
      <c r="Q223" s="349" t="str">
        <f>L223</f>
        <v>1,26 МВА</v>
      </c>
      <c r="R223" s="353"/>
      <c r="S223" s="354"/>
      <c r="T223" s="355"/>
      <c r="U223" s="354">
        <v>1.26</v>
      </c>
      <c r="V223" s="355"/>
      <c r="W223" s="356"/>
      <c r="X223" s="355"/>
      <c r="Y223" s="356"/>
      <c r="Z223" s="355"/>
      <c r="AA223" s="356"/>
      <c r="AB223" s="355"/>
      <c r="AC223" s="356"/>
      <c r="AD223" s="357">
        <f t="shared" si="22"/>
        <v>0</v>
      </c>
      <c r="AE223" s="357">
        <f t="shared" si="22"/>
        <v>1.26</v>
      </c>
    </row>
    <row r="224" spans="1:31" s="358" customFormat="1" ht="51" outlineLevel="1" x14ac:dyDescent="0.2">
      <c r="A224" s="350" t="str">
        <f>'Утв. ИП 2014-2019'!A225</f>
        <v>4.1.58/09</v>
      </c>
      <c r="B224" s="350" t="str">
        <f>'Утв. ИП 2014-2019'!B225</f>
        <v>3.1.103</v>
      </c>
      <c r="C224" s="351" t="str">
        <f>'Утв. ИП 2014-2019'!C225</f>
        <v>Монтаж прибора учета в РУ-0,4 кВ ТП-188 для электроснабжения индивидуального жилого дома усадебного типа по ул. Новокарьерная, д.18, запитанного от ТП-188; 50 кВт, 380 В, 3 категория</v>
      </c>
      <c r="D224" s="352" t="str">
        <f>'Утв. ИП 2014-2019'!K225</f>
        <v>0 км/ 0 МВА</v>
      </c>
      <c r="E224" s="352"/>
      <c r="F224" s="352"/>
      <c r="G224" s="352"/>
      <c r="H224" s="352"/>
      <c r="I224" s="352"/>
      <c r="J224" s="352" t="str">
        <f>'Утв. ИП 2014-2019'!Q225</f>
        <v>0 км/ 0 МВА</v>
      </c>
      <c r="K224" s="352"/>
      <c r="L224" s="352"/>
      <c r="M224" s="352"/>
      <c r="N224" s="349"/>
      <c r="O224" s="352"/>
      <c r="P224" s="352"/>
      <c r="Q224" s="349"/>
      <c r="R224" s="353"/>
      <c r="S224" s="354"/>
      <c r="T224" s="355"/>
      <c r="U224" s="354"/>
      <c r="V224" s="355"/>
      <c r="W224" s="356"/>
      <c r="X224" s="355"/>
      <c r="Y224" s="356"/>
      <c r="Z224" s="355"/>
      <c r="AA224" s="356"/>
      <c r="AB224" s="355"/>
      <c r="AC224" s="356"/>
      <c r="AD224" s="357">
        <f t="shared" si="22"/>
        <v>0</v>
      </c>
      <c r="AE224" s="357">
        <f t="shared" si="22"/>
        <v>0</v>
      </c>
    </row>
    <row r="225" spans="1:31" s="358" customFormat="1" ht="165.75" outlineLevel="1" x14ac:dyDescent="0.2">
      <c r="A225" s="350" t="str">
        <f>'Утв. ИП 2014-2019'!A226</f>
        <v>4.1.57/09</v>
      </c>
      <c r="B225" s="350" t="str">
        <f>'Утв. ИП 2014-2019'!B226</f>
        <v>3.1.104</v>
      </c>
      <c r="C225" s="351" t="str">
        <f>'Утв. ИП 2014-2019'!C226</f>
        <v>Монтаж новой ТП взамен существующей ТП-219, монтаж устройства передачи данных (УСПД) по учету электрической энергии в РУ-0,4 кВ вновь смонтированной ТП, строительство КЛ-6 кВ от ПС "Привокзальная" до ТП-219, строительство КЛ-6 кВ от ТП-219 до ТП-228, реконструкция КЛ-6 кВ ПС "Привокзальная", яч. № 13 -
ТП-219 (инв. № 340031), монтаж оборудования в РУ-6 кВ вновь смонтированной ТП, монтаж оборудования в РУ-0,4 кВ вновь смонтированной ТП, монтаж трансформатора № 1 во вновь смонтированной ТП, монтаж трансформатора № 2 во вновь смонтированной ТП для электроснабжения жилого здания (1 этап строительства) по ул.Гагарина, запитанного от ТП-219; 145 кВт, 380В, 2 категория</v>
      </c>
      <c r="D225" s="352" t="str">
        <f>'Утв. ИП 2014-2019'!K226</f>
        <v xml:space="preserve"> 0 км/1,26 МВА</v>
      </c>
      <c r="E225" s="352"/>
      <c r="F225" s="352"/>
      <c r="G225" s="352"/>
      <c r="H225" s="352"/>
      <c r="I225" s="352"/>
      <c r="J225" s="352" t="str">
        <f>'Утв. ИП 2014-2019'!Q226</f>
        <v xml:space="preserve"> 0 км/1,26 МВА</v>
      </c>
      <c r="K225" s="349" t="s">
        <v>1413</v>
      </c>
      <c r="L225" s="352"/>
      <c r="M225" s="352"/>
      <c r="N225" s="352"/>
      <c r="O225" s="352"/>
      <c r="P225" s="352"/>
      <c r="Q225" s="349" t="str">
        <f>K225</f>
        <v>0,8 МВА</v>
      </c>
      <c r="R225" s="353"/>
      <c r="S225" s="354">
        <v>0.8</v>
      </c>
      <c r="T225" s="355"/>
      <c r="U225" s="354"/>
      <c r="V225" s="355"/>
      <c r="W225" s="356"/>
      <c r="X225" s="355"/>
      <c r="Y225" s="356"/>
      <c r="Z225" s="355"/>
      <c r="AA225" s="356"/>
      <c r="AB225" s="355"/>
      <c r="AC225" s="356"/>
      <c r="AD225" s="357">
        <f t="shared" si="22"/>
        <v>0</v>
      </c>
      <c r="AE225" s="357">
        <f t="shared" si="22"/>
        <v>0.8</v>
      </c>
    </row>
    <row r="226" spans="1:31" s="358" customFormat="1" ht="191.25" outlineLevel="1" x14ac:dyDescent="0.2">
      <c r="A226" s="350" t="str">
        <f>'Утв. ИП 2014-2019'!A227</f>
        <v>1.1.6.4.47/10</v>
      </c>
      <c r="B226" s="350" t="str">
        <f>'Утв. ИП 2014-2019'!B227</f>
        <v>3.1.105</v>
      </c>
      <c r="C226" s="351" t="str">
        <f>'Утв. ИП 2014-2019'!C227</f>
        <v xml:space="preserve">Монтаж новой ТП взамен существующей ТП-121, строительство КЛ-10 кВ от РП-Интернациональная до вновь смонтированной ТП, реконструкция КЛ-6 кВ "ТП-39 - ТП-121" (инв.№345671) и "ТП-41 - ТП-121" (инв.№345696), строительство КЛ-6 кВ от ТП-62 до ТП-25, монтаж узла учета во вновь смонтированной ТП, монтаж пожарно-охранной сигнализации во вновь смонтированной ТП, монтаж оборудования в РУ-10 кВ
вновь смонтированной ТП, монтаж оборудования в РУ-0,4 кВ
вновь смонтированной ТП, реконструкция участка водопровода к дому № 47 по ул. Интернациональная (инв. № 311651А) для электроснабжения жилого дома со встроено-пристроенными объектами соцкультбыта по ул. Интернациональная (Строительство ТП-121 и КЛ-10 кВ к ней от РП-52 </v>
      </c>
      <c r="D226" s="352"/>
      <c r="E226" s="352" t="str">
        <f>'Утв. ИП 2014-2019'!L227</f>
        <v>2,0 км/ 1,26 МВА</v>
      </c>
      <c r="F226" s="352"/>
      <c r="G226" s="352"/>
      <c r="H226" s="352"/>
      <c r="I226" s="352"/>
      <c r="J226" s="352" t="str">
        <f>'Утв. ИП 2014-2019'!Q227</f>
        <v>2,0 км/ 1,26 МВА</v>
      </c>
      <c r="K226" s="352"/>
      <c r="L226" s="352" t="s">
        <v>1413</v>
      </c>
      <c r="M226" s="352"/>
      <c r="N226" s="349"/>
      <c r="O226" s="352"/>
      <c r="P226" s="352"/>
      <c r="Q226" s="349" t="str">
        <f>L226</f>
        <v>0,8 МВА</v>
      </c>
      <c r="R226" s="353"/>
      <c r="S226" s="354"/>
      <c r="T226" s="355"/>
      <c r="U226" s="354">
        <v>0.8</v>
      </c>
      <c r="V226" s="355"/>
      <c r="W226" s="356"/>
      <c r="X226" s="355"/>
      <c r="Y226" s="356"/>
      <c r="Z226" s="355"/>
      <c r="AA226" s="356"/>
      <c r="AB226" s="355"/>
      <c r="AC226" s="356"/>
      <c r="AD226" s="357">
        <f t="shared" si="22"/>
        <v>0</v>
      </c>
      <c r="AE226" s="357">
        <f t="shared" si="22"/>
        <v>0.8</v>
      </c>
    </row>
    <row r="227" spans="1:31" s="358" customFormat="1" ht="153" outlineLevel="1" x14ac:dyDescent="0.2">
      <c r="A227" s="350" t="str">
        <f>'Утв. ИП 2014-2019'!A228</f>
        <v>4.1.69/09</v>
      </c>
      <c r="B227" s="350" t="str">
        <f>'Утв. ИП 2014-2019'!B228</f>
        <v>3.1.106</v>
      </c>
      <c r="C227" s="351" t="str">
        <f>'Утв. ИП 2014-2019'!C228</f>
        <v>Монтаж оборудования РУ-0,4кВ ТП-178 взамен существующего (инв. №410100А), монтаж оборудования РУ-6кВ ТП-178 взамен существующего (инв. №410100А), монтаж трансформаторов в ТП-178 взамен существующих (инв. №41132А), монтаж ячеек в РУ-10кВ РП-Центр, строительство КЛ-10кВ от РП-Центр до ТП-178,реконструкция КЛ-6кВ "ТП-128 - ТП-178" (инв. №345449) и "ТП-176 - ТП-178" (инв. №345448), реконструкция КЛ-6кВ "ТП-128 - ТП-178" (инв. №345449) и "ТП-11 - ТП-178" (инв. №345354) для электроснабжения жилого здания с объектами соцкультбыта и подземной автостоянкой по ул. Неделина, запитанного от РУ-0,4 кВ ТП-178; 404,09 кВт, 380В, 2 категория</v>
      </c>
      <c r="D227" s="352" t="str">
        <f>'Утв. ИП 2014-2019'!K228</f>
        <v>1,0 км/ 2,0 МВА</v>
      </c>
      <c r="E227" s="352"/>
      <c r="F227" s="352"/>
      <c r="G227" s="352"/>
      <c r="H227" s="352"/>
      <c r="I227" s="352"/>
      <c r="J227" s="352" t="str">
        <f>'Утв. ИП 2014-2019'!Q228</f>
        <v>1,0 км/ 2,0 МВА</v>
      </c>
      <c r="K227" s="352" t="s">
        <v>1412</v>
      </c>
      <c r="L227" s="352"/>
      <c r="M227" s="352"/>
      <c r="N227" s="349"/>
      <c r="O227" s="352"/>
      <c r="P227" s="352"/>
      <c r="Q227" s="349" t="str">
        <f>K227</f>
        <v>1,26 МВА</v>
      </c>
      <c r="R227" s="353"/>
      <c r="S227" s="354">
        <v>1.26</v>
      </c>
      <c r="T227" s="355"/>
      <c r="U227" s="354"/>
      <c r="V227" s="355"/>
      <c r="W227" s="356"/>
      <c r="X227" s="355"/>
      <c r="Y227" s="356"/>
      <c r="Z227" s="355"/>
      <c r="AA227" s="356"/>
      <c r="AB227" s="355"/>
      <c r="AC227" s="356"/>
      <c r="AD227" s="357">
        <f t="shared" si="22"/>
        <v>0</v>
      </c>
      <c r="AE227" s="357">
        <f t="shared" si="22"/>
        <v>1.26</v>
      </c>
    </row>
    <row r="228" spans="1:31" s="358" customFormat="1" ht="127.5" outlineLevel="1" x14ac:dyDescent="0.2">
      <c r="A228" s="350" t="str">
        <f>'Утв. ИП 2014-2019'!A229</f>
        <v>1.1.6.4.35/10</v>
      </c>
      <c r="B228" s="350" t="str">
        <f>'Утв. ИП 2014-2019'!B229</f>
        <v>3.1.107</v>
      </c>
      <c r="C228" s="351" t="str">
        <f>'Утв. ИП 2014-2019'!C229</f>
        <v>Монтаж оборудования в РУ-0,4 кВ ТП-176 взамен существующего (инв. № 410098А), монтаж оборудования в РУ-6 кВ ТП-176 взамен существующего (инв.№410098А), монтаж трансформаторов в ТП-176 взамен существующих (инв. №41128А, 41127А), строительство КЛ-10кВ от РП-Центр до ТП-176, монтаж ячеек в РУ-10кВ РП-Центр, реконструкция КЛ-6 кВ "ТП-380 - ТП-176" (инв.№345664) и "ТП-176 - ТП-11" (инв.№345353), реконструкция КЛ-6 кВ "ТП-178 - ТП-176" (инв.№345448) и "ТП-176 - ТП-16" (инв.№345422) для электроснабжения жилого дома по ул. Котовского, 12</v>
      </c>
      <c r="D228" s="352"/>
      <c r="E228" s="352" t="str">
        <f>'Утв. ИП 2014-2019'!L229</f>
        <v>1,0 км/ 2,0 МВА</v>
      </c>
      <c r="F228" s="352"/>
      <c r="G228" s="352"/>
      <c r="H228" s="352"/>
      <c r="I228" s="352"/>
      <c r="J228" s="352" t="str">
        <f>'Утв. ИП 2014-2019'!Q229</f>
        <v>1,0 км/ 2,0 МВА</v>
      </c>
      <c r="K228" s="352"/>
      <c r="L228" s="352"/>
      <c r="M228" s="352" t="s">
        <v>1413</v>
      </c>
      <c r="N228" s="349"/>
      <c r="O228" s="352"/>
      <c r="P228" s="352"/>
      <c r="Q228" s="349" t="str">
        <f>M228</f>
        <v>0,8 МВА</v>
      </c>
      <c r="R228" s="353"/>
      <c r="S228" s="354"/>
      <c r="T228" s="355"/>
      <c r="U228" s="354"/>
      <c r="V228" s="355"/>
      <c r="W228" s="356">
        <v>0.8</v>
      </c>
      <c r="X228" s="355"/>
      <c r="Y228" s="356"/>
      <c r="Z228" s="355"/>
      <c r="AA228" s="356"/>
      <c r="AB228" s="355"/>
      <c r="AC228" s="356"/>
      <c r="AD228" s="357">
        <f t="shared" si="22"/>
        <v>0</v>
      </c>
      <c r="AE228" s="357">
        <f t="shared" si="22"/>
        <v>0.8</v>
      </c>
    </row>
    <row r="229" spans="1:31" s="358" customFormat="1" ht="127.5" outlineLevel="1" x14ac:dyDescent="0.2">
      <c r="A229" s="350" t="str">
        <f>'Утв. ИП 2014-2019'!A230</f>
        <v>1.1.6.1.18/12</v>
      </c>
      <c r="B229" s="350" t="str">
        <f>'Утв. ИП 2014-2019'!B230</f>
        <v>3.1.108</v>
      </c>
      <c r="C229" s="351" t="str">
        <f>'Утв. ИП 2014-2019'!C230</f>
        <v xml:space="preserve">Монтаж оборудования РУ-0,4 кВ в ТП-34, монтаж оборудования РУ-10 кВ РП-Интернациональная, монтаж оборудования РУ-6 кВ в ТП-34, Монтаж трансформаторов в ТП-34 взамен существующих (инв. №42291А, 42292А), строительство КЛ-10 кВ от РП-Интернациональная до ТП-34, реконструкция КЛ-6 кВ ТП-34 - РП-29 (инв. №340946), реконструкция КЛ-6 кВ ТП-34 - РП-12 (инв. №340850), монтаж УСПД в ТП-34 для электроснабжения здания гостиницы, здания кафе и благоустройство территории по адресу: г. Липецк, ул. Кузнечная </v>
      </c>
      <c r="D229" s="352"/>
      <c r="E229" s="352"/>
      <c r="F229" s="352" t="str">
        <f>'Утв. ИП 2014-2019'!M230</f>
        <v>1,41 км/ 1,26 МВА</v>
      </c>
      <c r="G229" s="352"/>
      <c r="H229" s="352"/>
      <c r="I229" s="352"/>
      <c r="J229" s="352" t="str">
        <f>'Утв. ИП 2014-2019'!Q230</f>
        <v>1,41 км/ 1,26 МВА</v>
      </c>
      <c r="K229" s="349"/>
      <c r="L229" s="352"/>
      <c r="M229" s="352" t="s">
        <v>1413</v>
      </c>
      <c r="N229" s="352"/>
      <c r="O229" s="352"/>
      <c r="P229" s="352"/>
      <c r="Q229" s="349" t="str">
        <f>M229</f>
        <v>0,8 МВА</v>
      </c>
      <c r="R229" s="353"/>
      <c r="S229" s="354"/>
      <c r="T229" s="355"/>
      <c r="U229" s="354"/>
      <c r="V229" s="355"/>
      <c r="W229" s="356">
        <v>0.8</v>
      </c>
      <c r="X229" s="355"/>
      <c r="Y229" s="356"/>
      <c r="Z229" s="355"/>
      <c r="AA229" s="356"/>
      <c r="AB229" s="355"/>
      <c r="AC229" s="356"/>
      <c r="AD229" s="357">
        <f t="shared" si="22"/>
        <v>0</v>
      </c>
      <c r="AE229" s="357">
        <f t="shared" si="22"/>
        <v>0.8</v>
      </c>
    </row>
    <row r="230" spans="1:31" s="358" customFormat="1" ht="51" outlineLevel="1" x14ac:dyDescent="0.2">
      <c r="A230" s="350" t="str">
        <f>'Утв. ИП 2014-2019'!A231</f>
        <v>1.1.6.4.40/10</v>
      </c>
      <c r="B230" s="350" t="str">
        <f>'Утв. ИП 2014-2019'!B231</f>
        <v>3.1.109</v>
      </c>
      <c r="C230" s="351" t="str">
        <f>'Утв. ИП 2014-2019'!C231</f>
        <v>Реконструкция ТП-115, строительство КЛ-10 кВ от ЦРП "Город" до ТП-115 для электроснабжения жилого здания по ул. Зегеля, 21 а, запитанного от РУ-0,4 кВ ТП-115; 531,2 кВт, 380 В, 2 категория</v>
      </c>
      <c r="D230" s="352"/>
      <c r="E230" s="352" t="str">
        <f>'Утв. ИП 2014-2019'!L231</f>
        <v>1,116 км/ 2,0 МВА</v>
      </c>
      <c r="F230" s="352"/>
      <c r="G230" s="352"/>
      <c r="H230" s="352"/>
      <c r="I230" s="352"/>
      <c r="J230" s="352" t="str">
        <f>'Утв. ИП 2014-2019'!Q231</f>
        <v>1,116 км/ 2,0 МВА</v>
      </c>
      <c r="K230" s="352"/>
      <c r="L230" s="352"/>
      <c r="M230" s="352" t="s">
        <v>1416</v>
      </c>
      <c r="N230" s="349"/>
      <c r="O230" s="352"/>
      <c r="P230" s="352"/>
      <c r="Q230" s="349" t="str">
        <f>M230</f>
        <v>1,03 МВА</v>
      </c>
      <c r="R230" s="353"/>
      <c r="S230" s="354"/>
      <c r="T230" s="355"/>
      <c r="U230" s="354"/>
      <c r="V230" s="355"/>
      <c r="W230" s="356">
        <v>1.03</v>
      </c>
      <c r="X230" s="355"/>
      <c r="Y230" s="356"/>
      <c r="Z230" s="355"/>
      <c r="AA230" s="356"/>
      <c r="AB230" s="355"/>
      <c r="AC230" s="356"/>
      <c r="AD230" s="357">
        <f t="shared" si="22"/>
        <v>0</v>
      </c>
      <c r="AE230" s="357">
        <f t="shared" si="22"/>
        <v>1.03</v>
      </c>
    </row>
    <row r="231" spans="1:31" s="358" customFormat="1" ht="102" outlineLevel="1" x14ac:dyDescent="0.2">
      <c r="A231" s="350" t="str">
        <f>'Утв. ИП 2014-2019'!A232</f>
        <v>1.1.6.4.38/10</v>
      </c>
      <c r="B231" s="350" t="str">
        <f>'Утв. ИП 2014-2019'!B232</f>
        <v>3.1.110</v>
      </c>
      <c r="C231" s="351" t="str">
        <f>'Утв. ИП 2014-2019'!C232</f>
        <v>Монтаж оборудования РУ-6 кВ (с целью перевода на 10 кВ) и РУ-0,4 кВ в ТП-155, монтаж трансформаторов 2х1000 (взамен 2х630), строительство КЛ-10 кВ от РП-Интернациональная до ТП-155 для электроснабжения трехэтажного здания банка с подвалом (лит.А, под А) по адресу: г. Липецк, ул. Интернациональная, 8, запитанного от РУ-0,4 кВ ТП-155; 200 кВт (дополнительно к существующей 100 кВт), 380 В, II категория</v>
      </c>
      <c r="D231" s="352"/>
      <c r="E231" s="352" t="str">
        <f>'Утв. ИП 2014-2019'!L232</f>
        <v>2,0 км/ 2,0 МВА</v>
      </c>
      <c r="F231" s="352"/>
      <c r="G231" s="352"/>
      <c r="H231" s="352"/>
      <c r="I231" s="352"/>
      <c r="J231" s="352" t="str">
        <f>'Утв. ИП 2014-2019'!Q232</f>
        <v>2,0 км/ 2,0 МВА</v>
      </c>
      <c r="K231" s="352"/>
      <c r="L231" s="352" t="s">
        <v>1412</v>
      </c>
      <c r="M231" s="352"/>
      <c r="N231" s="349"/>
      <c r="O231" s="352"/>
      <c r="P231" s="352"/>
      <c r="Q231" s="349" t="str">
        <f>L231</f>
        <v>1,26 МВА</v>
      </c>
      <c r="R231" s="353"/>
      <c r="S231" s="354"/>
      <c r="T231" s="355"/>
      <c r="U231" s="354">
        <v>1.26</v>
      </c>
      <c r="V231" s="355"/>
      <c r="W231" s="356"/>
      <c r="X231" s="355"/>
      <c r="Y231" s="356"/>
      <c r="Z231" s="355"/>
      <c r="AA231" s="356"/>
      <c r="AB231" s="355"/>
      <c r="AC231" s="356"/>
      <c r="AD231" s="357">
        <f t="shared" si="22"/>
        <v>0</v>
      </c>
      <c r="AE231" s="357">
        <f t="shared" si="22"/>
        <v>1.26</v>
      </c>
    </row>
    <row r="232" spans="1:31" s="358" customFormat="1" ht="102" outlineLevel="1" x14ac:dyDescent="0.2">
      <c r="A232" s="350" t="str">
        <f>'Утв. ИП 2014-2019'!A233</f>
        <v>3.1.111</v>
      </c>
      <c r="B232" s="350" t="str">
        <f>'Утв. ИП 2014-2019'!B233</f>
        <v>3.1.111</v>
      </c>
      <c r="C232" s="351" t="str">
        <f>'Утв. ИП 2014-2019'!C233</f>
        <v>Монтаж новой ТП 2х630, строительство КЛ-6 кВ от ПС "Трубная-2" до новой ТП, строительство КЛ-6 кВ от ТП-45 до новой ТП, монтаж оборудования в ТП-45 для электроснабжения кирпичного склада (лит. Д) подлежащего реконструкции под здание цеха по производству 3-х компонентной пластиковой пробки "Spirit" по пр. Боевой, д. 1, запитанного от РУ-6 кВ ПС "Трубная-2"; 540 кВт, 380 В, II категория</v>
      </c>
      <c r="D232" s="352"/>
      <c r="E232" s="352"/>
      <c r="F232" s="352"/>
      <c r="G232" s="352" t="str">
        <f>'Утв. ИП 2014-2019'!N233</f>
        <v>6,0 км/ 1,26 МВА</v>
      </c>
      <c r="H232" s="352"/>
      <c r="I232" s="352"/>
      <c r="J232" s="352" t="str">
        <f>'Утв. ИП 2014-2019'!Q233</f>
        <v>6,0 км/ 1,26 МВА</v>
      </c>
      <c r="K232" s="352"/>
      <c r="L232" s="352"/>
      <c r="M232" s="349"/>
      <c r="N232" s="349" t="s">
        <v>1413</v>
      </c>
      <c r="O232" s="352"/>
      <c r="P232" s="352"/>
      <c r="Q232" s="349" t="s">
        <v>1413</v>
      </c>
      <c r="R232" s="353"/>
      <c r="S232" s="354"/>
      <c r="T232" s="355"/>
      <c r="U232" s="354"/>
      <c r="V232" s="355"/>
      <c r="W232" s="356"/>
      <c r="X232" s="355"/>
      <c r="Y232" s="356">
        <v>0.8</v>
      </c>
      <c r="Z232" s="355"/>
      <c r="AA232" s="356"/>
      <c r="AB232" s="355"/>
      <c r="AC232" s="356"/>
      <c r="AD232" s="357">
        <f t="shared" si="22"/>
        <v>0</v>
      </c>
      <c r="AE232" s="357">
        <f t="shared" si="22"/>
        <v>0.8</v>
      </c>
    </row>
    <row r="233" spans="1:31" s="358" customFormat="1" ht="63.75" outlineLevel="1" x14ac:dyDescent="0.2">
      <c r="A233" s="350" t="str">
        <f>'Утв. ИП 2014-2019'!A234</f>
        <v>3.1.112</v>
      </c>
      <c r="B233" s="350" t="str">
        <f>'Утв. ИП 2014-2019'!B234</f>
        <v>3.1.112</v>
      </c>
      <c r="C233" s="351" t="str">
        <f>'Утв. ИП 2014-2019'!C234</f>
        <v>Строительство новой ТП-1 (взамен старой ТП-1), строительство КЛ-6 кВ от РП-3 до новой ТП-1 для электроснабжения жилого здания с объектами соцкультбыта на пересечении ул. Карьерная и ул. Студеновская, запитанного от ТП-1; 236 кВт, 380 В, II категория</v>
      </c>
      <c r="D233" s="352"/>
      <c r="E233" s="352"/>
      <c r="F233" s="352"/>
      <c r="G233" s="352" t="str">
        <f>'Утв. ИП 2014-2019'!N234</f>
        <v>6,4 км/ 1,26 МВА</v>
      </c>
      <c r="H233" s="352"/>
      <c r="I233" s="352"/>
      <c r="J233" s="352" t="str">
        <f>'Утв. ИП 2014-2019'!Q234</f>
        <v>6,4 км/ 1,26 МВА</v>
      </c>
      <c r="K233" s="349"/>
      <c r="L233" s="352"/>
      <c r="M233" s="352"/>
      <c r="N233" s="352" t="s">
        <v>2731</v>
      </c>
      <c r="O233" s="352"/>
      <c r="P233" s="352"/>
      <c r="Q233" s="349" t="str">
        <f>N233</f>
        <v>0,64 МВА</v>
      </c>
      <c r="R233" s="353"/>
      <c r="S233" s="354"/>
      <c r="T233" s="355"/>
      <c r="U233" s="354"/>
      <c r="V233" s="355"/>
      <c r="W233" s="356"/>
      <c r="X233" s="355"/>
      <c r="Y233" s="356">
        <v>0.64</v>
      </c>
      <c r="Z233" s="355"/>
      <c r="AA233" s="356"/>
      <c r="AB233" s="355"/>
      <c r="AC233" s="356"/>
      <c r="AD233" s="357">
        <f t="shared" si="22"/>
        <v>0</v>
      </c>
      <c r="AE233" s="357">
        <f t="shared" si="22"/>
        <v>0.64</v>
      </c>
    </row>
    <row r="234" spans="1:31" s="358" customFormat="1" ht="15.75" hidden="1" outlineLevel="2" x14ac:dyDescent="0.2">
      <c r="A234" s="350">
        <f>'Утв. ИП 2014-2019'!A235</f>
        <v>0</v>
      </c>
      <c r="B234" s="350">
        <f>'Утв. ИП 2014-2019'!B235</f>
        <v>0</v>
      </c>
      <c r="C234" s="351">
        <f>'Утв. ИП 2014-2019'!C235</f>
        <v>0</v>
      </c>
      <c r="D234" s="352"/>
      <c r="E234" s="352"/>
      <c r="F234" s="352"/>
      <c r="G234" s="352">
        <f>'Утв. ИП 2014-2019'!N235</f>
        <v>0</v>
      </c>
      <c r="H234" s="352"/>
      <c r="I234" s="352"/>
      <c r="J234" s="352">
        <f>'Утв. ИП 2014-2019'!Q235</f>
        <v>0</v>
      </c>
      <c r="K234" s="352"/>
      <c r="L234" s="352"/>
      <c r="M234" s="352"/>
      <c r="N234" s="349"/>
      <c r="O234" s="352"/>
      <c r="P234" s="352"/>
      <c r="Q234" s="349"/>
      <c r="R234" s="353"/>
      <c r="S234" s="354"/>
      <c r="T234" s="355"/>
      <c r="U234" s="354"/>
      <c r="V234" s="355"/>
      <c r="W234" s="356"/>
      <c r="X234" s="355"/>
      <c r="Y234" s="356"/>
      <c r="Z234" s="355"/>
      <c r="AA234" s="356"/>
      <c r="AB234" s="355"/>
      <c r="AC234" s="356"/>
      <c r="AD234" s="357">
        <f t="shared" si="22"/>
        <v>0</v>
      </c>
      <c r="AE234" s="357">
        <f t="shared" si="22"/>
        <v>0</v>
      </c>
    </row>
    <row r="235" spans="1:31" s="358" customFormat="1" ht="38.25" outlineLevel="1" collapsed="1" x14ac:dyDescent="0.2">
      <c r="A235" s="350" t="str">
        <f>'Утв. ИП 2014-2019'!A236</f>
        <v>3.1.113</v>
      </c>
      <c r="B235" s="350" t="str">
        <f>'Утв. ИП 2014-2019'!B236</f>
        <v>3.1.113</v>
      </c>
      <c r="C235" s="351" t="str">
        <f>'Утв. ИП 2014-2019'!C236</f>
        <v>Замена трансформаторов 2*400 на 2*1000 кВА в ТП-182, реконструкция оборудования РУ-0,4 кВ ТП-182 для электроснабжения помещения №4 по пр. Победы, д.21.</v>
      </c>
      <c r="D235" s="352" t="str">
        <f>'Утв. ИП 2014-2019'!K236</f>
        <v>0 км/ 2,0 МВА</v>
      </c>
      <c r="E235" s="352"/>
      <c r="F235" s="352"/>
      <c r="G235" s="352"/>
      <c r="H235" s="352"/>
      <c r="I235" s="352"/>
      <c r="J235" s="352" t="str">
        <f>'Утв. ИП 2014-2019'!Q236</f>
        <v>0 км/ 2,0 МВА</v>
      </c>
      <c r="K235" s="352" t="s">
        <v>1413</v>
      </c>
      <c r="L235" s="352"/>
      <c r="M235" s="352"/>
      <c r="N235" s="349"/>
      <c r="O235" s="352"/>
      <c r="P235" s="352"/>
      <c r="Q235" s="349" t="str">
        <f>K235</f>
        <v>0,8 МВА</v>
      </c>
      <c r="R235" s="353"/>
      <c r="S235" s="354">
        <v>0.8</v>
      </c>
      <c r="T235" s="355"/>
      <c r="U235" s="354"/>
      <c r="V235" s="355"/>
      <c r="W235" s="354"/>
      <c r="X235" s="355"/>
      <c r="Y235" s="354"/>
      <c r="Z235" s="355"/>
      <c r="AA235" s="354"/>
      <c r="AB235" s="355"/>
      <c r="AC235" s="354"/>
      <c r="AD235" s="357"/>
      <c r="AE235" s="357"/>
    </row>
    <row r="236" spans="1:31" s="358" customFormat="1" ht="76.5" outlineLevel="1" x14ac:dyDescent="0.2">
      <c r="A236" s="350" t="str">
        <f>'Утв. ИП 2014-2019'!A237</f>
        <v>1.1.5.1.4/14</v>
      </c>
      <c r="B236" s="350" t="str">
        <f>'Утв. ИП 2014-2019'!B237</f>
        <v>3.1.114</v>
      </c>
      <c r="C236" s="351" t="str">
        <f>'Утв. ИП 2014-2019'!C237</f>
        <v>Монтаж новой ячейки в РУ-6 кВ ТП-460, реконструкция КЛ-6 кВ, монтаж новой КЛ-6 кВ от ТП-431 до ТП-460, Замена трансформаторов 2*250 на 2*630 кВА в ТП-431, реконструкция оборудования РУ-0,4 кВ ТП-431 для электроснабжения многоэтажного жилого дома в ПОПиИ "Сокол-1", уч. 794,975,796, 821, 822, 831, 832.</v>
      </c>
      <c r="D236" s="352" t="str">
        <f>'Утв. ИП 2014-2019'!K237</f>
        <v>0 км/ 1,26 МВА</v>
      </c>
      <c r="E236" s="352"/>
      <c r="F236" s="352"/>
      <c r="G236" s="352"/>
      <c r="H236" s="352"/>
      <c r="I236" s="352"/>
      <c r="J236" s="352" t="str">
        <f>'Утв. ИП 2014-2019'!Q237</f>
        <v>0 км/ 1,26 МВА</v>
      </c>
      <c r="K236" s="352" t="s">
        <v>2725</v>
      </c>
      <c r="L236" s="352"/>
      <c r="M236" s="352"/>
      <c r="N236" s="349"/>
      <c r="O236" s="352"/>
      <c r="P236" s="352"/>
      <c r="Q236" s="349" t="str">
        <f>K236</f>
        <v>0,5 МВА</v>
      </c>
      <c r="R236" s="353"/>
      <c r="S236" s="354">
        <v>0.5</v>
      </c>
      <c r="T236" s="355"/>
      <c r="U236" s="354"/>
      <c r="V236" s="355"/>
      <c r="W236" s="354"/>
      <c r="X236" s="355"/>
      <c r="Y236" s="354"/>
      <c r="Z236" s="355"/>
      <c r="AA236" s="354"/>
      <c r="AB236" s="355"/>
      <c r="AC236" s="354"/>
      <c r="AD236" s="357"/>
      <c r="AE236" s="357"/>
    </row>
    <row r="237" spans="1:31" s="358" customFormat="1" ht="63.75" outlineLevel="1" x14ac:dyDescent="0.2">
      <c r="A237" s="350" t="str">
        <f>'Утв. ИП 2014-2019'!A238</f>
        <v>1.1.5.1.24/14</v>
      </c>
      <c r="B237" s="350" t="str">
        <f>'Утв. ИП 2014-2019'!B238</f>
        <v>3.1.115</v>
      </c>
      <c r="C237" s="351" t="str">
        <f>'Утв. ИП 2014-2019'!C238</f>
        <v>Замена трансформаторов 2*630 на 2*1000 кВА в ТП-357, реконструкция оборудования РУ-0,4 кВ ТП-357 для электроснабжения 15-этажного жилого дома с объектами соцкультбыта и пристроенным плавательным бассейном по б-ру Шубина</v>
      </c>
      <c r="D237" s="352"/>
      <c r="E237" s="352" t="str">
        <f>'Утв. ИП 2014-2019'!L238</f>
        <v>0 км/ 2,0 МВА</v>
      </c>
      <c r="F237" s="352"/>
      <c r="G237" s="352"/>
      <c r="H237" s="352"/>
      <c r="I237" s="352"/>
      <c r="J237" s="352" t="str">
        <f>'Утв. ИП 2014-2019'!Q238</f>
        <v>0 км/ 2,0 МВА</v>
      </c>
      <c r="K237" s="352"/>
      <c r="L237" s="352" t="s">
        <v>1412</v>
      </c>
      <c r="M237" s="352"/>
      <c r="N237" s="349"/>
      <c r="O237" s="352"/>
      <c r="P237" s="352"/>
      <c r="Q237" s="349" t="str">
        <f>L237</f>
        <v>1,26 МВА</v>
      </c>
      <c r="R237" s="353"/>
      <c r="S237" s="354"/>
      <c r="T237" s="355"/>
      <c r="U237" s="354">
        <v>1.26</v>
      </c>
      <c r="V237" s="355"/>
      <c r="W237" s="354"/>
      <c r="X237" s="355"/>
      <c r="Y237" s="354"/>
      <c r="Z237" s="355"/>
      <c r="AA237" s="354"/>
      <c r="AB237" s="355"/>
      <c r="AC237" s="354"/>
      <c r="AD237" s="357"/>
      <c r="AE237" s="357"/>
    </row>
    <row r="238" spans="1:31" s="358" customFormat="1" ht="51" outlineLevel="1" x14ac:dyDescent="0.2">
      <c r="A238" s="350" t="str">
        <f>'Утв. ИП 2014-2019'!A239</f>
        <v>1.1.5.1.8/14</v>
      </c>
      <c r="B238" s="350" t="str">
        <f>'Утв. ИП 2014-2019'!B239</f>
        <v>3.1.116</v>
      </c>
      <c r="C238" s="351" t="str">
        <f>'Утв. ИП 2014-2019'!C239</f>
        <v>Замена трансформаторов 2*400 на 2*630 кВА в ТП-515, реконструкция оборудования РУ-0,4 кВ ТП-515 для электроснабжения медицинского центра (диализного центра) по ул.М.Расковой</v>
      </c>
      <c r="D238" s="352"/>
      <c r="E238" s="352" t="str">
        <f>'Утв. ИП 2014-2019'!L239</f>
        <v>0 км/ 1,26 МВА</v>
      </c>
      <c r="F238" s="352"/>
      <c r="G238" s="352"/>
      <c r="H238" s="352"/>
      <c r="I238" s="352"/>
      <c r="J238" s="352" t="str">
        <f>'Утв. ИП 2014-2019'!Q239</f>
        <v>0 км/ 1,26 МВА</v>
      </c>
      <c r="K238" s="352"/>
      <c r="L238" s="352" t="s">
        <v>1413</v>
      </c>
      <c r="M238" s="352"/>
      <c r="N238" s="349"/>
      <c r="O238" s="352"/>
      <c r="P238" s="352"/>
      <c r="Q238" s="349" t="str">
        <f t="shared" ref="Q238:Q239" si="23">L238</f>
        <v>0,8 МВА</v>
      </c>
      <c r="R238" s="353"/>
      <c r="S238" s="354"/>
      <c r="T238" s="355"/>
      <c r="U238" s="354">
        <v>0.8</v>
      </c>
      <c r="V238" s="355"/>
      <c r="W238" s="354"/>
      <c r="X238" s="355"/>
      <c r="Y238" s="354"/>
      <c r="Z238" s="355"/>
      <c r="AA238" s="354"/>
      <c r="AB238" s="355"/>
      <c r="AC238" s="354"/>
      <c r="AD238" s="357"/>
      <c r="AE238" s="357"/>
    </row>
    <row r="239" spans="1:31" s="358" customFormat="1" ht="51" outlineLevel="1" x14ac:dyDescent="0.2">
      <c r="A239" s="350" t="str">
        <f>'Утв. ИП 2014-2019'!A240</f>
        <v>1.1.5.1.49/14</v>
      </c>
      <c r="B239" s="350" t="str">
        <f>'Утв. ИП 2014-2019'!B240</f>
        <v>3.1.117</v>
      </c>
      <c r="C239" s="351" t="str">
        <f>'Утв. ИП 2014-2019'!C240</f>
        <v>Замена трансформаторов 2*400 на 2*630 кВА в ТП-187, реконструкция оборудования РУ-0,4 кВ ТП-187 для электроснабжения многоквартирного жилого дома по ул. Литаврина, д.8</v>
      </c>
      <c r="D239" s="352"/>
      <c r="E239" s="352" t="str">
        <f>'Утв. ИП 2014-2019'!L240</f>
        <v>0 км/ 1,26 МВА</v>
      </c>
      <c r="F239" s="352"/>
      <c r="G239" s="352"/>
      <c r="H239" s="352"/>
      <c r="I239" s="352"/>
      <c r="J239" s="352" t="str">
        <f>'Утв. ИП 2014-2019'!Q240</f>
        <v>0 км/ 1,26 МВА</v>
      </c>
      <c r="K239" s="352"/>
      <c r="L239" s="352" t="s">
        <v>1413</v>
      </c>
      <c r="M239" s="352"/>
      <c r="N239" s="349"/>
      <c r="O239" s="352"/>
      <c r="P239" s="352"/>
      <c r="Q239" s="349" t="str">
        <f t="shared" si="23"/>
        <v>0,8 МВА</v>
      </c>
      <c r="R239" s="353"/>
      <c r="S239" s="354"/>
      <c r="T239" s="355"/>
      <c r="U239" s="354">
        <v>0.8</v>
      </c>
      <c r="V239" s="355"/>
      <c r="W239" s="354"/>
      <c r="X239" s="355"/>
      <c r="Y239" s="354"/>
      <c r="Z239" s="355"/>
      <c r="AA239" s="354"/>
      <c r="AB239" s="355"/>
      <c r="AC239" s="354"/>
      <c r="AD239" s="357"/>
      <c r="AE239" s="357"/>
    </row>
    <row r="240" spans="1:31" s="358" customFormat="1" ht="89.25" outlineLevel="1" x14ac:dyDescent="0.2">
      <c r="A240" s="350" t="str">
        <f>'Утв. ИП 2014-2019'!A241</f>
        <v>1.1.5.1.27/14</v>
      </c>
      <c r="B240" s="350" t="str">
        <f>'Утв. ИП 2014-2019'!B241</f>
        <v>3.1.118</v>
      </c>
      <c r="C240" s="351" t="str">
        <f>'Утв. ИП 2014-2019'!C241</f>
        <v>Монтаж ячеек в РУ-10 кВ РП Центр, строительство КЛ-10 кВ от РП Центр до новой ТП, строительство новой ТП для электроснабжения объектов: многоэтажное жилое здание со встроенными объектами соцкультбыта по ул. Неделина, 10а, и многоэтажное жилое здание со встроенными торгово-административными помещениями и автостоянкой закрытого типа по ул. Неделина - Фрунзе</v>
      </c>
      <c r="D240" s="352"/>
      <c r="E240" s="352" t="str">
        <f>'Утв. ИП 2014-2019'!L241</f>
        <v>0,5 км/ 2,5 МВА</v>
      </c>
      <c r="F240" s="352"/>
      <c r="G240" s="352"/>
      <c r="H240" s="352"/>
      <c r="I240" s="352"/>
      <c r="J240" s="352" t="str">
        <f>'Утв. ИП 2014-2019'!Q241</f>
        <v>0,5 км/ 2,5 МВА</v>
      </c>
      <c r="K240" s="352"/>
      <c r="L240" s="352"/>
      <c r="M240" s="352"/>
      <c r="N240" s="349"/>
      <c r="O240" s="352"/>
      <c r="P240" s="352"/>
      <c r="Q240" s="349"/>
      <c r="R240" s="353"/>
      <c r="S240" s="354"/>
      <c r="T240" s="355"/>
      <c r="U240" s="354"/>
      <c r="V240" s="355"/>
      <c r="W240" s="354"/>
      <c r="X240" s="355"/>
      <c r="Y240" s="354"/>
      <c r="Z240" s="355"/>
      <c r="AA240" s="354"/>
      <c r="AB240" s="355"/>
      <c r="AC240" s="354"/>
      <c r="AD240" s="357"/>
      <c r="AE240" s="357"/>
    </row>
    <row r="241" spans="1:31" s="69" customFormat="1" ht="51" x14ac:dyDescent="0.2">
      <c r="A241" s="25">
        <f>'Утв. ИП 2014-2019'!A243</f>
        <v>0</v>
      </c>
      <c r="B241" s="28" t="str">
        <f>'Утв. ИП 2014-2019'!B243</f>
        <v>3.2</v>
      </c>
      <c r="C241" s="29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241" s="31" t="str">
        <f>'Утв. ИП 2014-2019'!K243</f>
        <v>50,41 км
5,57 МВА</v>
      </c>
      <c r="E241" s="31" t="str">
        <f>'Утв. ИП 2014-2019'!L243</f>
        <v>44,8 км
2,66 МВА</v>
      </c>
      <c r="F241" s="31" t="str">
        <f>'Утв. ИП 2014-2019'!M243</f>
        <v>47,61 км
4,12 МВА</v>
      </c>
      <c r="G241" s="31" t="str">
        <f>'Утв. ИП 2014-2019'!N243</f>
        <v>47,61 км
4,12 МВА</v>
      </c>
      <c r="H241" s="31" t="str">
        <f>'Утв. ИП 2014-2019'!O243</f>
        <v>47,61 км
4,12 МВА</v>
      </c>
      <c r="I241" s="31" t="str">
        <f>'Утв. ИП 2014-2019'!P243</f>
        <v>47,61 км
4,12 МВА</v>
      </c>
      <c r="J241" s="31" t="str">
        <f>'Утв. ИП 2014-2019'!Q243</f>
        <v xml:space="preserve">285,65 км
24,71 МВА </v>
      </c>
      <c r="K241" s="31" t="s">
        <v>2447</v>
      </c>
      <c r="L241" s="30" t="s">
        <v>1425</v>
      </c>
      <c r="M241" s="30" t="s">
        <v>1385</v>
      </c>
      <c r="N241" s="30" t="s">
        <v>1385</v>
      </c>
      <c r="O241" s="30" t="s">
        <v>1385</v>
      </c>
      <c r="P241" s="30" t="s">
        <v>1385</v>
      </c>
      <c r="Q241" s="31" t="s">
        <v>2448</v>
      </c>
      <c r="R241" s="157">
        <f t="shared" ref="R241:AC241" si="24">SUM(R242:R1330)</f>
        <v>1.5300000000000005</v>
      </c>
      <c r="S241" s="158">
        <f t="shared" si="24"/>
        <v>0</v>
      </c>
      <c r="T241" s="130">
        <f t="shared" si="24"/>
        <v>3.6700000000000008</v>
      </c>
      <c r="U241" s="158">
        <f t="shared" si="24"/>
        <v>0</v>
      </c>
      <c r="V241" s="130">
        <f t="shared" si="24"/>
        <v>0</v>
      </c>
      <c r="W241" s="158">
        <f t="shared" si="24"/>
        <v>0</v>
      </c>
      <c r="X241" s="130">
        <f t="shared" si="24"/>
        <v>0</v>
      </c>
      <c r="Y241" s="158">
        <f t="shared" si="24"/>
        <v>0</v>
      </c>
      <c r="Z241" s="130">
        <f t="shared" si="24"/>
        <v>0</v>
      </c>
      <c r="AA241" s="158">
        <f t="shared" si="24"/>
        <v>0</v>
      </c>
      <c r="AB241" s="130">
        <f t="shared" si="24"/>
        <v>0</v>
      </c>
      <c r="AC241" s="158">
        <f t="shared" si="24"/>
        <v>0</v>
      </c>
      <c r="AD241" s="67">
        <f t="shared" ref="AD241:AE264" si="25">R241+T241+V241+X241+Z241+AB241</f>
        <v>5.2000000000000011</v>
      </c>
      <c r="AE241" s="67">
        <f t="shared" si="25"/>
        <v>0</v>
      </c>
    </row>
    <row r="242" spans="1:31" s="69" customFormat="1" ht="76.5" hidden="1" outlineLevel="1" x14ac:dyDescent="0.2">
      <c r="A242" s="25" t="str">
        <f>'Утв. ИП 2014-2019'!A244</f>
        <v>4.1.60/09</v>
      </c>
      <c r="B242" s="6" t="str">
        <f>'Утв. ИП 2014-2019'!B244</f>
        <v>3.2.1</v>
      </c>
      <c r="C242" s="7" t="str">
        <f>'Утв. ИП 2014-2019'!C244</f>
        <v>Электроснабжение садовых домиков в СПО "Металлург-1", запитанных от ВЛ-6 кВ КТП-92 - МТП-149; 75 кВт, 380 В, 3 категория; Строительство МТП; Строительство ВЛ-6кВ от ближайшей опоры ВЛ-6кВ КТП-92 - МТП-149 до вновь смонтированной МТП; Строительство ВЛ-0,4кВ от вновь смонтированной МТП до потребителей в СПО "Металлург-1"</v>
      </c>
      <c r="D242" s="8" t="str">
        <f>'Утв. ИП 2014-2019'!K244</f>
        <v>0,5 км/ 0,25 МВА</v>
      </c>
      <c r="E242" s="8"/>
      <c r="F242" s="8"/>
      <c r="G242" s="8"/>
      <c r="H242" s="8"/>
      <c r="I242" s="8"/>
      <c r="J242" s="23" t="str">
        <f>'Утв. ИП 2014-2019'!Q244</f>
        <v>0,5 км/ 0,25 МВА</v>
      </c>
      <c r="K242" s="23"/>
      <c r="L242" s="8"/>
      <c r="M242" s="8"/>
      <c r="N242" s="8"/>
      <c r="O242" s="8"/>
      <c r="P242" s="8"/>
      <c r="Q242" s="23"/>
      <c r="R242" s="136"/>
      <c r="S242" s="137"/>
      <c r="T242" s="128"/>
      <c r="U242" s="137"/>
      <c r="V242" s="128"/>
      <c r="W242" s="49"/>
      <c r="X242" s="128"/>
      <c r="Y242" s="49"/>
      <c r="Z242" s="128"/>
      <c r="AA242" s="49"/>
      <c r="AB242" s="128"/>
      <c r="AC242" s="49"/>
      <c r="AD242" s="133">
        <f t="shared" si="25"/>
        <v>0</v>
      </c>
      <c r="AE242" s="133">
        <f t="shared" si="25"/>
        <v>0</v>
      </c>
    </row>
    <row r="243" spans="1:31" s="69" customFormat="1" ht="15.75" hidden="1" outlineLevel="2" x14ac:dyDescent="0.2">
      <c r="A243" s="25">
        <f>'Утв. ИП 2014-2019'!A245</f>
        <v>0</v>
      </c>
      <c r="B243" s="6">
        <f>'Утв. ИП 2014-2019'!B245</f>
        <v>0</v>
      </c>
      <c r="C243" s="7" t="str">
        <f>'Утв. ИП 2014-2019'!C245</f>
        <v>реконструкция</v>
      </c>
      <c r="D243" s="8"/>
      <c r="E243" s="8"/>
      <c r="F243" s="8"/>
      <c r="G243" s="8"/>
      <c r="H243" s="8"/>
      <c r="I243" s="8"/>
      <c r="J243" s="23"/>
      <c r="K243" s="23"/>
      <c r="L243" s="8"/>
      <c r="M243" s="8"/>
      <c r="N243" s="8"/>
      <c r="O243" s="8"/>
      <c r="P243" s="8"/>
      <c r="Q243" s="23"/>
      <c r="R243" s="136"/>
      <c r="S243" s="137"/>
      <c r="T243" s="128"/>
      <c r="U243" s="137"/>
      <c r="V243" s="128"/>
      <c r="W243" s="49"/>
      <c r="X243" s="128"/>
      <c r="Y243" s="49"/>
      <c r="Z243" s="128"/>
      <c r="AA243" s="49"/>
      <c r="AB243" s="128"/>
      <c r="AC243" s="49"/>
      <c r="AD243" s="133">
        <f t="shared" si="25"/>
        <v>0</v>
      </c>
      <c r="AE243" s="133">
        <f t="shared" si="25"/>
        <v>0</v>
      </c>
    </row>
    <row r="244" spans="1:31" s="69" customFormat="1" ht="15.75" hidden="1" outlineLevel="2" x14ac:dyDescent="0.2">
      <c r="A244" s="25">
        <f>'Утв. ИП 2014-2019'!A246</f>
        <v>0</v>
      </c>
      <c r="B244" s="6">
        <f>'Утв. ИП 2014-2019'!B246</f>
        <v>0</v>
      </c>
      <c r="C244" s="7" t="str">
        <f>'Утв. ИП 2014-2019'!C246</f>
        <v>строительство</v>
      </c>
      <c r="D244" s="8"/>
      <c r="E244" s="8"/>
      <c r="F244" s="8"/>
      <c r="G244" s="8"/>
      <c r="H244" s="8"/>
      <c r="I244" s="8"/>
      <c r="J244" s="23"/>
      <c r="K244" s="23"/>
      <c r="L244" s="8"/>
      <c r="M244" s="8"/>
      <c r="N244" s="8"/>
      <c r="O244" s="8"/>
      <c r="P244" s="8"/>
      <c r="Q244" s="23"/>
      <c r="R244" s="136"/>
      <c r="S244" s="137"/>
      <c r="T244" s="128"/>
      <c r="U244" s="137"/>
      <c r="V244" s="128"/>
      <c r="W244" s="49"/>
      <c r="X244" s="128"/>
      <c r="Y244" s="49"/>
      <c r="Z244" s="128"/>
      <c r="AA244" s="49"/>
      <c r="AB244" s="128"/>
      <c r="AC244" s="49"/>
      <c r="AD244" s="133">
        <f t="shared" si="25"/>
        <v>0</v>
      </c>
      <c r="AE244" s="133">
        <f t="shared" si="25"/>
        <v>0</v>
      </c>
    </row>
    <row r="245" spans="1:31" s="69" customFormat="1" ht="89.25" hidden="1" outlineLevel="1" collapsed="1" x14ac:dyDescent="0.2">
      <c r="A245" s="25" t="str">
        <f>'Утв. ИП 2014-2019'!A247</f>
        <v>4.1.74/09</v>
      </c>
      <c r="B245" s="6" t="str">
        <f>'Утв. ИП 2014-2019'!B247</f>
        <v>3.2.2</v>
      </c>
      <c r="C245" s="7" t="str">
        <f>'Утв. ИП 2014-2019'!C247</f>
        <v>Электроснабжение бетонноблочных гаражей в ГПК "Радар", запитанных от ТП-122; 113 кВт, 220 В, 3 категория; Монтаж панели в РУ-0,4 кВ ТП-122; Монтаж РШ-0,4 кВ; Строительство КЛ-0,4 кВ от ТП-122 до РШ-0,4 кВ; Строительство КЛ-0,4 кВ от РШ-0,4 кВ до гаражей в ГПК "Радар"; Монтаж пожарно-охранной сигнализации в РШ-0,4 кВ; Монтаж приборов учета электрической энергии в РШ-0,4 кВ</v>
      </c>
      <c r="D245" s="8" t="str">
        <f>'Утв. ИП 2014-2019'!K247</f>
        <v>0,8 км/ 0 МВА</v>
      </c>
      <c r="E245" s="8"/>
      <c r="F245" s="8"/>
      <c r="G245" s="8"/>
      <c r="H245" s="8"/>
      <c r="I245" s="8"/>
      <c r="J245" s="23" t="str">
        <f>'Утв. ИП 2014-2019'!Q247</f>
        <v>0,8 км/ 0 МВА</v>
      </c>
      <c r="K245" s="23"/>
      <c r="L245" s="8"/>
      <c r="M245" s="8"/>
      <c r="N245" s="8"/>
      <c r="O245" s="8"/>
      <c r="P245" s="8"/>
      <c r="Q245" s="23"/>
      <c r="R245" s="136"/>
      <c r="S245" s="137"/>
      <c r="T245" s="128"/>
      <c r="U245" s="137"/>
      <c r="V245" s="128"/>
      <c r="W245" s="49"/>
      <c r="X245" s="128"/>
      <c r="Y245" s="49"/>
      <c r="Z245" s="128"/>
      <c r="AA245" s="49"/>
      <c r="AB245" s="128"/>
      <c r="AC245" s="49"/>
      <c r="AD245" s="133">
        <f t="shared" si="25"/>
        <v>0</v>
      </c>
      <c r="AE245" s="133">
        <f t="shared" si="25"/>
        <v>0</v>
      </c>
    </row>
    <row r="246" spans="1:31" s="69" customFormat="1" ht="15.75" hidden="1" outlineLevel="2" x14ac:dyDescent="0.2">
      <c r="A246" s="25">
        <f>'Утв. ИП 2014-2019'!A248</f>
        <v>0</v>
      </c>
      <c r="B246" s="6">
        <f>'Утв. ИП 2014-2019'!B248</f>
        <v>0</v>
      </c>
      <c r="C246" s="7" t="str">
        <f>'Утв. ИП 2014-2019'!C248</f>
        <v>реконструкция</v>
      </c>
      <c r="D246" s="8"/>
      <c r="E246" s="8"/>
      <c r="F246" s="8"/>
      <c r="G246" s="8"/>
      <c r="H246" s="8"/>
      <c r="I246" s="8"/>
      <c r="J246" s="23"/>
      <c r="K246" s="8"/>
      <c r="L246" s="23"/>
      <c r="M246" s="8"/>
      <c r="N246" s="8"/>
      <c r="O246" s="8"/>
      <c r="P246" s="8"/>
      <c r="Q246" s="23"/>
      <c r="R246" s="136"/>
      <c r="S246" s="137"/>
      <c r="T246" s="128"/>
      <c r="U246" s="137"/>
      <c r="V246" s="128"/>
      <c r="W246" s="49"/>
      <c r="X246" s="128"/>
      <c r="Y246" s="49"/>
      <c r="Z246" s="128"/>
      <c r="AA246" s="49"/>
      <c r="AB246" s="128"/>
      <c r="AC246" s="49"/>
      <c r="AD246" s="133">
        <f t="shared" si="25"/>
        <v>0</v>
      </c>
      <c r="AE246" s="133">
        <f t="shared" si="25"/>
        <v>0</v>
      </c>
    </row>
    <row r="247" spans="1:31" s="69" customFormat="1" ht="15.75" hidden="1" outlineLevel="2" x14ac:dyDescent="0.2">
      <c r="A247" s="25">
        <f>'Утв. ИП 2014-2019'!A249</f>
        <v>0</v>
      </c>
      <c r="B247" s="6">
        <f>'Утв. ИП 2014-2019'!B249</f>
        <v>0</v>
      </c>
      <c r="C247" s="7" t="str">
        <f>'Утв. ИП 2014-2019'!C249</f>
        <v>строительство</v>
      </c>
      <c r="D247" s="8"/>
      <c r="E247" s="8"/>
      <c r="F247" s="8"/>
      <c r="G247" s="8"/>
      <c r="H247" s="8"/>
      <c r="I247" s="8"/>
      <c r="J247" s="23"/>
      <c r="K247" s="23"/>
      <c r="L247" s="8"/>
      <c r="M247" s="8"/>
      <c r="N247" s="8"/>
      <c r="O247" s="8"/>
      <c r="P247" s="8"/>
      <c r="Q247" s="23"/>
      <c r="R247" s="136"/>
      <c r="S247" s="137"/>
      <c r="T247" s="128"/>
      <c r="U247" s="137"/>
      <c r="V247" s="128"/>
      <c r="W247" s="49"/>
      <c r="X247" s="128"/>
      <c r="Y247" s="49"/>
      <c r="Z247" s="128"/>
      <c r="AA247" s="49"/>
      <c r="AB247" s="128"/>
      <c r="AC247" s="49"/>
      <c r="AD247" s="133">
        <f t="shared" si="25"/>
        <v>0</v>
      </c>
      <c r="AE247" s="133">
        <f t="shared" si="25"/>
        <v>0</v>
      </c>
    </row>
    <row r="248" spans="1:31" s="69" customFormat="1" ht="76.5" hidden="1" outlineLevel="1" collapsed="1" x14ac:dyDescent="0.2">
      <c r="A248" s="25" t="str">
        <f>'Утв. ИП 2014-2019'!A250</f>
        <v>1.1.6.3.4/10</v>
      </c>
      <c r="B248" s="6" t="str">
        <f>'Утв. ИП 2014-2019'!B250</f>
        <v>3.2.3</v>
      </c>
      <c r="C248" s="7" t="str">
        <f>'Утв. ИП 2014-2019'!C250</f>
        <v>Электроснабжение жилых домов по ул. Бородинская-Карбышева (по схеме), запитанных от вновь смонтированной КТП; 69 кВт, 380 В, 3 категория; Строительство КТП; Строительство ВЛ-6кВ от опоры ВЛ-6кВ "РП-27 яч.№11 - ТП-480" до вновь смонтированной КТП; Строительство ВЛ-0,4 кВ от вновь смонтированной КТП до ул.Шоссейная</v>
      </c>
      <c r="D248" s="8" t="str">
        <f>'Утв. ИП 2014-2019'!K250</f>
        <v>0,7 км/ 0,25 МВА</v>
      </c>
      <c r="E248" s="8"/>
      <c r="F248" s="8"/>
      <c r="G248" s="8"/>
      <c r="H248" s="8"/>
      <c r="I248" s="8"/>
      <c r="J248" s="23" t="str">
        <f>'Утв. ИП 2014-2019'!Q250</f>
        <v>0,7 км/ 0,25 МВА</v>
      </c>
      <c r="K248" s="8"/>
      <c r="L248" s="23"/>
      <c r="M248" s="8"/>
      <c r="N248" s="8"/>
      <c r="O248" s="8"/>
      <c r="P248" s="8"/>
      <c r="Q248" s="23"/>
      <c r="R248" s="136"/>
      <c r="S248" s="137"/>
      <c r="T248" s="128"/>
      <c r="U248" s="137"/>
      <c r="V248" s="128"/>
      <c r="W248" s="49"/>
      <c r="X248" s="128"/>
      <c r="Y248" s="49"/>
      <c r="Z248" s="128"/>
      <c r="AA248" s="49"/>
      <c r="AB248" s="128"/>
      <c r="AC248" s="49"/>
      <c r="AD248" s="133">
        <f t="shared" si="25"/>
        <v>0</v>
      </c>
      <c r="AE248" s="133">
        <f t="shared" si="25"/>
        <v>0</v>
      </c>
    </row>
    <row r="249" spans="1:31" s="69" customFormat="1" ht="15.75" hidden="1" outlineLevel="2" x14ac:dyDescent="0.2">
      <c r="A249" s="25">
        <f>'Утв. ИП 2014-2019'!A251</f>
        <v>0</v>
      </c>
      <c r="B249" s="6">
        <f>'Утв. ИП 2014-2019'!B251</f>
        <v>0</v>
      </c>
      <c r="C249" s="7" t="str">
        <f>'Утв. ИП 2014-2019'!C251</f>
        <v>реконструкция</v>
      </c>
      <c r="D249" s="8"/>
      <c r="E249" s="8"/>
      <c r="F249" s="8"/>
      <c r="G249" s="8"/>
      <c r="H249" s="8"/>
      <c r="I249" s="8"/>
      <c r="J249" s="23"/>
      <c r="K249" s="23"/>
      <c r="L249" s="8"/>
      <c r="M249" s="8"/>
      <c r="N249" s="8"/>
      <c r="O249" s="8"/>
      <c r="P249" s="8"/>
      <c r="Q249" s="23"/>
      <c r="R249" s="136"/>
      <c r="S249" s="137"/>
      <c r="T249" s="128"/>
      <c r="U249" s="137"/>
      <c r="V249" s="128"/>
      <c r="W249" s="49"/>
      <c r="X249" s="128"/>
      <c r="Y249" s="49"/>
      <c r="Z249" s="128"/>
      <c r="AA249" s="49"/>
      <c r="AB249" s="128"/>
      <c r="AC249" s="49"/>
      <c r="AD249" s="133">
        <f t="shared" si="25"/>
        <v>0</v>
      </c>
      <c r="AE249" s="133">
        <f t="shared" si="25"/>
        <v>0</v>
      </c>
    </row>
    <row r="250" spans="1:31" s="69" customFormat="1" ht="15.75" hidden="1" outlineLevel="2" x14ac:dyDescent="0.2">
      <c r="A250" s="25">
        <f>'Утв. ИП 2014-2019'!A252</f>
        <v>0</v>
      </c>
      <c r="B250" s="6">
        <f>'Утв. ИП 2014-2019'!B252</f>
        <v>0</v>
      </c>
      <c r="C250" s="7" t="str">
        <f>'Утв. ИП 2014-2019'!C252</f>
        <v>строительство</v>
      </c>
      <c r="D250" s="8"/>
      <c r="E250" s="8"/>
      <c r="F250" s="8"/>
      <c r="G250" s="8"/>
      <c r="H250" s="8"/>
      <c r="I250" s="8"/>
      <c r="J250" s="23"/>
      <c r="K250" s="23"/>
      <c r="L250" s="8"/>
      <c r="M250" s="8"/>
      <c r="N250" s="8"/>
      <c r="O250" s="8"/>
      <c r="P250" s="8"/>
      <c r="Q250" s="23"/>
      <c r="R250" s="136"/>
      <c r="S250" s="137"/>
      <c r="T250" s="128"/>
      <c r="U250" s="137"/>
      <c r="V250" s="128"/>
      <c r="W250" s="49"/>
      <c r="X250" s="128"/>
      <c r="Y250" s="49"/>
      <c r="Z250" s="128"/>
      <c r="AA250" s="49"/>
      <c r="AB250" s="128"/>
      <c r="AC250" s="49"/>
      <c r="AD250" s="133">
        <f t="shared" si="25"/>
        <v>0</v>
      </c>
      <c r="AE250" s="133">
        <f t="shared" si="25"/>
        <v>0</v>
      </c>
    </row>
    <row r="251" spans="1:31" s="69" customFormat="1" ht="51" hidden="1" outlineLevel="1" collapsed="1" x14ac:dyDescent="0.2">
      <c r="A251" s="25" t="str">
        <f>'Утв. ИП 2014-2019'!A253</f>
        <v>1.1.6.3.37/10</v>
      </c>
      <c r="B251" s="6" t="str">
        <f>'Утв. ИП 2014-2019'!B253</f>
        <v>3.2.4</v>
      </c>
      <c r="C251" s="7" t="str">
        <f>'Утв. ИП 2014-2019'!C253</f>
        <v>Электроснабжение торговых павильонов по Лебедянскому шоссе, запитанных от РП-24; 40 кВт, 220 В, 3 категория; Монтаж вводной панели №2 в РУ-0,4кВ РП-24; Строительство КЛ-0,4кВ от РП-24 до РШ-0,4кВ ; Монтаж РШ-0,4кВ</v>
      </c>
      <c r="D251" s="8"/>
      <c r="E251" s="8" t="str">
        <f>'Утв. ИП 2014-2019'!L253</f>
        <v>0,3 км/ 0 МВА</v>
      </c>
      <c r="F251" s="8"/>
      <c r="G251" s="8"/>
      <c r="H251" s="8"/>
      <c r="I251" s="8"/>
      <c r="J251" s="23" t="str">
        <f>'Утв. ИП 2014-2019'!Q253</f>
        <v>0,3 км/ 0 МВА</v>
      </c>
      <c r="K251" s="8"/>
      <c r="L251" s="23"/>
      <c r="M251" s="8"/>
      <c r="N251" s="8"/>
      <c r="O251" s="8"/>
      <c r="P251" s="8"/>
      <c r="Q251" s="23"/>
      <c r="R251" s="136"/>
      <c r="S251" s="137"/>
      <c r="T251" s="128"/>
      <c r="U251" s="137"/>
      <c r="V251" s="128"/>
      <c r="W251" s="49"/>
      <c r="X251" s="128"/>
      <c r="Y251" s="49"/>
      <c r="Z251" s="128"/>
      <c r="AA251" s="49"/>
      <c r="AB251" s="128"/>
      <c r="AC251" s="49"/>
      <c r="AD251" s="133">
        <f t="shared" si="25"/>
        <v>0</v>
      </c>
      <c r="AE251" s="133">
        <f t="shared" si="25"/>
        <v>0</v>
      </c>
    </row>
    <row r="252" spans="1:31" s="69" customFormat="1" ht="15.75" hidden="1" outlineLevel="2" x14ac:dyDescent="0.2">
      <c r="A252" s="25">
        <f>'Утв. ИП 2014-2019'!A254</f>
        <v>0</v>
      </c>
      <c r="B252" s="6">
        <f>'Утв. ИП 2014-2019'!B254</f>
        <v>0</v>
      </c>
      <c r="C252" s="7" t="str">
        <f>'Утв. ИП 2014-2019'!C254</f>
        <v>реконструкция</v>
      </c>
      <c r="D252" s="8"/>
      <c r="E252" s="8"/>
      <c r="F252" s="8"/>
      <c r="G252" s="8"/>
      <c r="H252" s="8"/>
      <c r="I252" s="8"/>
      <c r="J252" s="23"/>
      <c r="K252" s="23"/>
      <c r="L252" s="8"/>
      <c r="M252" s="8"/>
      <c r="N252" s="8"/>
      <c r="O252" s="8"/>
      <c r="P252" s="8"/>
      <c r="Q252" s="23"/>
      <c r="R252" s="136"/>
      <c r="S252" s="137"/>
      <c r="T252" s="128"/>
      <c r="U252" s="137"/>
      <c r="V252" s="128"/>
      <c r="W252" s="49"/>
      <c r="X252" s="128"/>
      <c r="Y252" s="49"/>
      <c r="Z252" s="128"/>
      <c r="AA252" s="49"/>
      <c r="AB252" s="128"/>
      <c r="AC252" s="49"/>
      <c r="AD252" s="133">
        <f t="shared" si="25"/>
        <v>0</v>
      </c>
      <c r="AE252" s="133">
        <f t="shared" si="25"/>
        <v>0</v>
      </c>
    </row>
    <row r="253" spans="1:31" s="69" customFormat="1" ht="15.75" hidden="1" outlineLevel="2" x14ac:dyDescent="0.2">
      <c r="A253" s="25">
        <f>'Утв. ИП 2014-2019'!A255</f>
        <v>0</v>
      </c>
      <c r="B253" s="6">
        <f>'Утв. ИП 2014-2019'!B255</f>
        <v>0</v>
      </c>
      <c r="C253" s="7" t="str">
        <f>'Утв. ИП 2014-2019'!C255</f>
        <v>строительство</v>
      </c>
      <c r="D253" s="8"/>
      <c r="E253" s="8"/>
      <c r="F253" s="8"/>
      <c r="G253" s="8"/>
      <c r="H253" s="8"/>
      <c r="I253" s="8"/>
      <c r="J253" s="23"/>
      <c r="K253" s="23"/>
      <c r="L253" s="8"/>
      <c r="M253" s="8"/>
      <c r="N253" s="8"/>
      <c r="O253" s="8"/>
      <c r="P253" s="8"/>
      <c r="Q253" s="23"/>
      <c r="R253" s="136"/>
      <c r="S253" s="137"/>
      <c r="T253" s="128"/>
      <c r="U253" s="137"/>
      <c r="V253" s="128"/>
      <c r="W253" s="49"/>
      <c r="X253" s="128"/>
      <c r="Y253" s="49"/>
      <c r="Z253" s="128"/>
      <c r="AA253" s="49"/>
      <c r="AB253" s="128"/>
      <c r="AC253" s="49"/>
      <c r="AD253" s="133">
        <f t="shared" si="25"/>
        <v>0</v>
      </c>
      <c r="AE253" s="133">
        <f t="shared" si="25"/>
        <v>0</v>
      </c>
    </row>
    <row r="254" spans="1:31" s="69" customFormat="1" ht="63.75" hidden="1" outlineLevel="1" collapsed="1" x14ac:dyDescent="0.2">
      <c r="A254" s="25" t="str">
        <f>'Утв. ИП 2014-2019'!A256</f>
        <v>1.1.6.3.38/10</v>
      </c>
      <c r="B254" s="6" t="str">
        <f>'Утв. ИП 2014-2019'!B256</f>
        <v>3.2.5</v>
      </c>
      <c r="C254" s="7" t="str">
        <f>'Утв. ИП 2014-2019'!C256</f>
        <v>Электроснабжение садовых домиков в СНТ "Дачный-3", запитанных от РУ-10 кВ ТП-591; 40 кВт, 220 В, 3 категория; Строительство КЛ-10 кВ от ТП-591 до вновь смонтированной КТП; Строительство КТП; Строительство ВЛ-0,4 кВ от вновь смонтированной КТП до потребителей в СНТ "Дачный-3"</v>
      </c>
      <c r="D254" s="8" t="str">
        <f>'Утв. ИП 2014-2019'!K256</f>
        <v>3,0 км/ 0,25 МВА</v>
      </c>
      <c r="E254" s="8"/>
      <c r="F254" s="8"/>
      <c r="G254" s="8"/>
      <c r="H254" s="8"/>
      <c r="I254" s="8"/>
      <c r="J254" s="23" t="str">
        <f>'Утв. ИП 2014-2019'!Q256</f>
        <v>3,0 км/ 0,25 МВА</v>
      </c>
      <c r="K254" s="23"/>
      <c r="L254" s="8"/>
      <c r="M254" s="8"/>
      <c r="N254" s="8"/>
      <c r="O254" s="8"/>
      <c r="P254" s="8"/>
      <c r="Q254" s="23"/>
      <c r="R254" s="136"/>
      <c r="S254" s="137"/>
      <c r="T254" s="128"/>
      <c r="U254" s="137"/>
      <c r="V254" s="128"/>
      <c r="W254" s="49"/>
      <c r="X254" s="128"/>
      <c r="Y254" s="49"/>
      <c r="Z254" s="128"/>
      <c r="AA254" s="49"/>
      <c r="AB254" s="128"/>
      <c r="AC254" s="49"/>
      <c r="AD254" s="133">
        <f t="shared" si="25"/>
        <v>0</v>
      </c>
      <c r="AE254" s="133">
        <f t="shared" si="25"/>
        <v>0</v>
      </c>
    </row>
    <row r="255" spans="1:31" s="69" customFormat="1" ht="15.75" hidden="1" outlineLevel="2" x14ac:dyDescent="0.2">
      <c r="A255" s="25">
        <f>'Утв. ИП 2014-2019'!A257</f>
        <v>0</v>
      </c>
      <c r="B255" s="6">
        <f>'Утв. ИП 2014-2019'!B257</f>
        <v>0</v>
      </c>
      <c r="C255" s="7" t="str">
        <f>'Утв. ИП 2014-2019'!C257</f>
        <v>реконструкция</v>
      </c>
      <c r="D255" s="8"/>
      <c r="E255" s="8"/>
      <c r="F255" s="8"/>
      <c r="G255" s="8"/>
      <c r="H255" s="8"/>
      <c r="I255" s="8"/>
      <c r="J255" s="23"/>
      <c r="K255" s="23"/>
      <c r="L255" s="8"/>
      <c r="M255" s="8"/>
      <c r="N255" s="8"/>
      <c r="O255" s="8"/>
      <c r="P255" s="8"/>
      <c r="Q255" s="23"/>
      <c r="R255" s="136"/>
      <c r="S255" s="137"/>
      <c r="T255" s="128"/>
      <c r="U255" s="137"/>
      <c r="V255" s="128"/>
      <c r="W255" s="49"/>
      <c r="X255" s="128"/>
      <c r="Y255" s="49"/>
      <c r="Z255" s="128"/>
      <c r="AA255" s="49"/>
      <c r="AB255" s="128"/>
      <c r="AC255" s="49"/>
      <c r="AD255" s="133">
        <f t="shared" si="25"/>
        <v>0</v>
      </c>
      <c r="AE255" s="133">
        <f t="shared" si="25"/>
        <v>0</v>
      </c>
    </row>
    <row r="256" spans="1:31" s="69" customFormat="1" ht="15.75" hidden="1" outlineLevel="2" x14ac:dyDescent="0.2">
      <c r="A256" s="25">
        <f>'Утв. ИП 2014-2019'!A258</f>
        <v>0</v>
      </c>
      <c r="B256" s="6">
        <f>'Утв. ИП 2014-2019'!B258</f>
        <v>0</v>
      </c>
      <c r="C256" s="7" t="str">
        <f>'Утв. ИП 2014-2019'!C258</f>
        <v>строительство</v>
      </c>
      <c r="D256" s="8"/>
      <c r="E256" s="8"/>
      <c r="F256" s="8"/>
      <c r="G256" s="8"/>
      <c r="H256" s="8"/>
      <c r="I256" s="8"/>
      <c r="J256" s="23"/>
      <c r="K256" s="8"/>
      <c r="L256" s="23"/>
      <c r="M256" s="8"/>
      <c r="N256" s="8"/>
      <c r="O256" s="8"/>
      <c r="P256" s="8"/>
      <c r="Q256" s="23"/>
      <c r="R256" s="136"/>
      <c r="S256" s="137"/>
      <c r="T256" s="128"/>
      <c r="U256" s="137"/>
      <c r="V256" s="128"/>
      <c r="W256" s="49"/>
      <c r="X256" s="128"/>
      <c r="Y256" s="49"/>
      <c r="Z256" s="128"/>
      <c r="AA256" s="49"/>
      <c r="AB256" s="128"/>
      <c r="AC256" s="49"/>
      <c r="AD256" s="133">
        <f t="shared" si="25"/>
        <v>0</v>
      </c>
      <c r="AE256" s="133">
        <f t="shared" si="25"/>
        <v>0</v>
      </c>
    </row>
    <row r="257" spans="1:31" s="69" customFormat="1" ht="63.75" hidden="1" outlineLevel="1" collapsed="1" x14ac:dyDescent="0.2">
      <c r="A257" s="25" t="str">
        <f>'Утв. ИП 2014-2019'!A259</f>
        <v>1.1.6.3.48/10</v>
      </c>
      <c r="B257" s="6" t="str">
        <f>'Утв. ИП 2014-2019'!B259</f>
        <v>3.2.6</v>
      </c>
      <c r="C257" s="7" t="str">
        <f>'Утв. ИП 2014-2019'!C259</f>
        <v>Электроснабжение двухэтажного здания шиномонтажного участка (лит. Ж) по ул. 9 Мая, 67, запитанного от ТП-530, 380 В, 3 категория; Строительство КЛ-0,4 кВ от ТП-530 до двухэтажного здания шиномонтажного участка (лит.Ж) по ул. 9 Мая, 67; Монтаж панелей РУ-0,4кВ ТП-530</v>
      </c>
      <c r="D257" s="8"/>
      <c r="E257" s="8" t="str">
        <f>'Утв. ИП 2014-2019'!L259</f>
        <v>0,5 км/ 0 МВА</v>
      </c>
      <c r="F257" s="8"/>
      <c r="G257" s="8"/>
      <c r="H257" s="8"/>
      <c r="I257" s="8"/>
      <c r="J257" s="23" t="str">
        <f>'Утв. ИП 2014-2019'!Q259</f>
        <v>0,5 км/ 0 МВА</v>
      </c>
      <c r="K257" s="23"/>
      <c r="L257" s="8"/>
      <c r="M257" s="8"/>
      <c r="N257" s="8"/>
      <c r="O257" s="8"/>
      <c r="P257" s="8"/>
      <c r="Q257" s="23"/>
      <c r="R257" s="136"/>
      <c r="S257" s="137"/>
      <c r="T257" s="128"/>
      <c r="U257" s="137"/>
      <c r="V257" s="128"/>
      <c r="W257" s="49"/>
      <c r="X257" s="128"/>
      <c r="Y257" s="49"/>
      <c r="Z257" s="128"/>
      <c r="AA257" s="49"/>
      <c r="AB257" s="128"/>
      <c r="AC257" s="49"/>
      <c r="AD257" s="133">
        <f t="shared" si="25"/>
        <v>0</v>
      </c>
      <c r="AE257" s="133">
        <f t="shared" si="25"/>
        <v>0</v>
      </c>
    </row>
    <row r="258" spans="1:31" s="69" customFormat="1" ht="15.75" hidden="1" outlineLevel="2" x14ac:dyDescent="0.2">
      <c r="A258" s="25">
        <f>'Утв. ИП 2014-2019'!A260</f>
        <v>0</v>
      </c>
      <c r="B258" s="6">
        <f>'Утв. ИП 2014-2019'!B260</f>
        <v>0</v>
      </c>
      <c r="C258" s="7" t="str">
        <f>'Утв. ИП 2014-2019'!C260</f>
        <v>реконструкция</v>
      </c>
      <c r="D258" s="8"/>
      <c r="E258" s="8"/>
      <c r="F258" s="8"/>
      <c r="G258" s="8"/>
      <c r="H258" s="8"/>
      <c r="I258" s="8"/>
      <c r="J258" s="23"/>
      <c r="K258" s="8"/>
      <c r="L258" s="23"/>
      <c r="M258" s="8"/>
      <c r="N258" s="8"/>
      <c r="O258" s="8"/>
      <c r="P258" s="8"/>
      <c r="Q258" s="23"/>
      <c r="R258" s="136"/>
      <c r="S258" s="137"/>
      <c r="T258" s="128"/>
      <c r="U258" s="137"/>
      <c r="V258" s="128"/>
      <c r="W258" s="49"/>
      <c r="X258" s="128"/>
      <c r="Y258" s="49"/>
      <c r="Z258" s="128"/>
      <c r="AA258" s="49"/>
      <c r="AB258" s="128"/>
      <c r="AC258" s="49"/>
      <c r="AD258" s="133">
        <f t="shared" si="25"/>
        <v>0</v>
      </c>
      <c r="AE258" s="133">
        <f t="shared" si="25"/>
        <v>0</v>
      </c>
    </row>
    <row r="259" spans="1:31" s="69" customFormat="1" ht="15.75" hidden="1" outlineLevel="2" x14ac:dyDescent="0.2">
      <c r="A259" s="25">
        <f>'Утв. ИП 2014-2019'!A261</f>
        <v>0</v>
      </c>
      <c r="B259" s="6">
        <f>'Утв. ИП 2014-2019'!B261</f>
        <v>0</v>
      </c>
      <c r="C259" s="7" t="str">
        <f>'Утв. ИП 2014-2019'!C261</f>
        <v>строительство</v>
      </c>
      <c r="D259" s="8"/>
      <c r="E259" s="8"/>
      <c r="F259" s="8"/>
      <c r="G259" s="8"/>
      <c r="H259" s="8"/>
      <c r="I259" s="8"/>
      <c r="J259" s="23"/>
      <c r="K259" s="23"/>
      <c r="L259" s="8"/>
      <c r="M259" s="8"/>
      <c r="N259" s="8"/>
      <c r="O259" s="8"/>
      <c r="P259" s="8"/>
      <c r="Q259" s="23"/>
      <c r="R259" s="136"/>
      <c r="S259" s="137"/>
      <c r="T259" s="128"/>
      <c r="U259" s="137"/>
      <c r="V259" s="128"/>
      <c r="W259" s="49"/>
      <c r="X259" s="128"/>
      <c r="Y259" s="49"/>
      <c r="Z259" s="128"/>
      <c r="AA259" s="49"/>
      <c r="AB259" s="128"/>
      <c r="AC259" s="49"/>
      <c r="AD259" s="133">
        <f t="shared" si="25"/>
        <v>0</v>
      </c>
      <c r="AE259" s="133">
        <f t="shared" si="25"/>
        <v>0</v>
      </c>
    </row>
    <row r="260" spans="1:31" s="69" customFormat="1" ht="63.75" hidden="1" outlineLevel="1" collapsed="1" x14ac:dyDescent="0.2">
      <c r="A260" s="25" t="str">
        <f>'Утв. ИП 2014-2019'!A262</f>
        <v>1.1.6.3.54/10</v>
      </c>
      <c r="B260" s="6" t="str">
        <f>'Утв. ИП 2014-2019'!B262</f>
        <v>3.2.7</v>
      </c>
      <c r="C260" s="7" t="str">
        <f>'Утв. ИП 2014-2019'!C262</f>
        <v>Реконструкция ВЛ-0,4 кВ от КТП-416 по ул. Курчатова (инв. № 346153) для объекта технологического присоединения: "Электроснабжение садового домика в СНТ пенсионеров и инвалидов "Речное", ул. Сокольский лог, уч. № 579, запитанного от КТП-416; 5 кВт, 220 В, 3 категория</v>
      </c>
      <c r="D260" s="8" t="str">
        <f>'Утв. ИП 2014-2019'!K262</f>
        <v>0,1 км/ 0 МВА</v>
      </c>
      <c r="E260" s="8"/>
      <c r="F260" s="8"/>
      <c r="G260" s="8"/>
      <c r="H260" s="8"/>
      <c r="I260" s="8"/>
      <c r="J260" s="23" t="str">
        <f>'Утв. ИП 2014-2019'!Q262</f>
        <v>0,1 км/ 0 МВА</v>
      </c>
      <c r="K260" s="23" t="s">
        <v>1418</v>
      </c>
      <c r="L260" s="23"/>
      <c r="M260" s="8"/>
      <c r="N260" s="8"/>
      <c r="O260" s="8"/>
      <c r="P260" s="8"/>
      <c r="Q260" s="23" t="s">
        <v>1418</v>
      </c>
      <c r="R260" s="136">
        <v>0.1</v>
      </c>
      <c r="S260" s="137"/>
      <c r="T260" s="128"/>
      <c r="U260" s="137"/>
      <c r="V260" s="128"/>
      <c r="W260" s="49"/>
      <c r="X260" s="128"/>
      <c r="Y260" s="49"/>
      <c r="Z260" s="128"/>
      <c r="AA260" s="49"/>
      <c r="AB260" s="128"/>
      <c r="AC260" s="49"/>
      <c r="AD260" s="133">
        <f t="shared" si="25"/>
        <v>0.1</v>
      </c>
      <c r="AE260" s="133">
        <f t="shared" si="25"/>
        <v>0</v>
      </c>
    </row>
    <row r="261" spans="1:31" s="69" customFormat="1" ht="15.75" hidden="1" outlineLevel="2" x14ac:dyDescent="0.2">
      <c r="A261" s="25">
        <f>'Утв. ИП 2014-2019'!A263</f>
        <v>0</v>
      </c>
      <c r="B261" s="6">
        <f>'Утв. ИП 2014-2019'!B263</f>
        <v>0</v>
      </c>
      <c r="C261" s="7" t="str">
        <f>'Утв. ИП 2014-2019'!C263</f>
        <v>реконструкция</v>
      </c>
      <c r="D261" s="8"/>
      <c r="E261" s="8"/>
      <c r="F261" s="8"/>
      <c r="G261" s="8"/>
      <c r="H261" s="8"/>
      <c r="I261" s="8"/>
      <c r="J261" s="23"/>
      <c r="K261" s="8"/>
      <c r="L261" s="23"/>
      <c r="M261" s="8"/>
      <c r="N261" s="8"/>
      <c r="O261" s="8"/>
      <c r="P261" s="8"/>
      <c r="Q261" s="23"/>
      <c r="R261" s="136"/>
      <c r="S261" s="137"/>
      <c r="T261" s="128"/>
      <c r="U261" s="137"/>
      <c r="V261" s="128"/>
      <c r="W261" s="49"/>
      <c r="X261" s="128"/>
      <c r="Y261" s="49"/>
      <c r="Z261" s="128"/>
      <c r="AA261" s="49"/>
      <c r="AB261" s="128"/>
      <c r="AC261" s="49"/>
      <c r="AD261" s="133">
        <f t="shared" si="25"/>
        <v>0</v>
      </c>
      <c r="AE261" s="133">
        <f t="shared" si="25"/>
        <v>0</v>
      </c>
    </row>
    <row r="262" spans="1:31" s="69" customFormat="1" ht="15.75" hidden="1" outlineLevel="2" x14ac:dyDescent="0.2">
      <c r="A262" s="25">
        <f>'Утв. ИП 2014-2019'!A264</f>
        <v>0</v>
      </c>
      <c r="B262" s="6">
        <f>'Утв. ИП 2014-2019'!B264</f>
        <v>0</v>
      </c>
      <c r="C262" s="7" t="str">
        <f>'Утв. ИП 2014-2019'!C264</f>
        <v>строительство</v>
      </c>
      <c r="D262" s="8"/>
      <c r="E262" s="8"/>
      <c r="F262" s="8"/>
      <c r="G262" s="8"/>
      <c r="H262" s="8"/>
      <c r="I262" s="8"/>
      <c r="J262" s="23"/>
      <c r="K262" s="23"/>
      <c r="L262" s="8"/>
      <c r="M262" s="8"/>
      <c r="N262" s="8"/>
      <c r="O262" s="8"/>
      <c r="P262" s="8"/>
      <c r="Q262" s="23"/>
      <c r="R262" s="136"/>
      <c r="S262" s="137"/>
      <c r="T262" s="128"/>
      <c r="U262" s="137"/>
      <c r="V262" s="128"/>
      <c r="W262" s="49"/>
      <c r="X262" s="128"/>
      <c r="Y262" s="49"/>
      <c r="Z262" s="128"/>
      <c r="AA262" s="49"/>
      <c r="AB262" s="128"/>
      <c r="AC262" s="49"/>
      <c r="AD262" s="133">
        <f t="shared" si="25"/>
        <v>0</v>
      </c>
      <c r="AE262" s="133">
        <f t="shared" si="25"/>
        <v>0</v>
      </c>
    </row>
    <row r="263" spans="1:31" s="69" customFormat="1" ht="63.75" hidden="1" outlineLevel="1" collapsed="1" x14ac:dyDescent="0.2">
      <c r="A263" s="25" t="str">
        <f>'Утв. ИП 2014-2019'!A265</f>
        <v>1.1.6.3.59/10</v>
      </c>
      <c r="B263" s="6" t="str">
        <f>'Утв. ИП 2014-2019'!B265</f>
        <v>3.2.8</v>
      </c>
      <c r="C263" s="7" t="str">
        <f>'Утв. ИП 2014-2019'!C265</f>
        <v>Электроснабжение дачных домиков в СНТ "Дачный-3"; Строительство КЛ-10кВ от ТП-591 до вновь смонтированного КТП; Строительство КТП; Строительство ВЛ-0,4кВ от вновь смонтированного КТП до потребителей в СНТ "Дачный-3"; Монтаж ячейки в РУ-10кВ ТП-591</v>
      </c>
      <c r="D263" s="8" t="str">
        <f>'Утв. ИП 2014-2019'!K265</f>
        <v>3,0 км/ 0,25 МВА</v>
      </c>
      <c r="E263" s="8"/>
      <c r="F263" s="8"/>
      <c r="G263" s="8"/>
      <c r="H263" s="8"/>
      <c r="I263" s="8"/>
      <c r="J263" s="23" t="str">
        <f>'Утв. ИП 2014-2019'!Q265</f>
        <v>3,0 км/ 0,25 МВА</v>
      </c>
      <c r="K263" s="23"/>
      <c r="L263" s="8"/>
      <c r="M263" s="8"/>
      <c r="N263" s="8"/>
      <c r="O263" s="8"/>
      <c r="P263" s="8"/>
      <c r="Q263" s="23"/>
      <c r="R263" s="136"/>
      <c r="S263" s="137"/>
      <c r="T263" s="128"/>
      <c r="U263" s="137"/>
      <c r="V263" s="128"/>
      <c r="W263" s="49"/>
      <c r="X263" s="128"/>
      <c r="Y263" s="49"/>
      <c r="Z263" s="128"/>
      <c r="AA263" s="49"/>
      <c r="AB263" s="128"/>
      <c r="AC263" s="49"/>
      <c r="AD263" s="133">
        <f t="shared" si="25"/>
        <v>0</v>
      </c>
      <c r="AE263" s="133">
        <f t="shared" si="25"/>
        <v>0</v>
      </c>
    </row>
    <row r="264" spans="1:31" s="69" customFormat="1" ht="15.75" hidden="1" outlineLevel="2" x14ac:dyDescent="0.2">
      <c r="A264" s="25">
        <f>'Утв. ИП 2014-2019'!A266</f>
        <v>0</v>
      </c>
      <c r="B264" s="6">
        <f>'Утв. ИП 2014-2019'!B266</f>
        <v>0</v>
      </c>
      <c r="C264" s="7" t="str">
        <f>'Утв. ИП 2014-2019'!C266</f>
        <v>реконструкция</v>
      </c>
      <c r="D264" s="8"/>
      <c r="E264" s="8"/>
      <c r="F264" s="8"/>
      <c r="G264" s="8"/>
      <c r="H264" s="8"/>
      <c r="I264" s="8"/>
      <c r="J264" s="23"/>
      <c r="K264" s="23"/>
      <c r="L264" s="8"/>
      <c r="M264" s="8"/>
      <c r="N264" s="8"/>
      <c r="O264" s="8"/>
      <c r="P264" s="8"/>
      <c r="Q264" s="23"/>
      <c r="R264" s="136"/>
      <c r="S264" s="137"/>
      <c r="T264" s="128"/>
      <c r="U264" s="137"/>
      <c r="V264" s="128"/>
      <c r="W264" s="49"/>
      <c r="X264" s="128"/>
      <c r="Y264" s="49"/>
      <c r="Z264" s="128"/>
      <c r="AA264" s="49"/>
      <c r="AB264" s="128"/>
      <c r="AC264" s="49"/>
      <c r="AD264" s="133">
        <f t="shared" si="25"/>
        <v>0</v>
      </c>
      <c r="AE264" s="133">
        <f t="shared" si="25"/>
        <v>0</v>
      </c>
    </row>
    <row r="265" spans="1:31" s="69" customFormat="1" ht="15.75" hidden="1" outlineLevel="2" x14ac:dyDescent="0.2">
      <c r="A265" s="25">
        <f>'Утв. ИП 2014-2019'!A267</f>
        <v>0</v>
      </c>
      <c r="B265" s="6">
        <f>'Утв. ИП 2014-2019'!B267</f>
        <v>0</v>
      </c>
      <c r="C265" s="7" t="str">
        <f>'Утв. ИП 2014-2019'!C267</f>
        <v>строительство</v>
      </c>
      <c r="D265" s="8"/>
      <c r="E265" s="8"/>
      <c r="F265" s="8"/>
      <c r="G265" s="8"/>
      <c r="H265" s="8"/>
      <c r="I265" s="8"/>
      <c r="J265" s="23"/>
      <c r="K265" s="23"/>
      <c r="L265" s="8"/>
      <c r="M265" s="8"/>
      <c r="N265" s="8"/>
      <c r="O265" s="8"/>
      <c r="P265" s="8"/>
      <c r="Q265" s="23"/>
      <c r="R265" s="136"/>
      <c r="S265" s="137"/>
      <c r="T265" s="128"/>
      <c r="U265" s="137"/>
      <c r="V265" s="128"/>
      <c r="W265" s="49"/>
      <c r="X265" s="128"/>
      <c r="Y265" s="49"/>
      <c r="Z265" s="128"/>
      <c r="AA265" s="49"/>
      <c r="AB265" s="128"/>
      <c r="AC265" s="49"/>
      <c r="AD265" s="133">
        <f t="shared" ref="AD265:AD328" si="26">R265+T265+V265+X265+Z265+AB265</f>
        <v>0</v>
      </c>
      <c r="AE265" s="133">
        <f t="shared" ref="AE265:AE328" si="27">S265+U265+W265+Y265+AA265+AC265</f>
        <v>0</v>
      </c>
    </row>
    <row r="266" spans="1:31" s="69" customFormat="1" ht="63.75" hidden="1" outlineLevel="1" collapsed="1" x14ac:dyDescent="0.2">
      <c r="A266" s="25" t="str">
        <f>'Утв. ИП 2014-2019'!A268</f>
        <v>1.1.6.3.5/10</v>
      </c>
      <c r="B266" s="6" t="str">
        <f>'Утв. ИП 2014-2019'!B268</f>
        <v>3.2.9</v>
      </c>
      <c r="C266" s="7" t="str">
        <f>'Утв. ИП 2014-2019'!C268</f>
        <v>Электроснабжение индивидуального жилого дома по ул. Буденного, д. 229, запитанного от ВЛ-6 кВ отпайки на КТП-303; 15 кВт, 380 В, 3 категория; Строительство МТП; Строительство ВЛ-6 кВ от концевой опоры ВЛ-6 кВ отпайки на КТП-303 до МТП; Реконструкция ВЛ-0,4 кВ от КТП-303 (инв.№346021)</v>
      </c>
      <c r="D266" s="8"/>
      <c r="E266" s="8" t="str">
        <f>'Утв. ИП 2014-2019'!L268</f>
        <v>1,0 км/ 0,1 МВА</v>
      </c>
      <c r="F266" s="8"/>
      <c r="G266" s="8"/>
      <c r="H266" s="8"/>
      <c r="I266" s="8"/>
      <c r="J266" s="23" t="str">
        <f>'Утв. ИП 2014-2019'!Q268</f>
        <v>1,0 км/ 0,1 МВА</v>
      </c>
      <c r="K266" s="23"/>
      <c r="L266" s="8"/>
      <c r="M266" s="8"/>
      <c r="N266" s="8"/>
      <c r="O266" s="8"/>
      <c r="P266" s="8"/>
      <c r="Q266" s="23"/>
      <c r="R266" s="136"/>
      <c r="S266" s="137"/>
      <c r="T266" s="128"/>
      <c r="U266" s="137"/>
      <c r="V266" s="128"/>
      <c r="W266" s="49"/>
      <c r="X266" s="128"/>
      <c r="Y266" s="49"/>
      <c r="Z266" s="128"/>
      <c r="AA266" s="49"/>
      <c r="AB266" s="128"/>
      <c r="AC266" s="49"/>
      <c r="AD266" s="133">
        <f t="shared" si="26"/>
        <v>0</v>
      </c>
      <c r="AE266" s="133">
        <f t="shared" si="27"/>
        <v>0</v>
      </c>
    </row>
    <row r="267" spans="1:31" s="69" customFormat="1" ht="15.75" hidden="1" outlineLevel="2" x14ac:dyDescent="0.2">
      <c r="A267" s="25">
        <f>'Утв. ИП 2014-2019'!A269</f>
        <v>0</v>
      </c>
      <c r="B267" s="6">
        <f>'Утв. ИП 2014-2019'!B269</f>
        <v>0</v>
      </c>
      <c r="C267" s="7" t="str">
        <f>'Утв. ИП 2014-2019'!C269</f>
        <v>реконструкция</v>
      </c>
      <c r="D267" s="8"/>
      <c r="E267" s="8"/>
      <c r="F267" s="8"/>
      <c r="G267" s="8"/>
      <c r="H267" s="8"/>
      <c r="I267" s="8"/>
      <c r="J267" s="23"/>
      <c r="K267" s="23"/>
      <c r="L267" s="8"/>
      <c r="M267" s="8"/>
      <c r="N267" s="8"/>
      <c r="O267" s="8"/>
      <c r="P267" s="8"/>
      <c r="Q267" s="23"/>
      <c r="R267" s="136"/>
      <c r="S267" s="137"/>
      <c r="T267" s="128"/>
      <c r="U267" s="137"/>
      <c r="V267" s="128"/>
      <c r="W267" s="49"/>
      <c r="X267" s="128"/>
      <c r="Y267" s="49"/>
      <c r="Z267" s="128"/>
      <c r="AA267" s="49"/>
      <c r="AB267" s="128"/>
      <c r="AC267" s="49"/>
      <c r="AD267" s="133">
        <f t="shared" si="26"/>
        <v>0</v>
      </c>
      <c r="AE267" s="133">
        <f t="shared" si="27"/>
        <v>0</v>
      </c>
    </row>
    <row r="268" spans="1:31" s="69" customFormat="1" ht="15.75" hidden="1" outlineLevel="2" x14ac:dyDescent="0.2">
      <c r="A268" s="25">
        <f>'Утв. ИП 2014-2019'!A270</f>
        <v>0</v>
      </c>
      <c r="B268" s="6">
        <f>'Утв. ИП 2014-2019'!B270</f>
        <v>0</v>
      </c>
      <c r="C268" s="7" t="str">
        <f>'Утв. ИП 2014-2019'!C270</f>
        <v>строительство</v>
      </c>
      <c r="D268" s="8"/>
      <c r="E268" s="8"/>
      <c r="F268" s="8"/>
      <c r="G268" s="8"/>
      <c r="H268" s="8"/>
      <c r="I268" s="8"/>
      <c r="J268" s="23"/>
      <c r="K268" s="23"/>
      <c r="L268" s="8"/>
      <c r="M268" s="8"/>
      <c r="N268" s="8"/>
      <c r="O268" s="8"/>
      <c r="P268" s="8"/>
      <c r="Q268" s="23"/>
      <c r="R268" s="136"/>
      <c r="S268" s="137"/>
      <c r="T268" s="128"/>
      <c r="U268" s="137"/>
      <c r="V268" s="128"/>
      <c r="W268" s="49"/>
      <c r="X268" s="128"/>
      <c r="Y268" s="49"/>
      <c r="Z268" s="128"/>
      <c r="AA268" s="49"/>
      <c r="AB268" s="128"/>
      <c r="AC268" s="49"/>
      <c r="AD268" s="133">
        <f t="shared" si="26"/>
        <v>0</v>
      </c>
      <c r="AE268" s="133">
        <f t="shared" si="27"/>
        <v>0</v>
      </c>
    </row>
    <row r="269" spans="1:31" s="69" customFormat="1" ht="89.25" hidden="1" outlineLevel="1" collapsed="1" x14ac:dyDescent="0.2">
      <c r="A269" s="25" t="str">
        <f>'Утв. ИП 2014-2019'!A271</f>
        <v>1.1.6.3.9/10</v>
      </c>
      <c r="B269" s="6" t="str">
        <f>'Утв. ИП 2014-2019'!B271</f>
        <v>3.2.10</v>
      </c>
      <c r="C269" s="7" t="str">
        <f>'Утв. ИП 2014-2019'!C271</f>
        <v>Электроснабжение садовых домиков в СНТ "Цементник", запитанных от ВЛ-10 кВ ПС "Бутырки", яч. № 9 - КТП-477; 56 кВт, 380 В, 3 категория; Строительство КТП-400/10/0,4 в СНТ "Цементник"; Строительство ВЛ-10кВ от опоры ВЛ-10кВ ПС "Бутырки"-КТП-477 до вновь смонтированной КТП; Строительство ВЛ-0,4кВ от вновь смонтированной КТП до потребителей в СНТ "Цементник"</v>
      </c>
      <c r="D269" s="8" t="str">
        <f>'Утв. ИП 2014-2019'!K271</f>
        <v>4,0 км/ 0,4 МВА</v>
      </c>
      <c r="E269" s="8"/>
      <c r="F269" s="8"/>
      <c r="G269" s="8"/>
      <c r="H269" s="8"/>
      <c r="I269" s="8"/>
      <c r="J269" s="23" t="str">
        <f>'Утв. ИП 2014-2019'!Q271</f>
        <v>4,0 км/ 0,4 МВА</v>
      </c>
      <c r="K269" s="23"/>
      <c r="L269" s="8"/>
      <c r="M269" s="8"/>
      <c r="N269" s="8"/>
      <c r="O269" s="8"/>
      <c r="P269" s="8"/>
      <c r="Q269" s="23"/>
      <c r="R269" s="136"/>
      <c r="S269" s="137"/>
      <c r="T269" s="128"/>
      <c r="U269" s="137"/>
      <c r="V269" s="128"/>
      <c r="W269" s="49"/>
      <c r="X269" s="128"/>
      <c r="Y269" s="49"/>
      <c r="Z269" s="128"/>
      <c r="AA269" s="49"/>
      <c r="AB269" s="128"/>
      <c r="AC269" s="49"/>
      <c r="AD269" s="133">
        <f t="shared" si="26"/>
        <v>0</v>
      </c>
      <c r="AE269" s="133">
        <f t="shared" si="27"/>
        <v>0</v>
      </c>
    </row>
    <row r="270" spans="1:31" s="69" customFormat="1" ht="15.75" hidden="1" outlineLevel="2" x14ac:dyDescent="0.2">
      <c r="A270" s="25">
        <f>'Утв. ИП 2014-2019'!A272</f>
        <v>0</v>
      </c>
      <c r="B270" s="6">
        <f>'Утв. ИП 2014-2019'!B272</f>
        <v>0</v>
      </c>
      <c r="C270" s="7" t="str">
        <f>'Утв. ИП 2014-2019'!C272</f>
        <v>реконструкция</v>
      </c>
      <c r="D270" s="8"/>
      <c r="E270" s="8"/>
      <c r="F270" s="8"/>
      <c r="G270" s="8"/>
      <c r="H270" s="8"/>
      <c r="I270" s="8"/>
      <c r="J270" s="23"/>
      <c r="K270" s="23"/>
      <c r="L270" s="8"/>
      <c r="M270" s="8"/>
      <c r="N270" s="8"/>
      <c r="O270" s="8"/>
      <c r="P270" s="8"/>
      <c r="Q270" s="23"/>
      <c r="R270" s="136"/>
      <c r="S270" s="137"/>
      <c r="T270" s="128"/>
      <c r="U270" s="137"/>
      <c r="V270" s="128"/>
      <c r="W270" s="49"/>
      <c r="X270" s="128"/>
      <c r="Y270" s="49"/>
      <c r="Z270" s="128"/>
      <c r="AA270" s="49"/>
      <c r="AB270" s="128"/>
      <c r="AC270" s="49"/>
      <c r="AD270" s="133">
        <f t="shared" si="26"/>
        <v>0</v>
      </c>
      <c r="AE270" s="133">
        <f t="shared" si="27"/>
        <v>0</v>
      </c>
    </row>
    <row r="271" spans="1:31" s="69" customFormat="1" ht="15.75" hidden="1" outlineLevel="2" x14ac:dyDescent="0.2">
      <c r="A271" s="25">
        <f>'Утв. ИП 2014-2019'!A273</f>
        <v>0</v>
      </c>
      <c r="B271" s="6">
        <f>'Утв. ИП 2014-2019'!B273</f>
        <v>0</v>
      </c>
      <c r="C271" s="7" t="str">
        <f>'Утв. ИП 2014-2019'!C273</f>
        <v>строительство</v>
      </c>
      <c r="D271" s="8"/>
      <c r="E271" s="8"/>
      <c r="F271" s="8"/>
      <c r="G271" s="8"/>
      <c r="H271" s="8"/>
      <c r="I271" s="8"/>
      <c r="J271" s="23"/>
      <c r="K271" s="23"/>
      <c r="L271" s="8"/>
      <c r="M271" s="8"/>
      <c r="N271" s="8"/>
      <c r="O271" s="8"/>
      <c r="P271" s="8"/>
      <c r="Q271" s="23"/>
      <c r="R271" s="136"/>
      <c r="S271" s="137"/>
      <c r="T271" s="128"/>
      <c r="U271" s="137"/>
      <c r="V271" s="128"/>
      <c r="W271" s="49"/>
      <c r="X271" s="128"/>
      <c r="Y271" s="49"/>
      <c r="Z271" s="128"/>
      <c r="AA271" s="49"/>
      <c r="AB271" s="128"/>
      <c r="AC271" s="49"/>
      <c r="AD271" s="133">
        <f t="shared" si="26"/>
        <v>0</v>
      </c>
      <c r="AE271" s="133">
        <f t="shared" si="27"/>
        <v>0</v>
      </c>
    </row>
    <row r="272" spans="1:31" s="69" customFormat="1" ht="63.75" hidden="1" outlineLevel="1" collapsed="1" x14ac:dyDescent="0.2">
      <c r="A272" s="25" t="str">
        <f>'Утв. ИП 2014-2019'!A274</f>
        <v>1.1.6.3.33/10</v>
      </c>
      <c r="B272" s="6" t="str">
        <f>'Утв. ИП 2014-2019'!B274</f>
        <v>3.2.11</v>
      </c>
      <c r="C272" s="7" t="str">
        <f>'Утв. ИП 2014-2019'!C274</f>
        <v>Электроснабжение индивидуального жилого дома усадебного типа и хозяйственных построек по ул. Салтыкова-Щедрина, № 2 (по схеме), запитанного от КТП-37; 15 кВт, 380 В, 3 категория; Строительство КЛ-0,4 кВ от опоры №3 ВЛ-0,4 кВ от КТП-37 до земельного участка по ул. Салтыкова-Щедрина, №2 (по схеме)</v>
      </c>
      <c r="D272" s="8" t="str">
        <f>'Утв. ИП 2014-2019'!K274</f>
        <v>0,3 км/ 0 МВА</v>
      </c>
      <c r="E272" s="8"/>
      <c r="F272" s="8"/>
      <c r="G272" s="8"/>
      <c r="H272" s="8"/>
      <c r="I272" s="8"/>
      <c r="J272" s="23" t="str">
        <f>'Утв. ИП 2014-2019'!Q274</f>
        <v>0,3 км/ 0 МВА</v>
      </c>
      <c r="K272" s="23"/>
      <c r="L272" s="8"/>
      <c r="M272" s="8"/>
      <c r="N272" s="8"/>
      <c r="O272" s="8"/>
      <c r="P272" s="8"/>
      <c r="Q272" s="23"/>
      <c r="R272" s="136"/>
      <c r="S272" s="137"/>
      <c r="T272" s="128"/>
      <c r="U272" s="137"/>
      <c r="V272" s="128"/>
      <c r="W272" s="49"/>
      <c r="X272" s="128"/>
      <c r="Y272" s="49"/>
      <c r="Z272" s="128"/>
      <c r="AA272" s="49"/>
      <c r="AB272" s="128"/>
      <c r="AC272" s="49"/>
      <c r="AD272" s="133">
        <f t="shared" si="26"/>
        <v>0</v>
      </c>
      <c r="AE272" s="133">
        <f t="shared" si="27"/>
        <v>0</v>
      </c>
    </row>
    <row r="273" spans="1:31" s="69" customFormat="1" ht="15.75" hidden="1" outlineLevel="2" x14ac:dyDescent="0.2">
      <c r="A273" s="25">
        <f>'Утв. ИП 2014-2019'!A275</f>
        <v>0</v>
      </c>
      <c r="B273" s="6">
        <f>'Утв. ИП 2014-2019'!B275</f>
        <v>0</v>
      </c>
      <c r="C273" s="7" t="str">
        <f>'Утв. ИП 2014-2019'!C275</f>
        <v>реконструкция</v>
      </c>
      <c r="D273" s="8"/>
      <c r="E273" s="8"/>
      <c r="F273" s="8"/>
      <c r="G273" s="8"/>
      <c r="H273" s="8"/>
      <c r="I273" s="8"/>
      <c r="J273" s="23"/>
      <c r="K273" s="8"/>
      <c r="L273" s="23"/>
      <c r="M273" s="8"/>
      <c r="N273" s="8"/>
      <c r="O273" s="8"/>
      <c r="P273" s="8"/>
      <c r="Q273" s="23"/>
      <c r="R273" s="136"/>
      <c r="S273" s="137"/>
      <c r="T273" s="128"/>
      <c r="U273" s="137"/>
      <c r="V273" s="128"/>
      <c r="W273" s="49"/>
      <c r="X273" s="128"/>
      <c r="Y273" s="49"/>
      <c r="Z273" s="128"/>
      <c r="AA273" s="49"/>
      <c r="AB273" s="128"/>
      <c r="AC273" s="49"/>
      <c r="AD273" s="133">
        <f t="shared" si="26"/>
        <v>0</v>
      </c>
      <c r="AE273" s="133">
        <f t="shared" si="27"/>
        <v>0</v>
      </c>
    </row>
    <row r="274" spans="1:31" s="69" customFormat="1" ht="15.75" hidden="1" outlineLevel="2" x14ac:dyDescent="0.2">
      <c r="A274" s="25">
        <f>'Утв. ИП 2014-2019'!A276</f>
        <v>0</v>
      </c>
      <c r="B274" s="6">
        <f>'Утв. ИП 2014-2019'!B276</f>
        <v>0</v>
      </c>
      <c r="C274" s="7" t="str">
        <f>'Утв. ИП 2014-2019'!C276</f>
        <v>строительство</v>
      </c>
      <c r="D274" s="8"/>
      <c r="E274" s="8"/>
      <c r="F274" s="8"/>
      <c r="G274" s="8"/>
      <c r="H274" s="8"/>
      <c r="I274" s="8"/>
      <c r="J274" s="23"/>
      <c r="K274" s="23"/>
      <c r="L274" s="8"/>
      <c r="M274" s="8"/>
      <c r="N274" s="8"/>
      <c r="O274" s="8"/>
      <c r="P274" s="8"/>
      <c r="Q274" s="23"/>
      <c r="R274" s="136"/>
      <c r="S274" s="137"/>
      <c r="T274" s="128"/>
      <c r="U274" s="137"/>
      <c r="V274" s="128"/>
      <c r="W274" s="49"/>
      <c r="X274" s="128"/>
      <c r="Y274" s="49"/>
      <c r="Z274" s="128"/>
      <c r="AA274" s="49"/>
      <c r="AB274" s="128"/>
      <c r="AC274" s="49"/>
      <c r="AD274" s="133">
        <f t="shared" si="26"/>
        <v>0</v>
      </c>
      <c r="AE274" s="133">
        <f t="shared" si="27"/>
        <v>0</v>
      </c>
    </row>
    <row r="275" spans="1:31" s="69" customFormat="1" ht="114.75" hidden="1" outlineLevel="1" collapsed="1" x14ac:dyDescent="0.2">
      <c r="A275" s="25" t="str">
        <f>'Утв. ИП 2014-2019'!A277</f>
        <v>1.1.6.3.35/10</v>
      </c>
      <c r="B275" s="6" t="str">
        <f>'Утв. ИП 2014-2019'!B277</f>
        <v>3.2.12</v>
      </c>
      <c r="C275" s="7" t="str">
        <f>'Утв. ИП 2014-2019'!C277</f>
        <v>Электроснабжение индивидуальных жилых домов усадебного типа с хозяйственными постройками в с. Сселки, ул. Листопадная, № 17, № 30 (по схеме), запитанных от РУ-10 кВ КТП-854; 20 кВт, 220 В, 3 категория; Строительство КТП; Строительство ВЛ-10кВ от опоры ВЛ-10кВ "ТП-458 - КТП-854" до вновь смонтированной КТП ; Строительство ВЛ-0,4кВ от вновь смонтированной КТП до ул.Листопадная; Монтаж учета электрической энергии в РУ-0,4 кВ новой МТП; Монтаж пожарно-охранной сигнализации в новой МТП</v>
      </c>
      <c r="D275" s="8" t="str">
        <f>'Утв. ИП 2014-2019'!K277</f>
        <v>2,0 км/ 0,25 МВА</v>
      </c>
      <c r="E275" s="8"/>
      <c r="F275" s="8"/>
      <c r="G275" s="8"/>
      <c r="H275" s="8"/>
      <c r="I275" s="8"/>
      <c r="J275" s="23" t="str">
        <f>'Утв. ИП 2014-2019'!Q277</f>
        <v>2,0 км/ 0,25 МВА</v>
      </c>
      <c r="K275" s="8"/>
      <c r="L275" s="23"/>
      <c r="M275" s="8"/>
      <c r="N275" s="8"/>
      <c r="O275" s="8"/>
      <c r="P275" s="8"/>
      <c r="Q275" s="23"/>
      <c r="R275" s="136"/>
      <c r="S275" s="137"/>
      <c r="T275" s="128"/>
      <c r="U275" s="137"/>
      <c r="V275" s="128"/>
      <c r="W275" s="49"/>
      <c r="X275" s="128"/>
      <c r="Y275" s="49"/>
      <c r="Z275" s="128"/>
      <c r="AA275" s="49"/>
      <c r="AB275" s="128"/>
      <c r="AC275" s="49"/>
      <c r="AD275" s="133">
        <f t="shared" si="26"/>
        <v>0</v>
      </c>
      <c r="AE275" s="133">
        <f t="shared" si="27"/>
        <v>0</v>
      </c>
    </row>
    <row r="276" spans="1:31" s="69" customFormat="1" ht="15.75" hidden="1" outlineLevel="2" x14ac:dyDescent="0.2">
      <c r="A276" s="25">
        <f>'Утв. ИП 2014-2019'!A278</f>
        <v>0</v>
      </c>
      <c r="B276" s="6">
        <f>'Утв. ИП 2014-2019'!B278</f>
        <v>0</v>
      </c>
      <c r="C276" s="7" t="str">
        <f>'Утв. ИП 2014-2019'!C278</f>
        <v>реконструкция</v>
      </c>
      <c r="D276" s="8"/>
      <c r="E276" s="8"/>
      <c r="F276" s="8"/>
      <c r="G276" s="8"/>
      <c r="H276" s="8"/>
      <c r="I276" s="8"/>
      <c r="J276" s="23"/>
      <c r="K276" s="8"/>
      <c r="L276" s="23"/>
      <c r="M276" s="8"/>
      <c r="N276" s="8"/>
      <c r="O276" s="8"/>
      <c r="P276" s="8"/>
      <c r="Q276" s="23"/>
      <c r="R276" s="136"/>
      <c r="S276" s="137"/>
      <c r="T276" s="128"/>
      <c r="U276" s="137"/>
      <c r="V276" s="128"/>
      <c r="W276" s="49"/>
      <c r="X276" s="128"/>
      <c r="Y276" s="49"/>
      <c r="Z276" s="128"/>
      <c r="AA276" s="49"/>
      <c r="AB276" s="128"/>
      <c r="AC276" s="49"/>
      <c r="AD276" s="133">
        <f t="shared" si="26"/>
        <v>0</v>
      </c>
      <c r="AE276" s="133">
        <f t="shared" si="27"/>
        <v>0</v>
      </c>
    </row>
    <row r="277" spans="1:31" s="69" customFormat="1" ht="15.75" hidden="1" outlineLevel="2" x14ac:dyDescent="0.2">
      <c r="A277" s="25">
        <f>'Утв. ИП 2014-2019'!A279</f>
        <v>0</v>
      </c>
      <c r="B277" s="6">
        <f>'Утв. ИП 2014-2019'!B279</f>
        <v>0</v>
      </c>
      <c r="C277" s="7" t="str">
        <f>'Утв. ИП 2014-2019'!C279</f>
        <v>строительство</v>
      </c>
      <c r="D277" s="8"/>
      <c r="E277" s="8"/>
      <c r="F277" s="8"/>
      <c r="G277" s="8"/>
      <c r="H277" s="8"/>
      <c r="I277" s="8"/>
      <c r="J277" s="23"/>
      <c r="K277" s="8"/>
      <c r="L277" s="23"/>
      <c r="M277" s="8"/>
      <c r="N277" s="8"/>
      <c r="O277" s="8"/>
      <c r="P277" s="8"/>
      <c r="Q277" s="23"/>
      <c r="R277" s="136"/>
      <c r="S277" s="137"/>
      <c r="T277" s="128"/>
      <c r="U277" s="137"/>
      <c r="V277" s="128"/>
      <c r="W277" s="49"/>
      <c r="X277" s="128"/>
      <c r="Y277" s="49"/>
      <c r="Z277" s="128"/>
      <c r="AA277" s="49"/>
      <c r="AB277" s="128"/>
      <c r="AC277" s="49"/>
      <c r="AD277" s="133">
        <f t="shared" si="26"/>
        <v>0</v>
      </c>
      <c r="AE277" s="133">
        <f t="shared" si="27"/>
        <v>0</v>
      </c>
    </row>
    <row r="278" spans="1:31" s="69" customFormat="1" ht="63.75" hidden="1" outlineLevel="1" collapsed="1" x14ac:dyDescent="0.2">
      <c r="A278" s="25" t="str">
        <f>'Утв. ИП 2014-2019'!A280</f>
        <v>1.1.6.3.40/10</v>
      </c>
      <c r="B278" s="6" t="str">
        <f>'Утв. ИП 2014-2019'!B280</f>
        <v>3.2.13</v>
      </c>
      <c r="C278" s="7" t="str">
        <f>'Утв. ИП 2014-2019'!C280</f>
        <v>Электроснабжение садового домика в п/о пенсионеров и инвалидов, "Сокол-1", зем. уч. № 226, запитанного от РП-27 - ТП-407; 15 кВт, 380 В, 3 категория; Строительство ВЛ-6кВ от опоры ВЛ-6кВ РП-27-ТП-407 до МТП; Строительство МТП; Строительство ВЛ-0,4кВ от МТП до земельного участка</v>
      </c>
      <c r="D278" s="8" t="str">
        <f>'Утв. ИП 2014-2019'!K280</f>
        <v>0,3 км/ 0,25 МВА</v>
      </c>
      <c r="E278" s="8"/>
      <c r="F278" s="8"/>
      <c r="G278" s="8"/>
      <c r="H278" s="8"/>
      <c r="I278" s="8"/>
      <c r="J278" s="23" t="str">
        <f>'Утв. ИП 2014-2019'!Q280</f>
        <v>0,3 км/ 0,25 МВА</v>
      </c>
      <c r="K278" s="8"/>
      <c r="L278" s="23"/>
      <c r="M278" s="8"/>
      <c r="N278" s="8"/>
      <c r="O278" s="8"/>
      <c r="P278" s="8"/>
      <c r="Q278" s="23"/>
      <c r="R278" s="136"/>
      <c r="S278" s="137"/>
      <c r="T278" s="128"/>
      <c r="U278" s="137"/>
      <c r="V278" s="128"/>
      <c r="W278" s="49"/>
      <c r="X278" s="128"/>
      <c r="Y278" s="49"/>
      <c r="Z278" s="128"/>
      <c r="AA278" s="49"/>
      <c r="AB278" s="128"/>
      <c r="AC278" s="49"/>
      <c r="AD278" s="133">
        <f t="shared" si="26"/>
        <v>0</v>
      </c>
      <c r="AE278" s="133">
        <f t="shared" si="27"/>
        <v>0</v>
      </c>
    </row>
    <row r="279" spans="1:31" s="69" customFormat="1" ht="15.75" hidden="1" outlineLevel="2" x14ac:dyDescent="0.2">
      <c r="A279" s="25">
        <f>'Утв. ИП 2014-2019'!A281</f>
        <v>0</v>
      </c>
      <c r="B279" s="6">
        <f>'Утв. ИП 2014-2019'!B281</f>
        <v>0</v>
      </c>
      <c r="C279" s="7" t="str">
        <f>'Утв. ИП 2014-2019'!C281</f>
        <v>реконструкция</v>
      </c>
      <c r="D279" s="8"/>
      <c r="E279" s="8"/>
      <c r="F279" s="8"/>
      <c r="G279" s="8"/>
      <c r="H279" s="8"/>
      <c r="I279" s="8"/>
      <c r="J279" s="23"/>
      <c r="K279" s="8"/>
      <c r="L279" s="23"/>
      <c r="M279" s="8"/>
      <c r="N279" s="8"/>
      <c r="O279" s="8"/>
      <c r="P279" s="8"/>
      <c r="Q279" s="23"/>
      <c r="R279" s="136"/>
      <c r="S279" s="137"/>
      <c r="T279" s="128"/>
      <c r="U279" s="137"/>
      <c r="V279" s="128"/>
      <c r="W279" s="49"/>
      <c r="X279" s="128"/>
      <c r="Y279" s="49"/>
      <c r="Z279" s="128"/>
      <c r="AA279" s="49"/>
      <c r="AB279" s="128"/>
      <c r="AC279" s="49"/>
      <c r="AD279" s="133">
        <f t="shared" si="26"/>
        <v>0</v>
      </c>
      <c r="AE279" s="133">
        <f t="shared" si="27"/>
        <v>0</v>
      </c>
    </row>
    <row r="280" spans="1:31" s="69" customFormat="1" ht="15.75" hidden="1" outlineLevel="2" x14ac:dyDescent="0.2">
      <c r="A280" s="25">
        <f>'Утв. ИП 2014-2019'!A282</f>
        <v>0</v>
      </c>
      <c r="B280" s="6">
        <f>'Утв. ИП 2014-2019'!B282</f>
        <v>0</v>
      </c>
      <c r="C280" s="7" t="str">
        <f>'Утв. ИП 2014-2019'!C282</f>
        <v>строительство</v>
      </c>
      <c r="D280" s="8"/>
      <c r="E280" s="8"/>
      <c r="F280" s="8"/>
      <c r="G280" s="8"/>
      <c r="H280" s="8"/>
      <c r="I280" s="8"/>
      <c r="J280" s="23"/>
      <c r="K280" s="8"/>
      <c r="L280" s="23"/>
      <c r="M280" s="8"/>
      <c r="N280" s="8"/>
      <c r="O280" s="8"/>
      <c r="P280" s="8"/>
      <c r="Q280" s="23"/>
      <c r="R280" s="136"/>
      <c r="S280" s="137"/>
      <c r="T280" s="128"/>
      <c r="U280" s="137"/>
      <c r="V280" s="128"/>
      <c r="W280" s="49"/>
      <c r="X280" s="128"/>
      <c r="Y280" s="49"/>
      <c r="Z280" s="128"/>
      <c r="AA280" s="49"/>
      <c r="AB280" s="128"/>
      <c r="AC280" s="49"/>
      <c r="AD280" s="133">
        <f t="shared" si="26"/>
        <v>0</v>
      </c>
      <c r="AE280" s="133">
        <f t="shared" si="27"/>
        <v>0</v>
      </c>
    </row>
    <row r="281" spans="1:31" s="69" customFormat="1" ht="63.75" hidden="1" outlineLevel="1" collapsed="1" x14ac:dyDescent="0.2">
      <c r="A281" s="25" t="str">
        <f>'Утв. ИП 2014-2019'!A283</f>
        <v>1.1.6.3.41/10</v>
      </c>
      <c r="B281" s="6" t="str">
        <f>'Утв. ИП 2014-2019'!B283</f>
        <v>3.2.14</v>
      </c>
      <c r="C281" s="7" t="str">
        <f>'Утв. ИП 2014-2019'!C283</f>
        <v>Электроснабжение жилого дома по ул. Архангельская, д. 20а, запитанного от КТП-569; 5 кВт, 220 В, 3 категория; Реконструкция оборудования РУ-0,4 кВ КТП-569 (100920); Строительство КЛ-0,4кВ от ТП-569 до дома №20а по ул. Архангельская</v>
      </c>
      <c r="D281" s="8"/>
      <c r="E281" s="8" t="str">
        <f>'Утв. ИП 2014-2019'!L283</f>
        <v>0,5 км/ 0 МВА</v>
      </c>
      <c r="F281" s="8"/>
      <c r="G281" s="8"/>
      <c r="H281" s="8"/>
      <c r="I281" s="8"/>
      <c r="J281" s="23" t="str">
        <f>'Утв. ИП 2014-2019'!Q283</f>
        <v>0,5 км/ 0 МВА</v>
      </c>
      <c r="K281" s="23"/>
      <c r="L281" s="8"/>
      <c r="M281" s="8"/>
      <c r="N281" s="8"/>
      <c r="O281" s="8"/>
      <c r="P281" s="8"/>
      <c r="Q281" s="23"/>
      <c r="R281" s="136"/>
      <c r="S281" s="137"/>
      <c r="T281" s="128"/>
      <c r="U281" s="137"/>
      <c r="V281" s="128"/>
      <c r="W281" s="49"/>
      <c r="X281" s="128"/>
      <c r="Y281" s="49"/>
      <c r="Z281" s="128"/>
      <c r="AA281" s="49"/>
      <c r="AB281" s="128"/>
      <c r="AC281" s="49"/>
      <c r="AD281" s="133">
        <f t="shared" si="26"/>
        <v>0</v>
      </c>
      <c r="AE281" s="133">
        <f t="shared" si="27"/>
        <v>0</v>
      </c>
    </row>
    <row r="282" spans="1:31" s="69" customFormat="1" ht="15.75" hidden="1" outlineLevel="2" x14ac:dyDescent="0.2">
      <c r="A282" s="25">
        <f>'Утв. ИП 2014-2019'!A284</f>
        <v>0</v>
      </c>
      <c r="B282" s="6">
        <f>'Утв. ИП 2014-2019'!B284</f>
        <v>0</v>
      </c>
      <c r="C282" s="7" t="str">
        <f>'Утв. ИП 2014-2019'!C284</f>
        <v>реконструкция</v>
      </c>
      <c r="D282" s="8"/>
      <c r="E282" s="8"/>
      <c r="F282" s="8"/>
      <c r="G282" s="8"/>
      <c r="H282" s="8"/>
      <c r="I282" s="8"/>
      <c r="J282" s="23"/>
      <c r="K282" s="8"/>
      <c r="L282" s="23"/>
      <c r="M282" s="8"/>
      <c r="N282" s="8"/>
      <c r="O282" s="8"/>
      <c r="P282" s="8"/>
      <c r="Q282" s="23"/>
      <c r="R282" s="136"/>
      <c r="S282" s="137"/>
      <c r="T282" s="128"/>
      <c r="U282" s="137"/>
      <c r="V282" s="128"/>
      <c r="W282" s="49"/>
      <c r="X282" s="128"/>
      <c r="Y282" s="49"/>
      <c r="Z282" s="128"/>
      <c r="AA282" s="49"/>
      <c r="AB282" s="128"/>
      <c r="AC282" s="49"/>
      <c r="AD282" s="133">
        <f t="shared" si="26"/>
        <v>0</v>
      </c>
      <c r="AE282" s="133">
        <f t="shared" si="27"/>
        <v>0</v>
      </c>
    </row>
    <row r="283" spans="1:31" s="69" customFormat="1" ht="15.75" hidden="1" outlineLevel="2" x14ac:dyDescent="0.2">
      <c r="A283" s="25">
        <f>'Утв. ИП 2014-2019'!A285</f>
        <v>0</v>
      </c>
      <c r="B283" s="6">
        <f>'Утв. ИП 2014-2019'!B285</f>
        <v>0</v>
      </c>
      <c r="C283" s="7" t="str">
        <f>'Утв. ИП 2014-2019'!C285</f>
        <v>строительство</v>
      </c>
      <c r="D283" s="8"/>
      <c r="E283" s="8"/>
      <c r="F283" s="8"/>
      <c r="G283" s="8"/>
      <c r="H283" s="8"/>
      <c r="I283" s="8"/>
      <c r="J283" s="23"/>
      <c r="K283" s="8"/>
      <c r="L283" s="23"/>
      <c r="M283" s="8"/>
      <c r="N283" s="8"/>
      <c r="O283" s="8"/>
      <c r="P283" s="8"/>
      <c r="Q283" s="23"/>
      <c r="R283" s="136"/>
      <c r="S283" s="137"/>
      <c r="T283" s="128"/>
      <c r="U283" s="137"/>
      <c r="V283" s="128"/>
      <c r="W283" s="49"/>
      <c r="X283" s="128"/>
      <c r="Y283" s="49"/>
      <c r="Z283" s="128"/>
      <c r="AA283" s="49"/>
      <c r="AB283" s="128"/>
      <c r="AC283" s="49"/>
      <c r="AD283" s="133">
        <f t="shared" si="26"/>
        <v>0</v>
      </c>
      <c r="AE283" s="133">
        <f t="shared" si="27"/>
        <v>0</v>
      </c>
    </row>
    <row r="284" spans="1:31" s="69" customFormat="1" ht="102" hidden="1" outlineLevel="1" collapsed="1" x14ac:dyDescent="0.2">
      <c r="A284" s="25" t="str">
        <f>'Утв. ИП 2014-2019'!A286</f>
        <v>1.1.6.3.45/10</v>
      </c>
      <c r="B284" s="6" t="str">
        <f>'Утв. ИП 2014-2019'!B286</f>
        <v>3.2.15</v>
      </c>
      <c r="C284" s="7" t="str">
        <f>'Утв. ИП 2014-2019'!C286</f>
        <v>Электроснабжение стройплощадки садового домика в СНТ "Горняк", зем. уч. № 481, запитанной от ТП-642; 15 кВт, 380 В, 3 категория; Строительство КВЛ-0,4 кВ от ТП-642 до опоры № 5/11 по ул. Ударников; Реконструкция ВЛ-0,4 кВ по ул. Ударников (инв. № 346337); Строительство ВЛ-0,4 кВ от ближайшей опоры ВЛ-0,4 кВ по ул. Ново-Весовая до садовых домиков в СНТ «Горняк»; Монтаж устройства передачи данных (УСПД) в РУ-0,4 кВ ТП-642</v>
      </c>
      <c r="D284" s="8" t="str">
        <f>'Утв. ИП 2014-2019'!K286</f>
        <v>0,5 км/ 0 МВА</v>
      </c>
      <c r="E284" s="8"/>
      <c r="F284" s="8"/>
      <c r="G284" s="8"/>
      <c r="H284" s="8"/>
      <c r="I284" s="8"/>
      <c r="J284" s="23" t="str">
        <f>'Утв. ИП 2014-2019'!Q286</f>
        <v>0,5 км/ 0 МВА</v>
      </c>
      <c r="K284" s="23"/>
      <c r="L284" s="8"/>
      <c r="M284" s="8"/>
      <c r="N284" s="8"/>
      <c r="O284" s="8"/>
      <c r="P284" s="8"/>
      <c r="Q284" s="23"/>
      <c r="R284" s="136"/>
      <c r="S284" s="137"/>
      <c r="T284" s="128"/>
      <c r="U284" s="137"/>
      <c r="V284" s="128"/>
      <c r="W284" s="49"/>
      <c r="X284" s="128"/>
      <c r="Y284" s="49"/>
      <c r="Z284" s="128"/>
      <c r="AA284" s="49"/>
      <c r="AB284" s="128"/>
      <c r="AC284" s="49"/>
      <c r="AD284" s="133">
        <f t="shared" si="26"/>
        <v>0</v>
      </c>
      <c r="AE284" s="133">
        <f t="shared" si="27"/>
        <v>0</v>
      </c>
    </row>
    <row r="285" spans="1:31" s="69" customFormat="1" ht="15.75" hidden="1" outlineLevel="2" x14ac:dyDescent="0.2">
      <c r="A285" s="25">
        <f>'Утв. ИП 2014-2019'!A287</f>
        <v>0</v>
      </c>
      <c r="B285" s="6">
        <f>'Утв. ИП 2014-2019'!B287</f>
        <v>0</v>
      </c>
      <c r="C285" s="7" t="str">
        <f>'Утв. ИП 2014-2019'!C287</f>
        <v>реконструкция</v>
      </c>
      <c r="D285" s="8"/>
      <c r="E285" s="8"/>
      <c r="F285" s="8"/>
      <c r="G285" s="8"/>
      <c r="H285" s="8"/>
      <c r="I285" s="8"/>
      <c r="J285" s="23"/>
      <c r="K285" s="8"/>
      <c r="L285" s="23"/>
      <c r="M285" s="8"/>
      <c r="N285" s="8"/>
      <c r="O285" s="8"/>
      <c r="P285" s="8"/>
      <c r="Q285" s="23"/>
      <c r="R285" s="136"/>
      <c r="S285" s="137"/>
      <c r="T285" s="128"/>
      <c r="U285" s="137"/>
      <c r="V285" s="128"/>
      <c r="W285" s="49"/>
      <c r="X285" s="128"/>
      <c r="Y285" s="49"/>
      <c r="Z285" s="128"/>
      <c r="AA285" s="49"/>
      <c r="AB285" s="128"/>
      <c r="AC285" s="49"/>
      <c r="AD285" s="133">
        <f t="shared" si="26"/>
        <v>0</v>
      </c>
      <c r="AE285" s="133">
        <f t="shared" si="27"/>
        <v>0</v>
      </c>
    </row>
    <row r="286" spans="1:31" s="69" customFormat="1" ht="15.75" hidden="1" outlineLevel="2" x14ac:dyDescent="0.2">
      <c r="A286" s="25">
        <f>'Утв. ИП 2014-2019'!A288</f>
        <v>0</v>
      </c>
      <c r="B286" s="6">
        <f>'Утв. ИП 2014-2019'!B288</f>
        <v>0</v>
      </c>
      <c r="C286" s="7" t="str">
        <f>'Утв. ИП 2014-2019'!C288</f>
        <v>строительство</v>
      </c>
      <c r="D286" s="8"/>
      <c r="E286" s="8"/>
      <c r="F286" s="8"/>
      <c r="G286" s="8"/>
      <c r="H286" s="8"/>
      <c r="I286" s="8"/>
      <c r="J286" s="23"/>
      <c r="K286" s="8"/>
      <c r="L286" s="23"/>
      <c r="M286" s="8"/>
      <c r="N286" s="8"/>
      <c r="O286" s="8"/>
      <c r="P286" s="8"/>
      <c r="Q286" s="23"/>
      <c r="R286" s="136"/>
      <c r="S286" s="137"/>
      <c r="T286" s="128"/>
      <c r="U286" s="137"/>
      <c r="V286" s="128"/>
      <c r="W286" s="49"/>
      <c r="X286" s="128"/>
      <c r="Y286" s="49"/>
      <c r="Z286" s="128"/>
      <c r="AA286" s="49"/>
      <c r="AB286" s="128"/>
      <c r="AC286" s="49"/>
      <c r="AD286" s="133">
        <f t="shared" si="26"/>
        <v>0</v>
      </c>
      <c r="AE286" s="133">
        <f t="shared" si="27"/>
        <v>0</v>
      </c>
    </row>
    <row r="287" spans="1:31" s="69" customFormat="1" ht="51" hidden="1" outlineLevel="1" collapsed="1" x14ac:dyDescent="0.2">
      <c r="A287" s="25" t="str">
        <f>'Утв. ИП 2014-2019'!A289</f>
        <v>1.1.6.3.47/10</v>
      </c>
      <c r="B287" s="6" t="str">
        <f>'Утв. ИП 2014-2019'!B289</f>
        <v>3.2.16</v>
      </c>
      <c r="C287" s="7" t="str">
        <f>'Утв. ИП 2014-2019'!C289</f>
        <v>Электроснабжение магазина продовольственных товаров по ул. 40 лет Октября, запитанного от ТП-460; 15 кВт, 380 В, 3 категория; Строительство кабельной сети от ТП-460 до магазина по ул. 40 лет Октября</v>
      </c>
      <c r="D287" s="8"/>
      <c r="E287" s="8" t="str">
        <f>'Утв. ИП 2014-2019'!L289</f>
        <v>0,2 км/ 0 МВА</v>
      </c>
      <c r="F287" s="8"/>
      <c r="G287" s="8"/>
      <c r="H287" s="8"/>
      <c r="I287" s="8"/>
      <c r="J287" s="23" t="str">
        <f>'Утв. ИП 2014-2019'!Q289</f>
        <v>0,2 км/ 0 МВА</v>
      </c>
      <c r="K287" s="8"/>
      <c r="L287" s="23"/>
      <c r="M287" s="8"/>
      <c r="N287" s="8"/>
      <c r="O287" s="8"/>
      <c r="P287" s="8"/>
      <c r="Q287" s="23"/>
      <c r="R287" s="136"/>
      <c r="S287" s="137"/>
      <c r="T287" s="128"/>
      <c r="U287" s="137"/>
      <c r="V287" s="128"/>
      <c r="W287" s="49"/>
      <c r="X287" s="128"/>
      <c r="Y287" s="49"/>
      <c r="Z287" s="128"/>
      <c r="AA287" s="49"/>
      <c r="AB287" s="128"/>
      <c r="AC287" s="49"/>
      <c r="AD287" s="133">
        <f t="shared" si="26"/>
        <v>0</v>
      </c>
      <c r="AE287" s="133">
        <f t="shared" si="27"/>
        <v>0</v>
      </c>
    </row>
    <row r="288" spans="1:31" s="69" customFormat="1" ht="15.75" hidden="1" outlineLevel="2" x14ac:dyDescent="0.2">
      <c r="A288" s="25">
        <f>'Утв. ИП 2014-2019'!A290</f>
        <v>0</v>
      </c>
      <c r="B288" s="6">
        <f>'Утв. ИП 2014-2019'!B290</f>
        <v>0</v>
      </c>
      <c r="C288" s="7" t="str">
        <f>'Утв. ИП 2014-2019'!C290</f>
        <v>реконструкция</v>
      </c>
      <c r="D288" s="8"/>
      <c r="E288" s="8"/>
      <c r="F288" s="8"/>
      <c r="G288" s="8"/>
      <c r="H288" s="8"/>
      <c r="I288" s="8"/>
      <c r="J288" s="23"/>
      <c r="K288" s="8"/>
      <c r="L288" s="23"/>
      <c r="M288" s="8"/>
      <c r="N288" s="8"/>
      <c r="O288" s="8"/>
      <c r="P288" s="8"/>
      <c r="Q288" s="23"/>
      <c r="R288" s="136"/>
      <c r="S288" s="137"/>
      <c r="T288" s="128"/>
      <c r="U288" s="137"/>
      <c r="V288" s="128"/>
      <c r="W288" s="49"/>
      <c r="X288" s="128"/>
      <c r="Y288" s="49"/>
      <c r="Z288" s="128"/>
      <c r="AA288" s="49"/>
      <c r="AB288" s="128"/>
      <c r="AC288" s="49"/>
      <c r="AD288" s="133">
        <f t="shared" si="26"/>
        <v>0</v>
      </c>
      <c r="AE288" s="133">
        <f t="shared" si="27"/>
        <v>0</v>
      </c>
    </row>
    <row r="289" spans="1:31" s="69" customFormat="1" ht="15.75" hidden="1" outlineLevel="2" x14ac:dyDescent="0.2">
      <c r="A289" s="25">
        <f>'Утв. ИП 2014-2019'!A291</f>
        <v>0</v>
      </c>
      <c r="B289" s="6">
        <f>'Утв. ИП 2014-2019'!B291</f>
        <v>0</v>
      </c>
      <c r="C289" s="7" t="str">
        <f>'Утв. ИП 2014-2019'!C291</f>
        <v>строительство</v>
      </c>
      <c r="D289" s="8"/>
      <c r="E289" s="8"/>
      <c r="F289" s="8"/>
      <c r="G289" s="8"/>
      <c r="H289" s="8"/>
      <c r="I289" s="8"/>
      <c r="J289" s="23"/>
      <c r="K289" s="23"/>
      <c r="L289" s="8"/>
      <c r="M289" s="8"/>
      <c r="N289" s="8"/>
      <c r="O289" s="8"/>
      <c r="P289" s="8"/>
      <c r="Q289" s="23"/>
      <c r="R289" s="136"/>
      <c r="S289" s="137"/>
      <c r="T289" s="128"/>
      <c r="U289" s="137"/>
      <c r="V289" s="128"/>
      <c r="W289" s="49"/>
      <c r="X289" s="128"/>
      <c r="Y289" s="49"/>
      <c r="Z289" s="128"/>
      <c r="AA289" s="49"/>
      <c r="AB289" s="128"/>
      <c r="AC289" s="49"/>
      <c r="AD289" s="133">
        <f t="shared" si="26"/>
        <v>0</v>
      </c>
      <c r="AE289" s="133">
        <f t="shared" si="27"/>
        <v>0</v>
      </c>
    </row>
    <row r="290" spans="1:31" s="69" customFormat="1" ht="127.5" hidden="1" outlineLevel="1" collapsed="1" x14ac:dyDescent="0.2">
      <c r="A290" s="25" t="str">
        <f>'Утв. ИП 2014-2019'!A292</f>
        <v>1.1.6.3.49/10</v>
      </c>
      <c r="B290" s="6" t="str">
        <f>'Утв. ИП 2014-2019'!B292</f>
        <v>3.2.17</v>
      </c>
      <c r="C290" s="7" t="str">
        <f>'Утв. ИП 2014-2019'!C292</f>
        <v>Электроснабжение стройплощадки здания автосервиса в районе транспортной развязки Орел-Тамбов и ул. Баумана, запитанной от РУ-0,4 кВ КТП-404; 15 кВт, 380 В, 3 категория; Строительство КТП; Строительство ВЛ-0,4 кВ от КТП-404 до земельного участка под здание автосервиса по адресу: г.Липецк, район транспортной развязки Орел-Тамбов и ул. Баумана; Монтаж устройства передачи данных (УСПД) по учету электрической энергии в РУ-0,4 кВ КТП; Монтаж пожарно-охранной сигнализации в КТП; Монтаж приборов учета в РУ-0,4 кВ КТП</v>
      </c>
      <c r="D290" s="8" t="str">
        <f>'Утв. ИП 2014-2019'!K292</f>
        <v>0,1 км/ 0,4 МВА</v>
      </c>
      <c r="E290" s="8"/>
      <c r="F290" s="8"/>
      <c r="G290" s="8"/>
      <c r="H290" s="8"/>
      <c r="I290" s="8"/>
      <c r="J290" s="23" t="str">
        <f>'Утв. ИП 2014-2019'!Q292</f>
        <v>0,1 км/ 0,4 МВА</v>
      </c>
      <c r="K290" s="8"/>
      <c r="L290" s="23"/>
      <c r="M290" s="8"/>
      <c r="N290" s="8"/>
      <c r="O290" s="8"/>
      <c r="P290" s="8"/>
      <c r="Q290" s="23"/>
      <c r="R290" s="136"/>
      <c r="S290" s="137"/>
      <c r="T290" s="128"/>
      <c r="U290" s="137"/>
      <c r="V290" s="128"/>
      <c r="W290" s="49"/>
      <c r="X290" s="128"/>
      <c r="Y290" s="49"/>
      <c r="Z290" s="128"/>
      <c r="AA290" s="49"/>
      <c r="AB290" s="128"/>
      <c r="AC290" s="49"/>
      <c r="AD290" s="133">
        <f t="shared" si="26"/>
        <v>0</v>
      </c>
      <c r="AE290" s="133">
        <f t="shared" si="27"/>
        <v>0</v>
      </c>
    </row>
    <row r="291" spans="1:31" s="69" customFormat="1" ht="15.75" hidden="1" outlineLevel="2" x14ac:dyDescent="0.2">
      <c r="A291" s="25">
        <f>'Утв. ИП 2014-2019'!A293</f>
        <v>0</v>
      </c>
      <c r="B291" s="6">
        <f>'Утв. ИП 2014-2019'!B293</f>
        <v>0</v>
      </c>
      <c r="C291" s="7" t="str">
        <f>'Утв. ИП 2014-2019'!C293</f>
        <v>реконструкция</v>
      </c>
      <c r="D291" s="8"/>
      <c r="E291" s="8"/>
      <c r="F291" s="8"/>
      <c r="G291" s="8"/>
      <c r="H291" s="8"/>
      <c r="I291" s="8"/>
      <c r="J291" s="23"/>
      <c r="K291" s="8"/>
      <c r="L291" s="23"/>
      <c r="M291" s="8"/>
      <c r="N291" s="8"/>
      <c r="O291" s="8"/>
      <c r="P291" s="8"/>
      <c r="Q291" s="23"/>
      <c r="R291" s="136"/>
      <c r="S291" s="137"/>
      <c r="T291" s="128"/>
      <c r="U291" s="137"/>
      <c r="V291" s="128"/>
      <c r="W291" s="49"/>
      <c r="X291" s="128"/>
      <c r="Y291" s="49"/>
      <c r="Z291" s="128"/>
      <c r="AA291" s="49"/>
      <c r="AB291" s="128"/>
      <c r="AC291" s="49"/>
      <c r="AD291" s="133">
        <f t="shared" si="26"/>
        <v>0</v>
      </c>
      <c r="AE291" s="133">
        <f t="shared" si="27"/>
        <v>0</v>
      </c>
    </row>
    <row r="292" spans="1:31" s="69" customFormat="1" ht="15.75" hidden="1" outlineLevel="2" x14ac:dyDescent="0.2">
      <c r="A292" s="25">
        <f>'Утв. ИП 2014-2019'!A294</f>
        <v>0</v>
      </c>
      <c r="B292" s="6">
        <f>'Утв. ИП 2014-2019'!B294</f>
        <v>0</v>
      </c>
      <c r="C292" s="7" t="str">
        <f>'Утв. ИП 2014-2019'!C294</f>
        <v>строительство</v>
      </c>
      <c r="D292" s="8"/>
      <c r="E292" s="8"/>
      <c r="F292" s="8"/>
      <c r="G292" s="8"/>
      <c r="H292" s="8"/>
      <c r="I292" s="8"/>
      <c r="J292" s="23"/>
      <c r="K292" s="8"/>
      <c r="L292" s="23"/>
      <c r="M292" s="8"/>
      <c r="N292" s="8"/>
      <c r="O292" s="8"/>
      <c r="P292" s="8"/>
      <c r="Q292" s="23"/>
      <c r="R292" s="136"/>
      <c r="S292" s="137"/>
      <c r="T292" s="128"/>
      <c r="U292" s="137"/>
      <c r="V292" s="128"/>
      <c r="W292" s="49"/>
      <c r="X292" s="128"/>
      <c r="Y292" s="49"/>
      <c r="Z292" s="128"/>
      <c r="AA292" s="49"/>
      <c r="AB292" s="128"/>
      <c r="AC292" s="49"/>
      <c r="AD292" s="133">
        <f t="shared" si="26"/>
        <v>0</v>
      </c>
      <c r="AE292" s="133">
        <f t="shared" si="27"/>
        <v>0</v>
      </c>
    </row>
    <row r="293" spans="1:31" s="69" customFormat="1" ht="76.5" hidden="1" outlineLevel="1" collapsed="1" x14ac:dyDescent="0.2">
      <c r="A293" s="25" t="str">
        <f>'Утв. ИП 2014-2019'!A295</f>
        <v>1.1.6.3.52/10</v>
      </c>
      <c r="B293" s="6" t="str">
        <f>'Утв. ИП 2014-2019'!B295</f>
        <v>3.2.18</v>
      </c>
      <c r="C293" s="7" t="str">
        <f>'Утв. ИП 2014-2019'!C295</f>
        <v>Электроснабжение садового домика в садоводческом объединении коллективного партнерства "Сокол-2", уч. № 750; Строительство ВЛ-6кВ от опоры №17 ВЛ-6кВ РП-27-ТП-489 до вновь смонтированной КТП; Строительство КТП-250/6/0,4; Строительство ВЛ-0,4кВ от вновь смонтированного КТП до потребителей</v>
      </c>
      <c r="D293" s="8"/>
      <c r="E293" s="8" t="str">
        <f>'Утв. ИП 2014-2019'!L295</f>
        <v>0,4 км/ 0,25 МВА</v>
      </c>
      <c r="F293" s="8"/>
      <c r="G293" s="8"/>
      <c r="H293" s="8"/>
      <c r="I293" s="8"/>
      <c r="J293" s="23" t="str">
        <f>'Утв. ИП 2014-2019'!Q295</f>
        <v>0,4 км/ 0,25 МВА</v>
      </c>
      <c r="K293" s="23"/>
      <c r="L293" s="8"/>
      <c r="M293" s="8"/>
      <c r="N293" s="8"/>
      <c r="O293" s="8"/>
      <c r="P293" s="8"/>
      <c r="Q293" s="23"/>
      <c r="R293" s="136"/>
      <c r="S293" s="137"/>
      <c r="T293" s="128"/>
      <c r="U293" s="137"/>
      <c r="V293" s="128"/>
      <c r="W293" s="49"/>
      <c r="X293" s="128"/>
      <c r="Y293" s="49"/>
      <c r="Z293" s="128"/>
      <c r="AA293" s="49"/>
      <c r="AB293" s="128"/>
      <c r="AC293" s="49"/>
      <c r="AD293" s="133">
        <f t="shared" si="26"/>
        <v>0</v>
      </c>
      <c r="AE293" s="133">
        <f t="shared" si="27"/>
        <v>0</v>
      </c>
    </row>
    <row r="294" spans="1:31" s="69" customFormat="1" ht="15.75" hidden="1" outlineLevel="2" x14ac:dyDescent="0.2">
      <c r="A294" s="25">
        <f>'Утв. ИП 2014-2019'!A296</f>
        <v>0</v>
      </c>
      <c r="B294" s="6">
        <f>'Утв. ИП 2014-2019'!B296</f>
        <v>0</v>
      </c>
      <c r="C294" s="7" t="str">
        <f>'Утв. ИП 2014-2019'!C296</f>
        <v>реконструкция</v>
      </c>
      <c r="D294" s="8"/>
      <c r="E294" s="8"/>
      <c r="F294" s="8"/>
      <c r="G294" s="8"/>
      <c r="H294" s="8"/>
      <c r="I294" s="8"/>
      <c r="J294" s="23"/>
      <c r="K294" s="23"/>
      <c r="L294" s="8"/>
      <c r="M294" s="8"/>
      <c r="N294" s="8"/>
      <c r="O294" s="8"/>
      <c r="P294" s="8"/>
      <c r="Q294" s="23"/>
      <c r="R294" s="136"/>
      <c r="S294" s="137"/>
      <c r="T294" s="128"/>
      <c r="U294" s="137"/>
      <c r="V294" s="128"/>
      <c r="W294" s="49"/>
      <c r="X294" s="128"/>
      <c r="Y294" s="49"/>
      <c r="Z294" s="128"/>
      <c r="AA294" s="49"/>
      <c r="AB294" s="128"/>
      <c r="AC294" s="49"/>
      <c r="AD294" s="133">
        <f t="shared" si="26"/>
        <v>0</v>
      </c>
      <c r="AE294" s="133">
        <f t="shared" si="27"/>
        <v>0</v>
      </c>
    </row>
    <row r="295" spans="1:31" s="69" customFormat="1" ht="15.75" hidden="1" outlineLevel="2" x14ac:dyDescent="0.2">
      <c r="A295" s="25">
        <f>'Утв. ИП 2014-2019'!A297</f>
        <v>0</v>
      </c>
      <c r="B295" s="6">
        <f>'Утв. ИП 2014-2019'!B297</f>
        <v>0</v>
      </c>
      <c r="C295" s="7" t="str">
        <f>'Утв. ИП 2014-2019'!C297</f>
        <v>строительство</v>
      </c>
      <c r="D295" s="8"/>
      <c r="E295" s="8"/>
      <c r="F295" s="8"/>
      <c r="G295" s="8"/>
      <c r="H295" s="8"/>
      <c r="I295" s="8"/>
      <c r="J295" s="23"/>
      <c r="K295" s="8"/>
      <c r="L295" s="23"/>
      <c r="M295" s="8"/>
      <c r="N295" s="8"/>
      <c r="O295" s="8"/>
      <c r="P295" s="8"/>
      <c r="Q295" s="23"/>
      <c r="R295" s="136"/>
      <c r="S295" s="137"/>
      <c r="T295" s="128"/>
      <c r="U295" s="137"/>
      <c r="V295" s="128"/>
      <c r="W295" s="49"/>
      <c r="X295" s="128"/>
      <c r="Y295" s="49"/>
      <c r="Z295" s="128"/>
      <c r="AA295" s="49"/>
      <c r="AB295" s="128"/>
      <c r="AC295" s="49"/>
      <c r="AD295" s="133">
        <f t="shared" si="26"/>
        <v>0</v>
      </c>
      <c r="AE295" s="133">
        <f t="shared" si="27"/>
        <v>0</v>
      </c>
    </row>
    <row r="296" spans="1:31" s="69" customFormat="1" ht="51" hidden="1" outlineLevel="1" collapsed="1" x14ac:dyDescent="0.2">
      <c r="A296" s="25" t="str">
        <f>'Утв. ИП 2014-2019'!A298</f>
        <v>1.1.6.3.53/10</v>
      </c>
      <c r="B296" s="6" t="str">
        <f>'Утв. ИП 2014-2019'!B298</f>
        <v>3.2.19</v>
      </c>
      <c r="C296" s="7" t="str">
        <f>'Утв. ИП 2014-2019'!C298</f>
        <v>Электроснабжение садового домика в с/т "Кооператор", линия № 7, уч. № 285, запитанного от ТП-263; 15 кВт, 380 В, 3 категория; Строительство ВЛ-0,4кВ от ТП-263 до уч.№285 в СНТ "Кооператор"; Монтаж приборов учета в РУ-0,4кВ ТП-263</v>
      </c>
      <c r="D296" s="8"/>
      <c r="E296" s="8" t="str">
        <f>'Утв. ИП 2014-2019'!L298</f>
        <v>0,5 км/ 0 МВА</v>
      </c>
      <c r="F296" s="8"/>
      <c r="G296" s="8"/>
      <c r="H296" s="8"/>
      <c r="I296" s="8"/>
      <c r="J296" s="23" t="str">
        <f>'Утв. ИП 2014-2019'!Q298</f>
        <v>0,5 км/ 0 МВА</v>
      </c>
      <c r="K296" s="8"/>
      <c r="L296" s="23"/>
      <c r="M296" s="8"/>
      <c r="N296" s="8"/>
      <c r="O296" s="8"/>
      <c r="P296" s="8"/>
      <c r="Q296" s="23"/>
      <c r="R296" s="136"/>
      <c r="S296" s="137"/>
      <c r="T296" s="128"/>
      <c r="U296" s="137"/>
      <c r="V296" s="128"/>
      <c r="W296" s="49"/>
      <c r="X296" s="128"/>
      <c r="Y296" s="49"/>
      <c r="Z296" s="128"/>
      <c r="AA296" s="49"/>
      <c r="AB296" s="128"/>
      <c r="AC296" s="49"/>
      <c r="AD296" s="133">
        <f t="shared" si="26"/>
        <v>0</v>
      </c>
      <c r="AE296" s="133">
        <f t="shared" si="27"/>
        <v>0</v>
      </c>
    </row>
    <row r="297" spans="1:31" s="69" customFormat="1" ht="15.75" hidden="1" outlineLevel="2" x14ac:dyDescent="0.2">
      <c r="A297" s="25">
        <f>'Утв. ИП 2014-2019'!A299</f>
        <v>0</v>
      </c>
      <c r="B297" s="6">
        <f>'Утв. ИП 2014-2019'!B299</f>
        <v>0</v>
      </c>
      <c r="C297" s="7" t="str">
        <f>'Утв. ИП 2014-2019'!C299</f>
        <v>реконструкция</v>
      </c>
      <c r="D297" s="8"/>
      <c r="E297" s="8"/>
      <c r="F297" s="8"/>
      <c r="G297" s="8"/>
      <c r="H297" s="8"/>
      <c r="I297" s="8"/>
      <c r="J297" s="23"/>
      <c r="K297" s="8"/>
      <c r="L297" s="23"/>
      <c r="M297" s="8"/>
      <c r="N297" s="8"/>
      <c r="O297" s="8"/>
      <c r="P297" s="8"/>
      <c r="Q297" s="23"/>
      <c r="R297" s="136"/>
      <c r="S297" s="137"/>
      <c r="T297" s="128"/>
      <c r="U297" s="137"/>
      <c r="V297" s="128"/>
      <c r="W297" s="49"/>
      <c r="X297" s="128"/>
      <c r="Y297" s="49"/>
      <c r="Z297" s="128"/>
      <c r="AA297" s="49"/>
      <c r="AB297" s="128"/>
      <c r="AC297" s="49"/>
      <c r="AD297" s="133">
        <f t="shared" si="26"/>
        <v>0</v>
      </c>
      <c r="AE297" s="133">
        <f t="shared" si="27"/>
        <v>0</v>
      </c>
    </row>
    <row r="298" spans="1:31" s="69" customFormat="1" ht="15.75" hidden="1" outlineLevel="2" x14ac:dyDescent="0.2">
      <c r="A298" s="25">
        <f>'Утв. ИП 2014-2019'!A300</f>
        <v>0</v>
      </c>
      <c r="B298" s="6">
        <f>'Утв. ИП 2014-2019'!B300</f>
        <v>0</v>
      </c>
      <c r="C298" s="7" t="str">
        <f>'Утв. ИП 2014-2019'!C300</f>
        <v>строительство</v>
      </c>
      <c r="D298" s="8"/>
      <c r="E298" s="8"/>
      <c r="F298" s="8"/>
      <c r="G298" s="8"/>
      <c r="H298" s="8"/>
      <c r="I298" s="8"/>
      <c r="J298" s="23"/>
      <c r="K298" s="23"/>
      <c r="L298" s="8"/>
      <c r="M298" s="8"/>
      <c r="N298" s="8"/>
      <c r="O298" s="8"/>
      <c r="P298" s="8"/>
      <c r="Q298" s="23"/>
      <c r="R298" s="136"/>
      <c r="S298" s="137"/>
      <c r="T298" s="128"/>
      <c r="U298" s="137"/>
      <c r="V298" s="128"/>
      <c r="W298" s="49"/>
      <c r="X298" s="128"/>
      <c r="Y298" s="49"/>
      <c r="Z298" s="128"/>
      <c r="AA298" s="49"/>
      <c r="AB298" s="128"/>
      <c r="AC298" s="49"/>
      <c r="AD298" s="133">
        <f t="shared" si="26"/>
        <v>0</v>
      </c>
      <c r="AE298" s="133">
        <f t="shared" si="27"/>
        <v>0</v>
      </c>
    </row>
    <row r="299" spans="1:31" s="69" customFormat="1" ht="63.75" hidden="1" outlineLevel="1" collapsed="1" x14ac:dyDescent="0.2">
      <c r="A299" s="25" t="str">
        <f>'Утв. ИП 2014-2019'!A301</f>
        <v>1.1.6.3.67/10</v>
      </c>
      <c r="B299" s="6" t="str">
        <f>'Утв. ИП 2014-2019'!B301</f>
        <v>3.2.20</v>
      </c>
      <c r="C299" s="7" t="str">
        <f>'Утв. ИП 2014-2019'!C301</f>
        <v>Электроснабжение садовых домиков в СНТ "Цементник" (КТП № 3); Строительство КТП №3 -400/10/04 в СНТ "Цементник"; Строительство ВЛ-10кВ от опоры ВЛ-10кВ ПС "Бутырки" - КТП-477 до вновь смонтированной КТП №3; Строительство ВЛ -0,4кВ от КТП№3 до потребителей</v>
      </c>
      <c r="D299" s="8" t="str">
        <f>'Утв. ИП 2014-2019'!K301</f>
        <v>4,0 км/ 0,4 МВА</v>
      </c>
      <c r="E299" s="8"/>
      <c r="F299" s="8"/>
      <c r="G299" s="8"/>
      <c r="H299" s="8"/>
      <c r="I299" s="8"/>
      <c r="J299" s="23" t="str">
        <f>'Утв. ИП 2014-2019'!Q301</f>
        <v>4,0 км/ 0,4 МВА</v>
      </c>
      <c r="K299" s="23"/>
      <c r="L299" s="8"/>
      <c r="M299" s="8"/>
      <c r="N299" s="8"/>
      <c r="O299" s="8"/>
      <c r="P299" s="8"/>
      <c r="Q299" s="23"/>
      <c r="R299" s="136"/>
      <c r="S299" s="137"/>
      <c r="T299" s="128"/>
      <c r="U299" s="137"/>
      <c r="V299" s="128"/>
      <c r="W299" s="49"/>
      <c r="X299" s="128"/>
      <c r="Y299" s="49"/>
      <c r="Z299" s="128"/>
      <c r="AA299" s="49"/>
      <c r="AB299" s="128"/>
      <c r="AC299" s="49"/>
      <c r="AD299" s="133">
        <f t="shared" si="26"/>
        <v>0</v>
      </c>
      <c r="AE299" s="133">
        <f t="shared" si="27"/>
        <v>0</v>
      </c>
    </row>
    <row r="300" spans="1:31" s="69" customFormat="1" ht="15.75" hidden="1" outlineLevel="2" x14ac:dyDescent="0.2">
      <c r="A300" s="25">
        <f>'Утв. ИП 2014-2019'!A302</f>
        <v>0</v>
      </c>
      <c r="B300" s="6">
        <f>'Утв. ИП 2014-2019'!B302</f>
        <v>0</v>
      </c>
      <c r="C300" s="7" t="str">
        <f>'Утв. ИП 2014-2019'!C302</f>
        <v>реконструкция</v>
      </c>
      <c r="D300" s="8"/>
      <c r="E300" s="8"/>
      <c r="F300" s="8"/>
      <c r="G300" s="8"/>
      <c r="H300" s="8"/>
      <c r="I300" s="8"/>
      <c r="J300" s="23"/>
      <c r="K300" s="23"/>
      <c r="L300" s="8"/>
      <c r="M300" s="8"/>
      <c r="N300" s="8"/>
      <c r="O300" s="8"/>
      <c r="P300" s="8"/>
      <c r="Q300" s="23"/>
      <c r="R300" s="136"/>
      <c r="S300" s="137"/>
      <c r="T300" s="128"/>
      <c r="U300" s="137"/>
      <c r="V300" s="128"/>
      <c r="W300" s="49"/>
      <c r="X300" s="128"/>
      <c r="Y300" s="49"/>
      <c r="Z300" s="128"/>
      <c r="AA300" s="49"/>
      <c r="AB300" s="128"/>
      <c r="AC300" s="49"/>
      <c r="AD300" s="133">
        <f t="shared" si="26"/>
        <v>0</v>
      </c>
      <c r="AE300" s="133">
        <f t="shared" si="27"/>
        <v>0</v>
      </c>
    </row>
    <row r="301" spans="1:31" s="69" customFormat="1" ht="15.75" hidden="1" outlineLevel="2" x14ac:dyDescent="0.2">
      <c r="A301" s="25">
        <f>'Утв. ИП 2014-2019'!A303</f>
        <v>0</v>
      </c>
      <c r="B301" s="6">
        <f>'Утв. ИП 2014-2019'!B303</f>
        <v>0</v>
      </c>
      <c r="C301" s="7" t="str">
        <f>'Утв. ИП 2014-2019'!C303</f>
        <v>строительство</v>
      </c>
      <c r="D301" s="8"/>
      <c r="E301" s="8"/>
      <c r="F301" s="8"/>
      <c r="G301" s="8"/>
      <c r="H301" s="8"/>
      <c r="I301" s="8"/>
      <c r="J301" s="23"/>
      <c r="K301" s="23"/>
      <c r="L301" s="8"/>
      <c r="M301" s="8"/>
      <c r="N301" s="8"/>
      <c r="O301" s="8"/>
      <c r="P301" s="8"/>
      <c r="Q301" s="23"/>
      <c r="R301" s="136"/>
      <c r="S301" s="137"/>
      <c r="T301" s="128"/>
      <c r="U301" s="137"/>
      <c r="V301" s="128"/>
      <c r="W301" s="49"/>
      <c r="X301" s="128"/>
      <c r="Y301" s="49"/>
      <c r="Z301" s="128"/>
      <c r="AA301" s="49"/>
      <c r="AB301" s="128"/>
      <c r="AC301" s="49"/>
      <c r="AD301" s="133">
        <f t="shared" si="26"/>
        <v>0</v>
      </c>
      <c r="AE301" s="133">
        <f t="shared" si="27"/>
        <v>0</v>
      </c>
    </row>
    <row r="302" spans="1:31" s="69" customFormat="1" ht="114.75" hidden="1" outlineLevel="1" collapsed="1" x14ac:dyDescent="0.2">
      <c r="A302" s="25" t="str">
        <f>'Утв. ИП 2014-2019'!A304</f>
        <v>1.1.6.2.2/11</v>
      </c>
      <c r="B302" s="6" t="str">
        <f>'Утв. ИП 2014-2019'!B304</f>
        <v>3.2.21</v>
      </c>
      <c r="C302" s="7" t="str">
        <f>'Утв. ИП 2014-2019'!C304</f>
        <v>Электроснабжение садовых домиков в СНП "Спутник"; Строительство ВЛ-10кВ от ближайшей опоры ВЛ-10кВ ТП-606 - ТП-607 до вновь смонтированной МТП; Строительство МТП-160/10/0,4; Строительство ВЛ-0,4кВ от вновь смонтированной МТП до потребителей в СНП "Спутник"; Монтаж нового трансформатора в КТП-610 взамен существующего (инв. №41487А); Монтаж охранно-пожарной сигнализации во вновь смонтированной МТП; Монтаж устройства передачи данных (УСПД) во вновь смонтированной МТП в РУ-0,4кВ</v>
      </c>
      <c r="D302" s="8" t="str">
        <f>'Утв. ИП 2014-2019'!K304</f>
        <v>2,0 км/ 0,25 МВА</v>
      </c>
      <c r="E302" s="8"/>
      <c r="F302" s="8"/>
      <c r="G302" s="8"/>
      <c r="H302" s="8"/>
      <c r="I302" s="8"/>
      <c r="J302" s="23" t="str">
        <f>'Утв. ИП 2014-2019'!Q304</f>
        <v>2,0 км/ 0,25 МВА</v>
      </c>
      <c r="K302" s="23"/>
      <c r="L302" s="8"/>
      <c r="M302" s="8"/>
      <c r="N302" s="8"/>
      <c r="O302" s="8"/>
      <c r="P302" s="8"/>
      <c r="Q302" s="23"/>
      <c r="R302" s="136"/>
      <c r="S302" s="137"/>
      <c r="T302" s="128"/>
      <c r="U302" s="137"/>
      <c r="V302" s="128"/>
      <c r="W302" s="49"/>
      <c r="X302" s="128"/>
      <c r="Y302" s="49"/>
      <c r="Z302" s="128"/>
      <c r="AA302" s="49"/>
      <c r="AB302" s="128"/>
      <c r="AC302" s="49"/>
      <c r="AD302" s="133">
        <f t="shared" si="26"/>
        <v>0</v>
      </c>
      <c r="AE302" s="133">
        <f t="shared" si="27"/>
        <v>0</v>
      </c>
    </row>
    <row r="303" spans="1:31" s="69" customFormat="1" ht="15.75" hidden="1" outlineLevel="2" x14ac:dyDescent="0.2">
      <c r="A303" s="25">
        <f>'Утв. ИП 2014-2019'!A305</f>
        <v>0</v>
      </c>
      <c r="B303" s="6">
        <f>'Утв. ИП 2014-2019'!B305</f>
        <v>0</v>
      </c>
      <c r="C303" s="7" t="str">
        <f>'Утв. ИП 2014-2019'!C305</f>
        <v>реконструкция</v>
      </c>
      <c r="D303" s="8"/>
      <c r="E303" s="8"/>
      <c r="F303" s="8"/>
      <c r="G303" s="8"/>
      <c r="H303" s="8"/>
      <c r="I303" s="8"/>
      <c r="J303" s="23"/>
      <c r="K303" s="8"/>
      <c r="L303" s="23"/>
      <c r="M303" s="8"/>
      <c r="N303" s="8"/>
      <c r="O303" s="8"/>
      <c r="P303" s="8"/>
      <c r="Q303" s="23"/>
      <c r="R303" s="136"/>
      <c r="S303" s="137"/>
      <c r="T303" s="128"/>
      <c r="U303" s="137"/>
      <c r="V303" s="128"/>
      <c r="W303" s="49"/>
      <c r="X303" s="128"/>
      <c r="Y303" s="49"/>
      <c r="Z303" s="128"/>
      <c r="AA303" s="49"/>
      <c r="AB303" s="128"/>
      <c r="AC303" s="49"/>
      <c r="AD303" s="133">
        <f t="shared" si="26"/>
        <v>0</v>
      </c>
      <c r="AE303" s="133">
        <f t="shared" si="27"/>
        <v>0</v>
      </c>
    </row>
    <row r="304" spans="1:31" s="69" customFormat="1" ht="15.75" hidden="1" outlineLevel="2" x14ac:dyDescent="0.2">
      <c r="A304" s="25">
        <f>'Утв. ИП 2014-2019'!A306</f>
        <v>0</v>
      </c>
      <c r="B304" s="6">
        <f>'Утв. ИП 2014-2019'!B306</f>
        <v>0</v>
      </c>
      <c r="C304" s="7" t="str">
        <f>'Утв. ИП 2014-2019'!C306</f>
        <v>строительство</v>
      </c>
      <c r="D304" s="8"/>
      <c r="E304" s="8"/>
      <c r="F304" s="8"/>
      <c r="G304" s="8"/>
      <c r="H304" s="8"/>
      <c r="I304" s="8"/>
      <c r="J304" s="23"/>
      <c r="K304" s="23"/>
      <c r="L304" s="8"/>
      <c r="M304" s="8"/>
      <c r="N304" s="8"/>
      <c r="O304" s="8"/>
      <c r="P304" s="8"/>
      <c r="Q304" s="23"/>
      <c r="R304" s="136"/>
      <c r="S304" s="137"/>
      <c r="T304" s="128"/>
      <c r="U304" s="137"/>
      <c r="V304" s="128"/>
      <c r="W304" s="49"/>
      <c r="X304" s="128"/>
      <c r="Y304" s="49"/>
      <c r="Z304" s="128"/>
      <c r="AA304" s="49"/>
      <c r="AB304" s="128"/>
      <c r="AC304" s="49"/>
      <c r="AD304" s="133">
        <f t="shared" si="26"/>
        <v>0</v>
      </c>
      <c r="AE304" s="133">
        <f t="shared" si="27"/>
        <v>0</v>
      </c>
    </row>
    <row r="305" spans="1:31" s="69" customFormat="1" ht="63.75" hidden="1" outlineLevel="1" collapsed="1" x14ac:dyDescent="0.2">
      <c r="A305" s="25" t="str">
        <f>'Утв. ИП 2014-2019'!A307</f>
        <v>1.1.6.2.4/11</v>
      </c>
      <c r="B305" s="6" t="str">
        <f>'Утв. ИП 2014-2019'!B307</f>
        <v>3.2.22</v>
      </c>
      <c r="C305" s="7" t="str">
        <f>'Утв. ИП 2014-2019'!C307</f>
        <v>Электроснабжение садовых домиков в СНТ "Цементник" от КТП № 2; Строительство КТП №2 -400/10/0,4 в СНТ "Цементник"; Строительство ВЛ-10кВ от КТП-859 до вновь смонтированной КТП №2; Строительство ВЛ-0,4кВ от КТП №2 до потребителей в СНТ "Цементник"</v>
      </c>
      <c r="D305" s="8" t="str">
        <f>'Утв. ИП 2014-2019'!K307</f>
        <v>3,0 км/ 0,4 МВА</v>
      </c>
      <c r="E305" s="8"/>
      <c r="F305" s="8"/>
      <c r="G305" s="8"/>
      <c r="H305" s="8"/>
      <c r="I305" s="8"/>
      <c r="J305" s="23" t="str">
        <f>'Утв. ИП 2014-2019'!Q307</f>
        <v>3,0 км/ 0,4 МВА</v>
      </c>
      <c r="K305" s="23"/>
      <c r="L305" s="8"/>
      <c r="M305" s="8"/>
      <c r="N305" s="8"/>
      <c r="O305" s="8"/>
      <c r="P305" s="8"/>
      <c r="Q305" s="23"/>
      <c r="R305" s="136"/>
      <c r="S305" s="137"/>
      <c r="T305" s="128"/>
      <c r="U305" s="137"/>
      <c r="V305" s="128"/>
      <c r="W305" s="49"/>
      <c r="X305" s="128"/>
      <c r="Y305" s="49"/>
      <c r="Z305" s="128"/>
      <c r="AA305" s="49"/>
      <c r="AB305" s="128"/>
      <c r="AC305" s="49"/>
      <c r="AD305" s="133">
        <f t="shared" si="26"/>
        <v>0</v>
      </c>
      <c r="AE305" s="133">
        <f t="shared" si="27"/>
        <v>0</v>
      </c>
    </row>
    <row r="306" spans="1:31" s="69" customFormat="1" ht="15.75" hidden="1" outlineLevel="2" x14ac:dyDescent="0.2">
      <c r="A306" s="25">
        <f>'Утв. ИП 2014-2019'!A308</f>
        <v>0</v>
      </c>
      <c r="B306" s="6">
        <f>'Утв. ИП 2014-2019'!B308</f>
        <v>0</v>
      </c>
      <c r="C306" s="7" t="str">
        <f>'Утв. ИП 2014-2019'!C308</f>
        <v>реконструкция</v>
      </c>
      <c r="D306" s="8"/>
      <c r="E306" s="8"/>
      <c r="F306" s="8"/>
      <c r="G306" s="8"/>
      <c r="H306" s="8"/>
      <c r="I306" s="8"/>
      <c r="J306" s="23"/>
      <c r="K306" s="8"/>
      <c r="L306" s="23"/>
      <c r="M306" s="8"/>
      <c r="N306" s="8"/>
      <c r="O306" s="8"/>
      <c r="P306" s="8"/>
      <c r="Q306" s="23"/>
      <c r="R306" s="136"/>
      <c r="S306" s="137"/>
      <c r="T306" s="128"/>
      <c r="U306" s="137"/>
      <c r="V306" s="128"/>
      <c r="W306" s="49"/>
      <c r="X306" s="128"/>
      <c r="Y306" s="49"/>
      <c r="Z306" s="128"/>
      <c r="AA306" s="49"/>
      <c r="AB306" s="128"/>
      <c r="AC306" s="49"/>
      <c r="AD306" s="133">
        <f t="shared" si="26"/>
        <v>0</v>
      </c>
      <c r="AE306" s="133">
        <f t="shared" si="27"/>
        <v>0</v>
      </c>
    </row>
    <row r="307" spans="1:31" s="69" customFormat="1" ht="15.75" hidden="1" outlineLevel="2" x14ac:dyDescent="0.2">
      <c r="A307" s="25">
        <f>'Утв. ИП 2014-2019'!A309</f>
        <v>0</v>
      </c>
      <c r="B307" s="6">
        <f>'Утв. ИП 2014-2019'!B309</f>
        <v>0</v>
      </c>
      <c r="C307" s="7" t="str">
        <f>'Утв. ИП 2014-2019'!C309</f>
        <v>строительство</v>
      </c>
      <c r="D307" s="8"/>
      <c r="E307" s="8"/>
      <c r="F307" s="8"/>
      <c r="G307" s="8"/>
      <c r="H307" s="8"/>
      <c r="I307" s="8"/>
      <c r="J307" s="23"/>
      <c r="K307" s="23"/>
      <c r="L307" s="8"/>
      <c r="M307" s="8"/>
      <c r="N307" s="8"/>
      <c r="O307" s="8"/>
      <c r="P307" s="8"/>
      <c r="Q307" s="23"/>
      <c r="R307" s="136"/>
      <c r="S307" s="137"/>
      <c r="T307" s="128"/>
      <c r="U307" s="137"/>
      <c r="V307" s="128"/>
      <c r="W307" s="49"/>
      <c r="X307" s="128"/>
      <c r="Y307" s="49"/>
      <c r="Z307" s="128"/>
      <c r="AA307" s="49"/>
      <c r="AB307" s="128"/>
      <c r="AC307" s="49"/>
      <c r="AD307" s="133">
        <f t="shared" si="26"/>
        <v>0</v>
      </c>
      <c r="AE307" s="133">
        <f t="shared" si="27"/>
        <v>0</v>
      </c>
    </row>
    <row r="308" spans="1:31" s="69" customFormat="1" ht="63.75" hidden="1" outlineLevel="1" collapsed="1" x14ac:dyDescent="0.2">
      <c r="A308" s="25" t="str">
        <f>'Утв. ИП 2014-2019'!A310</f>
        <v>1.1.6.2.9/11</v>
      </c>
      <c r="B308" s="6" t="str">
        <f>'Утв. ИП 2014-2019'!B310</f>
        <v>3.2.23</v>
      </c>
      <c r="C308" s="7" t="str">
        <f>'Утв. ИП 2014-2019'!C310</f>
        <v>Электроснабжение садового домика с/т "Строитель" зем. уч. № 1949; Строительство ВЛ-6 кВ от опоры ВЛ-6кВ ТП-406 - ТП-425 до вновь смонтированной МТП; Строительство МТП; Строительство ВЛ-0,4кВ от вновь смонтированной МТП до зем. уч. №1949</v>
      </c>
      <c r="D308" s="8" t="str">
        <f>'Утв. ИП 2014-2019'!K310</f>
        <v>0,3 км/ 0,16 МВА</v>
      </c>
      <c r="E308" s="8"/>
      <c r="F308" s="8"/>
      <c r="G308" s="8"/>
      <c r="H308" s="8"/>
      <c r="I308" s="8"/>
      <c r="J308" s="23" t="str">
        <f>'Утв. ИП 2014-2019'!Q310</f>
        <v>0,3 км/ 0,16 МВА</v>
      </c>
      <c r="K308" s="23"/>
      <c r="L308" s="8"/>
      <c r="M308" s="8"/>
      <c r="N308" s="8"/>
      <c r="O308" s="8"/>
      <c r="P308" s="8"/>
      <c r="Q308" s="23"/>
      <c r="R308" s="136"/>
      <c r="S308" s="137"/>
      <c r="T308" s="128"/>
      <c r="U308" s="137"/>
      <c r="V308" s="128"/>
      <c r="W308" s="49"/>
      <c r="X308" s="128"/>
      <c r="Y308" s="49"/>
      <c r="Z308" s="128"/>
      <c r="AA308" s="49"/>
      <c r="AB308" s="128"/>
      <c r="AC308" s="49"/>
      <c r="AD308" s="133">
        <f t="shared" si="26"/>
        <v>0</v>
      </c>
      <c r="AE308" s="133">
        <f t="shared" si="27"/>
        <v>0</v>
      </c>
    </row>
    <row r="309" spans="1:31" s="69" customFormat="1" ht="15.75" hidden="1" outlineLevel="2" x14ac:dyDescent="0.2">
      <c r="A309" s="25">
        <f>'Утв. ИП 2014-2019'!A311</f>
        <v>0</v>
      </c>
      <c r="B309" s="6">
        <f>'Утв. ИП 2014-2019'!B311</f>
        <v>0</v>
      </c>
      <c r="C309" s="7" t="str">
        <f>'Утв. ИП 2014-2019'!C311</f>
        <v>реконструкция</v>
      </c>
      <c r="D309" s="8"/>
      <c r="E309" s="8"/>
      <c r="F309" s="8"/>
      <c r="G309" s="8"/>
      <c r="H309" s="8"/>
      <c r="I309" s="8"/>
      <c r="J309" s="23"/>
      <c r="K309" s="8"/>
      <c r="L309" s="23"/>
      <c r="M309" s="8"/>
      <c r="N309" s="8"/>
      <c r="O309" s="8"/>
      <c r="P309" s="8"/>
      <c r="Q309" s="23"/>
      <c r="R309" s="136"/>
      <c r="S309" s="137"/>
      <c r="T309" s="128"/>
      <c r="U309" s="137"/>
      <c r="V309" s="128"/>
      <c r="W309" s="49"/>
      <c r="X309" s="128"/>
      <c r="Y309" s="49"/>
      <c r="Z309" s="128"/>
      <c r="AA309" s="49"/>
      <c r="AB309" s="128"/>
      <c r="AC309" s="49"/>
      <c r="AD309" s="133">
        <f t="shared" si="26"/>
        <v>0</v>
      </c>
      <c r="AE309" s="133">
        <f t="shared" si="27"/>
        <v>0</v>
      </c>
    </row>
    <row r="310" spans="1:31" s="69" customFormat="1" ht="15.75" hidden="1" outlineLevel="2" x14ac:dyDescent="0.2">
      <c r="A310" s="25">
        <f>'Утв. ИП 2014-2019'!A312</f>
        <v>0</v>
      </c>
      <c r="B310" s="6">
        <f>'Утв. ИП 2014-2019'!B312</f>
        <v>0</v>
      </c>
      <c r="C310" s="7" t="str">
        <f>'Утв. ИП 2014-2019'!C312</f>
        <v>строительство</v>
      </c>
      <c r="D310" s="8"/>
      <c r="E310" s="8"/>
      <c r="F310" s="8"/>
      <c r="G310" s="8"/>
      <c r="H310" s="8"/>
      <c r="I310" s="8"/>
      <c r="J310" s="23"/>
      <c r="K310" s="23"/>
      <c r="L310" s="8"/>
      <c r="M310" s="8"/>
      <c r="N310" s="8"/>
      <c r="O310" s="8"/>
      <c r="P310" s="8"/>
      <c r="Q310" s="23"/>
      <c r="R310" s="136"/>
      <c r="S310" s="137"/>
      <c r="T310" s="128"/>
      <c r="U310" s="137"/>
      <c r="V310" s="128"/>
      <c r="W310" s="49"/>
      <c r="X310" s="128"/>
      <c r="Y310" s="49"/>
      <c r="Z310" s="128"/>
      <c r="AA310" s="49"/>
      <c r="AB310" s="128"/>
      <c r="AC310" s="49"/>
      <c r="AD310" s="133">
        <f t="shared" si="26"/>
        <v>0</v>
      </c>
      <c r="AE310" s="133">
        <f t="shared" si="27"/>
        <v>0</v>
      </c>
    </row>
    <row r="311" spans="1:31" s="69" customFormat="1" ht="38.25" hidden="1" outlineLevel="1" collapsed="1" x14ac:dyDescent="0.2">
      <c r="A311" s="25" t="str">
        <f>'Утв. ИП 2014-2019'!A313</f>
        <v>1.1.6.2.10/11</v>
      </c>
      <c r="B311" s="6" t="str">
        <f>'Утв. ИП 2014-2019'!B313</f>
        <v>3.2.24</v>
      </c>
      <c r="C311" s="7" t="str">
        <f>'Утв. ИП 2014-2019'!C313</f>
        <v>Электроснабжение помещения № 2 по ул. Невского, д. 27; Строительство КЛ-0,4 кВ от ТП-563 до помещения №2 по ул.Невского, д.27</v>
      </c>
      <c r="D311" s="8" t="str">
        <f>'Утв. ИП 2014-2019'!K313</f>
        <v>0,3 км/ 0 МВА</v>
      </c>
      <c r="E311" s="8"/>
      <c r="F311" s="8"/>
      <c r="G311" s="8"/>
      <c r="H311" s="8"/>
      <c r="I311" s="8"/>
      <c r="J311" s="23" t="str">
        <f>'Утв. ИП 2014-2019'!Q313</f>
        <v>0,3 км/ 0 МВА</v>
      </c>
      <c r="K311" s="8"/>
      <c r="L311" s="23"/>
      <c r="M311" s="8"/>
      <c r="N311" s="8"/>
      <c r="O311" s="8"/>
      <c r="P311" s="8"/>
      <c r="Q311" s="23"/>
      <c r="R311" s="136"/>
      <c r="S311" s="137"/>
      <c r="T311" s="128"/>
      <c r="U311" s="137"/>
      <c r="V311" s="128"/>
      <c r="W311" s="49"/>
      <c r="X311" s="128"/>
      <c r="Y311" s="49"/>
      <c r="Z311" s="128"/>
      <c r="AA311" s="49"/>
      <c r="AB311" s="128"/>
      <c r="AC311" s="49"/>
      <c r="AD311" s="133">
        <f t="shared" si="26"/>
        <v>0</v>
      </c>
      <c r="AE311" s="133">
        <f t="shared" si="27"/>
        <v>0</v>
      </c>
    </row>
    <row r="312" spans="1:31" s="69" customFormat="1" ht="15.75" hidden="1" outlineLevel="2" x14ac:dyDescent="0.2">
      <c r="A312" s="25">
        <f>'Утв. ИП 2014-2019'!A314</f>
        <v>0</v>
      </c>
      <c r="B312" s="6">
        <f>'Утв. ИП 2014-2019'!B314</f>
        <v>0</v>
      </c>
      <c r="C312" s="7" t="str">
        <f>'Утв. ИП 2014-2019'!C314</f>
        <v>реконструкция</v>
      </c>
      <c r="D312" s="8"/>
      <c r="E312" s="8"/>
      <c r="F312" s="8"/>
      <c r="G312" s="8"/>
      <c r="H312" s="8"/>
      <c r="I312" s="8"/>
      <c r="J312" s="23"/>
      <c r="K312" s="23"/>
      <c r="L312" s="8"/>
      <c r="M312" s="8"/>
      <c r="N312" s="8"/>
      <c r="O312" s="8"/>
      <c r="P312" s="8"/>
      <c r="Q312" s="23"/>
      <c r="R312" s="136"/>
      <c r="S312" s="137"/>
      <c r="T312" s="128"/>
      <c r="U312" s="137"/>
      <c r="V312" s="128"/>
      <c r="W312" s="49"/>
      <c r="X312" s="128"/>
      <c r="Y312" s="49"/>
      <c r="Z312" s="128"/>
      <c r="AA312" s="49"/>
      <c r="AB312" s="128"/>
      <c r="AC312" s="49"/>
      <c r="AD312" s="133">
        <f t="shared" si="26"/>
        <v>0</v>
      </c>
      <c r="AE312" s="133">
        <f t="shared" si="27"/>
        <v>0</v>
      </c>
    </row>
    <row r="313" spans="1:31" s="69" customFormat="1" ht="15.75" hidden="1" outlineLevel="2" x14ac:dyDescent="0.2">
      <c r="A313" s="25">
        <f>'Утв. ИП 2014-2019'!A315</f>
        <v>0</v>
      </c>
      <c r="B313" s="6">
        <f>'Утв. ИП 2014-2019'!B315</f>
        <v>0</v>
      </c>
      <c r="C313" s="7" t="str">
        <f>'Утв. ИП 2014-2019'!C315</f>
        <v>строительство</v>
      </c>
      <c r="D313" s="8"/>
      <c r="E313" s="8"/>
      <c r="F313" s="8"/>
      <c r="G313" s="8"/>
      <c r="H313" s="8"/>
      <c r="I313" s="8"/>
      <c r="J313" s="23"/>
      <c r="K313" s="8"/>
      <c r="L313" s="23"/>
      <c r="M313" s="8"/>
      <c r="N313" s="8"/>
      <c r="O313" s="8"/>
      <c r="P313" s="8"/>
      <c r="Q313" s="23"/>
      <c r="R313" s="136"/>
      <c r="S313" s="137"/>
      <c r="T313" s="128"/>
      <c r="U313" s="137"/>
      <c r="V313" s="128"/>
      <c r="W313" s="49"/>
      <c r="X313" s="128"/>
      <c r="Y313" s="49"/>
      <c r="Z313" s="128"/>
      <c r="AA313" s="49"/>
      <c r="AB313" s="128"/>
      <c r="AC313" s="49"/>
      <c r="AD313" s="133">
        <f t="shared" si="26"/>
        <v>0</v>
      </c>
      <c r="AE313" s="133">
        <f t="shared" si="27"/>
        <v>0</v>
      </c>
    </row>
    <row r="314" spans="1:31" s="69" customFormat="1" ht="63.75" hidden="1" outlineLevel="1" collapsed="1" x14ac:dyDescent="0.2">
      <c r="A314" s="25" t="str">
        <f>'Утв. ИП 2014-2019'!A316</f>
        <v>1.1.6.2.13/11</v>
      </c>
      <c r="B314" s="6" t="str">
        <f>'Утв. ИП 2014-2019'!B316</f>
        <v>3.2.25</v>
      </c>
      <c r="C314" s="7" t="str">
        <f>'Утв. ИП 2014-2019'!C316</f>
        <v>Электроснабжение садового домика в п/о пенсионеров и инвалидов "Сокол-1", уч. № 672а; Строительство МТП; Строительство КВЛ-6 кВ от КТП-413 до вновь смонтированной МТП; Строительство ВЛ-0,4кВ от вновь смонтированной МТП до потребителей в п/о пенсионеров и инвалидов "Сокол-1"</v>
      </c>
      <c r="D314" s="8" t="str">
        <f>'Утв. ИП 2014-2019'!K316</f>
        <v>2 км/ 0,25 МВА</v>
      </c>
      <c r="E314" s="8"/>
      <c r="F314" s="8"/>
      <c r="G314" s="8"/>
      <c r="H314" s="8"/>
      <c r="I314" s="8"/>
      <c r="J314" s="23" t="str">
        <f>'Утв. ИП 2014-2019'!Q316</f>
        <v>2 км/ 0,25 МВА</v>
      </c>
      <c r="K314" s="8"/>
      <c r="L314" s="23"/>
      <c r="M314" s="8"/>
      <c r="N314" s="8"/>
      <c r="O314" s="8"/>
      <c r="P314" s="8"/>
      <c r="Q314" s="23"/>
      <c r="R314" s="136"/>
      <c r="S314" s="137"/>
      <c r="T314" s="128"/>
      <c r="U314" s="137"/>
      <c r="V314" s="128"/>
      <c r="W314" s="49"/>
      <c r="X314" s="128"/>
      <c r="Y314" s="49"/>
      <c r="Z314" s="128"/>
      <c r="AA314" s="49"/>
      <c r="AB314" s="128"/>
      <c r="AC314" s="49"/>
      <c r="AD314" s="133">
        <f t="shared" si="26"/>
        <v>0</v>
      </c>
      <c r="AE314" s="133">
        <f t="shared" si="27"/>
        <v>0</v>
      </c>
    </row>
    <row r="315" spans="1:31" s="69" customFormat="1" ht="15.75" hidden="1" outlineLevel="2" x14ac:dyDescent="0.2">
      <c r="A315" s="25">
        <f>'Утв. ИП 2014-2019'!A317</f>
        <v>0</v>
      </c>
      <c r="B315" s="6">
        <f>'Утв. ИП 2014-2019'!B317</f>
        <v>0</v>
      </c>
      <c r="C315" s="7" t="str">
        <f>'Утв. ИП 2014-2019'!C317</f>
        <v>реконструкция</v>
      </c>
      <c r="D315" s="8"/>
      <c r="E315" s="8"/>
      <c r="F315" s="8"/>
      <c r="G315" s="8"/>
      <c r="H315" s="8"/>
      <c r="I315" s="8"/>
      <c r="J315" s="23"/>
      <c r="K315" s="23"/>
      <c r="L315" s="8"/>
      <c r="M315" s="8"/>
      <c r="N315" s="8"/>
      <c r="O315" s="8"/>
      <c r="P315" s="8"/>
      <c r="Q315" s="23"/>
      <c r="R315" s="136"/>
      <c r="S315" s="137"/>
      <c r="T315" s="128"/>
      <c r="U315" s="137"/>
      <c r="V315" s="128"/>
      <c r="W315" s="49"/>
      <c r="X315" s="128"/>
      <c r="Y315" s="49"/>
      <c r="Z315" s="128"/>
      <c r="AA315" s="49"/>
      <c r="AB315" s="128"/>
      <c r="AC315" s="49"/>
      <c r="AD315" s="133">
        <f t="shared" si="26"/>
        <v>0</v>
      </c>
      <c r="AE315" s="133">
        <f t="shared" si="27"/>
        <v>0</v>
      </c>
    </row>
    <row r="316" spans="1:31" s="69" customFormat="1" ht="15.75" hidden="1" outlineLevel="2" x14ac:dyDescent="0.2">
      <c r="A316" s="25">
        <f>'Утв. ИП 2014-2019'!A318</f>
        <v>0</v>
      </c>
      <c r="B316" s="6">
        <f>'Утв. ИП 2014-2019'!B318</f>
        <v>0</v>
      </c>
      <c r="C316" s="7" t="str">
        <f>'Утв. ИП 2014-2019'!C318</f>
        <v>строительство</v>
      </c>
      <c r="D316" s="8"/>
      <c r="E316" s="8"/>
      <c r="F316" s="8"/>
      <c r="G316" s="8"/>
      <c r="H316" s="8"/>
      <c r="I316" s="8"/>
      <c r="J316" s="23"/>
      <c r="K316" s="23"/>
      <c r="L316" s="8"/>
      <c r="M316" s="8"/>
      <c r="N316" s="8"/>
      <c r="O316" s="8"/>
      <c r="P316" s="8"/>
      <c r="Q316" s="23"/>
      <c r="R316" s="136"/>
      <c r="S316" s="137"/>
      <c r="T316" s="128"/>
      <c r="U316" s="137"/>
      <c r="V316" s="128"/>
      <c r="W316" s="49"/>
      <c r="X316" s="128"/>
      <c r="Y316" s="49"/>
      <c r="Z316" s="128"/>
      <c r="AA316" s="49"/>
      <c r="AB316" s="128"/>
      <c r="AC316" s="49"/>
      <c r="AD316" s="133">
        <f t="shared" si="26"/>
        <v>0</v>
      </c>
      <c r="AE316" s="133">
        <f t="shared" si="27"/>
        <v>0</v>
      </c>
    </row>
    <row r="317" spans="1:31" s="69" customFormat="1" ht="51" hidden="1" outlineLevel="1" collapsed="1" x14ac:dyDescent="0.2">
      <c r="A317" s="25" t="str">
        <f>'Утв. ИП 2014-2019'!A319</f>
        <v>1.1.6.2.20/11</v>
      </c>
      <c r="B317" s="6" t="str">
        <f>'Утв. ИП 2014-2019'!B319</f>
        <v>3.2.26</v>
      </c>
      <c r="C317" s="7" t="str">
        <f>'Утв. ИП 2014-2019'!C319</f>
        <v>Строительство новой КТП-259 взамен существующей (инв. № 100907) для объекта технологического присоединения: "Электроснабжение гаража № 1 в ГПК автолюбителей "Металлист-23", ряд 1"</v>
      </c>
      <c r="D317" s="8" t="str">
        <f>'Утв. ИП 2014-2019'!K319</f>
        <v>0,0 км/ 0,4 МВА</v>
      </c>
      <c r="E317" s="8"/>
      <c r="F317" s="8"/>
      <c r="G317" s="8"/>
      <c r="H317" s="8"/>
      <c r="I317" s="8"/>
      <c r="J317" s="23" t="str">
        <f>'Утв. ИП 2014-2019'!Q319</f>
        <v>0,0 км/ 0,4 МВА</v>
      </c>
      <c r="K317" s="23"/>
      <c r="L317" s="8"/>
      <c r="M317" s="8"/>
      <c r="N317" s="8"/>
      <c r="O317" s="8"/>
      <c r="P317" s="8"/>
      <c r="Q317" s="23"/>
      <c r="R317" s="136"/>
      <c r="S317" s="137"/>
      <c r="T317" s="128"/>
      <c r="U317" s="137"/>
      <c r="V317" s="128"/>
      <c r="W317" s="49"/>
      <c r="X317" s="128"/>
      <c r="Y317" s="49"/>
      <c r="Z317" s="128"/>
      <c r="AA317" s="49"/>
      <c r="AB317" s="128"/>
      <c r="AC317" s="49"/>
      <c r="AD317" s="133">
        <f t="shared" si="26"/>
        <v>0</v>
      </c>
      <c r="AE317" s="133">
        <f t="shared" si="27"/>
        <v>0</v>
      </c>
    </row>
    <row r="318" spans="1:31" s="69" customFormat="1" ht="15.75" hidden="1" outlineLevel="2" x14ac:dyDescent="0.2">
      <c r="A318" s="25">
        <f>'Утв. ИП 2014-2019'!A320</f>
        <v>0</v>
      </c>
      <c r="B318" s="6">
        <f>'Утв. ИП 2014-2019'!B320</f>
        <v>0</v>
      </c>
      <c r="C318" s="7" t="str">
        <f>'Утв. ИП 2014-2019'!C320</f>
        <v>реконструкция</v>
      </c>
      <c r="D318" s="8"/>
      <c r="E318" s="8"/>
      <c r="F318" s="8"/>
      <c r="G318" s="8"/>
      <c r="H318" s="8"/>
      <c r="I318" s="8"/>
      <c r="J318" s="23"/>
      <c r="K318" s="8"/>
      <c r="L318" s="23"/>
      <c r="M318" s="8"/>
      <c r="N318" s="8"/>
      <c r="O318" s="8"/>
      <c r="P318" s="8"/>
      <c r="Q318" s="23"/>
      <c r="R318" s="136"/>
      <c r="S318" s="137"/>
      <c r="T318" s="128"/>
      <c r="U318" s="137"/>
      <c r="V318" s="128"/>
      <c r="W318" s="49"/>
      <c r="X318" s="128"/>
      <c r="Y318" s="49"/>
      <c r="Z318" s="128"/>
      <c r="AA318" s="49"/>
      <c r="AB318" s="128"/>
      <c r="AC318" s="49"/>
      <c r="AD318" s="133">
        <f t="shared" si="26"/>
        <v>0</v>
      </c>
      <c r="AE318" s="133">
        <f t="shared" si="27"/>
        <v>0</v>
      </c>
    </row>
    <row r="319" spans="1:31" s="69" customFormat="1" ht="15.75" hidden="1" outlineLevel="2" x14ac:dyDescent="0.2">
      <c r="A319" s="25">
        <f>'Утв. ИП 2014-2019'!A321</f>
        <v>0</v>
      </c>
      <c r="B319" s="6">
        <f>'Утв. ИП 2014-2019'!B321</f>
        <v>0</v>
      </c>
      <c r="C319" s="7" t="str">
        <f>'Утв. ИП 2014-2019'!C321</f>
        <v>строительство</v>
      </c>
      <c r="D319" s="8"/>
      <c r="E319" s="8"/>
      <c r="F319" s="8"/>
      <c r="G319" s="8"/>
      <c r="H319" s="8"/>
      <c r="I319" s="8"/>
      <c r="J319" s="23"/>
      <c r="K319" s="8"/>
      <c r="L319" s="23"/>
      <c r="M319" s="8"/>
      <c r="N319" s="8"/>
      <c r="O319" s="8"/>
      <c r="P319" s="8"/>
      <c r="Q319" s="23"/>
      <c r="R319" s="136"/>
      <c r="S319" s="137"/>
      <c r="T319" s="128"/>
      <c r="U319" s="137"/>
      <c r="V319" s="128"/>
      <c r="W319" s="49"/>
      <c r="X319" s="128"/>
      <c r="Y319" s="49"/>
      <c r="Z319" s="128"/>
      <c r="AA319" s="49"/>
      <c r="AB319" s="128"/>
      <c r="AC319" s="49"/>
      <c r="AD319" s="133">
        <f t="shared" si="26"/>
        <v>0</v>
      </c>
      <c r="AE319" s="133">
        <f t="shared" si="27"/>
        <v>0</v>
      </c>
    </row>
    <row r="320" spans="1:31" s="69" customFormat="1" ht="25.5" hidden="1" outlineLevel="1" collapsed="1" x14ac:dyDescent="0.2">
      <c r="A320" s="25" t="str">
        <f>'Утв. ИП 2014-2019'!A322</f>
        <v>1.1.6.2.21/11</v>
      </c>
      <c r="B320" s="6" t="str">
        <f>'Утв. ИП 2014-2019'!B322</f>
        <v>3.2.27</v>
      </c>
      <c r="C320" s="7" t="str">
        <f>'Утв. ИП 2014-2019'!C322</f>
        <v>Электроснабжение садовых домиков в с/т "Ударник"</v>
      </c>
      <c r="D320" s="8" t="str">
        <f>'Утв. ИП 2014-2019'!K322</f>
        <v>1,5 км/ 0,25 МВА</v>
      </c>
      <c r="E320" s="8"/>
      <c r="F320" s="8"/>
      <c r="G320" s="8"/>
      <c r="H320" s="8"/>
      <c r="I320" s="8"/>
      <c r="J320" s="23" t="str">
        <f>'Утв. ИП 2014-2019'!Q322</f>
        <v>1,5 км/ 0,25 МВА</v>
      </c>
      <c r="K320" s="23"/>
      <c r="L320" s="8"/>
      <c r="M320" s="8"/>
      <c r="N320" s="8"/>
      <c r="O320" s="8"/>
      <c r="P320" s="8"/>
      <c r="Q320" s="23"/>
      <c r="R320" s="136"/>
      <c r="S320" s="137"/>
      <c r="T320" s="128"/>
      <c r="U320" s="137"/>
      <c r="V320" s="128"/>
      <c r="W320" s="49"/>
      <c r="X320" s="128"/>
      <c r="Y320" s="49"/>
      <c r="Z320" s="128"/>
      <c r="AA320" s="49"/>
      <c r="AB320" s="128"/>
      <c r="AC320" s="49"/>
      <c r="AD320" s="133">
        <f t="shared" si="26"/>
        <v>0</v>
      </c>
      <c r="AE320" s="133">
        <f t="shared" si="27"/>
        <v>0</v>
      </c>
    </row>
    <row r="321" spans="1:31" s="69" customFormat="1" ht="15.75" hidden="1" outlineLevel="2" x14ac:dyDescent="0.2">
      <c r="A321" s="25">
        <f>'Утв. ИП 2014-2019'!A323</f>
        <v>0</v>
      </c>
      <c r="B321" s="6">
        <f>'Утв. ИП 2014-2019'!B323</f>
        <v>0</v>
      </c>
      <c r="C321" s="7" t="str">
        <f>'Утв. ИП 2014-2019'!C323</f>
        <v>реконструкция</v>
      </c>
      <c r="D321" s="8"/>
      <c r="E321" s="8"/>
      <c r="F321" s="8"/>
      <c r="G321" s="8"/>
      <c r="H321" s="8"/>
      <c r="I321" s="8"/>
      <c r="J321" s="23"/>
      <c r="K321" s="23"/>
      <c r="L321" s="8"/>
      <c r="M321" s="8"/>
      <c r="N321" s="8"/>
      <c r="O321" s="8"/>
      <c r="P321" s="8"/>
      <c r="Q321" s="23"/>
      <c r="R321" s="136"/>
      <c r="S321" s="137"/>
      <c r="T321" s="128"/>
      <c r="U321" s="137"/>
      <c r="V321" s="128"/>
      <c r="W321" s="49"/>
      <c r="X321" s="128"/>
      <c r="Y321" s="49"/>
      <c r="Z321" s="128"/>
      <c r="AA321" s="49"/>
      <c r="AB321" s="128"/>
      <c r="AC321" s="49"/>
      <c r="AD321" s="133">
        <f t="shared" si="26"/>
        <v>0</v>
      </c>
      <c r="AE321" s="133">
        <f t="shared" si="27"/>
        <v>0</v>
      </c>
    </row>
    <row r="322" spans="1:31" s="69" customFormat="1" ht="15.75" hidden="1" outlineLevel="2" x14ac:dyDescent="0.2">
      <c r="A322" s="25">
        <f>'Утв. ИП 2014-2019'!A324</f>
        <v>0</v>
      </c>
      <c r="B322" s="6">
        <f>'Утв. ИП 2014-2019'!B324</f>
        <v>0</v>
      </c>
      <c r="C322" s="7" t="str">
        <f>'Утв. ИП 2014-2019'!C324</f>
        <v>строительство</v>
      </c>
      <c r="D322" s="8"/>
      <c r="E322" s="8"/>
      <c r="F322" s="8"/>
      <c r="G322" s="8"/>
      <c r="H322" s="8"/>
      <c r="I322" s="8"/>
      <c r="J322" s="23"/>
      <c r="K322" s="23"/>
      <c r="L322" s="8"/>
      <c r="M322" s="8"/>
      <c r="N322" s="8"/>
      <c r="O322" s="8"/>
      <c r="P322" s="8"/>
      <c r="Q322" s="23"/>
      <c r="R322" s="136"/>
      <c r="S322" s="137"/>
      <c r="T322" s="128"/>
      <c r="U322" s="137"/>
      <c r="V322" s="128"/>
      <c r="W322" s="49"/>
      <c r="X322" s="128"/>
      <c r="Y322" s="49"/>
      <c r="Z322" s="128"/>
      <c r="AA322" s="49"/>
      <c r="AB322" s="128"/>
      <c r="AC322" s="49"/>
      <c r="AD322" s="133">
        <f t="shared" si="26"/>
        <v>0</v>
      </c>
      <c r="AE322" s="133">
        <f t="shared" si="27"/>
        <v>0</v>
      </c>
    </row>
    <row r="323" spans="1:31" s="69" customFormat="1" ht="51" hidden="1" outlineLevel="1" collapsed="1" x14ac:dyDescent="0.2">
      <c r="A323" s="25" t="str">
        <f>'Утв. ИП 2014-2019'!A325</f>
        <v>1.1.6.2.24/11</v>
      </c>
      <c r="B323" s="6" t="str">
        <f>'Утв. ИП 2014-2019'!B325</f>
        <v>3.2.28</v>
      </c>
      <c r="C323" s="7" t="str">
        <f>'Утв. ИП 2014-2019'!C325</f>
        <v>Электроснабжение жилых домов в районе домовладения № 17 по ул. Сокольская; Строительство ВЛ-0,4кВ от КТП-478 до границ земельного участка №3 (по схеме) в районе домовладения №17 по ул. Сокольская</v>
      </c>
      <c r="D323" s="8" t="str">
        <f>'Утв. ИП 2014-2019'!K325</f>
        <v>0,3 км/ 0 МВА</v>
      </c>
      <c r="E323" s="8"/>
      <c r="F323" s="8"/>
      <c r="G323" s="8"/>
      <c r="H323" s="8"/>
      <c r="I323" s="8"/>
      <c r="J323" s="23" t="str">
        <f>'Утв. ИП 2014-2019'!Q325</f>
        <v>0,3 км/ 0 МВА</v>
      </c>
      <c r="K323" s="23"/>
      <c r="L323" s="8"/>
      <c r="M323" s="8"/>
      <c r="N323" s="8"/>
      <c r="O323" s="8"/>
      <c r="P323" s="8"/>
      <c r="Q323" s="23"/>
      <c r="R323" s="136"/>
      <c r="S323" s="137"/>
      <c r="T323" s="128"/>
      <c r="U323" s="137"/>
      <c r="V323" s="128"/>
      <c r="W323" s="49"/>
      <c r="X323" s="128"/>
      <c r="Y323" s="49"/>
      <c r="Z323" s="128"/>
      <c r="AA323" s="49"/>
      <c r="AB323" s="128"/>
      <c r="AC323" s="49"/>
      <c r="AD323" s="133">
        <f t="shared" si="26"/>
        <v>0</v>
      </c>
      <c r="AE323" s="133">
        <f t="shared" si="27"/>
        <v>0</v>
      </c>
    </row>
    <row r="324" spans="1:31" s="69" customFormat="1" ht="15.75" hidden="1" outlineLevel="2" x14ac:dyDescent="0.2">
      <c r="A324" s="25">
        <f>'Утв. ИП 2014-2019'!A326</f>
        <v>0</v>
      </c>
      <c r="B324" s="6">
        <f>'Утв. ИП 2014-2019'!B326</f>
        <v>0</v>
      </c>
      <c r="C324" s="7" t="str">
        <f>'Утв. ИП 2014-2019'!C326</f>
        <v>реконструкция</v>
      </c>
      <c r="D324" s="8"/>
      <c r="E324" s="8"/>
      <c r="F324" s="8"/>
      <c r="G324" s="8"/>
      <c r="H324" s="8"/>
      <c r="I324" s="8"/>
      <c r="J324" s="23"/>
      <c r="K324" s="23"/>
      <c r="L324" s="8"/>
      <c r="M324" s="8"/>
      <c r="N324" s="8"/>
      <c r="O324" s="8"/>
      <c r="P324" s="8"/>
      <c r="Q324" s="23"/>
      <c r="R324" s="136"/>
      <c r="S324" s="137"/>
      <c r="T324" s="128"/>
      <c r="U324" s="137"/>
      <c r="V324" s="128"/>
      <c r="W324" s="49"/>
      <c r="X324" s="128"/>
      <c r="Y324" s="49"/>
      <c r="Z324" s="128"/>
      <c r="AA324" s="49"/>
      <c r="AB324" s="128"/>
      <c r="AC324" s="49"/>
      <c r="AD324" s="133">
        <f t="shared" si="26"/>
        <v>0</v>
      </c>
      <c r="AE324" s="133">
        <f t="shared" si="27"/>
        <v>0</v>
      </c>
    </row>
    <row r="325" spans="1:31" s="69" customFormat="1" ht="15.75" hidden="1" outlineLevel="2" x14ac:dyDescent="0.2">
      <c r="A325" s="25">
        <f>'Утв. ИП 2014-2019'!A327</f>
        <v>0</v>
      </c>
      <c r="B325" s="6">
        <f>'Утв. ИП 2014-2019'!B327</f>
        <v>0</v>
      </c>
      <c r="C325" s="7" t="str">
        <f>'Утв. ИП 2014-2019'!C327</f>
        <v>строительство</v>
      </c>
      <c r="D325" s="8"/>
      <c r="E325" s="8"/>
      <c r="F325" s="8"/>
      <c r="G325" s="8"/>
      <c r="H325" s="8"/>
      <c r="I325" s="8"/>
      <c r="J325" s="23"/>
      <c r="K325" s="23"/>
      <c r="L325" s="8"/>
      <c r="M325" s="8"/>
      <c r="N325" s="8"/>
      <c r="O325" s="8"/>
      <c r="P325" s="8"/>
      <c r="Q325" s="23"/>
      <c r="R325" s="136"/>
      <c r="S325" s="137"/>
      <c r="T325" s="128"/>
      <c r="U325" s="137"/>
      <c r="V325" s="128"/>
      <c r="W325" s="49"/>
      <c r="X325" s="128"/>
      <c r="Y325" s="49"/>
      <c r="Z325" s="128"/>
      <c r="AA325" s="49"/>
      <c r="AB325" s="128"/>
      <c r="AC325" s="49"/>
      <c r="AD325" s="133">
        <f t="shared" si="26"/>
        <v>0</v>
      </c>
      <c r="AE325" s="133">
        <f t="shared" si="27"/>
        <v>0</v>
      </c>
    </row>
    <row r="326" spans="1:31" s="69" customFormat="1" ht="51" hidden="1" outlineLevel="1" collapsed="1" x14ac:dyDescent="0.2">
      <c r="A326" s="25" t="str">
        <f>'Утв. ИП 2014-2019'!A328</f>
        <v>1.1.6.2.28/11</v>
      </c>
      <c r="B326" s="6" t="str">
        <f>'Утв. ИП 2014-2019'!B328</f>
        <v>3.2.29</v>
      </c>
      <c r="C326" s="7" t="str">
        <f>'Утв. ИП 2014-2019'!C328</f>
        <v>Реконструкция ВЛ-0,4 кВ от КТП-546 по ул. Липецкая (инв. № 346169) для объекта технологического присоединения: "Электроснабжение индивидуального жилого дома и хозяйственных построек по ул. Липецкая, д. 27"</v>
      </c>
      <c r="D326" s="8" t="str">
        <f>'Утв. ИП 2014-2019'!K328</f>
        <v>0,5 км/ 0 МВА</v>
      </c>
      <c r="E326" s="8"/>
      <c r="F326" s="8"/>
      <c r="G326" s="8"/>
      <c r="H326" s="8"/>
      <c r="I326" s="8"/>
      <c r="J326" s="23" t="str">
        <f>'Утв. ИП 2014-2019'!Q328</f>
        <v>0,5 км/ 0 МВА</v>
      </c>
      <c r="K326" s="23" t="s">
        <v>1419</v>
      </c>
      <c r="L326" s="23"/>
      <c r="M326" s="8"/>
      <c r="N326" s="8"/>
      <c r="O326" s="8"/>
      <c r="P326" s="8"/>
      <c r="Q326" s="23" t="s">
        <v>1419</v>
      </c>
      <c r="R326" s="136">
        <v>0.5</v>
      </c>
      <c r="S326" s="137"/>
      <c r="T326" s="128"/>
      <c r="U326" s="137"/>
      <c r="V326" s="128"/>
      <c r="W326" s="49"/>
      <c r="X326" s="128"/>
      <c r="Y326" s="49"/>
      <c r="Z326" s="128"/>
      <c r="AA326" s="49"/>
      <c r="AB326" s="128"/>
      <c r="AC326" s="49"/>
      <c r="AD326" s="133">
        <f t="shared" si="26"/>
        <v>0.5</v>
      </c>
      <c r="AE326" s="133">
        <f t="shared" si="27"/>
        <v>0</v>
      </c>
    </row>
    <row r="327" spans="1:31" s="69" customFormat="1" ht="15.75" hidden="1" outlineLevel="2" x14ac:dyDescent="0.2">
      <c r="A327" s="25">
        <f>'Утв. ИП 2014-2019'!A329</f>
        <v>0</v>
      </c>
      <c r="B327" s="6">
        <f>'Утв. ИП 2014-2019'!B329</f>
        <v>0</v>
      </c>
      <c r="C327" s="7" t="str">
        <f>'Утв. ИП 2014-2019'!C329</f>
        <v>реконструкция</v>
      </c>
      <c r="D327" s="8"/>
      <c r="E327" s="8"/>
      <c r="F327" s="8"/>
      <c r="G327" s="8"/>
      <c r="H327" s="8"/>
      <c r="I327" s="8"/>
      <c r="J327" s="23"/>
      <c r="K327" s="23"/>
      <c r="L327" s="8"/>
      <c r="M327" s="8"/>
      <c r="N327" s="8"/>
      <c r="O327" s="8"/>
      <c r="P327" s="8"/>
      <c r="Q327" s="23"/>
      <c r="R327" s="136"/>
      <c r="S327" s="137"/>
      <c r="T327" s="128"/>
      <c r="U327" s="137"/>
      <c r="V327" s="128"/>
      <c r="W327" s="49"/>
      <c r="X327" s="128"/>
      <c r="Y327" s="49"/>
      <c r="Z327" s="128"/>
      <c r="AA327" s="49"/>
      <c r="AB327" s="128"/>
      <c r="AC327" s="49"/>
      <c r="AD327" s="133">
        <f t="shared" si="26"/>
        <v>0</v>
      </c>
      <c r="AE327" s="133">
        <f t="shared" si="27"/>
        <v>0</v>
      </c>
    </row>
    <row r="328" spans="1:31" s="69" customFormat="1" ht="15.75" hidden="1" outlineLevel="2" x14ac:dyDescent="0.2">
      <c r="A328" s="25">
        <f>'Утв. ИП 2014-2019'!A330</f>
        <v>0</v>
      </c>
      <c r="B328" s="6">
        <f>'Утв. ИП 2014-2019'!B330</f>
        <v>0</v>
      </c>
      <c r="C328" s="7" t="str">
        <f>'Утв. ИП 2014-2019'!C330</f>
        <v>строительство</v>
      </c>
      <c r="D328" s="8"/>
      <c r="E328" s="8"/>
      <c r="F328" s="8"/>
      <c r="G328" s="8"/>
      <c r="H328" s="8"/>
      <c r="I328" s="8"/>
      <c r="J328" s="23"/>
      <c r="K328" s="8"/>
      <c r="L328" s="23"/>
      <c r="M328" s="8"/>
      <c r="N328" s="8"/>
      <c r="O328" s="8"/>
      <c r="P328" s="8"/>
      <c r="Q328" s="23"/>
      <c r="R328" s="136"/>
      <c r="S328" s="137"/>
      <c r="T328" s="128"/>
      <c r="U328" s="137"/>
      <c r="V328" s="128"/>
      <c r="W328" s="49"/>
      <c r="X328" s="128"/>
      <c r="Y328" s="49"/>
      <c r="Z328" s="128"/>
      <c r="AA328" s="49"/>
      <c r="AB328" s="128"/>
      <c r="AC328" s="49"/>
      <c r="AD328" s="133">
        <f t="shared" si="26"/>
        <v>0</v>
      </c>
      <c r="AE328" s="133">
        <f t="shared" si="27"/>
        <v>0</v>
      </c>
    </row>
    <row r="329" spans="1:31" s="69" customFormat="1" ht="38.25" hidden="1" outlineLevel="1" collapsed="1" x14ac:dyDescent="0.2">
      <c r="A329" s="25" t="str">
        <f>'Утв. ИП 2014-2019'!A331</f>
        <v>1.1.6.2.43/11</v>
      </c>
      <c r="B329" s="6" t="str">
        <f>'Утв. ИП 2014-2019'!B331</f>
        <v>3.2.30</v>
      </c>
      <c r="C329" s="7" t="str">
        <f>'Утв. ИП 2014-2019'!C331</f>
        <v>Строительство КВЛ-0,4 кВ от ТП-388 по ул. Терешковой для электроснабжения здания склада по адресу: г. Липецк, ул. В.Терешковой, строение 33в</v>
      </c>
      <c r="D329" s="8" t="str">
        <f>'Утв. ИП 2014-2019'!K331</f>
        <v>0,3 км/ 0 МВА</v>
      </c>
      <c r="E329" s="8"/>
      <c r="F329" s="8"/>
      <c r="G329" s="8"/>
      <c r="H329" s="8"/>
      <c r="I329" s="8"/>
      <c r="J329" s="23" t="str">
        <f>'Утв. ИП 2014-2019'!Q331</f>
        <v>0,3 км/ 0 МВА</v>
      </c>
      <c r="K329" s="8"/>
      <c r="L329" s="23"/>
      <c r="M329" s="8"/>
      <c r="N329" s="8"/>
      <c r="O329" s="8"/>
      <c r="P329" s="8"/>
      <c r="Q329" s="23"/>
      <c r="R329" s="136"/>
      <c r="S329" s="137"/>
      <c r="T329" s="128"/>
      <c r="U329" s="137"/>
      <c r="V329" s="128"/>
      <c r="W329" s="49"/>
      <c r="X329" s="128"/>
      <c r="Y329" s="49"/>
      <c r="Z329" s="128"/>
      <c r="AA329" s="49"/>
      <c r="AB329" s="128"/>
      <c r="AC329" s="49"/>
      <c r="AD329" s="133">
        <f t="shared" ref="AD329:AD392" si="28">R329+T329+V329+X329+Z329+AB329</f>
        <v>0</v>
      </c>
      <c r="AE329" s="133">
        <f t="shared" ref="AE329:AE392" si="29">S329+U329+W329+Y329+AA329+AC329</f>
        <v>0</v>
      </c>
    </row>
    <row r="330" spans="1:31" s="69" customFormat="1" ht="15.75" hidden="1" outlineLevel="2" x14ac:dyDescent="0.2">
      <c r="A330" s="25">
        <f>'Утв. ИП 2014-2019'!A332</f>
        <v>0</v>
      </c>
      <c r="B330" s="6">
        <f>'Утв. ИП 2014-2019'!B332</f>
        <v>0</v>
      </c>
      <c r="C330" s="7" t="str">
        <f>'Утв. ИП 2014-2019'!C332</f>
        <v>реконструкция</v>
      </c>
      <c r="D330" s="8"/>
      <c r="E330" s="8"/>
      <c r="F330" s="8"/>
      <c r="G330" s="8"/>
      <c r="H330" s="8"/>
      <c r="I330" s="8"/>
      <c r="J330" s="23"/>
      <c r="K330" s="23"/>
      <c r="L330" s="8"/>
      <c r="M330" s="8"/>
      <c r="N330" s="8"/>
      <c r="O330" s="8"/>
      <c r="P330" s="8"/>
      <c r="Q330" s="23"/>
      <c r="R330" s="136"/>
      <c r="S330" s="137"/>
      <c r="T330" s="128"/>
      <c r="U330" s="137"/>
      <c r="V330" s="128"/>
      <c r="W330" s="49"/>
      <c r="X330" s="128"/>
      <c r="Y330" s="49"/>
      <c r="Z330" s="128"/>
      <c r="AA330" s="49"/>
      <c r="AB330" s="128"/>
      <c r="AC330" s="49"/>
      <c r="AD330" s="133">
        <f t="shared" si="28"/>
        <v>0</v>
      </c>
      <c r="AE330" s="133">
        <f t="shared" si="29"/>
        <v>0</v>
      </c>
    </row>
    <row r="331" spans="1:31" s="69" customFormat="1" ht="15.75" hidden="1" outlineLevel="2" x14ac:dyDescent="0.2">
      <c r="A331" s="25">
        <f>'Утв. ИП 2014-2019'!A333</f>
        <v>0</v>
      </c>
      <c r="B331" s="6">
        <f>'Утв. ИП 2014-2019'!B333</f>
        <v>0</v>
      </c>
      <c r="C331" s="7" t="str">
        <f>'Утв. ИП 2014-2019'!C333</f>
        <v>строительство</v>
      </c>
      <c r="D331" s="8"/>
      <c r="E331" s="8"/>
      <c r="F331" s="8"/>
      <c r="G331" s="8"/>
      <c r="H331" s="8"/>
      <c r="I331" s="8"/>
      <c r="J331" s="23"/>
      <c r="K331" s="8"/>
      <c r="L331" s="23"/>
      <c r="M331" s="8"/>
      <c r="N331" s="8"/>
      <c r="O331" s="8"/>
      <c r="P331" s="8"/>
      <c r="Q331" s="23"/>
      <c r="R331" s="136"/>
      <c r="S331" s="137"/>
      <c r="T331" s="128"/>
      <c r="U331" s="137"/>
      <c r="V331" s="128"/>
      <c r="W331" s="49"/>
      <c r="X331" s="128"/>
      <c r="Y331" s="49"/>
      <c r="Z331" s="128"/>
      <c r="AA331" s="49"/>
      <c r="AB331" s="128"/>
      <c r="AC331" s="49"/>
      <c r="AD331" s="133">
        <f t="shared" si="28"/>
        <v>0</v>
      </c>
      <c r="AE331" s="133">
        <f t="shared" si="29"/>
        <v>0</v>
      </c>
    </row>
    <row r="332" spans="1:31" s="69" customFormat="1" ht="63.75" hidden="1" outlineLevel="1" collapsed="1" x14ac:dyDescent="0.2">
      <c r="A332" s="25" t="str">
        <f>'Утв. ИП 2014-2019'!A334</f>
        <v>1.1.6.2.47/11</v>
      </c>
      <c r="B332" s="6" t="str">
        <f>'Утв. ИП 2014-2019'!B334</f>
        <v>3.2.31</v>
      </c>
      <c r="C332" s="7" t="str">
        <f>'Утв. ИП 2014-2019'!C334</f>
        <v>Электроснабжение гаражей по адресу: г. Липецк, пр. Победы, строение 29б/16 (район фабрики "Бумиз"); Строительство КЛ-0,4 кВ от ТП-241 до РШ-0,4 кВ ; Монтаж РШ-0,4кВ; Строительство ЛЭП-0,4кВ от РШ-0,4кВ до гаражей в районе фабрики "Бумиз"</v>
      </c>
      <c r="D332" s="8"/>
      <c r="E332" s="8" t="str">
        <f>'Утв. ИП 2014-2019'!L334</f>
        <v>0,2 км/ 0 МВА</v>
      </c>
      <c r="F332" s="8"/>
      <c r="G332" s="8"/>
      <c r="H332" s="8"/>
      <c r="I332" s="8"/>
      <c r="J332" s="23" t="str">
        <f>'Утв. ИП 2014-2019'!Q334</f>
        <v>0,2 км/ 0 МВА</v>
      </c>
      <c r="K332" s="23"/>
      <c r="L332" s="8"/>
      <c r="M332" s="8"/>
      <c r="N332" s="8"/>
      <c r="O332" s="8"/>
      <c r="P332" s="8"/>
      <c r="Q332" s="23"/>
      <c r="R332" s="136"/>
      <c r="S332" s="137"/>
      <c r="T332" s="128"/>
      <c r="U332" s="137"/>
      <c r="V332" s="128"/>
      <c r="W332" s="49"/>
      <c r="X332" s="128"/>
      <c r="Y332" s="49"/>
      <c r="Z332" s="128"/>
      <c r="AA332" s="49"/>
      <c r="AB332" s="128"/>
      <c r="AC332" s="49"/>
      <c r="AD332" s="133">
        <f t="shared" si="28"/>
        <v>0</v>
      </c>
      <c r="AE332" s="133">
        <f t="shared" si="29"/>
        <v>0</v>
      </c>
    </row>
    <row r="333" spans="1:31" s="69" customFormat="1" ht="15.75" hidden="1" outlineLevel="2" x14ac:dyDescent="0.2">
      <c r="A333" s="25">
        <f>'Утв. ИП 2014-2019'!A335</f>
        <v>0</v>
      </c>
      <c r="B333" s="6">
        <f>'Утв. ИП 2014-2019'!B335</f>
        <v>0</v>
      </c>
      <c r="C333" s="7" t="str">
        <f>'Утв. ИП 2014-2019'!C335</f>
        <v>реконструкция</v>
      </c>
      <c r="D333" s="8"/>
      <c r="E333" s="8"/>
      <c r="F333" s="8"/>
      <c r="G333" s="8"/>
      <c r="H333" s="8"/>
      <c r="I333" s="8"/>
      <c r="J333" s="23"/>
      <c r="K333" s="8"/>
      <c r="L333" s="23"/>
      <c r="M333" s="8"/>
      <c r="N333" s="8"/>
      <c r="O333" s="8"/>
      <c r="P333" s="8"/>
      <c r="Q333" s="23"/>
      <c r="R333" s="136"/>
      <c r="S333" s="137"/>
      <c r="T333" s="128"/>
      <c r="U333" s="137"/>
      <c r="V333" s="128"/>
      <c r="W333" s="49"/>
      <c r="X333" s="128"/>
      <c r="Y333" s="49"/>
      <c r="Z333" s="128"/>
      <c r="AA333" s="49"/>
      <c r="AB333" s="128"/>
      <c r="AC333" s="49"/>
      <c r="AD333" s="133">
        <f t="shared" si="28"/>
        <v>0</v>
      </c>
      <c r="AE333" s="133">
        <f t="shared" si="29"/>
        <v>0</v>
      </c>
    </row>
    <row r="334" spans="1:31" s="69" customFormat="1" ht="15.75" hidden="1" outlineLevel="2" x14ac:dyDescent="0.2">
      <c r="A334" s="25">
        <f>'Утв. ИП 2014-2019'!A336</f>
        <v>0</v>
      </c>
      <c r="B334" s="6">
        <f>'Утв. ИП 2014-2019'!B336</f>
        <v>0</v>
      </c>
      <c r="C334" s="7" t="str">
        <f>'Утв. ИП 2014-2019'!C336</f>
        <v>строительство</v>
      </c>
      <c r="D334" s="8"/>
      <c r="E334" s="8"/>
      <c r="F334" s="8"/>
      <c r="G334" s="8"/>
      <c r="H334" s="8"/>
      <c r="I334" s="8"/>
      <c r="J334" s="23"/>
      <c r="K334" s="23"/>
      <c r="L334" s="8"/>
      <c r="M334" s="8"/>
      <c r="N334" s="8"/>
      <c r="O334" s="8"/>
      <c r="P334" s="8"/>
      <c r="Q334" s="23"/>
      <c r="R334" s="136"/>
      <c r="S334" s="137"/>
      <c r="T334" s="128"/>
      <c r="U334" s="137"/>
      <c r="V334" s="128"/>
      <c r="W334" s="49"/>
      <c r="X334" s="128"/>
      <c r="Y334" s="49"/>
      <c r="Z334" s="128"/>
      <c r="AA334" s="49"/>
      <c r="AB334" s="128"/>
      <c r="AC334" s="49"/>
      <c r="AD334" s="133">
        <f t="shared" si="28"/>
        <v>0</v>
      </c>
      <c r="AE334" s="133">
        <f t="shared" si="29"/>
        <v>0</v>
      </c>
    </row>
    <row r="335" spans="1:31" s="69" customFormat="1" ht="63.75" hidden="1" outlineLevel="1" collapsed="1" x14ac:dyDescent="0.2">
      <c r="A335" s="25" t="str">
        <f>'Утв. ИП 2014-2019'!A337</f>
        <v>1.1.6.2.48/11</v>
      </c>
      <c r="B335" s="6" t="str">
        <f>'Утв. ИП 2014-2019'!B337</f>
        <v>3.2.32</v>
      </c>
      <c r="C335" s="7" t="str">
        <f>'Утв. ИП 2014-2019'!C337</f>
        <v xml:space="preserve">Электроснабжение гаража № 377 с погребом по адресу: г. Липецк, гаражный кооператив "Энергетик-2"; Строительство ВЛ-0,4 кВ от ТП-459 до земельного участка гаража №377 по адресу: г.Липецк, гаражный кооператив "Энергетик-2"; Монтаж прибора учета на опоре ВЛ-0,4 кВ </v>
      </c>
      <c r="D335" s="8" t="str">
        <f>'Утв. ИП 2014-2019'!K337</f>
        <v>0,4 км/ 0 МВА</v>
      </c>
      <c r="E335" s="8"/>
      <c r="F335" s="8"/>
      <c r="G335" s="8"/>
      <c r="H335" s="8"/>
      <c r="I335" s="8"/>
      <c r="J335" s="23" t="str">
        <f>'Утв. ИП 2014-2019'!Q337</f>
        <v>0,4 км/ 0 МВА</v>
      </c>
      <c r="K335" s="23"/>
      <c r="L335" s="8"/>
      <c r="M335" s="8"/>
      <c r="N335" s="8"/>
      <c r="O335" s="8"/>
      <c r="P335" s="8"/>
      <c r="Q335" s="23"/>
      <c r="R335" s="136"/>
      <c r="S335" s="137"/>
      <c r="T335" s="128"/>
      <c r="U335" s="137"/>
      <c r="V335" s="128"/>
      <c r="W335" s="49"/>
      <c r="X335" s="128"/>
      <c r="Y335" s="49"/>
      <c r="Z335" s="128"/>
      <c r="AA335" s="49"/>
      <c r="AB335" s="128"/>
      <c r="AC335" s="49"/>
      <c r="AD335" s="133">
        <f t="shared" si="28"/>
        <v>0</v>
      </c>
      <c r="AE335" s="133">
        <f t="shared" si="29"/>
        <v>0</v>
      </c>
    </row>
    <row r="336" spans="1:31" s="69" customFormat="1" ht="15.75" hidden="1" outlineLevel="2" x14ac:dyDescent="0.2">
      <c r="A336" s="25">
        <f>'Утв. ИП 2014-2019'!A338</f>
        <v>0</v>
      </c>
      <c r="B336" s="6">
        <f>'Утв. ИП 2014-2019'!B338</f>
        <v>0</v>
      </c>
      <c r="C336" s="7" t="str">
        <f>'Утв. ИП 2014-2019'!C338</f>
        <v>реконструкция</v>
      </c>
      <c r="D336" s="8"/>
      <c r="E336" s="8"/>
      <c r="F336" s="8"/>
      <c r="G336" s="8"/>
      <c r="H336" s="8"/>
      <c r="I336" s="8"/>
      <c r="J336" s="23"/>
      <c r="K336" s="23"/>
      <c r="L336" s="8"/>
      <c r="M336" s="8"/>
      <c r="N336" s="8"/>
      <c r="O336" s="8"/>
      <c r="P336" s="8"/>
      <c r="Q336" s="23"/>
      <c r="R336" s="136"/>
      <c r="S336" s="137"/>
      <c r="T336" s="128"/>
      <c r="U336" s="137"/>
      <c r="V336" s="128"/>
      <c r="W336" s="49"/>
      <c r="X336" s="128"/>
      <c r="Y336" s="49"/>
      <c r="Z336" s="128"/>
      <c r="AA336" s="49"/>
      <c r="AB336" s="128"/>
      <c r="AC336" s="49"/>
      <c r="AD336" s="133">
        <f t="shared" si="28"/>
        <v>0</v>
      </c>
      <c r="AE336" s="133">
        <f t="shared" si="29"/>
        <v>0</v>
      </c>
    </row>
    <row r="337" spans="1:31" s="69" customFormat="1" ht="15.75" hidden="1" outlineLevel="2" x14ac:dyDescent="0.2">
      <c r="A337" s="25">
        <f>'Утв. ИП 2014-2019'!A339</f>
        <v>0</v>
      </c>
      <c r="B337" s="6">
        <f>'Утв. ИП 2014-2019'!B339</f>
        <v>0</v>
      </c>
      <c r="C337" s="7" t="str">
        <f>'Утв. ИП 2014-2019'!C339</f>
        <v>строительство</v>
      </c>
      <c r="D337" s="8"/>
      <c r="E337" s="8"/>
      <c r="F337" s="8"/>
      <c r="G337" s="8"/>
      <c r="H337" s="8"/>
      <c r="I337" s="8"/>
      <c r="J337" s="23"/>
      <c r="K337" s="23"/>
      <c r="L337" s="8"/>
      <c r="M337" s="8"/>
      <c r="N337" s="8"/>
      <c r="O337" s="8"/>
      <c r="P337" s="8"/>
      <c r="Q337" s="23"/>
      <c r="R337" s="136"/>
      <c r="S337" s="137"/>
      <c r="T337" s="128"/>
      <c r="U337" s="137"/>
      <c r="V337" s="128"/>
      <c r="W337" s="49"/>
      <c r="X337" s="128"/>
      <c r="Y337" s="49"/>
      <c r="Z337" s="128"/>
      <c r="AA337" s="49"/>
      <c r="AB337" s="128"/>
      <c r="AC337" s="49"/>
      <c r="AD337" s="133">
        <f t="shared" si="28"/>
        <v>0</v>
      </c>
      <c r="AE337" s="133">
        <f t="shared" si="29"/>
        <v>0</v>
      </c>
    </row>
    <row r="338" spans="1:31" s="69" customFormat="1" ht="38.25" hidden="1" outlineLevel="1" collapsed="1" x14ac:dyDescent="0.2">
      <c r="A338" s="25" t="str">
        <f>'Утв. ИП 2014-2019'!A340</f>
        <v>1.1.6.2.49/11</v>
      </c>
      <c r="B338" s="6" t="str">
        <f>'Утв. ИП 2014-2019'!B340</f>
        <v>3.2.33</v>
      </c>
      <c r="C338" s="7" t="str">
        <f>'Утв. ИП 2014-2019'!C340</f>
        <v>Строительство ВЛ-0,4 кВ от опоры проектируемой ВЛ-0,4 кВ от ТП-642 (код 4.1.26/09 программы перспективного развития ОАО "ЛГЭК" на 2011 год) до зем. уч. № 68 в СНТ "Горняк"</v>
      </c>
      <c r="D338" s="8"/>
      <c r="E338" s="8" t="str">
        <f>'Утв. ИП 2014-2019'!L340</f>
        <v>0,1 км/ 0 МВА</v>
      </c>
      <c r="F338" s="8"/>
      <c r="G338" s="8"/>
      <c r="H338" s="8"/>
      <c r="I338" s="8"/>
      <c r="J338" s="23" t="str">
        <f>'Утв. ИП 2014-2019'!Q340</f>
        <v>0,1 км/ 0 МВА</v>
      </c>
      <c r="K338" s="23"/>
      <c r="L338" s="8"/>
      <c r="M338" s="8"/>
      <c r="N338" s="8"/>
      <c r="O338" s="8"/>
      <c r="P338" s="8"/>
      <c r="Q338" s="23"/>
      <c r="R338" s="136"/>
      <c r="S338" s="137"/>
      <c r="T338" s="128"/>
      <c r="U338" s="137"/>
      <c r="V338" s="128"/>
      <c r="W338" s="49"/>
      <c r="X338" s="128"/>
      <c r="Y338" s="49"/>
      <c r="Z338" s="128"/>
      <c r="AA338" s="49"/>
      <c r="AB338" s="128"/>
      <c r="AC338" s="49"/>
      <c r="AD338" s="133">
        <f t="shared" si="28"/>
        <v>0</v>
      </c>
      <c r="AE338" s="133">
        <f t="shared" si="29"/>
        <v>0</v>
      </c>
    </row>
    <row r="339" spans="1:31" s="69" customFormat="1" ht="15.75" hidden="1" outlineLevel="2" x14ac:dyDescent="0.2">
      <c r="A339" s="25">
        <f>'Утв. ИП 2014-2019'!A341</f>
        <v>0</v>
      </c>
      <c r="B339" s="6">
        <f>'Утв. ИП 2014-2019'!B341</f>
        <v>0</v>
      </c>
      <c r="C339" s="7" t="str">
        <f>'Утв. ИП 2014-2019'!C341</f>
        <v>реконструкция</v>
      </c>
      <c r="D339" s="8"/>
      <c r="E339" s="8"/>
      <c r="F339" s="8"/>
      <c r="G339" s="8"/>
      <c r="H339" s="8"/>
      <c r="I339" s="8"/>
      <c r="J339" s="23"/>
      <c r="K339" s="8"/>
      <c r="L339" s="23"/>
      <c r="M339" s="8"/>
      <c r="N339" s="8"/>
      <c r="O339" s="8"/>
      <c r="P339" s="8"/>
      <c r="Q339" s="23"/>
      <c r="R339" s="136"/>
      <c r="S339" s="137"/>
      <c r="T339" s="128"/>
      <c r="U339" s="137"/>
      <c r="V339" s="128"/>
      <c r="W339" s="49"/>
      <c r="X339" s="128"/>
      <c r="Y339" s="49"/>
      <c r="Z339" s="128"/>
      <c r="AA339" s="49"/>
      <c r="AB339" s="128"/>
      <c r="AC339" s="49"/>
      <c r="AD339" s="133">
        <f t="shared" si="28"/>
        <v>0</v>
      </c>
      <c r="AE339" s="133">
        <f t="shared" si="29"/>
        <v>0</v>
      </c>
    </row>
    <row r="340" spans="1:31" s="69" customFormat="1" ht="15.75" hidden="1" outlineLevel="2" x14ac:dyDescent="0.2">
      <c r="A340" s="25">
        <f>'Утв. ИП 2014-2019'!A342</f>
        <v>0</v>
      </c>
      <c r="B340" s="6">
        <f>'Утв. ИП 2014-2019'!B342</f>
        <v>0</v>
      </c>
      <c r="C340" s="7" t="str">
        <f>'Утв. ИП 2014-2019'!C342</f>
        <v>строительство</v>
      </c>
      <c r="D340" s="8"/>
      <c r="E340" s="8"/>
      <c r="F340" s="8"/>
      <c r="G340" s="8"/>
      <c r="H340" s="8"/>
      <c r="I340" s="8"/>
      <c r="J340" s="23"/>
      <c r="K340" s="23"/>
      <c r="L340" s="8"/>
      <c r="M340" s="8"/>
      <c r="N340" s="8"/>
      <c r="O340" s="8"/>
      <c r="P340" s="8"/>
      <c r="Q340" s="23"/>
      <c r="R340" s="136"/>
      <c r="S340" s="137"/>
      <c r="T340" s="128"/>
      <c r="U340" s="137"/>
      <c r="V340" s="128"/>
      <c r="W340" s="49"/>
      <c r="X340" s="128"/>
      <c r="Y340" s="49"/>
      <c r="Z340" s="128"/>
      <c r="AA340" s="49"/>
      <c r="AB340" s="128"/>
      <c r="AC340" s="49"/>
      <c r="AD340" s="133">
        <f t="shared" si="28"/>
        <v>0</v>
      </c>
      <c r="AE340" s="133">
        <f t="shared" si="29"/>
        <v>0</v>
      </c>
    </row>
    <row r="341" spans="1:31" s="69" customFormat="1" ht="63.75" hidden="1" outlineLevel="1" collapsed="1" x14ac:dyDescent="0.2">
      <c r="A341" s="25" t="str">
        <f>'Утв. ИП 2014-2019'!A343</f>
        <v>1.1.6.2.52/11</v>
      </c>
      <c r="B341" s="6" t="str">
        <f>'Утв. ИП 2014-2019'!B343</f>
        <v>3.2.34</v>
      </c>
      <c r="C341" s="7" t="str">
        <f>'Утв. ИП 2014-2019'!C343</f>
        <v>Электроснабжение садового домика по адресу: г. Липецк, СНТ "Монтажник", зем. уч. № 1033; Строительство ВЛ-0,4кВ от опоры ВЛ-0,4кВ по ул.Красивая от КТП-646 до земельного участка №1033 в СНТ "Монтажник" ; Монтаж прибора учета на опоре ВЛ-0,4кВ от КТП-646</v>
      </c>
      <c r="D341" s="8"/>
      <c r="E341" s="8" t="str">
        <f>'Утв. ИП 2014-2019'!L343</f>
        <v>0,15 км/ 0 МВА</v>
      </c>
      <c r="F341" s="8"/>
      <c r="G341" s="8"/>
      <c r="H341" s="8"/>
      <c r="I341" s="8"/>
      <c r="J341" s="23" t="str">
        <f>'Утв. ИП 2014-2019'!Q343</f>
        <v>0,15 км/ 0 МВА</v>
      </c>
      <c r="K341" s="8"/>
      <c r="L341" s="23"/>
      <c r="M341" s="8"/>
      <c r="N341" s="8"/>
      <c r="O341" s="8"/>
      <c r="P341" s="8"/>
      <c r="Q341" s="23"/>
      <c r="R341" s="136"/>
      <c r="S341" s="137"/>
      <c r="T341" s="128"/>
      <c r="U341" s="137"/>
      <c r="V341" s="128"/>
      <c r="W341" s="49"/>
      <c r="X341" s="128"/>
      <c r="Y341" s="49"/>
      <c r="Z341" s="128"/>
      <c r="AA341" s="49"/>
      <c r="AB341" s="128"/>
      <c r="AC341" s="49"/>
      <c r="AD341" s="133">
        <f t="shared" si="28"/>
        <v>0</v>
      </c>
      <c r="AE341" s="133">
        <f t="shared" si="29"/>
        <v>0</v>
      </c>
    </row>
    <row r="342" spans="1:31" s="69" customFormat="1" ht="15.75" hidden="1" outlineLevel="2" x14ac:dyDescent="0.2">
      <c r="A342" s="25">
        <f>'Утв. ИП 2014-2019'!A344</f>
        <v>0</v>
      </c>
      <c r="B342" s="6">
        <f>'Утв. ИП 2014-2019'!B344</f>
        <v>0</v>
      </c>
      <c r="C342" s="7" t="str">
        <f>'Утв. ИП 2014-2019'!C344</f>
        <v>реконструкция</v>
      </c>
      <c r="D342" s="8"/>
      <c r="E342" s="8"/>
      <c r="F342" s="8"/>
      <c r="G342" s="8"/>
      <c r="H342" s="8"/>
      <c r="I342" s="8"/>
      <c r="J342" s="23"/>
      <c r="K342" s="23"/>
      <c r="L342" s="8"/>
      <c r="M342" s="8"/>
      <c r="N342" s="8"/>
      <c r="O342" s="8"/>
      <c r="P342" s="8"/>
      <c r="Q342" s="23"/>
      <c r="R342" s="136"/>
      <c r="S342" s="137"/>
      <c r="T342" s="128"/>
      <c r="U342" s="137"/>
      <c r="V342" s="128"/>
      <c r="W342" s="49"/>
      <c r="X342" s="128"/>
      <c r="Y342" s="49"/>
      <c r="Z342" s="128"/>
      <c r="AA342" s="49"/>
      <c r="AB342" s="128"/>
      <c r="AC342" s="49"/>
      <c r="AD342" s="133">
        <f t="shared" si="28"/>
        <v>0</v>
      </c>
      <c r="AE342" s="133">
        <f t="shared" si="29"/>
        <v>0</v>
      </c>
    </row>
    <row r="343" spans="1:31" s="69" customFormat="1" ht="15.75" hidden="1" outlineLevel="2" x14ac:dyDescent="0.2">
      <c r="A343" s="25">
        <f>'Утв. ИП 2014-2019'!A345</f>
        <v>0</v>
      </c>
      <c r="B343" s="6">
        <f>'Утв. ИП 2014-2019'!B345</f>
        <v>0</v>
      </c>
      <c r="C343" s="7" t="str">
        <f>'Утв. ИП 2014-2019'!C345</f>
        <v>строительство</v>
      </c>
      <c r="D343" s="8"/>
      <c r="E343" s="8"/>
      <c r="F343" s="8"/>
      <c r="G343" s="8"/>
      <c r="H343" s="8"/>
      <c r="I343" s="8"/>
      <c r="J343" s="23"/>
      <c r="K343" s="23"/>
      <c r="L343" s="8"/>
      <c r="M343" s="8"/>
      <c r="N343" s="8"/>
      <c r="O343" s="8"/>
      <c r="P343" s="8"/>
      <c r="Q343" s="23"/>
      <c r="R343" s="136"/>
      <c r="S343" s="137"/>
      <c r="T343" s="128"/>
      <c r="U343" s="137"/>
      <c r="V343" s="128"/>
      <c r="W343" s="49"/>
      <c r="X343" s="128"/>
      <c r="Y343" s="49"/>
      <c r="Z343" s="128"/>
      <c r="AA343" s="49"/>
      <c r="AB343" s="128"/>
      <c r="AC343" s="49"/>
      <c r="AD343" s="133">
        <f t="shared" si="28"/>
        <v>0</v>
      </c>
      <c r="AE343" s="133">
        <f t="shared" si="29"/>
        <v>0</v>
      </c>
    </row>
    <row r="344" spans="1:31" s="69" customFormat="1" ht="25.5" hidden="1" outlineLevel="1" collapsed="1" x14ac:dyDescent="0.2">
      <c r="A344" s="25" t="str">
        <f>'Утв. ИП 2014-2019'!A346</f>
        <v>1.1.6.2.53/11</v>
      </c>
      <c r="B344" s="6" t="str">
        <f>'Утв. ИП 2014-2019'!B346</f>
        <v>3.2.35</v>
      </c>
      <c r="C344" s="7" t="str">
        <f>'Утв. ИП 2014-2019'!C346</f>
        <v xml:space="preserve">Электроснабжение гаража по адресу: г. Липецк, ул. Депутатская, владение 58, гараж 24 </v>
      </c>
      <c r="D344" s="8"/>
      <c r="E344" s="8" t="str">
        <f>'Утв. ИП 2014-2019'!L346</f>
        <v>0,4 км/ 0 МВА</v>
      </c>
      <c r="F344" s="8"/>
      <c r="G344" s="8"/>
      <c r="H344" s="8"/>
      <c r="I344" s="8"/>
      <c r="J344" s="23" t="str">
        <f>'Утв. ИП 2014-2019'!Q346</f>
        <v>0,4 км/ 0 МВА</v>
      </c>
      <c r="K344" s="8"/>
      <c r="L344" s="23"/>
      <c r="M344" s="8"/>
      <c r="N344" s="8"/>
      <c r="O344" s="8"/>
      <c r="P344" s="8"/>
      <c r="Q344" s="23"/>
      <c r="R344" s="136"/>
      <c r="S344" s="137"/>
      <c r="T344" s="128"/>
      <c r="U344" s="137"/>
      <c r="V344" s="128"/>
      <c r="W344" s="49"/>
      <c r="X344" s="128"/>
      <c r="Y344" s="49"/>
      <c r="Z344" s="128"/>
      <c r="AA344" s="49"/>
      <c r="AB344" s="128"/>
      <c r="AC344" s="49"/>
      <c r="AD344" s="133">
        <f t="shared" si="28"/>
        <v>0</v>
      </c>
      <c r="AE344" s="133">
        <f t="shared" si="29"/>
        <v>0</v>
      </c>
    </row>
    <row r="345" spans="1:31" s="69" customFormat="1" ht="15.75" hidden="1" outlineLevel="2" x14ac:dyDescent="0.2">
      <c r="A345" s="25">
        <f>'Утв. ИП 2014-2019'!A347</f>
        <v>0</v>
      </c>
      <c r="B345" s="6">
        <f>'Утв. ИП 2014-2019'!B347</f>
        <v>0</v>
      </c>
      <c r="C345" s="7" t="str">
        <f>'Утв. ИП 2014-2019'!C347</f>
        <v>реконструкция</v>
      </c>
      <c r="D345" s="8"/>
      <c r="E345" s="8"/>
      <c r="F345" s="8"/>
      <c r="G345" s="8"/>
      <c r="H345" s="8"/>
      <c r="I345" s="8"/>
      <c r="J345" s="23"/>
      <c r="K345" s="8"/>
      <c r="L345" s="23"/>
      <c r="M345" s="8"/>
      <c r="N345" s="8"/>
      <c r="O345" s="8"/>
      <c r="P345" s="8"/>
      <c r="Q345" s="23"/>
      <c r="R345" s="136"/>
      <c r="S345" s="137"/>
      <c r="T345" s="128"/>
      <c r="U345" s="137"/>
      <c r="V345" s="128"/>
      <c r="W345" s="49"/>
      <c r="X345" s="128"/>
      <c r="Y345" s="49"/>
      <c r="Z345" s="128"/>
      <c r="AA345" s="49"/>
      <c r="AB345" s="128"/>
      <c r="AC345" s="49"/>
      <c r="AD345" s="133">
        <f t="shared" si="28"/>
        <v>0</v>
      </c>
      <c r="AE345" s="133">
        <f t="shared" si="29"/>
        <v>0</v>
      </c>
    </row>
    <row r="346" spans="1:31" s="69" customFormat="1" ht="15.75" hidden="1" outlineLevel="2" x14ac:dyDescent="0.2">
      <c r="A346" s="25">
        <f>'Утв. ИП 2014-2019'!A348</f>
        <v>0</v>
      </c>
      <c r="B346" s="6">
        <f>'Утв. ИП 2014-2019'!B348</f>
        <v>0</v>
      </c>
      <c r="C346" s="7" t="str">
        <f>'Утв. ИП 2014-2019'!C348</f>
        <v>строительство</v>
      </c>
      <c r="D346" s="8"/>
      <c r="E346" s="8"/>
      <c r="F346" s="8"/>
      <c r="G346" s="8"/>
      <c r="H346" s="8"/>
      <c r="I346" s="8"/>
      <c r="J346" s="23"/>
      <c r="K346" s="23"/>
      <c r="L346" s="8"/>
      <c r="M346" s="8"/>
      <c r="N346" s="8"/>
      <c r="O346" s="8"/>
      <c r="P346" s="8"/>
      <c r="Q346" s="23"/>
      <c r="R346" s="136"/>
      <c r="S346" s="137"/>
      <c r="T346" s="128"/>
      <c r="U346" s="137"/>
      <c r="V346" s="128"/>
      <c r="W346" s="49"/>
      <c r="X346" s="128"/>
      <c r="Y346" s="49"/>
      <c r="Z346" s="128"/>
      <c r="AA346" s="49"/>
      <c r="AB346" s="128"/>
      <c r="AC346" s="49"/>
      <c r="AD346" s="133">
        <f t="shared" si="28"/>
        <v>0</v>
      </c>
      <c r="AE346" s="133">
        <f t="shared" si="29"/>
        <v>0</v>
      </c>
    </row>
    <row r="347" spans="1:31" s="69" customFormat="1" ht="25.5" hidden="1" outlineLevel="1" collapsed="1" x14ac:dyDescent="0.2">
      <c r="A347" s="25" t="str">
        <f>'Утв. ИП 2014-2019'!A349</f>
        <v>1.1.6.2.61/11</v>
      </c>
      <c r="B347" s="6" t="str">
        <f>'Утв. ИП 2014-2019'!B349</f>
        <v>3.2.36</v>
      </c>
      <c r="C347" s="7" t="str">
        <f>'Утв. ИП 2014-2019'!C349</f>
        <v>Электроснабжение кирпичного гаража с погребом по адресу: г. Липецк, ГСК "Монтажник-2", ряд № 19, гараж № 13</v>
      </c>
      <c r="D347" s="8"/>
      <c r="E347" s="8" t="str">
        <f>'Утв. ИП 2014-2019'!L349</f>
        <v>0,3 км/ 0 МВА</v>
      </c>
      <c r="F347" s="8"/>
      <c r="G347" s="8"/>
      <c r="H347" s="8"/>
      <c r="I347" s="8"/>
      <c r="J347" s="23" t="str">
        <f>'Утв. ИП 2014-2019'!Q349</f>
        <v>0,3 км/ 0 МВА</v>
      </c>
      <c r="K347" s="8"/>
      <c r="L347" s="23"/>
      <c r="M347" s="8"/>
      <c r="N347" s="8"/>
      <c r="O347" s="8"/>
      <c r="P347" s="8"/>
      <c r="Q347" s="23"/>
      <c r="R347" s="136"/>
      <c r="S347" s="137"/>
      <c r="T347" s="128"/>
      <c r="U347" s="137"/>
      <c r="V347" s="128"/>
      <c r="W347" s="49"/>
      <c r="X347" s="128"/>
      <c r="Y347" s="49"/>
      <c r="Z347" s="128"/>
      <c r="AA347" s="49"/>
      <c r="AB347" s="128"/>
      <c r="AC347" s="49"/>
      <c r="AD347" s="133">
        <f t="shared" si="28"/>
        <v>0</v>
      </c>
      <c r="AE347" s="133">
        <f t="shared" si="29"/>
        <v>0</v>
      </c>
    </row>
    <row r="348" spans="1:31" s="69" customFormat="1" ht="15.75" hidden="1" outlineLevel="2" x14ac:dyDescent="0.2">
      <c r="A348" s="25">
        <f>'Утв. ИП 2014-2019'!A350</f>
        <v>0</v>
      </c>
      <c r="B348" s="6">
        <f>'Утв. ИП 2014-2019'!B350</f>
        <v>0</v>
      </c>
      <c r="C348" s="7" t="str">
        <f>'Утв. ИП 2014-2019'!C350</f>
        <v>реконструкция</v>
      </c>
      <c r="D348" s="8"/>
      <c r="E348" s="8"/>
      <c r="F348" s="8"/>
      <c r="G348" s="8"/>
      <c r="H348" s="8"/>
      <c r="I348" s="8"/>
      <c r="J348" s="23"/>
      <c r="K348" s="8"/>
      <c r="L348" s="23"/>
      <c r="M348" s="8"/>
      <c r="N348" s="8"/>
      <c r="O348" s="8"/>
      <c r="P348" s="8"/>
      <c r="Q348" s="23"/>
      <c r="R348" s="136"/>
      <c r="S348" s="137"/>
      <c r="T348" s="128"/>
      <c r="U348" s="137"/>
      <c r="V348" s="128"/>
      <c r="W348" s="49"/>
      <c r="X348" s="128"/>
      <c r="Y348" s="49"/>
      <c r="Z348" s="128"/>
      <c r="AA348" s="49"/>
      <c r="AB348" s="128"/>
      <c r="AC348" s="49"/>
      <c r="AD348" s="133">
        <f t="shared" si="28"/>
        <v>0</v>
      </c>
      <c r="AE348" s="133">
        <f t="shared" si="29"/>
        <v>0</v>
      </c>
    </row>
    <row r="349" spans="1:31" s="69" customFormat="1" ht="15.75" hidden="1" outlineLevel="2" x14ac:dyDescent="0.2">
      <c r="A349" s="25">
        <f>'Утв. ИП 2014-2019'!A351</f>
        <v>0</v>
      </c>
      <c r="B349" s="6">
        <f>'Утв. ИП 2014-2019'!B351</f>
        <v>0</v>
      </c>
      <c r="C349" s="7" t="str">
        <f>'Утв. ИП 2014-2019'!C351</f>
        <v>строительство</v>
      </c>
      <c r="D349" s="8"/>
      <c r="E349" s="8"/>
      <c r="F349" s="8"/>
      <c r="G349" s="8"/>
      <c r="H349" s="8"/>
      <c r="I349" s="8"/>
      <c r="J349" s="23"/>
      <c r="K349" s="8"/>
      <c r="L349" s="23"/>
      <c r="M349" s="8"/>
      <c r="N349" s="8"/>
      <c r="O349" s="8"/>
      <c r="P349" s="8"/>
      <c r="Q349" s="23"/>
      <c r="R349" s="136"/>
      <c r="S349" s="137"/>
      <c r="T349" s="128"/>
      <c r="U349" s="137"/>
      <c r="V349" s="128"/>
      <c r="W349" s="49"/>
      <c r="X349" s="128"/>
      <c r="Y349" s="49"/>
      <c r="Z349" s="128"/>
      <c r="AA349" s="49"/>
      <c r="AB349" s="128"/>
      <c r="AC349" s="49"/>
      <c r="AD349" s="133">
        <f t="shared" si="28"/>
        <v>0</v>
      </c>
      <c r="AE349" s="133">
        <f t="shared" si="29"/>
        <v>0</v>
      </c>
    </row>
    <row r="350" spans="1:31" s="69" customFormat="1" ht="25.5" hidden="1" outlineLevel="1" collapsed="1" x14ac:dyDescent="0.2">
      <c r="A350" s="25" t="str">
        <f>'Утв. ИП 2014-2019'!A352</f>
        <v>1.1.6.2.65/11</v>
      </c>
      <c r="B350" s="6" t="str">
        <f>'Утв. ИП 2014-2019'!B352</f>
        <v>3.2.37</v>
      </c>
      <c r="C350" s="7" t="str">
        <f>'Утв. ИП 2014-2019'!C352</f>
        <v>Строительство КЛ-0,4 кВ от ТП-877 до автоматической мини-АЗС по адресу: г. Липецк, ул. Меркулова</v>
      </c>
      <c r="D350" s="8"/>
      <c r="E350" s="8" t="str">
        <f>'Утв. ИП 2014-2019'!L352</f>
        <v>0,2 км/ 0 МВА</v>
      </c>
      <c r="F350" s="8"/>
      <c r="G350" s="8"/>
      <c r="H350" s="8"/>
      <c r="I350" s="8"/>
      <c r="J350" s="23" t="str">
        <f>'Утв. ИП 2014-2019'!Q352</f>
        <v>0,2 км/ 0 МВА</v>
      </c>
      <c r="K350" s="8"/>
      <c r="L350" s="23"/>
      <c r="M350" s="8"/>
      <c r="N350" s="8"/>
      <c r="O350" s="8"/>
      <c r="P350" s="8"/>
      <c r="Q350" s="23"/>
      <c r="R350" s="136"/>
      <c r="S350" s="137"/>
      <c r="T350" s="128"/>
      <c r="U350" s="137"/>
      <c r="V350" s="128"/>
      <c r="W350" s="49"/>
      <c r="X350" s="128"/>
      <c r="Y350" s="49"/>
      <c r="Z350" s="128"/>
      <c r="AA350" s="49"/>
      <c r="AB350" s="128"/>
      <c r="AC350" s="49"/>
      <c r="AD350" s="133">
        <f t="shared" si="28"/>
        <v>0</v>
      </c>
      <c r="AE350" s="133">
        <f t="shared" si="29"/>
        <v>0</v>
      </c>
    </row>
    <row r="351" spans="1:31" s="69" customFormat="1" ht="15.75" hidden="1" outlineLevel="2" x14ac:dyDescent="0.2">
      <c r="A351" s="25">
        <f>'Утв. ИП 2014-2019'!A353</f>
        <v>0</v>
      </c>
      <c r="B351" s="6">
        <f>'Утв. ИП 2014-2019'!B353</f>
        <v>0</v>
      </c>
      <c r="C351" s="7" t="str">
        <f>'Утв. ИП 2014-2019'!C353</f>
        <v>реконструкция</v>
      </c>
      <c r="D351" s="8"/>
      <c r="E351" s="8"/>
      <c r="F351" s="8"/>
      <c r="G351" s="8"/>
      <c r="H351" s="8"/>
      <c r="I351" s="8"/>
      <c r="J351" s="23"/>
      <c r="K351" s="8"/>
      <c r="L351" s="23"/>
      <c r="M351" s="8"/>
      <c r="N351" s="8"/>
      <c r="O351" s="8"/>
      <c r="P351" s="8"/>
      <c r="Q351" s="23"/>
      <c r="R351" s="136"/>
      <c r="S351" s="137"/>
      <c r="T351" s="128"/>
      <c r="U351" s="137"/>
      <c r="V351" s="128"/>
      <c r="W351" s="49"/>
      <c r="X351" s="128"/>
      <c r="Y351" s="49"/>
      <c r="Z351" s="128"/>
      <c r="AA351" s="49"/>
      <c r="AB351" s="128"/>
      <c r="AC351" s="49"/>
      <c r="AD351" s="133">
        <f t="shared" si="28"/>
        <v>0</v>
      </c>
      <c r="AE351" s="133">
        <f t="shared" si="29"/>
        <v>0</v>
      </c>
    </row>
    <row r="352" spans="1:31" s="69" customFormat="1" ht="15.75" hidden="1" outlineLevel="2" x14ac:dyDescent="0.2">
      <c r="A352" s="25">
        <f>'Утв. ИП 2014-2019'!A354</f>
        <v>0</v>
      </c>
      <c r="B352" s="6">
        <f>'Утв. ИП 2014-2019'!B354</f>
        <v>0</v>
      </c>
      <c r="C352" s="7" t="str">
        <f>'Утв. ИП 2014-2019'!C354</f>
        <v>строительство</v>
      </c>
      <c r="D352" s="8"/>
      <c r="E352" s="8"/>
      <c r="F352" s="8"/>
      <c r="G352" s="8"/>
      <c r="H352" s="8"/>
      <c r="I352" s="8"/>
      <c r="J352" s="23"/>
      <c r="K352" s="8"/>
      <c r="L352" s="23"/>
      <c r="M352" s="8"/>
      <c r="N352" s="8"/>
      <c r="O352" s="8"/>
      <c r="P352" s="8"/>
      <c r="Q352" s="23"/>
      <c r="R352" s="136"/>
      <c r="S352" s="137"/>
      <c r="T352" s="128"/>
      <c r="U352" s="137"/>
      <c r="V352" s="128"/>
      <c r="W352" s="49"/>
      <c r="X352" s="128"/>
      <c r="Y352" s="49"/>
      <c r="Z352" s="128"/>
      <c r="AA352" s="49"/>
      <c r="AB352" s="128"/>
      <c r="AC352" s="49"/>
      <c r="AD352" s="133">
        <f t="shared" si="28"/>
        <v>0</v>
      </c>
      <c r="AE352" s="133">
        <f t="shared" si="29"/>
        <v>0</v>
      </c>
    </row>
    <row r="353" spans="1:31" s="69" customFormat="1" ht="25.5" hidden="1" outlineLevel="1" collapsed="1" x14ac:dyDescent="0.2">
      <c r="A353" s="25" t="str">
        <f>'Утв. ИП 2014-2019'!A355</f>
        <v>1.1.6.2.66/11</v>
      </c>
      <c r="B353" s="6" t="str">
        <f>'Утв. ИП 2014-2019'!B355</f>
        <v>3.2.38</v>
      </c>
      <c r="C353" s="7" t="str">
        <f>'Утв. ИП 2014-2019'!C355</f>
        <v>Строительство КЛ-0,4 кВ от ТП-809 до автоматической мини-АЗС по адресу: г. Липецк, ул. Неделина</v>
      </c>
      <c r="D353" s="8"/>
      <c r="E353" s="8" t="str">
        <f>'Утв. ИП 2014-2019'!L355</f>
        <v>0,1 км/ 0 МВА</v>
      </c>
      <c r="F353" s="8"/>
      <c r="G353" s="8"/>
      <c r="H353" s="8"/>
      <c r="I353" s="8"/>
      <c r="J353" s="23" t="str">
        <f>'Утв. ИП 2014-2019'!Q355</f>
        <v>0,1 км/ 0 МВА</v>
      </c>
      <c r="K353" s="8"/>
      <c r="L353" s="23"/>
      <c r="M353" s="8"/>
      <c r="N353" s="8"/>
      <c r="O353" s="8"/>
      <c r="P353" s="8"/>
      <c r="Q353" s="23"/>
      <c r="R353" s="136"/>
      <c r="S353" s="137"/>
      <c r="T353" s="128"/>
      <c r="U353" s="137"/>
      <c r="V353" s="128"/>
      <c r="W353" s="49"/>
      <c r="X353" s="128"/>
      <c r="Y353" s="49"/>
      <c r="Z353" s="128"/>
      <c r="AA353" s="49"/>
      <c r="AB353" s="128"/>
      <c r="AC353" s="49"/>
      <c r="AD353" s="133">
        <f t="shared" si="28"/>
        <v>0</v>
      </c>
      <c r="AE353" s="133">
        <f t="shared" si="29"/>
        <v>0</v>
      </c>
    </row>
    <row r="354" spans="1:31" s="69" customFormat="1" ht="15.75" hidden="1" outlineLevel="2" x14ac:dyDescent="0.2">
      <c r="A354" s="25">
        <f>'Утв. ИП 2014-2019'!A356</f>
        <v>0</v>
      </c>
      <c r="B354" s="6">
        <f>'Утв. ИП 2014-2019'!B356</f>
        <v>0</v>
      </c>
      <c r="C354" s="7" t="str">
        <f>'Утв. ИП 2014-2019'!C356</f>
        <v>реконструкция</v>
      </c>
      <c r="D354" s="8"/>
      <c r="E354" s="8"/>
      <c r="F354" s="8"/>
      <c r="G354" s="8"/>
      <c r="H354" s="8"/>
      <c r="I354" s="8"/>
      <c r="J354" s="23"/>
      <c r="K354" s="23"/>
      <c r="L354" s="8"/>
      <c r="M354" s="8"/>
      <c r="N354" s="8"/>
      <c r="O354" s="8"/>
      <c r="P354" s="8"/>
      <c r="Q354" s="23"/>
      <c r="R354" s="136"/>
      <c r="S354" s="137"/>
      <c r="T354" s="128"/>
      <c r="U354" s="137"/>
      <c r="V354" s="128"/>
      <c r="W354" s="49"/>
      <c r="X354" s="128"/>
      <c r="Y354" s="49"/>
      <c r="Z354" s="128"/>
      <c r="AA354" s="49"/>
      <c r="AB354" s="128"/>
      <c r="AC354" s="49"/>
      <c r="AD354" s="133">
        <f t="shared" si="28"/>
        <v>0</v>
      </c>
      <c r="AE354" s="133">
        <f t="shared" si="29"/>
        <v>0</v>
      </c>
    </row>
    <row r="355" spans="1:31" s="69" customFormat="1" ht="15.75" hidden="1" outlineLevel="2" x14ac:dyDescent="0.2">
      <c r="A355" s="25">
        <f>'Утв. ИП 2014-2019'!A357</f>
        <v>0</v>
      </c>
      <c r="B355" s="6">
        <f>'Утв. ИП 2014-2019'!B357</f>
        <v>0</v>
      </c>
      <c r="C355" s="7" t="str">
        <f>'Утв. ИП 2014-2019'!C357</f>
        <v>строительство</v>
      </c>
      <c r="D355" s="8"/>
      <c r="E355" s="8"/>
      <c r="F355" s="8"/>
      <c r="G355" s="8"/>
      <c r="H355" s="8"/>
      <c r="I355" s="8"/>
      <c r="J355" s="23"/>
      <c r="K355" s="8"/>
      <c r="L355" s="23"/>
      <c r="M355" s="8"/>
      <c r="N355" s="8"/>
      <c r="O355" s="8"/>
      <c r="P355" s="8"/>
      <c r="Q355" s="23"/>
      <c r="R355" s="136"/>
      <c r="S355" s="137"/>
      <c r="T355" s="128"/>
      <c r="U355" s="137"/>
      <c r="V355" s="128"/>
      <c r="W355" s="49"/>
      <c r="X355" s="128"/>
      <c r="Y355" s="49"/>
      <c r="Z355" s="128"/>
      <c r="AA355" s="49"/>
      <c r="AB355" s="128"/>
      <c r="AC355" s="49"/>
      <c r="AD355" s="133">
        <f t="shared" si="28"/>
        <v>0</v>
      </c>
      <c r="AE355" s="133">
        <f t="shared" si="29"/>
        <v>0</v>
      </c>
    </row>
    <row r="356" spans="1:31" s="69" customFormat="1" ht="25.5" hidden="1" outlineLevel="1" collapsed="1" x14ac:dyDescent="0.2">
      <c r="A356" s="25" t="str">
        <f>'Утв. ИП 2014-2019'!A358</f>
        <v>1.1.6.2.86/11</v>
      </c>
      <c r="B356" s="6" t="str">
        <f>'Утв. ИП 2014-2019'!B358</f>
        <v>3.2.39</v>
      </c>
      <c r="C356" s="7" t="str">
        <f>'Утв. ИП 2014-2019'!C358</f>
        <v>Электроснабжение садовых домиков в потребительском обществе пенсионеров и инвалидов "Сокол-1", г. Липецк</v>
      </c>
      <c r="D356" s="8" t="str">
        <f>'Утв. ИП 2014-2019'!K358</f>
        <v>0,4 км/ 0 МВА</v>
      </c>
      <c r="E356" s="8"/>
      <c r="F356" s="8"/>
      <c r="G356" s="8"/>
      <c r="H356" s="8"/>
      <c r="I356" s="8"/>
      <c r="J356" s="23" t="str">
        <f>'Утв. ИП 2014-2019'!Q358</f>
        <v>0,4 км/ 0 МВА</v>
      </c>
      <c r="K356" s="8"/>
      <c r="L356" s="23"/>
      <c r="M356" s="8"/>
      <c r="N356" s="8"/>
      <c r="O356" s="8"/>
      <c r="P356" s="8"/>
      <c r="Q356" s="23"/>
      <c r="R356" s="136"/>
      <c r="S356" s="137"/>
      <c r="T356" s="128"/>
      <c r="U356" s="137"/>
      <c r="V356" s="128"/>
      <c r="W356" s="49"/>
      <c r="X356" s="128"/>
      <c r="Y356" s="49"/>
      <c r="Z356" s="128"/>
      <c r="AA356" s="49"/>
      <c r="AB356" s="128"/>
      <c r="AC356" s="49"/>
      <c r="AD356" s="133">
        <f t="shared" si="28"/>
        <v>0</v>
      </c>
      <c r="AE356" s="133">
        <f t="shared" si="29"/>
        <v>0</v>
      </c>
    </row>
    <row r="357" spans="1:31" s="69" customFormat="1" ht="15.75" hidden="1" outlineLevel="2" x14ac:dyDescent="0.2">
      <c r="A357" s="25">
        <f>'Утв. ИП 2014-2019'!A359</f>
        <v>0</v>
      </c>
      <c r="B357" s="6">
        <f>'Утв. ИП 2014-2019'!B359</f>
        <v>0</v>
      </c>
      <c r="C357" s="7" t="str">
        <f>'Утв. ИП 2014-2019'!C359</f>
        <v>реконструкция</v>
      </c>
      <c r="D357" s="8"/>
      <c r="E357" s="8"/>
      <c r="F357" s="8"/>
      <c r="G357" s="8"/>
      <c r="H357" s="8"/>
      <c r="I357" s="8"/>
      <c r="J357" s="23"/>
      <c r="K357" s="23"/>
      <c r="L357" s="8"/>
      <c r="M357" s="8"/>
      <c r="N357" s="8"/>
      <c r="O357" s="8"/>
      <c r="P357" s="8"/>
      <c r="Q357" s="23"/>
      <c r="R357" s="136"/>
      <c r="S357" s="137"/>
      <c r="T357" s="128"/>
      <c r="U357" s="137"/>
      <c r="V357" s="128"/>
      <c r="W357" s="49"/>
      <c r="X357" s="128"/>
      <c r="Y357" s="49"/>
      <c r="Z357" s="128"/>
      <c r="AA357" s="49"/>
      <c r="AB357" s="128"/>
      <c r="AC357" s="49"/>
      <c r="AD357" s="133">
        <f t="shared" si="28"/>
        <v>0</v>
      </c>
      <c r="AE357" s="133">
        <f t="shared" si="29"/>
        <v>0</v>
      </c>
    </row>
    <row r="358" spans="1:31" s="69" customFormat="1" ht="15.75" hidden="1" outlineLevel="2" x14ac:dyDescent="0.2">
      <c r="A358" s="25">
        <f>'Утв. ИП 2014-2019'!A360</f>
        <v>0</v>
      </c>
      <c r="B358" s="6">
        <f>'Утв. ИП 2014-2019'!B360</f>
        <v>0</v>
      </c>
      <c r="C358" s="7" t="str">
        <f>'Утв. ИП 2014-2019'!C360</f>
        <v>строительство</v>
      </c>
      <c r="D358" s="8"/>
      <c r="E358" s="8"/>
      <c r="F358" s="8"/>
      <c r="G358" s="8"/>
      <c r="H358" s="8"/>
      <c r="I358" s="8"/>
      <c r="J358" s="23"/>
      <c r="K358" s="8"/>
      <c r="L358" s="23"/>
      <c r="M358" s="8"/>
      <c r="N358" s="8"/>
      <c r="O358" s="8"/>
      <c r="P358" s="8"/>
      <c r="Q358" s="23"/>
      <c r="R358" s="136"/>
      <c r="S358" s="137"/>
      <c r="T358" s="128"/>
      <c r="U358" s="137"/>
      <c r="V358" s="128"/>
      <c r="W358" s="49"/>
      <c r="X358" s="128"/>
      <c r="Y358" s="49"/>
      <c r="Z358" s="128"/>
      <c r="AA358" s="49"/>
      <c r="AB358" s="128"/>
      <c r="AC358" s="49"/>
      <c r="AD358" s="133">
        <f t="shared" si="28"/>
        <v>0</v>
      </c>
      <c r="AE358" s="133">
        <f t="shared" si="29"/>
        <v>0</v>
      </c>
    </row>
    <row r="359" spans="1:31" s="69" customFormat="1" ht="25.5" hidden="1" outlineLevel="1" collapsed="1" x14ac:dyDescent="0.2">
      <c r="A359" s="25" t="str">
        <f>'Утв. ИП 2014-2019'!A361</f>
        <v>1.1.6.2.91/11</v>
      </c>
      <c r="B359" s="6" t="str">
        <f>'Утв. ИП 2014-2019'!B361</f>
        <v>3.2.40</v>
      </c>
      <c r="C359" s="7" t="str">
        <f>'Утв. ИП 2014-2019'!C361</f>
        <v>Электроснабжение жилого дома по адресу: г. Липецк, пр. Комсомольский, д. 7</v>
      </c>
      <c r="D359" s="8"/>
      <c r="E359" s="8" t="str">
        <f>'Утв. ИП 2014-2019'!L361</f>
        <v>0,05 км/ 0 МВА</v>
      </c>
      <c r="F359" s="8"/>
      <c r="G359" s="8"/>
      <c r="H359" s="8"/>
      <c r="I359" s="8"/>
      <c r="J359" s="23" t="str">
        <f>'Утв. ИП 2014-2019'!Q361</f>
        <v>0,05 км/ 0 МВА</v>
      </c>
      <c r="K359" s="8"/>
      <c r="L359" s="23"/>
      <c r="M359" s="8"/>
      <c r="N359" s="8"/>
      <c r="O359" s="8"/>
      <c r="P359" s="8"/>
      <c r="Q359" s="23"/>
      <c r="R359" s="166"/>
      <c r="S359" s="167"/>
      <c r="T359" s="168"/>
      <c r="U359" s="167"/>
      <c r="V359" s="168"/>
      <c r="W359" s="169"/>
      <c r="X359" s="168"/>
      <c r="Y359" s="169"/>
      <c r="Z359" s="168"/>
      <c r="AA359" s="169"/>
      <c r="AB359" s="168"/>
      <c r="AC359" s="169"/>
      <c r="AD359" s="133">
        <f t="shared" si="28"/>
        <v>0</v>
      </c>
      <c r="AE359" s="133">
        <f t="shared" si="29"/>
        <v>0</v>
      </c>
    </row>
    <row r="360" spans="1:31" s="69" customFormat="1" ht="15.75" hidden="1" outlineLevel="2" x14ac:dyDescent="0.2">
      <c r="A360" s="25">
        <f>'Утв. ИП 2014-2019'!A362</f>
        <v>0</v>
      </c>
      <c r="B360" s="6">
        <f>'Утв. ИП 2014-2019'!B362</f>
        <v>0</v>
      </c>
      <c r="C360" s="7" t="str">
        <f>'Утв. ИП 2014-2019'!C362</f>
        <v>реконструкция</v>
      </c>
      <c r="D360" s="8"/>
      <c r="E360" s="8"/>
      <c r="F360" s="8"/>
      <c r="G360" s="8"/>
      <c r="H360" s="8"/>
      <c r="I360" s="8"/>
      <c r="J360" s="23"/>
      <c r="K360" s="8"/>
      <c r="L360" s="23"/>
      <c r="M360" s="8"/>
      <c r="N360" s="8"/>
      <c r="O360" s="8"/>
      <c r="P360" s="8"/>
      <c r="Q360" s="23"/>
      <c r="R360" s="166"/>
      <c r="S360" s="167"/>
      <c r="T360" s="168"/>
      <c r="U360" s="167"/>
      <c r="V360" s="168"/>
      <c r="W360" s="169"/>
      <c r="X360" s="168"/>
      <c r="Y360" s="169"/>
      <c r="Z360" s="168"/>
      <c r="AA360" s="169"/>
      <c r="AB360" s="168"/>
      <c r="AC360" s="169"/>
      <c r="AD360" s="133">
        <f t="shared" si="28"/>
        <v>0</v>
      </c>
      <c r="AE360" s="133">
        <f t="shared" si="29"/>
        <v>0</v>
      </c>
    </row>
    <row r="361" spans="1:31" s="69" customFormat="1" ht="15.75" hidden="1" outlineLevel="2" x14ac:dyDescent="0.2">
      <c r="A361" s="25">
        <f>'Утв. ИП 2014-2019'!A363</f>
        <v>0</v>
      </c>
      <c r="B361" s="6">
        <f>'Утв. ИП 2014-2019'!B363</f>
        <v>0</v>
      </c>
      <c r="C361" s="7" t="str">
        <f>'Утв. ИП 2014-2019'!C363</f>
        <v>строительство</v>
      </c>
      <c r="D361" s="8"/>
      <c r="E361" s="8"/>
      <c r="F361" s="8"/>
      <c r="G361" s="8"/>
      <c r="H361" s="8"/>
      <c r="I361" s="8"/>
      <c r="J361" s="23"/>
      <c r="K361" s="8"/>
      <c r="L361" s="23"/>
      <c r="M361" s="8"/>
      <c r="N361" s="8"/>
      <c r="O361" s="8"/>
      <c r="P361" s="8"/>
      <c r="Q361" s="23"/>
      <c r="R361" s="166"/>
      <c r="S361" s="167"/>
      <c r="T361" s="168"/>
      <c r="U361" s="167"/>
      <c r="V361" s="168"/>
      <c r="W361" s="169"/>
      <c r="X361" s="168"/>
      <c r="Y361" s="169"/>
      <c r="Z361" s="168"/>
      <c r="AA361" s="169"/>
      <c r="AB361" s="168"/>
      <c r="AC361" s="169"/>
      <c r="AD361" s="133">
        <f t="shared" si="28"/>
        <v>0</v>
      </c>
      <c r="AE361" s="133">
        <f t="shared" si="29"/>
        <v>0</v>
      </c>
    </row>
    <row r="362" spans="1:31" s="69" customFormat="1" ht="25.5" hidden="1" outlineLevel="1" collapsed="1" x14ac:dyDescent="0.2">
      <c r="A362" s="25" t="str">
        <f>'Утв. ИП 2014-2019'!A364</f>
        <v>1.1.6.2.93/11</v>
      </c>
      <c r="B362" s="6" t="str">
        <f>'Утв. ИП 2014-2019'!B364</f>
        <v>3.2.41</v>
      </c>
      <c r="C362" s="7" t="str">
        <f>'Утв. ИП 2014-2019'!C364</f>
        <v>Электроснабжение индивидуального жилого дома по адресу: г. Липецк, ул. Днепровская, д. 9</v>
      </c>
      <c r="D362" s="8"/>
      <c r="E362" s="8" t="str">
        <f>'Утв. ИП 2014-2019'!L364</f>
        <v>0,1 км/ 0 МВА</v>
      </c>
      <c r="F362" s="8"/>
      <c r="G362" s="8"/>
      <c r="H362" s="8"/>
      <c r="I362" s="8"/>
      <c r="J362" s="23" t="str">
        <f>'Утв. ИП 2014-2019'!Q364</f>
        <v>0,1 км/ 0 МВА</v>
      </c>
      <c r="K362" s="8"/>
      <c r="L362" s="23"/>
      <c r="M362" s="8"/>
      <c r="N362" s="8"/>
      <c r="O362" s="8"/>
      <c r="P362" s="8"/>
      <c r="Q362" s="23"/>
      <c r="R362" s="136"/>
      <c r="S362" s="137"/>
      <c r="T362" s="128"/>
      <c r="U362" s="137"/>
      <c r="V362" s="128"/>
      <c r="W362" s="49"/>
      <c r="X362" s="128"/>
      <c r="Y362" s="49"/>
      <c r="Z362" s="128"/>
      <c r="AA362" s="49"/>
      <c r="AB362" s="128"/>
      <c r="AC362" s="49"/>
      <c r="AD362" s="133">
        <f t="shared" si="28"/>
        <v>0</v>
      </c>
      <c r="AE362" s="133">
        <f t="shared" si="29"/>
        <v>0</v>
      </c>
    </row>
    <row r="363" spans="1:31" s="69" customFormat="1" ht="15.75" hidden="1" outlineLevel="2" x14ac:dyDescent="0.2">
      <c r="A363" s="25">
        <f>'Утв. ИП 2014-2019'!A365</f>
        <v>0</v>
      </c>
      <c r="B363" s="6">
        <f>'Утв. ИП 2014-2019'!B365</f>
        <v>0</v>
      </c>
      <c r="C363" s="7" t="str">
        <f>'Утв. ИП 2014-2019'!C365</f>
        <v>реконструкция</v>
      </c>
      <c r="D363" s="8"/>
      <c r="E363" s="8"/>
      <c r="F363" s="8"/>
      <c r="G363" s="8"/>
      <c r="H363" s="8"/>
      <c r="I363" s="8"/>
      <c r="J363" s="23"/>
      <c r="K363" s="8"/>
      <c r="L363" s="23"/>
      <c r="M363" s="8"/>
      <c r="N363" s="8"/>
      <c r="O363" s="8"/>
      <c r="P363" s="8"/>
      <c r="Q363" s="23"/>
      <c r="R363" s="136"/>
      <c r="S363" s="137"/>
      <c r="T363" s="128"/>
      <c r="U363" s="137"/>
      <c r="V363" s="128"/>
      <c r="W363" s="49"/>
      <c r="X363" s="128"/>
      <c r="Y363" s="49"/>
      <c r="Z363" s="128"/>
      <c r="AA363" s="49"/>
      <c r="AB363" s="128"/>
      <c r="AC363" s="49"/>
      <c r="AD363" s="133">
        <f t="shared" si="28"/>
        <v>0</v>
      </c>
      <c r="AE363" s="133">
        <f t="shared" si="29"/>
        <v>0</v>
      </c>
    </row>
    <row r="364" spans="1:31" s="69" customFormat="1" ht="15.75" hidden="1" outlineLevel="2" x14ac:dyDescent="0.2">
      <c r="A364" s="25">
        <f>'Утв. ИП 2014-2019'!A366</f>
        <v>0</v>
      </c>
      <c r="B364" s="6">
        <f>'Утв. ИП 2014-2019'!B366</f>
        <v>0</v>
      </c>
      <c r="C364" s="7" t="str">
        <f>'Утв. ИП 2014-2019'!C366</f>
        <v>строительство</v>
      </c>
      <c r="D364" s="8"/>
      <c r="E364" s="8"/>
      <c r="F364" s="8"/>
      <c r="G364" s="8"/>
      <c r="H364" s="8"/>
      <c r="I364" s="8"/>
      <c r="J364" s="23"/>
      <c r="K364" s="8"/>
      <c r="L364" s="23"/>
      <c r="M364" s="8"/>
      <c r="N364" s="8"/>
      <c r="O364" s="8"/>
      <c r="P364" s="8"/>
      <c r="Q364" s="23"/>
      <c r="R364" s="136"/>
      <c r="S364" s="137"/>
      <c r="T364" s="128"/>
      <c r="U364" s="137"/>
      <c r="V364" s="128"/>
      <c r="W364" s="49"/>
      <c r="X364" s="128"/>
      <c r="Y364" s="49"/>
      <c r="Z364" s="128"/>
      <c r="AA364" s="49"/>
      <c r="AB364" s="128"/>
      <c r="AC364" s="49"/>
      <c r="AD364" s="133">
        <f t="shared" si="28"/>
        <v>0</v>
      </c>
      <c r="AE364" s="133">
        <f t="shared" si="29"/>
        <v>0</v>
      </c>
    </row>
    <row r="365" spans="1:31" s="69" customFormat="1" ht="38.25" hidden="1" outlineLevel="1" collapsed="1" x14ac:dyDescent="0.2">
      <c r="A365" s="25" t="str">
        <f>'Утв. ИП 2014-2019'!A367</f>
        <v>1.1.6.2.100/11</v>
      </c>
      <c r="B365" s="6" t="str">
        <f>'Утв. ИП 2014-2019'!B367</f>
        <v>3.2.42</v>
      </c>
      <c r="C365" s="7" t="str">
        <f>'Утв. ИП 2014-2019'!C367</f>
        <v>Монтаж коммутационного аппарата РУ-0,4 кВ ТП-163 для электроснабжения автостоянки закрытого типа (гаражей), бытовых зданий по адресу: г. Липецк, ул. Коммунальная, стр.8а</v>
      </c>
      <c r="D365" s="8" t="str">
        <f>'Утв. ИП 2014-2019'!K367</f>
        <v>0,0 км/ 0 МВА</v>
      </c>
      <c r="E365" s="8"/>
      <c r="F365" s="8"/>
      <c r="G365" s="8"/>
      <c r="H365" s="8"/>
      <c r="I365" s="8"/>
      <c r="J365" s="23" t="str">
        <f>'Утв. ИП 2014-2019'!Q367</f>
        <v>0,0 км/ 0 МВА</v>
      </c>
      <c r="K365" s="8"/>
      <c r="L365" s="23"/>
      <c r="M365" s="8"/>
      <c r="N365" s="8"/>
      <c r="O365" s="8"/>
      <c r="P365" s="8"/>
      <c r="Q365" s="23"/>
      <c r="R365" s="136"/>
      <c r="S365" s="137"/>
      <c r="T365" s="128"/>
      <c r="U365" s="137"/>
      <c r="V365" s="128"/>
      <c r="W365" s="49"/>
      <c r="X365" s="128"/>
      <c r="Y365" s="49"/>
      <c r="Z365" s="128"/>
      <c r="AA365" s="49"/>
      <c r="AB365" s="128"/>
      <c r="AC365" s="49"/>
      <c r="AD365" s="133">
        <f t="shared" si="28"/>
        <v>0</v>
      </c>
      <c r="AE365" s="133">
        <f t="shared" si="29"/>
        <v>0</v>
      </c>
    </row>
    <row r="366" spans="1:31" s="69" customFormat="1" ht="15.75" hidden="1" outlineLevel="2" x14ac:dyDescent="0.2">
      <c r="A366" s="25">
        <f>'Утв. ИП 2014-2019'!A368</f>
        <v>0</v>
      </c>
      <c r="B366" s="6">
        <f>'Утв. ИП 2014-2019'!B368</f>
        <v>0</v>
      </c>
      <c r="C366" s="7" t="str">
        <f>'Утв. ИП 2014-2019'!C368</f>
        <v>реконструкция</v>
      </c>
      <c r="D366" s="8"/>
      <c r="E366" s="8"/>
      <c r="F366" s="8"/>
      <c r="G366" s="8"/>
      <c r="H366" s="8"/>
      <c r="I366" s="8"/>
      <c r="J366" s="23"/>
      <c r="K366" s="8"/>
      <c r="L366" s="23"/>
      <c r="M366" s="8"/>
      <c r="N366" s="8"/>
      <c r="O366" s="8"/>
      <c r="P366" s="8"/>
      <c r="Q366" s="23"/>
      <c r="R366" s="136"/>
      <c r="S366" s="137"/>
      <c r="T366" s="128"/>
      <c r="U366" s="137"/>
      <c r="V366" s="128"/>
      <c r="W366" s="49"/>
      <c r="X366" s="128"/>
      <c r="Y366" s="49"/>
      <c r="Z366" s="128"/>
      <c r="AA366" s="49"/>
      <c r="AB366" s="128"/>
      <c r="AC366" s="49"/>
      <c r="AD366" s="133">
        <f t="shared" si="28"/>
        <v>0</v>
      </c>
      <c r="AE366" s="133">
        <f t="shared" si="29"/>
        <v>0</v>
      </c>
    </row>
    <row r="367" spans="1:31" s="69" customFormat="1" ht="15.75" hidden="1" outlineLevel="2" x14ac:dyDescent="0.2">
      <c r="A367" s="25">
        <f>'Утв. ИП 2014-2019'!A369</f>
        <v>0</v>
      </c>
      <c r="B367" s="6">
        <f>'Утв. ИП 2014-2019'!B369</f>
        <v>0</v>
      </c>
      <c r="C367" s="7" t="str">
        <f>'Утв. ИП 2014-2019'!C369</f>
        <v>строительство</v>
      </c>
      <c r="D367" s="8"/>
      <c r="E367" s="8"/>
      <c r="F367" s="8"/>
      <c r="G367" s="8"/>
      <c r="H367" s="8"/>
      <c r="I367" s="8"/>
      <c r="J367" s="23"/>
      <c r="K367" s="23"/>
      <c r="L367" s="8"/>
      <c r="M367" s="8"/>
      <c r="N367" s="8"/>
      <c r="O367" s="8"/>
      <c r="P367" s="8"/>
      <c r="Q367" s="23"/>
      <c r="R367" s="136"/>
      <c r="S367" s="137"/>
      <c r="T367" s="128"/>
      <c r="U367" s="137"/>
      <c r="V367" s="128"/>
      <c r="W367" s="49"/>
      <c r="X367" s="128"/>
      <c r="Y367" s="49"/>
      <c r="Z367" s="128"/>
      <c r="AA367" s="49"/>
      <c r="AB367" s="128"/>
      <c r="AC367" s="49"/>
      <c r="AD367" s="133">
        <f t="shared" si="28"/>
        <v>0</v>
      </c>
      <c r="AE367" s="133">
        <f t="shared" si="29"/>
        <v>0</v>
      </c>
    </row>
    <row r="368" spans="1:31" s="69" customFormat="1" ht="25.5" hidden="1" outlineLevel="1" collapsed="1" x14ac:dyDescent="0.2">
      <c r="A368" s="25" t="str">
        <f>'Утв. ИП 2014-2019'!A370</f>
        <v>1.1.6.2.106/11</v>
      </c>
      <c r="B368" s="6" t="str">
        <f>'Утв. ИП 2014-2019'!B370</f>
        <v>3.2.43</v>
      </c>
      <c r="C368" s="7" t="str">
        <f>'Утв. ИП 2014-2019'!C370</f>
        <v>Электроснабжение части II жилого дома по адресу: г. Липецк, ул. Большие ключи, д. 14,часть II</v>
      </c>
      <c r="D368" s="8"/>
      <c r="E368" s="8" t="str">
        <f>'Утв. ИП 2014-2019'!L370</f>
        <v>0,2 км/ 0 МВА</v>
      </c>
      <c r="F368" s="8"/>
      <c r="G368" s="8"/>
      <c r="H368" s="8"/>
      <c r="I368" s="8"/>
      <c r="J368" s="23" t="str">
        <f>'Утв. ИП 2014-2019'!Q370</f>
        <v>0,2 км/ 0 МВА</v>
      </c>
      <c r="K368" s="8"/>
      <c r="L368" s="23"/>
      <c r="M368" s="8"/>
      <c r="N368" s="8"/>
      <c r="O368" s="8"/>
      <c r="P368" s="8"/>
      <c r="Q368" s="23"/>
      <c r="R368" s="166"/>
      <c r="S368" s="167"/>
      <c r="T368" s="168"/>
      <c r="U368" s="167"/>
      <c r="V368" s="168"/>
      <c r="W368" s="169"/>
      <c r="X368" s="168"/>
      <c r="Y368" s="169"/>
      <c r="Z368" s="168"/>
      <c r="AA368" s="169"/>
      <c r="AB368" s="168"/>
      <c r="AC368" s="169"/>
      <c r="AD368" s="133">
        <f t="shared" si="28"/>
        <v>0</v>
      </c>
      <c r="AE368" s="133">
        <f t="shared" si="29"/>
        <v>0</v>
      </c>
    </row>
    <row r="369" spans="1:31" s="69" customFormat="1" ht="15.75" hidden="1" outlineLevel="2" x14ac:dyDescent="0.2">
      <c r="A369" s="25">
        <f>'Утв. ИП 2014-2019'!A371</f>
        <v>0</v>
      </c>
      <c r="B369" s="6">
        <f>'Утв. ИП 2014-2019'!B371</f>
        <v>0</v>
      </c>
      <c r="C369" s="7" t="str">
        <f>'Утв. ИП 2014-2019'!C371</f>
        <v>реконструкция</v>
      </c>
      <c r="D369" s="8"/>
      <c r="E369" s="8"/>
      <c r="F369" s="8"/>
      <c r="G369" s="8"/>
      <c r="H369" s="8"/>
      <c r="I369" s="8"/>
      <c r="J369" s="23"/>
      <c r="K369" s="8"/>
      <c r="L369" s="23"/>
      <c r="M369" s="8"/>
      <c r="N369" s="8"/>
      <c r="O369" s="8"/>
      <c r="P369" s="8"/>
      <c r="Q369" s="23"/>
      <c r="R369" s="166"/>
      <c r="S369" s="167"/>
      <c r="T369" s="168"/>
      <c r="U369" s="167"/>
      <c r="V369" s="168"/>
      <c r="W369" s="169"/>
      <c r="X369" s="168"/>
      <c r="Y369" s="169"/>
      <c r="Z369" s="168"/>
      <c r="AA369" s="169"/>
      <c r="AB369" s="168"/>
      <c r="AC369" s="169"/>
      <c r="AD369" s="133">
        <f t="shared" si="28"/>
        <v>0</v>
      </c>
      <c r="AE369" s="133">
        <f t="shared" si="29"/>
        <v>0</v>
      </c>
    </row>
    <row r="370" spans="1:31" s="69" customFormat="1" ht="15.75" hidden="1" outlineLevel="2" x14ac:dyDescent="0.2">
      <c r="A370" s="25">
        <f>'Утв. ИП 2014-2019'!A372</f>
        <v>0</v>
      </c>
      <c r="B370" s="6">
        <f>'Утв. ИП 2014-2019'!B372</f>
        <v>0</v>
      </c>
      <c r="C370" s="7" t="str">
        <f>'Утв. ИП 2014-2019'!C372</f>
        <v>строительство</v>
      </c>
      <c r="D370" s="8"/>
      <c r="E370" s="8"/>
      <c r="F370" s="8"/>
      <c r="G370" s="8"/>
      <c r="H370" s="8"/>
      <c r="I370" s="8"/>
      <c r="J370" s="23"/>
      <c r="K370" s="8"/>
      <c r="L370" s="23"/>
      <c r="M370" s="8"/>
      <c r="N370" s="8"/>
      <c r="O370" s="8"/>
      <c r="P370" s="8"/>
      <c r="Q370" s="23"/>
      <c r="R370" s="166"/>
      <c r="S370" s="167"/>
      <c r="T370" s="168"/>
      <c r="U370" s="167"/>
      <c r="V370" s="168"/>
      <c r="W370" s="169"/>
      <c r="X370" s="168"/>
      <c r="Y370" s="169"/>
      <c r="Z370" s="168"/>
      <c r="AA370" s="169"/>
      <c r="AB370" s="168"/>
      <c r="AC370" s="169"/>
      <c r="AD370" s="133">
        <f t="shared" si="28"/>
        <v>0</v>
      </c>
      <c r="AE370" s="133">
        <f t="shared" si="29"/>
        <v>0</v>
      </c>
    </row>
    <row r="371" spans="1:31" s="69" customFormat="1" ht="51" hidden="1" outlineLevel="1" collapsed="1" x14ac:dyDescent="0.2">
      <c r="A371" s="25" t="str">
        <f>'Утв. ИП 2014-2019'!A373</f>
        <v>1.1.6.2.111/11</v>
      </c>
      <c r="B371" s="6" t="str">
        <f>'Утв. ИП 2014-2019'!B373</f>
        <v>3.2.44</v>
      </c>
      <c r="C371" s="7" t="str">
        <f>'Утв. ИП 2014-2019'!C373</f>
        <v>Строительство ВЛ-0,4 кВ от опоры ВЛ-0,4 кВ смонтированной по п. 4.1.66/09 ППР, до земельного участка по адресу: г. Липецк, потребительское общество пенсионеров и инвалидов "Сокол-1", зем. уч. № 637</v>
      </c>
      <c r="D371" s="8"/>
      <c r="E371" s="8" t="str">
        <f>'Утв. ИП 2014-2019'!L373</f>
        <v>0,1 км/ 0 МВА</v>
      </c>
      <c r="F371" s="8"/>
      <c r="G371" s="8"/>
      <c r="H371" s="8"/>
      <c r="I371" s="8"/>
      <c r="J371" s="23" t="str">
        <f>'Утв. ИП 2014-2019'!Q373</f>
        <v>0,1 км/ 0 МВА</v>
      </c>
      <c r="K371" s="8"/>
      <c r="L371" s="23"/>
      <c r="M371" s="8"/>
      <c r="N371" s="8"/>
      <c r="O371" s="8"/>
      <c r="P371" s="8"/>
      <c r="Q371" s="23"/>
      <c r="R371" s="166"/>
      <c r="S371" s="167"/>
      <c r="T371" s="168"/>
      <c r="U371" s="167"/>
      <c r="V371" s="168"/>
      <c r="W371" s="169"/>
      <c r="X371" s="168"/>
      <c r="Y371" s="169"/>
      <c r="Z371" s="168"/>
      <c r="AA371" s="169"/>
      <c r="AB371" s="168"/>
      <c r="AC371" s="169"/>
      <c r="AD371" s="133">
        <f t="shared" si="28"/>
        <v>0</v>
      </c>
      <c r="AE371" s="133">
        <f t="shared" si="29"/>
        <v>0</v>
      </c>
    </row>
    <row r="372" spans="1:31" s="69" customFormat="1" ht="15.75" hidden="1" outlineLevel="2" x14ac:dyDescent="0.2">
      <c r="A372" s="25">
        <f>'Утв. ИП 2014-2019'!A374</f>
        <v>0</v>
      </c>
      <c r="B372" s="6">
        <f>'Утв. ИП 2014-2019'!B374</f>
        <v>0</v>
      </c>
      <c r="C372" s="7" t="str">
        <f>'Утв. ИП 2014-2019'!C374</f>
        <v>реконструкция</v>
      </c>
      <c r="D372" s="8"/>
      <c r="E372" s="8"/>
      <c r="F372" s="8"/>
      <c r="G372" s="8"/>
      <c r="H372" s="8"/>
      <c r="I372" s="8"/>
      <c r="J372" s="23"/>
      <c r="K372" s="8"/>
      <c r="L372" s="23"/>
      <c r="M372" s="8"/>
      <c r="N372" s="8"/>
      <c r="O372" s="8"/>
      <c r="P372" s="8"/>
      <c r="Q372" s="23"/>
      <c r="R372" s="136"/>
      <c r="S372" s="137"/>
      <c r="T372" s="128"/>
      <c r="U372" s="137"/>
      <c r="V372" s="128"/>
      <c r="W372" s="49"/>
      <c r="X372" s="128"/>
      <c r="Y372" s="49"/>
      <c r="Z372" s="128"/>
      <c r="AA372" s="49"/>
      <c r="AB372" s="128"/>
      <c r="AC372" s="49"/>
      <c r="AD372" s="133">
        <f t="shared" si="28"/>
        <v>0</v>
      </c>
      <c r="AE372" s="133">
        <f t="shared" si="29"/>
        <v>0</v>
      </c>
    </row>
    <row r="373" spans="1:31" s="69" customFormat="1" ht="15.75" hidden="1" outlineLevel="2" x14ac:dyDescent="0.2">
      <c r="A373" s="25">
        <f>'Утв. ИП 2014-2019'!A375</f>
        <v>0</v>
      </c>
      <c r="B373" s="6">
        <f>'Утв. ИП 2014-2019'!B375</f>
        <v>0</v>
      </c>
      <c r="C373" s="7" t="str">
        <f>'Утв. ИП 2014-2019'!C375</f>
        <v>строительство</v>
      </c>
      <c r="D373" s="8"/>
      <c r="E373" s="8"/>
      <c r="F373" s="8"/>
      <c r="G373" s="8"/>
      <c r="H373" s="8"/>
      <c r="I373" s="8"/>
      <c r="J373" s="23"/>
      <c r="K373" s="8"/>
      <c r="L373" s="23"/>
      <c r="M373" s="8"/>
      <c r="N373" s="8"/>
      <c r="O373" s="8"/>
      <c r="P373" s="8"/>
      <c r="Q373" s="23"/>
      <c r="R373" s="136"/>
      <c r="S373" s="137"/>
      <c r="T373" s="128"/>
      <c r="U373" s="137"/>
      <c r="V373" s="128"/>
      <c r="W373" s="49"/>
      <c r="X373" s="128"/>
      <c r="Y373" s="49"/>
      <c r="Z373" s="128"/>
      <c r="AA373" s="49"/>
      <c r="AB373" s="128"/>
      <c r="AC373" s="49"/>
      <c r="AD373" s="133">
        <f t="shared" si="28"/>
        <v>0</v>
      </c>
      <c r="AE373" s="133">
        <f t="shared" si="29"/>
        <v>0</v>
      </c>
    </row>
    <row r="374" spans="1:31" s="69" customFormat="1" ht="25.5" hidden="1" outlineLevel="1" collapsed="1" x14ac:dyDescent="0.2">
      <c r="A374" s="25" t="str">
        <f>'Утв. ИП 2014-2019'!A376</f>
        <v>1.1.6.2.114/11</v>
      </c>
      <c r="B374" s="6" t="str">
        <f>'Утв. ИП 2014-2019'!B376</f>
        <v>3.2.45</v>
      </c>
      <c r="C374" s="7" t="str">
        <f>'Утв. ИП 2014-2019'!C376</f>
        <v>Электроснабжение садовых домиков в садоводческом обществе "Сокол-3"</v>
      </c>
      <c r="D374" s="8"/>
      <c r="E374" s="8" t="str">
        <f>'Утв. ИП 2014-2019'!L376</f>
        <v>0,2 км/ 0 МВА</v>
      </c>
      <c r="F374" s="8"/>
      <c r="G374" s="8"/>
      <c r="H374" s="8"/>
      <c r="I374" s="8"/>
      <c r="J374" s="23" t="str">
        <f>'Утв. ИП 2014-2019'!Q376</f>
        <v>0,2 км/ 0 МВА</v>
      </c>
      <c r="K374" s="8"/>
      <c r="L374" s="23"/>
      <c r="M374" s="8"/>
      <c r="N374" s="8"/>
      <c r="O374" s="8"/>
      <c r="P374" s="8"/>
      <c r="Q374" s="23"/>
      <c r="R374" s="136"/>
      <c r="S374" s="137"/>
      <c r="T374" s="128"/>
      <c r="U374" s="137"/>
      <c r="V374" s="128"/>
      <c r="W374" s="49"/>
      <c r="X374" s="128"/>
      <c r="Y374" s="49"/>
      <c r="Z374" s="128"/>
      <c r="AA374" s="49"/>
      <c r="AB374" s="128"/>
      <c r="AC374" s="49"/>
      <c r="AD374" s="133">
        <f t="shared" si="28"/>
        <v>0</v>
      </c>
      <c r="AE374" s="133">
        <f t="shared" si="29"/>
        <v>0</v>
      </c>
    </row>
    <row r="375" spans="1:31" s="69" customFormat="1" ht="15.75" hidden="1" outlineLevel="2" x14ac:dyDescent="0.2">
      <c r="A375" s="25">
        <f>'Утв. ИП 2014-2019'!A377</f>
        <v>0</v>
      </c>
      <c r="B375" s="6">
        <f>'Утв. ИП 2014-2019'!B377</f>
        <v>0</v>
      </c>
      <c r="C375" s="7" t="str">
        <f>'Утв. ИП 2014-2019'!C377</f>
        <v>реконструкция</v>
      </c>
      <c r="D375" s="8"/>
      <c r="E375" s="8"/>
      <c r="F375" s="8"/>
      <c r="G375" s="8"/>
      <c r="H375" s="8"/>
      <c r="I375" s="8"/>
      <c r="J375" s="23"/>
      <c r="K375" s="8"/>
      <c r="L375" s="23"/>
      <c r="M375" s="8"/>
      <c r="N375" s="8"/>
      <c r="O375" s="8"/>
      <c r="P375" s="8"/>
      <c r="Q375" s="23"/>
      <c r="R375" s="136"/>
      <c r="S375" s="137"/>
      <c r="T375" s="128"/>
      <c r="U375" s="137"/>
      <c r="V375" s="128"/>
      <c r="W375" s="49"/>
      <c r="X375" s="128"/>
      <c r="Y375" s="49"/>
      <c r="Z375" s="128"/>
      <c r="AA375" s="49"/>
      <c r="AB375" s="128"/>
      <c r="AC375" s="49"/>
      <c r="AD375" s="133">
        <f t="shared" si="28"/>
        <v>0</v>
      </c>
      <c r="AE375" s="133">
        <f t="shared" si="29"/>
        <v>0</v>
      </c>
    </row>
    <row r="376" spans="1:31" s="69" customFormat="1" ht="15.75" hidden="1" outlineLevel="2" x14ac:dyDescent="0.2">
      <c r="A376" s="25">
        <f>'Утв. ИП 2014-2019'!A378</f>
        <v>0</v>
      </c>
      <c r="B376" s="6">
        <f>'Утв. ИП 2014-2019'!B378</f>
        <v>0</v>
      </c>
      <c r="C376" s="7" t="str">
        <f>'Утв. ИП 2014-2019'!C378</f>
        <v>строительство</v>
      </c>
      <c r="D376" s="8"/>
      <c r="E376" s="8"/>
      <c r="F376" s="8"/>
      <c r="G376" s="8"/>
      <c r="H376" s="8"/>
      <c r="I376" s="8"/>
      <c r="J376" s="23"/>
      <c r="K376" s="23"/>
      <c r="L376" s="8"/>
      <c r="M376" s="8"/>
      <c r="N376" s="8"/>
      <c r="O376" s="8"/>
      <c r="P376" s="8"/>
      <c r="Q376" s="23"/>
      <c r="R376" s="136"/>
      <c r="S376" s="137"/>
      <c r="T376" s="128"/>
      <c r="U376" s="137"/>
      <c r="V376" s="128"/>
      <c r="W376" s="49"/>
      <c r="X376" s="128"/>
      <c r="Y376" s="49"/>
      <c r="Z376" s="128"/>
      <c r="AA376" s="49"/>
      <c r="AB376" s="128"/>
      <c r="AC376" s="49"/>
      <c r="AD376" s="133">
        <f t="shared" si="28"/>
        <v>0</v>
      </c>
      <c r="AE376" s="133">
        <f t="shared" si="29"/>
        <v>0</v>
      </c>
    </row>
    <row r="377" spans="1:31" s="69" customFormat="1" ht="25.5" hidden="1" outlineLevel="1" collapsed="1" x14ac:dyDescent="0.2">
      <c r="A377" s="25" t="str">
        <f>'Утв. ИП 2014-2019'!A379</f>
        <v>1.1.6.2.117/11</v>
      </c>
      <c r="B377" s="6" t="str">
        <f>'Утв. ИП 2014-2019'!B379</f>
        <v>3.2.46</v>
      </c>
      <c r="C377" s="7" t="str">
        <f>'Утв. ИП 2014-2019'!C379</f>
        <v>Электроснабжение жилого дома по адресу: г. Липецк, ул. Локомотивная, д. 3</v>
      </c>
      <c r="D377" s="8"/>
      <c r="E377" s="8" t="str">
        <f>'Утв. ИП 2014-2019'!L379</f>
        <v>0,1 км/ 0 МВА</v>
      </c>
      <c r="F377" s="8"/>
      <c r="G377" s="8"/>
      <c r="H377" s="8"/>
      <c r="I377" s="8"/>
      <c r="J377" s="23" t="str">
        <f>'Утв. ИП 2014-2019'!Q379</f>
        <v>0,1 км/ 0 МВА</v>
      </c>
      <c r="K377" s="8"/>
      <c r="L377" s="23"/>
      <c r="M377" s="8"/>
      <c r="N377" s="8"/>
      <c r="O377" s="8"/>
      <c r="P377" s="8"/>
      <c r="Q377" s="23"/>
      <c r="R377" s="166"/>
      <c r="S377" s="167"/>
      <c r="T377" s="168"/>
      <c r="U377" s="167"/>
      <c r="V377" s="168"/>
      <c r="W377" s="169"/>
      <c r="X377" s="168"/>
      <c r="Y377" s="169"/>
      <c r="Z377" s="168"/>
      <c r="AA377" s="169"/>
      <c r="AB377" s="168"/>
      <c r="AC377" s="169"/>
      <c r="AD377" s="133">
        <f t="shared" si="28"/>
        <v>0</v>
      </c>
      <c r="AE377" s="133">
        <f t="shared" si="29"/>
        <v>0</v>
      </c>
    </row>
    <row r="378" spans="1:31" s="69" customFormat="1" ht="15.75" hidden="1" outlineLevel="2" x14ac:dyDescent="0.2">
      <c r="A378" s="25">
        <f>'Утв. ИП 2014-2019'!A380</f>
        <v>0</v>
      </c>
      <c r="B378" s="6">
        <f>'Утв. ИП 2014-2019'!B380</f>
        <v>0</v>
      </c>
      <c r="C378" s="7" t="str">
        <f>'Утв. ИП 2014-2019'!C380</f>
        <v>реконструкция</v>
      </c>
      <c r="D378" s="8"/>
      <c r="E378" s="8"/>
      <c r="F378" s="8"/>
      <c r="G378" s="8"/>
      <c r="H378" s="8"/>
      <c r="I378" s="8"/>
      <c r="J378" s="23"/>
      <c r="K378" s="23"/>
      <c r="L378" s="8"/>
      <c r="M378" s="8"/>
      <c r="N378" s="8"/>
      <c r="O378" s="8"/>
      <c r="P378" s="8"/>
      <c r="Q378" s="23"/>
      <c r="R378" s="166"/>
      <c r="S378" s="167"/>
      <c r="T378" s="168"/>
      <c r="U378" s="167"/>
      <c r="V378" s="168"/>
      <c r="W378" s="169"/>
      <c r="X378" s="168"/>
      <c r="Y378" s="169"/>
      <c r="Z378" s="168"/>
      <c r="AA378" s="169"/>
      <c r="AB378" s="168"/>
      <c r="AC378" s="169"/>
      <c r="AD378" s="133">
        <f t="shared" si="28"/>
        <v>0</v>
      </c>
      <c r="AE378" s="133">
        <f t="shared" si="29"/>
        <v>0</v>
      </c>
    </row>
    <row r="379" spans="1:31" s="69" customFormat="1" ht="15.75" hidden="1" outlineLevel="2" x14ac:dyDescent="0.2">
      <c r="A379" s="25">
        <f>'Утв. ИП 2014-2019'!A381</f>
        <v>0</v>
      </c>
      <c r="B379" s="6">
        <f>'Утв. ИП 2014-2019'!B381</f>
        <v>0</v>
      </c>
      <c r="C379" s="7" t="str">
        <f>'Утв. ИП 2014-2019'!C381</f>
        <v>строительство</v>
      </c>
      <c r="D379" s="8"/>
      <c r="E379" s="8"/>
      <c r="F379" s="8"/>
      <c r="G379" s="8"/>
      <c r="H379" s="8"/>
      <c r="I379" s="8"/>
      <c r="J379" s="23"/>
      <c r="K379" s="8"/>
      <c r="L379" s="23"/>
      <c r="M379" s="8"/>
      <c r="N379" s="8"/>
      <c r="O379" s="8"/>
      <c r="P379" s="8"/>
      <c r="Q379" s="23"/>
      <c r="R379" s="166"/>
      <c r="S379" s="167"/>
      <c r="T379" s="168"/>
      <c r="U379" s="167"/>
      <c r="V379" s="168"/>
      <c r="W379" s="169"/>
      <c r="X379" s="168"/>
      <c r="Y379" s="169"/>
      <c r="Z379" s="168"/>
      <c r="AA379" s="169"/>
      <c r="AB379" s="168"/>
      <c r="AC379" s="169"/>
      <c r="AD379" s="133">
        <f t="shared" si="28"/>
        <v>0</v>
      </c>
      <c r="AE379" s="133">
        <f t="shared" si="29"/>
        <v>0</v>
      </c>
    </row>
    <row r="380" spans="1:31" s="69" customFormat="1" ht="25.5" hidden="1" outlineLevel="1" collapsed="1" x14ac:dyDescent="0.2">
      <c r="A380" s="25" t="str">
        <f>'Утв. ИП 2014-2019'!A382</f>
        <v>1.1.6.2.120/11</v>
      </c>
      <c r="B380" s="6" t="str">
        <f>'Утв. ИП 2014-2019'!B382</f>
        <v>3.2.47</v>
      </c>
      <c r="C380" s="7" t="str">
        <f>'Утв. ИП 2014-2019'!C382</f>
        <v>Электроснабжение производственной базы (участок В) по адресу: г. Липецк, проезд Поперечный, строение 13б</v>
      </c>
      <c r="D380" s="8" t="str">
        <f>'Утв. ИП 2014-2019'!K382</f>
        <v>0,2 км/ 0,4 МВА</v>
      </c>
      <c r="E380" s="8"/>
      <c r="F380" s="8"/>
      <c r="G380" s="8"/>
      <c r="H380" s="8"/>
      <c r="I380" s="8"/>
      <c r="J380" s="23" t="str">
        <f>'Утв. ИП 2014-2019'!Q382</f>
        <v>0,2 км/ 0,4 МВА</v>
      </c>
      <c r="K380" s="8"/>
      <c r="L380" s="23"/>
      <c r="M380" s="8"/>
      <c r="N380" s="8"/>
      <c r="O380" s="8"/>
      <c r="P380" s="8"/>
      <c r="Q380" s="23"/>
      <c r="R380" s="166"/>
      <c r="S380" s="167"/>
      <c r="T380" s="168"/>
      <c r="U380" s="167"/>
      <c r="V380" s="168"/>
      <c r="W380" s="169"/>
      <c r="X380" s="168"/>
      <c r="Y380" s="169"/>
      <c r="Z380" s="168"/>
      <c r="AA380" s="169"/>
      <c r="AB380" s="168"/>
      <c r="AC380" s="169"/>
      <c r="AD380" s="133">
        <f t="shared" si="28"/>
        <v>0</v>
      </c>
      <c r="AE380" s="133">
        <f t="shared" si="29"/>
        <v>0</v>
      </c>
    </row>
    <row r="381" spans="1:31" s="69" customFormat="1" ht="15.75" hidden="1" outlineLevel="2" x14ac:dyDescent="0.2">
      <c r="A381" s="25">
        <f>'Утв. ИП 2014-2019'!A383</f>
        <v>0</v>
      </c>
      <c r="B381" s="6">
        <f>'Утв. ИП 2014-2019'!B383</f>
        <v>0</v>
      </c>
      <c r="C381" s="7" t="str">
        <f>'Утв. ИП 2014-2019'!C383</f>
        <v>реконструкция</v>
      </c>
      <c r="D381" s="8"/>
      <c r="E381" s="8"/>
      <c r="F381" s="8"/>
      <c r="G381" s="8"/>
      <c r="H381" s="8"/>
      <c r="I381" s="8"/>
      <c r="J381" s="23"/>
      <c r="K381" s="23"/>
      <c r="L381" s="8"/>
      <c r="M381" s="8"/>
      <c r="N381" s="8"/>
      <c r="O381" s="8"/>
      <c r="P381" s="8"/>
      <c r="Q381" s="23"/>
      <c r="R381" s="166"/>
      <c r="S381" s="167"/>
      <c r="T381" s="168"/>
      <c r="U381" s="167"/>
      <c r="V381" s="168"/>
      <c r="W381" s="169"/>
      <c r="X381" s="168"/>
      <c r="Y381" s="169"/>
      <c r="Z381" s="168"/>
      <c r="AA381" s="169"/>
      <c r="AB381" s="168"/>
      <c r="AC381" s="169"/>
      <c r="AD381" s="133">
        <f t="shared" si="28"/>
        <v>0</v>
      </c>
      <c r="AE381" s="133">
        <f t="shared" si="29"/>
        <v>0</v>
      </c>
    </row>
    <row r="382" spans="1:31" s="69" customFormat="1" ht="15.75" hidden="1" outlineLevel="2" x14ac:dyDescent="0.2">
      <c r="A382" s="25">
        <f>'Утв. ИП 2014-2019'!A384</f>
        <v>0</v>
      </c>
      <c r="B382" s="6">
        <f>'Утв. ИП 2014-2019'!B384</f>
        <v>0</v>
      </c>
      <c r="C382" s="7" t="str">
        <f>'Утв. ИП 2014-2019'!C384</f>
        <v>строительство</v>
      </c>
      <c r="D382" s="8"/>
      <c r="E382" s="8"/>
      <c r="F382" s="8"/>
      <c r="G382" s="8"/>
      <c r="H382" s="8"/>
      <c r="I382" s="8"/>
      <c r="J382" s="23"/>
      <c r="K382" s="8"/>
      <c r="L382" s="23"/>
      <c r="M382" s="8"/>
      <c r="N382" s="8"/>
      <c r="O382" s="8"/>
      <c r="P382" s="8"/>
      <c r="Q382" s="23"/>
      <c r="R382" s="166"/>
      <c r="S382" s="167"/>
      <c r="T382" s="168"/>
      <c r="U382" s="167"/>
      <c r="V382" s="168"/>
      <c r="W382" s="169"/>
      <c r="X382" s="168"/>
      <c r="Y382" s="169"/>
      <c r="Z382" s="168"/>
      <c r="AA382" s="169"/>
      <c r="AB382" s="168"/>
      <c r="AC382" s="169"/>
      <c r="AD382" s="133">
        <f t="shared" si="28"/>
        <v>0</v>
      </c>
      <c r="AE382" s="133">
        <f t="shared" si="29"/>
        <v>0</v>
      </c>
    </row>
    <row r="383" spans="1:31" s="69" customFormat="1" ht="38.25" hidden="1" outlineLevel="1" collapsed="1" x14ac:dyDescent="0.2">
      <c r="A383" s="25" t="str">
        <f>'Утв. ИП 2014-2019'!A385</f>
        <v>1.1.6.2.121/11</v>
      </c>
      <c r="B383" s="6" t="str">
        <f>'Утв. ИП 2014-2019'!B385</f>
        <v>3.2.48</v>
      </c>
      <c r="C383" s="7" t="str">
        <f>'Утв. ИП 2014-2019'!C385</f>
        <v>Строительство ВЛ-0,4 кВ от ВЛ-0,4 кВ, смонтированной по п.4.1.60/09 ППР, до границ земельного участка № 30 в СНТ "Металлург-1", III квартал</v>
      </c>
      <c r="D383" s="8"/>
      <c r="E383" s="8" t="str">
        <f>'Утв. ИП 2014-2019'!L385</f>
        <v>0,2 км/ 0 МВА</v>
      </c>
      <c r="F383" s="8"/>
      <c r="G383" s="8"/>
      <c r="H383" s="8"/>
      <c r="I383" s="8"/>
      <c r="J383" s="23" t="str">
        <f>'Утв. ИП 2014-2019'!Q385</f>
        <v>0,2 км/ 0 МВА</v>
      </c>
      <c r="K383" s="8"/>
      <c r="L383" s="23"/>
      <c r="M383" s="8"/>
      <c r="N383" s="8"/>
      <c r="O383" s="8"/>
      <c r="P383" s="8"/>
      <c r="Q383" s="23"/>
      <c r="R383" s="136"/>
      <c r="S383" s="137"/>
      <c r="T383" s="128"/>
      <c r="U383" s="137"/>
      <c r="V383" s="128"/>
      <c r="W383" s="49"/>
      <c r="X383" s="128"/>
      <c r="Y383" s="49"/>
      <c r="Z383" s="128"/>
      <c r="AA383" s="49"/>
      <c r="AB383" s="128"/>
      <c r="AC383" s="49"/>
      <c r="AD383" s="133">
        <f t="shared" si="28"/>
        <v>0</v>
      </c>
      <c r="AE383" s="133">
        <f t="shared" si="29"/>
        <v>0</v>
      </c>
    </row>
    <row r="384" spans="1:31" s="69" customFormat="1" ht="15.75" hidden="1" outlineLevel="2" x14ac:dyDescent="0.2">
      <c r="A384" s="25">
        <f>'Утв. ИП 2014-2019'!A386</f>
        <v>0</v>
      </c>
      <c r="B384" s="6">
        <f>'Утв. ИП 2014-2019'!B386</f>
        <v>0</v>
      </c>
      <c r="C384" s="7" t="str">
        <f>'Утв. ИП 2014-2019'!C386</f>
        <v>реконструкция</v>
      </c>
      <c r="D384" s="8"/>
      <c r="E384" s="8"/>
      <c r="F384" s="8"/>
      <c r="G384" s="8"/>
      <c r="H384" s="8"/>
      <c r="I384" s="8"/>
      <c r="J384" s="23"/>
      <c r="K384" s="23"/>
      <c r="L384" s="8"/>
      <c r="M384" s="8"/>
      <c r="N384" s="8"/>
      <c r="O384" s="8"/>
      <c r="P384" s="8"/>
      <c r="Q384" s="23"/>
      <c r="R384" s="136"/>
      <c r="S384" s="137"/>
      <c r="T384" s="128"/>
      <c r="U384" s="137"/>
      <c r="V384" s="128"/>
      <c r="W384" s="49"/>
      <c r="X384" s="128"/>
      <c r="Y384" s="49"/>
      <c r="Z384" s="128"/>
      <c r="AA384" s="49"/>
      <c r="AB384" s="128"/>
      <c r="AC384" s="49"/>
      <c r="AD384" s="133">
        <f t="shared" si="28"/>
        <v>0</v>
      </c>
      <c r="AE384" s="133">
        <f t="shared" si="29"/>
        <v>0</v>
      </c>
    </row>
    <row r="385" spans="1:31" s="69" customFormat="1" ht="15.75" hidden="1" outlineLevel="2" x14ac:dyDescent="0.2">
      <c r="A385" s="25">
        <f>'Утв. ИП 2014-2019'!A387</f>
        <v>0</v>
      </c>
      <c r="B385" s="6">
        <f>'Утв. ИП 2014-2019'!B387</f>
        <v>0</v>
      </c>
      <c r="C385" s="7" t="str">
        <f>'Утв. ИП 2014-2019'!C387</f>
        <v>строительство</v>
      </c>
      <c r="D385" s="8"/>
      <c r="E385" s="8"/>
      <c r="F385" s="8"/>
      <c r="G385" s="8"/>
      <c r="H385" s="8"/>
      <c r="I385" s="8"/>
      <c r="J385" s="23"/>
      <c r="K385" s="8"/>
      <c r="L385" s="23"/>
      <c r="M385" s="8"/>
      <c r="N385" s="8"/>
      <c r="O385" s="8"/>
      <c r="P385" s="8"/>
      <c r="Q385" s="23"/>
      <c r="R385" s="136"/>
      <c r="S385" s="137"/>
      <c r="T385" s="128"/>
      <c r="U385" s="137"/>
      <c r="V385" s="128"/>
      <c r="W385" s="49"/>
      <c r="X385" s="128"/>
      <c r="Y385" s="49"/>
      <c r="Z385" s="128"/>
      <c r="AA385" s="49"/>
      <c r="AB385" s="128"/>
      <c r="AC385" s="49"/>
      <c r="AD385" s="133">
        <f t="shared" si="28"/>
        <v>0</v>
      </c>
      <c r="AE385" s="133">
        <f t="shared" si="29"/>
        <v>0</v>
      </c>
    </row>
    <row r="386" spans="1:31" s="69" customFormat="1" ht="25.5" hidden="1" outlineLevel="1" collapsed="1" x14ac:dyDescent="0.2">
      <c r="A386" s="25" t="str">
        <f>'Утв. ИП 2014-2019'!A388</f>
        <v>1.1.6.2.1/12</v>
      </c>
      <c r="B386" s="6" t="str">
        <f>'Утв. ИП 2014-2019'!B388</f>
        <v>3.2.49</v>
      </c>
      <c r="C386" s="7" t="str">
        <f>'Утв. ИП 2014-2019'!C388</f>
        <v>Электроснабжение кирпичного гаража по адресу: ул. Терешковой, д. 10/2</v>
      </c>
      <c r="D386" s="8"/>
      <c r="E386" s="8" t="str">
        <f>'Утв. ИП 2014-2019'!L388</f>
        <v>0,15 км/ 0 МВА</v>
      </c>
      <c r="F386" s="8"/>
      <c r="G386" s="8"/>
      <c r="H386" s="8"/>
      <c r="I386" s="8"/>
      <c r="J386" s="23" t="str">
        <f>'Утв. ИП 2014-2019'!Q388</f>
        <v>0,15 км/ 0 МВА</v>
      </c>
      <c r="K386" s="8"/>
      <c r="L386" s="23"/>
      <c r="M386" s="8"/>
      <c r="N386" s="8"/>
      <c r="O386" s="8"/>
      <c r="P386" s="8"/>
      <c r="Q386" s="23"/>
      <c r="R386" s="166"/>
      <c r="S386" s="167"/>
      <c r="T386" s="168"/>
      <c r="U386" s="167"/>
      <c r="V386" s="168"/>
      <c r="W386" s="169"/>
      <c r="X386" s="168"/>
      <c r="Y386" s="169"/>
      <c r="Z386" s="168"/>
      <c r="AA386" s="169"/>
      <c r="AB386" s="168"/>
      <c r="AC386" s="169"/>
      <c r="AD386" s="133">
        <f t="shared" si="28"/>
        <v>0</v>
      </c>
      <c r="AE386" s="133">
        <f t="shared" si="29"/>
        <v>0</v>
      </c>
    </row>
    <row r="387" spans="1:31" s="69" customFormat="1" ht="15.75" hidden="1" outlineLevel="2" x14ac:dyDescent="0.2">
      <c r="A387" s="25">
        <f>'Утв. ИП 2014-2019'!A389</f>
        <v>0</v>
      </c>
      <c r="B387" s="6">
        <f>'Утв. ИП 2014-2019'!B389</f>
        <v>0</v>
      </c>
      <c r="C387" s="7" t="str">
        <f>'Утв. ИП 2014-2019'!C389</f>
        <v>реконструкция</v>
      </c>
      <c r="D387" s="8"/>
      <c r="E387" s="8"/>
      <c r="F387" s="8"/>
      <c r="G387" s="8"/>
      <c r="H387" s="8"/>
      <c r="I387" s="8"/>
      <c r="J387" s="23"/>
      <c r="K387" s="23"/>
      <c r="L387" s="8"/>
      <c r="M387" s="8"/>
      <c r="N387" s="8"/>
      <c r="O387" s="8"/>
      <c r="P387" s="8"/>
      <c r="Q387" s="23"/>
      <c r="R387" s="166"/>
      <c r="S387" s="167"/>
      <c r="T387" s="168"/>
      <c r="U387" s="167"/>
      <c r="V387" s="168"/>
      <c r="W387" s="169"/>
      <c r="X387" s="168"/>
      <c r="Y387" s="169"/>
      <c r="Z387" s="168"/>
      <c r="AA387" s="169"/>
      <c r="AB387" s="168"/>
      <c r="AC387" s="169"/>
      <c r="AD387" s="133">
        <f t="shared" si="28"/>
        <v>0</v>
      </c>
      <c r="AE387" s="133">
        <f t="shared" si="29"/>
        <v>0</v>
      </c>
    </row>
    <row r="388" spans="1:31" s="69" customFormat="1" ht="15.75" hidden="1" outlineLevel="2" x14ac:dyDescent="0.2">
      <c r="A388" s="25">
        <f>'Утв. ИП 2014-2019'!A390</f>
        <v>0</v>
      </c>
      <c r="B388" s="6">
        <f>'Утв. ИП 2014-2019'!B390</f>
        <v>0</v>
      </c>
      <c r="C388" s="7" t="str">
        <f>'Утв. ИП 2014-2019'!C390</f>
        <v>строительство</v>
      </c>
      <c r="D388" s="8"/>
      <c r="E388" s="8"/>
      <c r="F388" s="8"/>
      <c r="G388" s="8"/>
      <c r="H388" s="8"/>
      <c r="I388" s="8"/>
      <c r="J388" s="23"/>
      <c r="K388" s="8"/>
      <c r="L388" s="23"/>
      <c r="M388" s="8"/>
      <c r="N388" s="8"/>
      <c r="O388" s="8"/>
      <c r="P388" s="8"/>
      <c r="Q388" s="23"/>
      <c r="R388" s="166"/>
      <c r="S388" s="167"/>
      <c r="T388" s="168"/>
      <c r="U388" s="167"/>
      <c r="V388" s="168"/>
      <c r="W388" s="169"/>
      <c r="X388" s="168"/>
      <c r="Y388" s="169"/>
      <c r="Z388" s="168"/>
      <c r="AA388" s="169"/>
      <c r="AB388" s="168"/>
      <c r="AC388" s="169"/>
      <c r="AD388" s="133">
        <f t="shared" si="28"/>
        <v>0</v>
      </c>
      <c r="AE388" s="133">
        <f t="shared" si="29"/>
        <v>0</v>
      </c>
    </row>
    <row r="389" spans="1:31" s="69" customFormat="1" ht="25.5" hidden="1" outlineLevel="1" collapsed="1" x14ac:dyDescent="0.2">
      <c r="A389" s="25" t="str">
        <f>'Утв. ИП 2014-2019'!A391</f>
        <v>1.1.6.2.2/12</v>
      </c>
      <c r="B389" s="6" t="str">
        <f>'Утв. ИП 2014-2019'!B391</f>
        <v>3.2.50</v>
      </c>
      <c r="C389" s="7" t="str">
        <f>'Утв. ИП 2014-2019'!C391</f>
        <v>Электроснабжение киосков № К-4616, 1/2 части № К-4617 по адресу: г. Липецк, ул. Космонавтов, район д. 30</v>
      </c>
      <c r="D389" s="8"/>
      <c r="E389" s="8" t="str">
        <f>'Утв. ИП 2014-2019'!L391</f>
        <v>0,2 км/ 0 МВА</v>
      </c>
      <c r="F389" s="8"/>
      <c r="G389" s="8"/>
      <c r="H389" s="8"/>
      <c r="I389" s="8"/>
      <c r="J389" s="23" t="str">
        <f>'Утв. ИП 2014-2019'!Q391</f>
        <v>0,2 км/ 0 МВА</v>
      </c>
      <c r="K389" s="8"/>
      <c r="L389" s="23"/>
      <c r="M389" s="8"/>
      <c r="N389" s="8"/>
      <c r="O389" s="8"/>
      <c r="P389" s="8"/>
      <c r="Q389" s="23"/>
      <c r="R389" s="166"/>
      <c r="S389" s="167"/>
      <c r="T389" s="168"/>
      <c r="U389" s="167"/>
      <c r="V389" s="168"/>
      <c r="W389" s="169"/>
      <c r="X389" s="168"/>
      <c r="Y389" s="169"/>
      <c r="Z389" s="168"/>
      <c r="AA389" s="169"/>
      <c r="AB389" s="168"/>
      <c r="AC389" s="169"/>
      <c r="AD389" s="133">
        <f t="shared" si="28"/>
        <v>0</v>
      </c>
      <c r="AE389" s="133">
        <f t="shared" si="29"/>
        <v>0</v>
      </c>
    </row>
    <row r="390" spans="1:31" s="69" customFormat="1" ht="15.75" hidden="1" outlineLevel="2" x14ac:dyDescent="0.2">
      <c r="A390" s="25">
        <f>'Утв. ИП 2014-2019'!A392</f>
        <v>0</v>
      </c>
      <c r="B390" s="6">
        <f>'Утв. ИП 2014-2019'!B392</f>
        <v>0</v>
      </c>
      <c r="C390" s="7" t="str">
        <f>'Утв. ИП 2014-2019'!C392</f>
        <v>реконструкция</v>
      </c>
      <c r="D390" s="8"/>
      <c r="E390" s="8"/>
      <c r="F390" s="8"/>
      <c r="G390" s="8"/>
      <c r="H390" s="8"/>
      <c r="I390" s="8"/>
      <c r="J390" s="23"/>
      <c r="K390" s="23"/>
      <c r="L390" s="8"/>
      <c r="M390" s="8"/>
      <c r="N390" s="8"/>
      <c r="O390" s="8"/>
      <c r="P390" s="8"/>
      <c r="Q390" s="23"/>
      <c r="R390" s="166"/>
      <c r="S390" s="167"/>
      <c r="T390" s="168"/>
      <c r="U390" s="167"/>
      <c r="V390" s="168"/>
      <c r="W390" s="169"/>
      <c r="X390" s="168"/>
      <c r="Y390" s="169"/>
      <c r="Z390" s="168"/>
      <c r="AA390" s="169"/>
      <c r="AB390" s="168"/>
      <c r="AC390" s="169"/>
      <c r="AD390" s="133">
        <f t="shared" si="28"/>
        <v>0</v>
      </c>
      <c r="AE390" s="133">
        <f t="shared" si="29"/>
        <v>0</v>
      </c>
    </row>
    <row r="391" spans="1:31" s="69" customFormat="1" ht="15.75" hidden="1" outlineLevel="2" x14ac:dyDescent="0.2">
      <c r="A391" s="25">
        <f>'Утв. ИП 2014-2019'!A393</f>
        <v>0</v>
      </c>
      <c r="B391" s="6">
        <f>'Утв. ИП 2014-2019'!B393</f>
        <v>0</v>
      </c>
      <c r="C391" s="7" t="str">
        <f>'Утв. ИП 2014-2019'!C393</f>
        <v>строительство</v>
      </c>
      <c r="D391" s="8"/>
      <c r="E391" s="8"/>
      <c r="F391" s="8"/>
      <c r="G391" s="8"/>
      <c r="H391" s="8"/>
      <c r="I391" s="8"/>
      <c r="J391" s="23"/>
      <c r="K391" s="8"/>
      <c r="L391" s="23"/>
      <c r="M391" s="8"/>
      <c r="N391" s="8"/>
      <c r="O391" s="8"/>
      <c r="P391" s="8"/>
      <c r="Q391" s="23"/>
      <c r="R391" s="166"/>
      <c r="S391" s="167"/>
      <c r="T391" s="168"/>
      <c r="U391" s="167"/>
      <c r="V391" s="168"/>
      <c r="W391" s="169"/>
      <c r="X391" s="168"/>
      <c r="Y391" s="169"/>
      <c r="Z391" s="168"/>
      <c r="AA391" s="169"/>
      <c r="AB391" s="168"/>
      <c r="AC391" s="169"/>
      <c r="AD391" s="133">
        <f t="shared" si="28"/>
        <v>0</v>
      </c>
      <c r="AE391" s="133">
        <f t="shared" si="29"/>
        <v>0</v>
      </c>
    </row>
    <row r="392" spans="1:31" s="69" customFormat="1" ht="25.5" hidden="1" outlineLevel="1" collapsed="1" x14ac:dyDescent="0.2">
      <c r="A392" s="25" t="str">
        <f>'Утв. ИП 2014-2019'!A394</f>
        <v>1.1.6.2.4/12</v>
      </c>
      <c r="B392" s="6" t="str">
        <f>'Утв. ИП 2014-2019'!B394</f>
        <v>3.2.51</v>
      </c>
      <c r="C392" s="7" t="str">
        <f>'Утв. ИП 2014-2019'!C394</f>
        <v>Электроснабжение помещений по адресу: г. Липецк, ул. Неделина, д. 1"б"</v>
      </c>
      <c r="D392" s="8" t="str">
        <f>'Утв. ИП 2014-2019'!K394</f>
        <v>0,3 км/ 0 МВА</v>
      </c>
      <c r="E392" s="8"/>
      <c r="F392" s="8"/>
      <c r="G392" s="8"/>
      <c r="H392" s="8"/>
      <c r="I392" s="8"/>
      <c r="J392" s="23" t="str">
        <f>'Утв. ИП 2014-2019'!Q394</f>
        <v>0,3 км/ 0 МВА</v>
      </c>
      <c r="K392" s="23"/>
      <c r="L392" s="8"/>
      <c r="M392" s="8"/>
      <c r="N392" s="8"/>
      <c r="O392" s="8"/>
      <c r="P392" s="8"/>
      <c r="Q392" s="23"/>
      <c r="R392" s="166"/>
      <c r="S392" s="167"/>
      <c r="T392" s="168"/>
      <c r="U392" s="167"/>
      <c r="V392" s="168"/>
      <c r="W392" s="169"/>
      <c r="X392" s="168"/>
      <c r="Y392" s="169"/>
      <c r="Z392" s="168"/>
      <c r="AA392" s="169"/>
      <c r="AB392" s="168"/>
      <c r="AC392" s="169"/>
      <c r="AD392" s="133">
        <f t="shared" si="28"/>
        <v>0</v>
      </c>
      <c r="AE392" s="133">
        <f t="shared" si="29"/>
        <v>0</v>
      </c>
    </row>
    <row r="393" spans="1:31" s="69" customFormat="1" ht="15.75" hidden="1" outlineLevel="2" x14ac:dyDescent="0.2">
      <c r="A393" s="25">
        <f>'Утв. ИП 2014-2019'!A395</f>
        <v>0</v>
      </c>
      <c r="B393" s="6">
        <f>'Утв. ИП 2014-2019'!B395</f>
        <v>0</v>
      </c>
      <c r="C393" s="7" t="str">
        <f>'Утв. ИП 2014-2019'!C395</f>
        <v>реконструкция</v>
      </c>
      <c r="D393" s="8"/>
      <c r="E393" s="8"/>
      <c r="F393" s="8"/>
      <c r="G393" s="8"/>
      <c r="H393" s="8"/>
      <c r="I393" s="8"/>
      <c r="J393" s="23"/>
      <c r="K393" s="8"/>
      <c r="L393" s="23"/>
      <c r="M393" s="8"/>
      <c r="N393" s="8"/>
      <c r="O393" s="8"/>
      <c r="P393" s="8"/>
      <c r="Q393" s="23"/>
      <c r="R393" s="166"/>
      <c r="S393" s="167"/>
      <c r="T393" s="168"/>
      <c r="U393" s="167"/>
      <c r="V393" s="168"/>
      <c r="W393" s="169"/>
      <c r="X393" s="168"/>
      <c r="Y393" s="169"/>
      <c r="Z393" s="168"/>
      <c r="AA393" s="169"/>
      <c r="AB393" s="168"/>
      <c r="AC393" s="169"/>
      <c r="AD393" s="133">
        <f t="shared" ref="AD393:AD456" si="30">R393+T393+V393+X393+Z393+AB393</f>
        <v>0</v>
      </c>
      <c r="AE393" s="133">
        <f t="shared" ref="AE393:AE456" si="31">S393+U393+W393+Y393+AA393+AC393</f>
        <v>0</v>
      </c>
    </row>
    <row r="394" spans="1:31" s="69" customFormat="1" ht="15.75" hidden="1" outlineLevel="2" x14ac:dyDescent="0.2">
      <c r="A394" s="25">
        <f>'Утв. ИП 2014-2019'!A396</f>
        <v>0</v>
      </c>
      <c r="B394" s="6">
        <f>'Утв. ИП 2014-2019'!B396</f>
        <v>0</v>
      </c>
      <c r="C394" s="7" t="str">
        <f>'Утв. ИП 2014-2019'!C396</f>
        <v>строительство</v>
      </c>
      <c r="D394" s="8"/>
      <c r="E394" s="8"/>
      <c r="F394" s="8"/>
      <c r="G394" s="8"/>
      <c r="H394" s="8"/>
      <c r="I394" s="8"/>
      <c r="J394" s="23"/>
      <c r="K394" s="8"/>
      <c r="L394" s="23"/>
      <c r="M394" s="8"/>
      <c r="N394" s="8"/>
      <c r="O394" s="8"/>
      <c r="P394" s="8"/>
      <c r="Q394" s="23"/>
      <c r="R394" s="166"/>
      <c r="S394" s="167"/>
      <c r="T394" s="168"/>
      <c r="U394" s="167"/>
      <c r="V394" s="168"/>
      <c r="W394" s="169"/>
      <c r="X394" s="168"/>
      <c r="Y394" s="169"/>
      <c r="Z394" s="168"/>
      <c r="AA394" s="169"/>
      <c r="AB394" s="168"/>
      <c r="AC394" s="169"/>
      <c r="AD394" s="133">
        <f t="shared" si="30"/>
        <v>0</v>
      </c>
      <c r="AE394" s="133">
        <f t="shared" si="31"/>
        <v>0</v>
      </c>
    </row>
    <row r="395" spans="1:31" s="69" customFormat="1" ht="25.5" hidden="1" outlineLevel="1" collapsed="1" x14ac:dyDescent="0.2">
      <c r="A395" s="25" t="str">
        <f>'Утв. ИП 2014-2019'!A397</f>
        <v>1.1.6.2.12/12</v>
      </c>
      <c r="B395" s="6" t="str">
        <f>'Утв. ИП 2014-2019'!B397</f>
        <v>3.2.52</v>
      </c>
      <c r="C395" s="7" t="str">
        <f>'Утв. ИП 2014-2019'!C397</f>
        <v>Электроснабжение гаража по адресу: г. Липецк, ул. Российская, гараж № 4</v>
      </c>
      <c r="D395" s="8" t="str">
        <f>'Утв. ИП 2014-2019'!K397</f>
        <v>0,25 км/ 0 МВА</v>
      </c>
      <c r="E395" s="8"/>
      <c r="F395" s="8"/>
      <c r="G395" s="8"/>
      <c r="H395" s="8"/>
      <c r="I395" s="8"/>
      <c r="J395" s="23" t="str">
        <f>'Утв. ИП 2014-2019'!Q397</f>
        <v>0,25 км/ 0 МВА</v>
      </c>
      <c r="K395" s="8"/>
      <c r="L395" s="23"/>
      <c r="M395" s="8"/>
      <c r="N395" s="8"/>
      <c r="O395" s="8"/>
      <c r="P395" s="8"/>
      <c r="Q395" s="23"/>
      <c r="R395" s="166"/>
      <c r="S395" s="167"/>
      <c r="T395" s="168"/>
      <c r="U395" s="167"/>
      <c r="V395" s="168"/>
      <c r="W395" s="169"/>
      <c r="X395" s="168"/>
      <c r="Y395" s="169"/>
      <c r="Z395" s="168"/>
      <c r="AA395" s="169"/>
      <c r="AB395" s="168"/>
      <c r="AC395" s="169"/>
      <c r="AD395" s="133">
        <f t="shared" si="30"/>
        <v>0</v>
      </c>
      <c r="AE395" s="133">
        <f t="shared" si="31"/>
        <v>0</v>
      </c>
    </row>
    <row r="396" spans="1:31" s="69" customFormat="1" ht="15.75" hidden="1" outlineLevel="2" x14ac:dyDescent="0.2">
      <c r="A396" s="25">
        <f>'Утв. ИП 2014-2019'!A398</f>
        <v>0</v>
      </c>
      <c r="B396" s="6">
        <f>'Утв. ИП 2014-2019'!B398</f>
        <v>0</v>
      </c>
      <c r="C396" s="7" t="str">
        <f>'Утв. ИП 2014-2019'!C398</f>
        <v>реконструкция</v>
      </c>
      <c r="D396" s="8"/>
      <c r="E396" s="8"/>
      <c r="F396" s="8"/>
      <c r="G396" s="8"/>
      <c r="H396" s="8"/>
      <c r="I396" s="8"/>
      <c r="J396" s="23"/>
      <c r="K396" s="8"/>
      <c r="L396" s="23"/>
      <c r="M396" s="8"/>
      <c r="N396" s="8"/>
      <c r="O396" s="8"/>
      <c r="P396" s="8"/>
      <c r="Q396" s="23"/>
      <c r="R396" s="166"/>
      <c r="S396" s="167"/>
      <c r="T396" s="168"/>
      <c r="U396" s="167"/>
      <c r="V396" s="168"/>
      <c r="W396" s="169"/>
      <c r="X396" s="168"/>
      <c r="Y396" s="169"/>
      <c r="Z396" s="168"/>
      <c r="AA396" s="169"/>
      <c r="AB396" s="168"/>
      <c r="AC396" s="169"/>
      <c r="AD396" s="133">
        <f t="shared" si="30"/>
        <v>0</v>
      </c>
      <c r="AE396" s="133">
        <f t="shared" si="31"/>
        <v>0</v>
      </c>
    </row>
    <row r="397" spans="1:31" s="69" customFormat="1" ht="15.75" hidden="1" outlineLevel="2" x14ac:dyDescent="0.2">
      <c r="A397" s="25">
        <f>'Утв. ИП 2014-2019'!A399</f>
        <v>0</v>
      </c>
      <c r="B397" s="6">
        <f>'Утв. ИП 2014-2019'!B399</f>
        <v>0</v>
      </c>
      <c r="C397" s="7" t="str">
        <f>'Утв. ИП 2014-2019'!C399</f>
        <v>строительство</v>
      </c>
      <c r="D397" s="8"/>
      <c r="E397" s="8"/>
      <c r="F397" s="8"/>
      <c r="G397" s="8"/>
      <c r="H397" s="8"/>
      <c r="I397" s="8"/>
      <c r="J397" s="23"/>
      <c r="K397" s="8"/>
      <c r="L397" s="23"/>
      <c r="M397" s="8"/>
      <c r="N397" s="8"/>
      <c r="O397" s="8"/>
      <c r="P397" s="8"/>
      <c r="Q397" s="23"/>
      <c r="R397" s="166"/>
      <c r="S397" s="167"/>
      <c r="T397" s="168"/>
      <c r="U397" s="167"/>
      <c r="V397" s="168"/>
      <c r="W397" s="169"/>
      <c r="X397" s="168"/>
      <c r="Y397" s="169"/>
      <c r="Z397" s="168"/>
      <c r="AA397" s="169"/>
      <c r="AB397" s="168"/>
      <c r="AC397" s="169"/>
      <c r="AD397" s="133">
        <f t="shared" si="30"/>
        <v>0</v>
      </c>
      <c r="AE397" s="133">
        <f t="shared" si="31"/>
        <v>0</v>
      </c>
    </row>
    <row r="398" spans="1:31" s="69" customFormat="1" ht="38.25" hidden="1" outlineLevel="1" collapsed="1" x14ac:dyDescent="0.2">
      <c r="A398" s="25" t="str">
        <f>'Утв. ИП 2014-2019'!A400</f>
        <v>1.1.6.2.13/12</v>
      </c>
      <c r="B398" s="6" t="str">
        <f>'Утв. ИП 2014-2019'!B400</f>
        <v>3.2.53</v>
      </c>
      <c r="C398" s="7" t="str">
        <f>'Утв. ИП 2014-2019'!C400</f>
        <v>Электроснабжение административного здания с СТО легковых автомобилей и автомойкой на 2 поста по адресу: г. Липецк, ул. Баумана, строение № 297б</v>
      </c>
      <c r="D398" s="8"/>
      <c r="E398" s="8" t="str">
        <f>'Утв. ИП 2014-2019'!L400</f>
        <v>0,2 км/ 0,1 МВА</v>
      </c>
      <c r="F398" s="8"/>
      <c r="G398" s="8"/>
      <c r="H398" s="8"/>
      <c r="I398" s="8"/>
      <c r="J398" s="23" t="str">
        <f>'Утв. ИП 2014-2019'!Q400</f>
        <v>0,2 км/ 0,1 МВА</v>
      </c>
      <c r="K398" s="8"/>
      <c r="L398" s="23"/>
      <c r="M398" s="8"/>
      <c r="N398" s="8"/>
      <c r="O398" s="8"/>
      <c r="P398" s="8"/>
      <c r="Q398" s="23"/>
      <c r="R398" s="166"/>
      <c r="S398" s="167"/>
      <c r="T398" s="168"/>
      <c r="U398" s="167"/>
      <c r="V398" s="168"/>
      <c r="W398" s="169"/>
      <c r="X398" s="168"/>
      <c r="Y398" s="169"/>
      <c r="Z398" s="168"/>
      <c r="AA398" s="169"/>
      <c r="AB398" s="168"/>
      <c r="AC398" s="169"/>
      <c r="AD398" s="133">
        <f t="shared" si="30"/>
        <v>0</v>
      </c>
      <c r="AE398" s="133">
        <f t="shared" si="31"/>
        <v>0</v>
      </c>
    </row>
    <row r="399" spans="1:31" s="69" customFormat="1" ht="15.75" hidden="1" outlineLevel="2" x14ac:dyDescent="0.2">
      <c r="A399" s="25">
        <f>'Утв. ИП 2014-2019'!A401</f>
        <v>0</v>
      </c>
      <c r="B399" s="6">
        <f>'Утв. ИП 2014-2019'!B401</f>
        <v>0</v>
      </c>
      <c r="C399" s="7" t="str">
        <f>'Утв. ИП 2014-2019'!C401</f>
        <v>реконструкция</v>
      </c>
      <c r="D399" s="8"/>
      <c r="E399" s="8"/>
      <c r="F399" s="8"/>
      <c r="G399" s="8"/>
      <c r="H399" s="8"/>
      <c r="I399" s="8"/>
      <c r="J399" s="23"/>
      <c r="K399" s="8"/>
      <c r="L399" s="23"/>
      <c r="M399" s="8"/>
      <c r="N399" s="8"/>
      <c r="O399" s="8"/>
      <c r="P399" s="8"/>
      <c r="Q399" s="23"/>
      <c r="R399" s="166"/>
      <c r="S399" s="167"/>
      <c r="T399" s="168"/>
      <c r="U399" s="167"/>
      <c r="V399" s="168"/>
      <c r="W399" s="169"/>
      <c r="X399" s="168"/>
      <c r="Y399" s="169"/>
      <c r="Z399" s="168"/>
      <c r="AA399" s="169"/>
      <c r="AB399" s="168"/>
      <c r="AC399" s="169"/>
      <c r="AD399" s="133">
        <f t="shared" si="30"/>
        <v>0</v>
      </c>
      <c r="AE399" s="133">
        <f t="shared" si="31"/>
        <v>0</v>
      </c>
    </row>
    <row r="400" spans="1:31" s="69" customFormat="1" ht="15.75" hidden="1" outlineLevel="2" x14ac:dyDescent="0.2">
      <c r="A400" s="25">
        <f>'Утв. ИП 2014-2019'!A402</f>
        <v>0</v>
      </c>
      <c r="B400" s="6">
        <f>'Утв. ИП 2014-2019'!B402</f>
        <v>0</v>
      </c>
      <c r="C400" s="7" t="str">
        <f>'Утв. ИП 2014-2019'!C402</f>
        <v>строительство</v>
      </c>
      <c r="D400" s="8"/>
      <c r="E400" s="8"/>
      <c r="F400" s="8"/>
      <c r="G400" s="8"/>
      <c r="H400" s="8"/>
      <c r="I400" s="8"/>
      <c r="J400" s="23"/>
      <c r="K400" s="8"/>
      <c r="L400" s="23"/>
      <c r="M400" s="8"/>
      <c r="N400" s="8"/>
      <c r="O400" s="8"/>
      <c r="P400" s="8"/>
      <c r="Q400" s="23"/>
      <c r="R400" s="166"/>
      <c r="S400" s="167"/>
      <c r="T400" s="168"/>
      <c r="U400" s="167"/>
      <c r="V400" s="168"/>
      <c r="W400" s="169"/>
      <c r="X400" s="168"/>
      <c r="Y400" s="169"/>
      <c r="Z400" s="168"/>
      <c r="AA400" s="169"/>
      <c r="AB400" s="168"/>
      <c r="AC400" s="169"/>
      <c r="AD400" s="133">
        <f t="shared" si="30"/>
        <v>0</v>
      </c>
      <c r="AE400" s="133">
        <f t="shared" si="31"/>
        <v>0</v>
      </c>
    </row>
    <row r="401" spans="1:31" s="69" customFormat="1" ht="25.5" hidden="1" outlineLevel="1" collapsed="1" x14ac:dyDescent="0.2">
      <c r="A401" s="25" t="str">
        <f>'Утв. ИП 2014-2019'!A403</f>
        <v>1.1.6.2.20/12</v>
      </c>
      <c r="B401" s="6" t="str">
        <f>'Утв. ИП 2014-2019'!B403</f>
        <v>3.2.54</v>
      </c>
      <c r="C401" s="7" t="str">
        <f>'Утв. ИП 2014-2019'!C403</f>
        <v>Электроснабжение индивидуального жилого дома усадебного типа по адресу: г. Липецк, ул. Грушевая, район д. № 51</v>
      </c>
      <c r="D401" s="8"/>
      <c r="E401" s="8" t="str">
        <f>'Утв. ИП 2014-2019'!L403</f>
        <v>0,05 км/ 0 МВА</v>
      </c>
      <c r="F401" s="8"/>
      <c r="G401" s="8"/>
      <c r="H401" s="8"/>
      <c r="I401" s="8"/>
      <c r="J401" s="23" t="str">
        <f>'Утв. ИП 2014-2019'!Q403</f>
        <v>0,05 км/ 0 МВА</v>
      </c>
      <c r="K401" s="8"/>
      <c r="L401" s="23"/>
      <c r="M401" s="8"/>
      <c r="N401" s="8"/>
      <c r="O401" s="8"/>
      <c r="P401" s="8"/>
      <c r="Q401" s="23"/>
      <c r="R401" s="166"/>
      <c r="S401" s="167"/>
      <c r="T401" s="168"/>
      <c r="U401" s="167"/>
      <c r="V401" s="168"/>
      <c r="W401" s="169"/>
      <c r="X401" s="168"/>
      <c r="Y401" s="169"/>
      <c r="Z401" s="168"/>
      <c r="AA401" s="169"/>
      <c r="AB401" s="168"/>
      <c r="AC401" s="169"/>
      <c r="AD401" s="133">
        <f t="shared" si="30"/>
        <v>0</v>
      </c>
      <c r="AE401" s="133">
        <f t="shared" si="31"/>
        <v>0</v>
      </c>
    </row>
    <row r="402" spans="1:31" s="69" customFormat="1" ht="15.75" hidden="1" outlineLevel="2" x14ac:dyDescent="0.2">
      <c r="A402" s="25">
        <f>'Утв. ИП 2014-2019'!A404</f>
        <v>0</v>
      </c>
      <c r="B402" s="6">
        <f>'Утв. ИП 2014-2019'!B404</f>
        <v>0</v>
      </c>
      <c r="C402" s="7" t="str">
        <f>'Утв. ИП 2014-2019'!C404</f>
        <v>реконструкция</v>
      </c>
      <c r="D402" s="8"/>
      <c r="E402" s="8"/>
      <c r="F402" s="8"/>
      <c r="G402" s="8"/>
      <c r="H402" s="8"/>
      <c r="I402" s="8"/>
      <c r="J402" s="23"/>
      <c r="K402" s="8"/>
      <c r="L402" s="23"/>
      <c r="M402" s="8"/>
      <c r="N402" s="8"/>
      <c r="O402" s="8"/>
      <c r="P402" s="8"/>
      <c r="Q402" s="23"/>
      <c r="R402" s="166"/>
      <c r="S402" s="167"/>
      <c r="T402" s="168"/>
      <c r="U402" s="167"/>
      <c r="V402" s="168"/>
      <c r="W402" s="169"/>
      <c r="X402" s="168"/>
      <c r="Y402" s="169"/>
      <c r="Z402" s="168"/>
      <c r="AA402" s="169"/>
      <c r="AB402" s="168"/>
      <c r="AC402" s="169"/>
      <c r="AD402" s="133">
        <f t="shared" si="30"/>
        <v>0</v>
      </c>
      <c r="AE402" s="133">
        <f t="shared" si="31"/>
        <v>0</v>
      </c>
    </row>
    <row r="403" spans="1:31" s="69" customFormat="1" ht="15.75" hidden="1" outlineLevel="2" x14ac:dyDescent="0.2">
      <c r="A403" s="25">
        <f>'Утв. ИП 2014-2019'!A405</f>
        <v>0</v>
      </c>
      <c r="B403" s="6">
        <f>'Утв. ИП 2014-2019'!B405</f>
        <v>0</v>
      </c>
      <c r="C403" s="7" t="str">
        <f>'Утв. ИП 2014-2019'!C405</f>
        <v>строительство</v>
      </c>
      <c r="D403" s="8"/>
      <c r="E403" s="8"/>
      <c r="F403" s="8"/>
      <c r="G403" s="8"/>
      <c r="H403" s="8"/>
      <c r="I403" s="8"/>
      <c r="J403" s="23"/>
      <c r="K403" s="8"/>
      <c r="L403" s="23"/>
      <c r="M403" s="8"/>
      <c r="N403" s="8"/>
      <c r="O403" s="8"/>
      <c r="P403" s="8"/>
      <c r="Q403" s="23"/>
      <c r="R403" s="166"/>
      <c r="S403" s="167"/>
      <c r="T403" s="168"/>
      <c r="U403" s="167"/>
      <c r="V403" s="168"/>
      <c r="W403" s="169"/>
      <c r="X403" s="168"/>
      <c r="Y403" s="169"/>
      <c r="Z403" s="168"/>
      <c r="AA403" s="169"/>
      <c r="AB403" s="168"/>
      <c r="AC403" s="169"/>
      <c r="AD403" s="133">
        <f t="shared" si="30"/>
        <v>0</v>
      </c>
      <c r="AE403" s="133">
        <f t="shared" si="31"/>
        <v>0</v>
      </c>
    </row>
    <row r="404" spans="1:31" s="69" customFormat="1" ht="38.25" hidden="1" outlineLevel="1" collapsed="1" x14ac:dyDescent="0.2">
      <c r="A404" s="25" t="str">
        <f>'Утв. ИП 2014-2019'!A406</f>
        <v>1.1.6.2.21/12</v>
      </c>
      <c r="B404" s="6" t="str">
        <f>'Утв. ИП 2014-2019'!B406</f>
        <v>3.2.55</v>
      </c>
      <c r="C404" s="7" t="str">
        <f>'Утв. ИП 2014-2019'!C406</f>
        <v>Электроснабжение садового домика по адресу: г. Липецк, потребительское садовое общество пенсионеров и инвалидов "Речное", ул. Сокольский лог, зем. уч. № 583</v>
      </c>
      <c r="D404" s="8"/>
      <c r="E404" s="8" t="str">
        <f>'Утв. ИП 2014-2019'!L406</f>
        <v>0,05 км/ 0 МВА</v>
      </c>
      <c r="F404" s="8"/>
      <c r="G404" s="8"/>
      <c r="H404" s="8"/>
      <c r="I404" s="8"/>
      <c r="J404" s="23" t="str">
        <f>'Утв. ИП 2014-2019'!Q406</f>
        <v>0,05 км/ 0 МВА</v>
      </c>
      <c r="K404" s="8"/>
      <c r="L404" s="23"/>
      <c r="M404" s="8"/>
      <c r="N404" s="8"/>
      <c r="O404" s="8"/>
      <c r="P404" s="8"/>
      <c r="Q404" s="23"/>
      <c r="R404" s="166"/>
      <c r="S404" s="167"/>
      <c r="T404" s="168"/>
      <c r="U404" s="167"/>
      <c r="V404" s="168"/>
      <c r="W404" s="169"/>
      <c r="X404" s="168"/>
      <c r="Y404" s="169"/>
      <c r="Z404" s="168"/>
      <c r="AA404" s="169"/>
      <c r="AB404" s="168"/>
      <c r="AC404" s="169"/>
      <c r="AD404" s="133">
        <f t="shared" si="30"/>
        <v>0</v>
      </c>
      <c r="AE404" s="133">
        <f t="shared" si="31"/>
        <v>0</v>
      </c>
    </row>
    <row r="405" spans="1:31" s="69" customFormat="1" ht="15.75" hidden="1" outlineLevel="2" x14ac:dyDescent="0.2">
      <c r="A405" s="25">
        <f>'Утв. ИП 2014-2019'!A407</f>
        <v>0</v>
      </c>
      <c r="B405" s="6">
        <f>'Утв. ИП 2014-2019'!B407</f>
        <v>0</v>
      </c>
      <c r="C405" s="7" t="str">
        <f>'Утв. ИП 2014-2019'!C407</f>
        <v>реконструкция</v>
      </c>
      <c r="D405" s="8"/>
      <c r="E405" s="8"/>
      <c r="F405" s="8"/>
      <c r="G405" s="8"/>
      <c r="H405" s="8"/>
      <c r="I405" s="8"/>
      <c r="J405" s="23"/>
      <c r="K405" s="8"/>
      <c r="L405" s="23"/>
      <c r="M405" s="8"/>
      <c r="N405" s="8"/>
      <c r="O405" s="8"/>
      <c r="P405" s="8"/>
      <c r="Q405" s="23"/>
      <c r="R405" s="166"/>
      <c r="S405" s="167"/>
      <c r="T405" s="168"/>
      <c r="U405" s="167"/>
      <c r="V405" s="168"/>
      <c r="W405" s="169"/>
      <c r="X405" s="168"/>
      <c r="Y405" s="169"/>
      <c r="Z405" s="168"/>
      <c r="AA405" s="169"/>
      <c r="AB405" s="168"/>
      <c r="AC405" s="169"/>
      <c r="AD405" s="133">
        <f t="shared" si="30"/>
        <v>0</v>
      </c>
      <c r="AE405" s="133">
        <f t="shared" si="31"/>
        <v>0</v>
      </c>
    </row>
    <row r="406" spans="1:31" s="69" customFormat="1" ht="15.75" hidden="1" outlineLevel="2" x14ac:dyDescent="0.2">
      <c r="A406" s="25">
        <f>'Утв. ИП 2014-2019'!A408</f>
        <v>0</v>
      </c>
      <c r="B406" s="6">
        <f>'Утв. ИП 2014-2019'!B408</f>
        <v>0</v>
      </c>
      <c r="C406" s="7" t="str">
        <f>'Утв. ИП 2014-2019'!C408</f>
        <v>строительство</v>
      </c>
      <c r="D406" s="8"/>
      <c r="E406" s="8"/>
      <c r="F406" s="8"/>
      <c r="G406" s="8"/>
      <c r="H406" s="8"/>
      <c r="I406" s="8"/>
      <c r="J406" s="23"/>
      <c r="K406" s="8"/>
      <c r="L406" s="23"/>
      <c r="M406" s="8"/>
      <c r="N406" s="8"/>
      <c r="O406" s="8"/>
      <c r="P406" s="8"/>
      <c r="Q406" s="23"/>
      <c r="R406" s="166"/>
      <c r="S406" s="167"/>
      <c r="T406" s="168"/>
      <c r="U406" s="167"/>
      <c r="V406" s="168"/>
      <c r="W406" s="169"/>
      <c r="X406" s="168"/>
      <c r="Y406" s="169"/>
      <c r="Z406" s="168"/>
      <c r="AA406" s="169"/>
      <c r="AB406" s="168"/>
      <c r="AC406" s="169"/>
      <c r="AD406" s="133">
        <f t="shared" si="30"/>
        <v>0</v>
      </c>
      <c r="AE406" s="133">
        <f t="shared" si="31"/>
        <v>0</v>
      </c>
    </row>
    <row r="407" spans="1:31" s="69" customFormat="1" ht="25.5" hidden="1" outlineLevel="1" collapsed="1" x14ac:dyDescent="0.2">
      <c r="A407" s="25" t="str">
        <f>'Утв. ИП 2014-2019'!A409</f>
        <v>1.1.6.2.23/12</v>
      </c>
      <c r="B407" s="6" t="str">
        <f>'Утв. ИП 2014-2019'!B409</f>
        <v>3.2.56</v>
      </c>
      <c r="C407" s="7" t="str">
        <f>'Утв. ИП 2014-2019'!C409</f>
        <v>Электроснабжение станции технического обслуживания автомобилей по адресу: г. Липецк, ул. Гагарина</v>
      </c>
      <c r="D407" s="8" t="str">
        <f>'Утв. ИП 2014-2019'!K409</f>
        <v>0,2 км/ 0 МВА</v>
      </c>
      <c r="E407" s="8"/>
      <c r="F407" s="8"/>
      <c r="G407" s="8"/>
      <c r="H407" s="8"/>
      <c r="I407" s="8"/>
      <c r="J407" s="23" t="str">
        <f>'Утв. ИП 2014-2019'!Q409</f>
        <v>0,2 км/ 0 МВА</v>
      </c>
      <c r="K407" s="8"/>
      <c r="L407" s="23"/>
      <c r="M407" s="8"/>
      <c r="N407" s="8"/>
      <c r="O407" s="8"/>
      <c r="P407" s="8"/>
      <c r="Q407" s="23"/>
      <c r="R407" s="166"/>
      <c r="S407" s="167"/>
      <c r="T407" s="168"/>
      <c r="U407" s="167"/>
      <c r="V407" s="168"/>
      <c r="W407" s="169"/>
      <c r="X407" s="168"/>
      <c r="Y407" s="169"/>
      <c r="Z407" s="168"/>
      <c r="AA407" s="169"/>
      <c r="AB407" s="168"/>
      <c r="AC407" s="169"/>
      <c r="AD407" s="133">
        <f t="shared" si="30"/>
        <v>0</v>
      </c>
      <c r="AE407" s="133">
        <f t="shared" si="31"/>
        <v>0</v>
      </c>
    </row>
    <row r="408" spans="1:31" s="69" customFormat="1" ht="15.75" hidden="1" outlineLevel="2" x14ac:dyDescent="0.2">
      <c r="A408" s="25">
        <f>'Утв. ИП 2014-2019'!A410</f>
        <v>0</v>
      </c>
      <c r="B408" s="6">
        <f>'Утв. ИП 2014-2019'!B410</f>
        <v>0</v>
      </c>
      <c r="C408" s="7" t="str">
        <f>'Утв. ИП 2014-2019'!C410</f>
        <v>реконструкция</v>
      </c>
      <c r="D408" s="8"/>
      <c r="E408" s="8"/>
      <c r="F408" s="8"/>
      <c r="G408" s="8"/>
      <c r="H408" s="8"/>
      <c r="I408" s="8"/>
      <c r="J408" s="23"/>
      <c r="K408" s="8"/>
      <c r="L408" s="23"/>
      <c r="M408" s="8"/>
      <c r="N408" s="8"/>
      <c r="O408" s="8"/>
      <c r="P408" s="8"/>
      <c r="Q408" s="23"/>
      <c r="R408" s="166"/>
      <c r="S408" s="167"/>
      <c r="T408" s="168"/>
      <c r="U408" s="167"/>
      <c r="V408" s="168"/>
      <c r="W408" s="169"/>
      <c r="X408" s="168"/>
      <c r="Y408" s="169"/>
      <c r="Z408" s="168"/>
      <c r="AA408" s="169"/>
      <c r="AB408" s="168"/>
      <c r="AC408" s="169"/>
      <c r="AD408" s="133">
        <f t="shared" si="30"/>
        <v>0</v>
      </c>
      <c r="AE408" s="133">
        <f t="shared" si="31"/>
        <v>0</v>
      </c>
    </row>
    <row r="409" spans="1:31" s="69" customFormat="1" ht="15.75" hidden="1" outlineLevel="2" x14ac:dyDescent="0.2">
      <c r="A409" s="25">
        <f>'Утв. ИП 2014-2019'!A411</f>
        <v>0</v>
      </c>
      <c r="B409" s="6">
        <f>'Утв. ИП 2014-2019'!B411</f>
        <v>0</v>
      </c>
      <c r="C409" s="7" t="str">
        <f>'Утв. ИП 2014-2019'!C411</f>
        <v>строительство</v>
      </c>
      <c r="D409" s="8"/>
      <c r="E409" s="8"/>
      <c r="F409" s="8"/>
      <c r="G409" s="8"/>
      <c r="H409" s="8"/>
      <c r="I409" s="8"/>
      <c r="J409" s="23"/>
      <c r="K409" s="23"/>
      <c r="L409" s="8"/>
      <c r="M409" s="8"/>
      <c r="N409" s="8"/>
      <c r="O409" s="8"/>
      <c r="P409" s="8"/>
      <c r="Q409" s="23"/>
      <c r="R409" s="166"/>
      <c r="S409" s="167"/>
      <c r="T409" s="168"/>
      <c r="U409" s="167"/>
      <c r="V409" s="168"/>
      <c r="W409" s="169"/>
      <c r="X409" s="168"/>
      <c r="Y409" s="169"/>
      <c r="Z409" s="168"/>
      <c r="AA409" s="169"/>
      <c r="AB409" s="168"/>
      <c r="AC409" s="169"/>
      <c r="AD409" s="133">
        <f t="shared" si="30"/>
        <v>0</v>
      </c>
      <c r="AE409" s="133">
        <f t="shared" si="31"/>
        <v>0</v>
      </c>
    </row>
    <row r="410" spans="1:31" s="69" customFormat="1" ht="25.5" hidden="1" outlineLevel="1" collapsed="1" x14ac:dyDescent="0.2">
      <c r="A410" s="25" t="str">
        <f>'Утв. ИП 2014-2019'!A412</f>
        <v>1.1.6.2.24/12</v>
      </c>
      <c r="B410" s="6" t="str">
        <f>'Утв. ИП 2014-2019'!B412</f>
        <v>3.2.57</v>
      </c>
      <c r="C410" s="7" t="str">
        <f>'Утв. ИП 2014-2019'!C412</f>
        <v>Электроснабжение гаража по адресу: г. Липецк, ГК "Пришвинский", гараж № 282</v>
      </c>
      <c r="D410" s="8" t="str">
        <f>'Утв. ИП 2014-2019'!K412</f>
        <v>0,5 км/ 0 МВА</v>
      </c>
      <c r="E410" s="8"/>
      <c r="F410" s="8"/>
      <c r="G410" s="8"/>
      <c r="H410" s="8"/>
      <c r="I410" s="8"/>
      <c r="J410" s="23" t="str">
        <f>'Утв. ИП 2014-2019'!Q412</f>
        <v>0,5 км/ 0 МВА</v>
      </c>
      <c r="K410" s="23"/>
      <c r="L410" s="8"/>
      <c r="M410" s="8"/>
      <c r="N410" s="8"/>
      <c r="O410" s="8"/>
      <c r="P410" s="8"/>
      <c r="Q410" s="23"/>
      <c r="R410" s="166"/>
      <c r="S410" s="167"/>
      <c r="T410" s="168"/>
      <c r="U410" s="167"/>
      <c r="V410" s="168"/>
      <c r="W410" s="169"/>
      <c r="X410" s="168"/>
      <c r="Y410" s="169"/>
      <c r="Z410" s="168"/>
      <c r="AA410" s="169"/>
      <c r="AB410" s="168"/>
      <c r="AC410" s="169"/>
      <c r="AD410" s="133">
        <f t="shared" si="30"/>
        <v>0</v>
      </c>
      <c r="AE410" s="133">
        <f t="shared" si="31"/>
        <v>0</v>
      </c>
    </row>
    <row r="411" spans="1:31" s="69" customFormat="1" ht="15.75" hidden="1" outlineLevel="2" x14ac:dyDescent="0.2">
      <c r="A411" s="25">
        <f>'Утв. ИП 2014-2019'!A413</f>
        <v>0</v>
      </c>
      <c r="B411" s="6">
        <f>'Утв. ИП 2014-2019'!B413</f>
        <v>0</v>
      </c>
      <c r="C411" s="7" t="str">
        <f>'Утв. ИП 2014-2019'!C413</f>
        <v>реконструкция</v>
      </c>
      <c r="D411" s="8"/>
      <c r="E411" s="8"/>
      <c r="F411" s="8"/>
      <c r="G411" s="8"/>
      <c r="H411" s="8"/>
      <c r="I411" s="8"/>
      <c r="J411" s="23"/>
      <c r="K411" s="23"/>
      <c r="L411" s="8"/>
      <c r="M411" s="8"/>
      <c r="N411" s="8"/>
      <c r="O411" s="8"/>
      <c r="P411" s="8"/>
      <c r="Q411" s="23"/>
      <c r="R411" s="166"/>
      <c r="S411" s="167"/>
      <c r="T411" s="168"/>
      <c r="U411" s="167"/>
      <c r="V411" s="168"/>
      <c r="W411" s="169"/>
      <c r="X411" s="168"/>
      <c r="Y411" s="169"/>
      <c r="Z411" s="168"/>
      <c r="AA411" s="169"/>
      <c r="AB411" s="168"/>
      <c r="AC411" s="169"/>
      <c r="AD411" s="133">
        <f t="shared" si="30"/>
        <v>0</v>
      </c>
      <c r="AE411" s="133">
        <f t="shared" si="31"/>
        <v>0</v>
      </c>
    </row>
    <row r="412" spans="1:31" s="69" customFormat="1" ht="15.75" hidden="1" outlineLevel="2" x14ac:dyDescent="0.2">
      <c r="A412" s="25">
        <f>'Утв. ИП 2014-2019'!A414</f>
        <v>0</v>
      </c>
      <c r="B412" s="6">
        <f>'Утв. ИП 2014-2019'!B414</f>
        <v>0</v>
      </c>
      <c r="C412" s="7" t="str">
        <f>'Утв. ИП 2014-2019'!C414</f>
        <v>строительство</v>
      </c>
      <c r="D412" s="8"/>
      <c r="E412" s="8"/>
      <c r="F412" s="8"/>
      <c r="G412" s="8"/>
      <c r="H412" s="8"/>
      <c r="I412" s="8"/>
      <c r="J412" s="23"/>
      <c r="K412" s="23"/>
      <c r="L412" s="8"/>
      <c r="M412" s="8"/>
      <c r="N412" s="8"/>
      <c r="O412" s="8"/>
      <c r="P412" s="8"/>
      <c r="Q412" s="23"/>
      <c r="R412" s="166"/>
      <c r="S412" s="167"/>
      <c r="T412" s="168"/>
      <c r="U412" s="167"/>
      <c r="V412" s="168"/>
      <c r="W412" s="169"/>
      <c r="X412" s="168"/>
      <c r="Y412" s="169"/>
      <c r="Z412" s="168"/>
      <c r="AA412" s="169"/>
      <c r="AB412" s="168"/>
      <c r="AC412" s="169"/>
      <c r="AD412" s="133">
        <f t="shared" si="30"/>
        <v>0</v>
      </c>
      <c r="AE412" s="133">
        <f t="shared" si="31"/>
        <v>0</v>
      </c>
    </row>
    <row r="413" spans="1:31" s="69" customFormat="1" ht="25.5" hidden="1" outlineLevel="1" collapsed="1" x14ac:dyDescent="0.2">
      <c r="A413" s="25" t="str">
        <f>'Утв. ИП 2014-2019'!A415</f>
        <v>1.1.6.2.28/12</v>
      </c>
      <c r="B413" s="6" t="str">
        <f>'Утв. ИП 2014-2019'!B415</f>
        <v>3.2.58</v>
      </c>
      <c r="C413" s="7" t="str">
        <f>'Утв. ИП 2014-2019'!C415</f>
        <v>Строительство ЛЭП-0,4 кВ от ТП-451 до компрессорного цеха по адресу: г. Липецк, ул. Римского-Корсакова, д. 1а</v>
      </c>
      <c r="D413" s="8" t="str">
        <f>'Утв. ИП 2014-2019'!K415</f>
        <v>0,2 км/ 0 МВА</v>
      </c>
      <c r="E413" s="8"/>
      <c r="F413" s="8"/>
      <c r="G413" s="8"/>
      <c r="H413" s="8"/>
      <c r="I413" s="8"/>
      <c r="J413" s="23" t="str">
        <f>'Утв. ИП 2014-2019'!Q415</f>
        <v>0,2 км/ 0 МВА</v>
      </c>
      <c r="K413" s="23"/>
      <c r="L413" s="8"/>
      <c r="M413" s="8"/>
      <c r="N413" s="8"/>
      <c r="O413" s="8"/>
      <c r="P413" s="8"/>
      <c r="Q413" s="23"/>
      <c r="R413" s="166"/>
      <c r="S413" s="167"/>
      <c r="T413" s="168"/>
      <c r="U413" s="167"/>
      <c r="V413" s="168"/>
      <c r="W413" s="169"/>
      <c r="X413" s="168"/>
      <c r="Y413" s="169"/>
      <c r="Z413" s="168"/>
      <c r="AA413" s="169"/>
      <c r="AB413" s="168"/>
      <c r="AC413" s="169"/>
      <c r="AD413" s="133">
        <f t="shared" si="30"/>
        <v>0</v>
      </c>
      <c r="AE413" s="133">
        <f t="shared" si="31"/>
        <v>0</v>
      </c>
    </row>
    <row r="414" spans="1:31" s="69" customFormat="1" ht="15.75" hidden="1" outlineLevel="2" x14ac:dyDescent="0.2">
      <c r="A414" s="25">
        <f>'Утв. ИП 2014-2019'!A416</f>
        <v>0</v>
      </c>
      <c r="B414" s="6">
        <f>'Утв. ИП 2014-2019'!B416</f>
        <v>0</v>
      </c>
      <c r="C414" s="7" t="str">
        <f>'Утв. ИП 2014-2019'!C416</f>
        <v>реконструкция</v>
      </c>
      <c r="D414" s="8"/>
      <c r="E414" s="8"/>
      <c r="F414" s="8"/>
      <c r="G414" s="8"/>
      <c r="H414" s="8"/>
      <c r="I414" s="8"/>
      <c r="J414" s="23"/>
      <c r="K414" s="23"/>
      <c r="L414" s="8"/>
      <c r="M414" s="8"/>
      <c r="N414" s="8"/>
      <c r="O414" s="8"/>
      <c r="P414" s="8"/>
      <c r="Q414" s="23"/>
      <c r="R414" s="166"/>
      <c r="S414" s="167"/>
      <c r="T414" s="168"/>
      <c r="U414" s="167"/>
      <c r="V414" s="168"/>
      <c r="W414" s="169"/>
      <c r="X414" s="168"/>
      <c r="Y414" s="169"/>
      <c r="Z414" s="168"/>
      <c r="AA414" s="169"/>
      <c r="AB414" s="168"/>
      <c r="AC414" s="169"/>
      <c r="AD414" s="133">
        <f t="shared" si="30"/>
        <v>0</v>
      </c>
      <c r="AE414" s="133">
        <f t="shared" si="31"/>
        <v>0</v>
      </c>
    </row>
    <row r="415" spans="1:31" s="69" customFormat="1" ht="15.75" hidden="1" outlineLevel="2" x14ac:dyDescent="0.2">
      <c r="A415" s="25">
        <f>'Утв. ИП 2014-2019'!A417</f>
        <v>0</v>
      </c>
      <c r="B415" s="6">
        <f>'Утв. ИП 2014-2019'!B417</f>
        <v>0</v>
      </c>
      <c r="C415" s="7" t="str">
        <f>'Утв. ИП 2014-2019'!C417</f>
        <v>строительство</v>
      </c>
      <c r="D415" s="8"/>
      <c r="E415" s="8"/>
      <c r="F415" s="8"/>
      <c r="G415" s="8"/>
      <c r="H415" s="8"/>
      <c r="I415" s="8"/>
      <c r="J415" s="23"/>
      <c r="K415" s="23"/>
      <c r="L415" s="8"/>
      <c r="M415" s="8"/>
      <c r="N415" s="8"/>
      <c r="O415" s="8"/>
      <c r="P415" s="8"/>
      <c r="Q415" s="23"/>
      <c r="R415" s="166"/>
      <c r="S415" s="167"/>
      <c r="T415" s="168"/>
      <c r="U415" s="167"/>
      <c r="V415" s="168"/>
      <c r="W415" s="169"/>
      <c r="X415" s="168"/>
      <c r="Y415" s="169"/>
      <c r="Z415" s="168"/>
      <c r="AA415" s="169"/>
      <c r="AB415" s="168"/>
      <c r="AC415" s="169"/>
      <c r="AD415" s="133">
        <f t="shared" si="30"/>
        <v>0</v>
      </c>
      <c r="AE415" s="133">
        <f t="shared" si="31"/>
        <v>0</v>
      </c>
    </row>
    <row r="416" spans="1:31" s="69" customFormat="1" ht="25.5" hidden="1" outlineLevel="1" collapsed="1" x14ac:dyDescent="0.2">
      <c r="A416" s="25" t="str">
        <f>'Утв. ИП 2014-2019'!A418</f>
        <v>1.1.6.2.31/12</v>
      </c>
      <c r="B416" s="6" t="str">
        <f>'Утв. ИП 2014-2019'!B418</f>
        <v>3.2.59</v>
      </c>
      <c r="C416" s="7" t="str">
        <f>'Утв. ИП 2014-2019'!C418</f>
        <v>Электроснабжение садового дома по адресу: г. Липецк, СПО "Металлург-1", квартал Iа, зем. уч. № 62</v>
      </c>
      <c r="D416" s="8" t="str">
        <f>'Утв. ИП 2014-2019'!K418</f>
        <v>0,1 км/ 0 МВА</v>
      </c>
      <c r="E416" s="8"/>
      <c r="F416" s="8"/>
      <c r="G416" s="8"/>
      <c r="H416" s="8"/>
      <c r="I416" s="8"/>
      <c r="J416" s="23" t="str">
        <f>'Утв. ИП 2014-2019'!Q418</f>
        <v>0,1 км/ 0 МВА</v>
      </c>
      <c r="K416" s="23"/>
      <c r="L416" s="8"/>
      <c r="M416" s="8"/>
      <c r="N416" s="8"/>
      <c r="O416" s="8"/>
      <c r="P416" s="8"/>
      <c r="Q416" s="23"/>
      <c r="R416" s="166"/>
      <c r="S416" s="167"/>
      <c r="T416" s="168"/>
      <c r="U416" s="167"/>
      <c r="V416" s="168"/>
      <c r="W416" s="169"/>
      <c r="X416" s="168"/>
      <c r="Y416" s="169"/>
      <c r="Z416" s="168"/>
      <c r="AA416" s="169"/>
      <c r="AB416" s="168"/>
      <c r="AC416" s="169"/>
      <c r="AD416" s="133">
        <f t="shared" si="30"/>
        <v>0</v>
      </c>
      <c r="AE416" s="133">
        <f t="shared" si="31"/>
        <v>0</v>
      </c>
    </row>
    <row r="417" spans="1:31" s="69" customFormat="1" ht="15.75" hidden="1" outlineLevel="2" x14ac:dyDescent="0.2">
      <c r="A417" s="25">
        <f>'Утв. ИП 2014-2019'!A419</f>
        <v>0</v>
      </c>
      <c r="B417" s="6">
        <f>'Утв. ИП 2014-2019'!B419</f>
        <v>0</v>
      </c>
      <c r="C417" s="7" t="str">
        <f>'Утв. ИП 2014-2019'!C419</f>
        <v>реконструкция</v>
      </c>
      <c r="D417" s="8"/>
      <c r="E417" s="8"/>
      <c r="F417" s="8"/>
      <c r="G417" s="8"/>
      <c r="H417" s="8"/>
      <c r="I417" s="8"/>
      <c r="J417" s="23"/>
      <c r="K417" s="23"/>
      <c r="L417" s="8"/>
      <c r="M417" s="8"/>
      <c r="N417" s="8"/>
      <c r="O417" s="8"/>
      <c r="P417" s="8"/>
      <c r="Q417" s="23"/>
      <c r="R417" s="166"/>
      <c r="S417" s="167"/>
      <c r="T417" s="168"/>
      <c r="U417" s="167"/>
      <c r="V417" s="168"/>
      <c r="W417" s="169"/>
      <c r="X417" s="168"/>
      <c r="Y417" s="169"/>
      <c r="Z417" s="168"/>
      <c r="AA417" s="169"/>
      <c r="AB417" s="168"/>
      <c r="AC417" s="169"/>
      <c r="AD417" s="133">
        <f t="shared" si="30"/>
        <v>0</v>
      </c>
      <c r="AE417" s="133">
        <f t="shared" si="31"/>
        <v>0</v>
      </c>
    </row>
    <row r="418" spans="1:31" s="69" customFormat="1" ht="15.75" hidden="1" outlineLevel="2" x14ac:dyDescent="0.2">
      <c r="A418" s="25">
        <f>'Утв. ИП 2014-2019'!A420</f>
        <v>0</v>
      </c>
      <c r="B418" s="6">
        <f>'Утв. ИП 2014-2019'!B420</f>
        <v>0</v>
      </c>
      <c r="C418" s="7" t="str">
        <f>'Утв. ИП 2014-2019'!C420</f>
        <v>строительство</v>
      </c>
      <c r="D418" s="8"/>
      <c r="E418" s="8"/>
      <c r="F418" s="8"/>
      <c r="G418" s="8"/>
      <c r="H418" s="8"/>
      <c r="I418" s="8"/>
      <c r="J418" s="23"/>
      <c r="K418" s="8"/>
      <c r="L418" s="23"/>
      <c r="M418" s="8"/>
      <c r="N418" s="8"/>
      <c r="O418" s="8"/>
      <c r="P418" s="8"/>
      <c r="Q418" s="23"/>
      <c r="R418" s="166"/>
      <c r="S418" s="167"/>
      <c r="T418" s="168"/>
      <c r="U418" s="167"/>
      <c r="V418" s="168"/>
      <c r="W418" s="169"/>
      <c r="X418" s="168"/>
      <c r="Y418" s="169"/>
      <c r="Z418" s="168"/>
      <c r="AA418" s="169"/>
      <c r="AB418" s="168"/>
      <c r="AC418" s="169"/>
      <c r="AD418" s="133">
        <f t="shared" si="30"/>
        <v>0</v>
      </c>
      <c r="AE418" s="133">
        <f t="shared" si="31"/>
        <v>0</v>
      </c>
    </row>
    <row r="419" spans="1:31" s="69" customFormat="1" ht="25.5" hidden="1" outlineLevel="1" collapsed="1" x14ac:dyDescent="0.2">
      <c r="A419" s="25" t="str">
        <f>'Утв. ИП 2014-2019'!A421</f>
        <v>1.1.6.2.36/12</v>
      </c>
      <c r="B419" s="6" t="str">
        <f>'Утв. ИП 2014-2019'!B421</f>
        <v>3.2.60</v>
      </c>
      <c r="C419" s="7" t="str">
        <f>'Утв. ИП 2014-2019'!C421</f>
        <v>Электроснабжение помещения № 10 по адресу: г. Липецк, пр. Победы, д. 59, корпус а</v>
      </c>
      <c r="D419" s="8" t="str">
        <f>'Утв. ИП 2014-2019'!K421</f>
        <v>0,2 км/ 0 МВА</v>
      </c>
      <c r="E419" s="8"/>
      <c r="F419" s="8"/>
      <c r="G419" s="8"/>
      <c r="H419" s="8"/>
      <c r="I419" s="8"/>
      <c r="J419" s="23" t="str">
        <f>'Утв. ИП 2014-2019'!Q421</f>
        <v>0,2 км/ 0 МВА</v>
      </c>
      <c r="K419" s="23"/>
      <c r="L419" s="8"/>
      <c r="M419" s="8"/>
      <c r="N419" s="8"/>
      <c r="O419" s="8"/>
      <c r="P419" s="8"/>
      <c r="Q419" s="23"/>
      <c r="R419" s="166"/>
      <c r="S419" s="167"/>
      <c r="T419" s="168"/>
      <c r="U419" s="167"/>
      <c r="V419" s="168"/>
      <c r="W419" s="169"/>
      <c r="X419" s="168"/>
      <c r="Y419" s="169"/>
      <c r="Z419" s="168"/>
      <c r="AA419" s="169"/>
      <c r="AB419" s="168"/>
      <c r="AC419" s="169"/>
      <c r="AD419" s="133">
        <f t="shared" si="30"/>
        <v>0</v>
      </c>
      <c r="AE419" s="133">
        <f t="shared" si="31"/>
        <v>0</v>
      </c>
    </row>
    <row r="420" spans="1:31" s="69" customFormat="1" ht="15.75" hidden="1" outlineLevel="2" x14ac:dyDescent="0.2">
      <c r="A420" s="25">
        <f>'Утв. ИП 2014-2019'!A422</f>
        <v>0</v>
      </c>
      <c r="B420" s="6">
        <f>'Утв. ИП 2014-2019'!B422</f>
        <v>0</v>
      </c>
      <c r="C420" s="7" t="str">
        <f>'Утв. ИП 2014-2019'!C422</f>
        <v>реконструкция</v>
      </c>
      <c r="D420" s="8"/>
      <c r="E420" s="8"/>
      <c r="F420" s="8"/>
      <c r="G420" s="8"/>
      <c r="H420" s="8"/>
      <c r="I420" s="8"/>
      <c r="J420" s="23"/>
      <c r="K420" s="23"/>
      <c r="L420" s="8"/>
      <c r="M420" s="8"/>
      <c r="N420" s="8"/>
      <c r="O420" s="8"/>
      <c r="P420" s="8"/>
      <c r="Q420" s="23"/>
      <c r="R420" s="166"/>
      <c r="S420" s="167"/>
      <c r="T420" s="168"/>
      <c r="U420" s="167"/>
      <c r="V420" s="168"/>
      <c r="W420" s="169"/>
      <c r="X420" s="168"/>
      <c r="Y420" s="169"/>
      <c r="Z420" s="168"/>
      <c r="AA420" s="169"/>
      <c r="AB420" s="168"/>
      <c r="AC420" s="169"/>
      <c r="AD420" s="133">
        <f t="shared" si="30"/>
        <v>0</v>
      </c>
      <c r="AE420" s="133">
        <f t="shared" si="31"/>
        <v>0</v>
      </c>
    </row>
    <row r="421" spans="1:31" s="69" customFormat="1" ht="15.75" hidden="1" outlineLevel="2" x14ac:dyDescent="0.2">
      <c r="A421" s="25">
        <f>'Утв. ИП 2014-2019'!A423</f>
        <v>0</v>
      </c>
      <c r="B421" s="6">
        <f>'Утв. ИП 2014-2019'!B423</f>
        <v>0</v>
      </c>
      <c r="C421" s="7" t="str">
        <f>'Утв. ИП 2014-2019'!C423</f>
        <v>строительство</v>
      </c>
      <c r="D421" s="8"/>
      <c r="E421" s="8"/>
      <c r="F421" s="8"/>
      <c r="G421" s="8"/>
      <c r="H421" s="8"/>
      <c r="I421" s="8"/>
      <c r="J421" s="23"/>
      <c r="K421" s="8"/>
      <c r="L421" s="23"/>
      <c r="M421" s="8"/>
      <c r="N421" s="8"/>
      <c r="O421" s="8"/>
      <c r="P421" s="8"/>
      <c r="Q421" s="23"/>
      <c r="R421" s="166"/>
      <c r="S421" s="167"/>
      <c r="T421" s="168"/>
      <c r="U421" s="167"/>
      <c r="V421" s="168"/>
      <c r="W421" s="169"/>
      <c r="X421" s="168"/>
      <c r="Y421" s="169"/>
      <c r="Z421" s="168"/>
      <c r="AA421" s="169"/>
      <c r="AB421" s="168"/>
      <c r="AC421" s="169"/>
      <c r="AD421" s="133">
        <f t="shared" si="30"/>
        <v>0</v>
      </c>
      <c r="AE421" s="133">
        <f t="shared" si="31"/>
        <v>0</v>
      </c>
    </row>
    <row r="422" spans="1:31" s="69" customFormat="1" ht="25.5" hidden="1" outlineLevel="1" collapsed="1" x14ac:dyDescent="0.2">
      <c r="A422" s="25" t="str">
        <f>'Утв. ИП 2014-2019'!A424</f>
        <v>1.1.6.2.37/12</v>
      </c>
      <c r="B422" s="6" t="str">
        <f>'Утв. ИП 2014-2019'!B424</f>
        <v>3.2.61</v>
      </c>
      <c r="C422" s="7" t="str">
        <f>'Утв. ИП 2014-2019'!C424</f>
        <v>Электроснабжение здания склада и офисного здания по адресу: ул. Прудная, строение 1д, 1г</v>
      </c>
      <c r="D422" s="8"/>
      <c r="E422" s="8" t="str">
        <f>'Утв. ИП 2014-2019'!L424</f>
        <v>0 км/ 0 МВА</v>
      </c>
      <c r="F422" s="8"/>
      <c r="G422" s="8"/>
      <c r="H422" s="8"/>
      <c r="I422" s="8"/>
      <c r="J422" s="23" t="str">
        <f>'Утв. ИП 2014-2019'!Q424</f>
        <v>0 км/ 0 МВА</v>
      </c>
      <c r="K422" s="23"/>
      <c r="L422" s="8"/>
      <c r="M422" s="8"/>
      <c r="N422" s="8"/>
      <c r="O422" s="8"/>
      <c r="P422" s="8"/>
      <c r="Q422" s="23"/>
      <c r="R422" s="166"/>
      <c r="S422" s="167"/>
      <c r="T422" s="168"/>
      <c r="U422" s="167"/>
      <c r="V422" s="168"/>
      <c r="W422" s="169"/>
      <c r="X422" s="168"/>
      <c r="Y422" s="169"/>
      <c r="Z422" s="168"/>
      <c r="AA422" s="169"/>
      <c r="AB422" s="168"/>
      <c r="AC422" s="169"/>
      <c r="AD422" s="133">
        <f t="shared" si="30"/>
        <v>0</v>
      </c>
      <c r="AE422" s="133">
        <f t="shared" si="31"/>
        <v>0</v>
      </c>
    </row>
    <row r="423" spans="1:31" s="69" customFormat="1" ht="15.75" hidden="1" outlineLevel="2" x14ac:dyDescent="0.2">
      <c r="A423" s="25">
        <f>'Утв. ИП 2014-2019'!A425</f>
        <v>0</v>
      </c>
      <c r="B423" s="6">
        <f>'Утв. ИП 2014-2019'!B425</f>
        <v>0</v>
      </c>
      <c r="C423" s="7" t="str">
        <f>'Утв. ИП 2014-2019'!C425</f>
        <v>реконструкция</v>
      </c>
      <c r="D423" s="8"/>
      <c r="E423" s="8"/>
      <c r="F423" s="8"/>
      <c r="G423" s="8"/>
      <c r="H423" s="8"/>
      <c r="I423" s="8"/>
      <c r="J423" s="23"/>
      <c r="K423" s="8"/>
      <c r="L423" s="23"/>
      <c r="M423" s="8"/>
      <c r="N423" s="8"/>
      <c r="O423" s="8"/>
      <c r="P423" s="8"/>
      <c r="Q423" s="23"/>
      <c r="R423" s="166"/>
      <c r="S423" s="167"/>
      <c r="T423" s="168"/>
      <c r="U423" s="167"/>
      <c r="V423" s="168"/>
      <c r="W423" s="169"/>
      <c r="X423" s="168"/>
      <c r="Y423" s="169"/>
      <c r="Z423" s="168"/>
      <c r="AA423" s="169"/>
      <c r="AB423" s="168"/>
      <c r="AC423" s="169"/>
      <c r="AD423" s="133">
        <f t="shared" si="30"/>
        <v>0</v>
      </c>
      <c r="AE423" s="133">
        <f t="shared" si="31"/>
        <v>0</v>
      </c>
    </row>
    <row r="424" spans="1:31" s="69" customFormat="1" ht="15.75" hidden="1" outlineLevel="2" x14ac:dyDescent="0.2">
      <c r="A424" s="25">
        <f>'Утв. ИП 2014-2019'!A426</f>
        <v>0</v>
      </c>
      <c r="B424" s="6">
        <f>'Утв. ИП 2014-2019'!B426</f>
        <v>0</v>
      </c>
      <c r="C424" s="7" t="str">
        <f>'Утв. ИП 2014-2019'!C426</f>
        <v>строительство</v>
      </c>
      <c r="D424" s="8"/>
      <c r="E424" s="8"/>
      <c r="F424" s="8"/>
      <c r="G424" s="8"/>
      <c r="H424" s="8"/>
      <c r="I424" s="8"/>
      <c r="J424" s="23"/>
      <c r="K424" s="23"/>
      <c r="L424" s="8"/>
      <c r="M424" s="8"/>
      <c r="N424" s="8"/>
      <c r="O424" s="8"/>
      <c r="P424" s="8"/>
      <c r="Q424" s="23"/>
      <c r="R424" s="166"/>
      <c r="S424" s="167"/>
      <c r="T424" s="168"/>
      <c r="U424" s="167"/>
      <c r="V424" s="168"/>
      <c r="W424" s="169"/>
      <c r="X424" s="168"/>
      <c r="Y424" s="169"/>
      <c r="Z424" s="168"/>
      <c r="AA424" s="169"/>
      <c r="AB424" s="168"/>
      <c r="AC424" s="169"/>
      <c r="AD424" s="133">
        <f t="shared" si="30"/>
        <v>0</v>
      </c>
      <c r="AE424" s="133">
        <f t="shared" si="31"/>
        <v>0</v>
      </c>
    </row>
    <row r="425" spans="1:31" s="69" customFormat="1" ht="25.5" hidden="1" outlineLevel="1" collapsed="1" x14ac:dyDescent="0.2">
      <c r="A425" s="25" t="str">
        <f>'Утв. ИП 2014-2019'!A427</f>
        <v>1.1.6.2.41/12</v>
      </c>
      <c r="B425" s="6" t="str">
        <f>'Утв. ИП 2014-2019'!B427</f>
        <v>3.2.62</v>
      </c>
      <c r="C425" s="7" t="str">
        <f>'Утв. ИП 2014-2019'!C427</f>
        <v>Электроснабжение комплектовочного отделения по адресу: г. Липецк, ул. Ковалева, район Цемзавода</v>
      </c>
      <c r="D425" s="8" t="str">
        <f>'Утв. ИП 2014-2019'!K427</f>
        <v>0,05 км/ 0,1 МВА</v>
      </c>
      <c r="E425" s="8"/>
      <c r="F425" s="8"/>
      <c r="G425" s="8"/>
      <c r="H425" s="8"/>
      <c r="I425" s="8"/>
      <c r="J425" s="23" t="str">
        <f>'Утв. ИП 2014-2019'!Q427</f>
        <v>0,05 км/ 0,1 МВА</v>
      </c>
      <c r="K425" s="8"/>
      <c r="L425" s="23"/>
      <c r="M425" s="8"/>
      <c r="N425" s="8"/>
      <c r="O425" s="8"/>
      <c r="P425" s="8"/>
      <c r="Q425" s="23"/>
      <c r="R425" s="166"/>
      <c r="S425" s="167"/>
      <c r="T425" s="168"/>
      <c r="U425" s="167"/>
      <c r="V425" s="168"/>
      <c r="W425" s="169"/>
      <c r="X425" s="168"/>
      <c r="Y425" s="169"/>
      <c r="Z425" s="168"/>
      <c r="AA425" s="169"/>
      <c r="AB425" s="168"/>
      <c r="AC425" s="169"/>
      <c r="AD425" s="133">
        <f t="shared" si="30"/>
        <v>0</v>
      </c>
      <c r="AE425" s="133">
        <f t="shared" si="31"/>
        <v>0</v>
      </c>
    </row>
    <row r="426" spans="1:31" s="69" customFormat="1" ht="15.75" hidden="1" outlineLevel="2" x14ac:dyDescent="0.2">
      <c r="A426" s="25">
        <f>'Утв. ИП 2014-2019'!A428</f>
        <v>0</v>
      </c>
      <c r="B426" s="6">
        <f>'Утв. ИП 2014-2019'!B428</f>
        <v>0</v>
      </c>
      <c r="C426" s="7" t="str">
        <f>'Утв. ИП 2014-2019'!C428</f>
        <v>реконструкция</v>
      </c>
      <c r="D426" s="8"/>
      <c r="E426" s="8"/>
      <c r="F426" s="8"/>
      <c r="G426" s="8"/>
      <c r="H426" s="8"/>
      <c r="I426" s="8"/>
      <c r="J426" s="23"/>
      <c r="K426" s="8"/>
      <c r="L426" s="23"/>
      <c r="M426" s="8"/>
      <c r="N426" s="8"/>
      <c r="O426" s="8"/>
      <c r="P426" s="8"/>
      <c r="Q426" s="23"/>
      <c r="R426" s="166"/>
      <c r="S426" s="167"/>
      <c r="T426" s="168"/>
      <c r="U426" s="167"/>
      <c r="V426" s="168"/>
      <c r="W426" s="169"/>
      <c r="X426" s="168"/>
      <c r="Y426" s="169"/>
      <c r="Z426" s="168"/>
      <c r="AA426" s="169"/>
      <c r="AB426" s="168"/>
      <c r="AC426" s="169"/>
      <c r="AD426" s="133">
        <f t="shared" si="30"/>
        <v>0</v>
      </c>
      <c r="AE426" s="133">
        <f t="shared" si="31"/>
        <v>0</v>
      </c>
    </row>
    <row r="427" spans="1:31" s="69" customFormat="1" ht="15.75" hidden="1" outlineLevel="2" x14ac:dyDescent="0.2">
      <c r="A427" s="25">
        <f>'Утв. ИП 2014-2019'!A429</f>
        <v>0</v>
      </c>
      <c r="B427" s="6">
        <f>'Утв. ИП 2014-2019'!B429</f>
        <v>0</v>
      </c>
      <c r="C427" s="7" t="str">
        <f>'Утв. ИП 2014-2019'!C429</f>
        <v>строительство</v>
      </c>
      <c r="D427" s="8"/>
      <c r="E427" s="8"/>
      <c r="F427" s="8"/>
      <c r="G427" s="8"/>
      <c r="H427" s="8"/>
      <c r="I427" s="8"/>
      <c r="J427" s="23"/>
      <c r="K427" s="23"/>
      <c r="L427" s="8"/>
      <c r="M427" s="8"/>
      <c r="N427" s="8"/>
      <c r="O427" s="8"/>
      <c r="P427" s="8"/>
      <c r="Q427" s="23"/>
      <c r="R427" s="166"/>
      <c r="S427" s="167"/>
      <c r="T427" s="168"/>
      <c r="U427" s="167"/>
      <c r="V427" s="168"/>
      <c r="W427" s="169"/>
      <c r="X427" s="168"/>
      <c r="Y427" s="169"/>
      <c r="Z427" s="168"/>
      <c r="AA427" s="169"/>
      <c r="AB427" s="168"/>
      <c r="AC427" s="169"/>
      <c r="AD427" s="133">
        <f t="shared" si="30"/>
        <v>0</v>
      </c>
      <c r="AE427" s="133">
        <f t="shared" si="31"/>
        <v>0</v>
      </c>
    </row>
    <row r="428" spans="1:31" s="69" customFormat="1" ht="25.5" hidden="1" outlineLevel="1" collapsed="1" x14ac:dyDescent="0.2">
      <c r="A428" s="25" t="str">
        <f>'Утв. ИП 2014-2019'!A430</f>
        <v>1.1.6.2.43/12</v>
      </c>
      <c r="B428" s="6" t="str">
        <f>'Утв. ИП 2014-2019'!B430</f>
        <v>3.2.63</v>
      </c>
      <c r="C428" s="7" t="str">
        <f>'Утв. ИП 2014-2019'!C430</f>
        <v>Электроснабжение базовой станции сотовой связи по адресу: г. Липецк, ул. Космонавтов, 36/4</v>
      </c>
      <c r="D428" s="8" t="str">
        <f>'Утв. ИП 2014-2019'!K430</f>
        <v>0,1 км/ 0 МВА</v>
      </c>
      <c r="E428" s="8"/>
      <c r="F428" s="8"/>
      <c r="G428" s="8"/>
      <c r="H428" s="8"/>
      <c r="I428" s="8"/>
      <c r="J428" s="23" t="str">
        <f>'Утв. ИП 2014-2019'!Q430</f>
        <v>0,1 км/ 0 МВА</v>
      </c>
      <c r="K428" s="23"/>
      <c r="L428" s="8"/>
      <c r="M428" s="8"/>
      <c r="N428" s="8"/>
      <c r="O428" s="8"/>
      <c r="P428" s="8"/>
      <c r="Q428" s="23"/>
      <c r="R428" s="166"/>
      <c r="S428" s="167"/>
      <c r="T428" s="168"/>
      <c r="U428" s="167"/>
      <c r="V428" s="168"/>
      <c r="W428" s="169"/>
      <c r="X428" s="168"/>
      <c r="Y428" s="169"/>
      <c r="Z428" s="168"/>
      <c r="AA428" s="169"/>
      <c r="AB428" s="168"/>
      <c r="AC428" s="169"/>
      <c r="AD428" s="133">
        <f t="shared" si="30"/>
        <v>0</v>
      </c>
      <c r="AE428" s="133">
        <f t="shared" si="31"/>
        <v>0</v>
      </c>
    </row>
    <row r="429" spans="1:31" s="69" customFormat="1" ht="15.75" hidden="1" outlineLevel="2" x14ac:dyDescent="0.2">
      <c r="A429" s="25">
        <f>'Утв. ИП 2014-2019'!A431</f>
        <v>0</v>
      </c>
      <c r="B429" s="6">
        <f>'Утв. ИП 2014-2019'!B431</f>
        <v>0</v>
      </c>
      <c r="C429" s="7" t="str">
        <f>'Утв. ИП 2014-2019'!C431</f>
        <v>реконструкция</v>
      </c>
      <c r="D429" s="8"/>
      <c r="E429" s="8"/>
      <c r="F429" s="8"/>
      <c r="G429" s="8"/>
      <c r="H429" s="8"/>
      <c r="I429" s="8"/>
      <c r="J429" s="23"/>
      <c r="K429" s="23"/>
      <c r="L429" s="8"/>
      <c r="M429" s="8"/>
      <c r="N429" s="8"/>
      <c r="O429" s="8"/>
      <c r="P429" s="8"/>
      <c r="Q429" s="23"/>
      <c r="R429" s="166"/>
      <c r="S429" s="167"/>
      <c r="T429" s="168"/>
      <c r="U429" s="167"/>
      <c r="V429" s="168"/>
      <c r="W429" s="169"/>
      <c r="X429" s="168"/>
      <c r="Y429" s="169"/>
      <c r="Z429" s="168"/>
      <c r="AA429" s="169"/>
      <c r="AB429" s="168"/>
      <c r="AC429" s="169"/>
      <c r="AD429" s="133">
        <f t="shared" si="30"/>
        <v>0</v>
      </c>
      <c r="AE429" s="133">
        <f t="shared" si="31"/>
        <v>0</v>
      </c>
    </row>
    <row r="430" spans="1:31" s="69" customFormat="1" ht="15.75" hidden="1" outlineLevel="2" x14ac:dyDescent="0.2">
      <c r="A430" s="25">
        <f>'Утв. ИП 2014-2019'!A432</f>
        <v>0</v>
      </c>
      <c r="B430" s="6">
        <f>'Утв. ИП 2014-2019'!B432</f>
        <v>0</v>
      </c>
      <c r="C430" s="7" t="str">
        <f>'Утв. ИП 2014-2019'!C432</f>
        <v>строительство</v>
      </c>
      <c r="D430" s="8"/>
      <c r="E430" s="8"/>
      <c r="F430" s="8"/>
      <c r="G430" s="8"/>
      <c r="H430" s="8"/>
      <c r="I430" s="8"/>
      <c r="J430" s="23"/>
      <c r="K430" s="23"/>
      <c r="L430" s="8"/>
      <c r="M430" s="8"/>
      <c r="N430" s="8"/>
      <c r="O430" s="8"/>
      <c r="P430" s="8"/>
      <c r="Q430" s="23"/>
      <c r="R430" s="166"/>
      <c r="S430" s="167"/>
      <c r="T430" s="168"/>
      <c r="U430" s="167"/>
      <c r="V430" s="168"/>
      <c r="W430" s="169"/>
      <c r="X430" s="168"/>
      <c r="Y430" s="169"/>
      <c r="Z430" s="168"/>
      <c r="AA430" s="169"/>
      <c r="AB430" s="168"/>
      <c r="AC430" s="169"/>
      <c r="AD430" s="133">
        <f t="shared" si="30"/>
        <v>0</v>
      </c>
      <c r="AE430" s="133">
        <f t="shared" si="31"/>
        <v>0</v>
      </c>
    </row>
    <row r="431" spans="1:31" s="69" customFormat="1" ht="25.5" hidden="1" outlineLevel="1" collapsed="1" x14ac:dyDescent="0.2">
      <c r="A431" s="25" t="str">
        <f>'Утв. ИП 2014-2019'!A433</f>
        <v>1.1.6.2.46/12</v>
      </c>
      <c r="B431" s="6" t="str">
        <f>'Утв. ИП 2014-2019'!B433</f>
        <v>3.2.64</v>
      </c>
      <c r="C431" s="7" t="str">
        <f>'Утв. ИП 2014-2019'!C433</f>
        <v>Электроснабжение здания магазина по адресу: г. Липецк, ул. З. Космодемьянской, д. 222б</v>
      </c>
      <c r="D431" s="8"/>
      <c r="E431" s="8" t="str">
        <f>'Утв. ИП 2014-2019'!L433</f>
        <v>0,1 км/ 0 МВА</v>
      </c>
      <c r="F431" s="8"/>
      <c r="G431" s="8"/>
      <c r="H431" s="8"/>
      <c r="I431" s="8"/>
      <c r="J431" s="23" t="str">
        <f>'Утв. ИП 2014-2019'!Q433</f>
        <v>0,1 км/ 0 МВА</v>
      </c>
      <c r="K431" s="8"/>
      <c r="L431" s="23"/>
      <c r="M431" s="8"/>
      <c r="N431" s="8"/>
      <c r="O431" s="8"/>
      <c r="P431" s="8"/>
      <c r="Q431" s="23"/>
      <c r="R431" s="166"/>
      <c r="S431" s="167"/>
      <c r="T431" s="168"/>
      <c r="U431" s="167"/>
      <c r="V431" s="168"/>
      <c r="W431" s="169"/>
      <c r="X431" s="168"/>
      <c r="Y431" s="169"/>
      <c r="Z431" s="168"/>
      <c r="AA431" s="169"/>
      <c r="AB431" s="168"/>
      <c r="AC431" s="169"/>
      <c r="AD431" s="133">
        <f t="shared" si="30"/>
        <v>0</v>
      </c>
      <c r="AE431" s="133">
        <f t="shared" si="31"/>
        <v>0</v>
      </c>
    </row>
    <row r="432" spans="1:31" s="69" customFormat="1" ht="15.75" hidden="1" outlineLevel="2" x14ac:dyDescent="0.2">
      <c r="A432" s="25">
        <f>'Утв. ИП 2014-2019'!A434</f>
        <v>0</v>
      </c>
      <c r="B432" s="6">
        <f>'Утв. ИП 2014-2019'!B434</f>
        <v>0</v>
      </c>
      <c r="C432" s="7" t="str">
        <f>'Утв. ИП 2014-2019'!C434</f>
        <v>реконструкция</v>
      </c>
      <c r="D432" s="8"/>
      <c r="E432" s="8"/>
      <c r="F432" s="8"/>
      <c r="G432" s="8"/>
      <c r="H432" s="8"/>
      <c r="I432" s="8"/>
      <c r="J432" s="23"/>
      <c r="K432" s="23"/>
      <c r="L432" s="8"/>
      <c r="M432" s="8"/>
      <c r="N432" s="8"/>
      <c r="O432" s="8"/>
      <c r="P432" s="8"/>
      <c r="Q432" s="23"/>
      <c r="R432" s="166"/>
      <c r="S432" s="167"/>
      <c r="T432" s="168"/>
      <c r="U432" s="167"/>
      <c r="V432" s="168"/>
      <c r="W432" s="169"/>
      <c r="X432" s="168"/>
      <c r="Y432" s="169"/>
      <c r="Z432" s="168"/>
      <c r="AA432" s="169"/>
      <c r="AB432" s="168"/>
      <c r="AC432" s="169"/>
      <c r="AD432" s="133">
        <f t="shared" si="30"/>
        <v>0</v>
      </c>
      <c r="AE432" s="133">
        <f t="shared" si="31"/>
        <v>0</v>
      </c>
    </row>
    <row r="433" spans="1:31" s="69" customFormat="1" ht="15.75" hidden="1" outlineLevel="2" x14ac:dyDescent="0.2">
      <c r="A433" s="25">
        <f>'Утв. ИП 2014-2019'!A435</f>
        <v>0</v>
      </c>
      <c r="B433" s="6">
        <f>'Утв. ИП 2014-2019'!B435</f>
        <v>0</v>
      </c>
      <c r="C433" s="7" t="str">
        <f>'Утв. ИП 2014-2019'!C435</f>
        <v>строительство</v>
      </c>
      <c r="D433" s="8"/>
      <c r="E433" s="8"/>
      <c r="F433" s="8"/>
      <c r="G433" s="8"/>
      <c r="H433" s="8"/>
      <c r="I433" s="8"/>
      <c r="J433" s="23"/>
      <c r="K433" s="23"/>
      <c r="L433" s="8"/>
      <c r="M433" s="8"/>
      <c r="N433" s="8"/>
      <c r="O433" s="8"/>
      <c r="P433" s="8"/>
      <c r="Q433" s="23"/>
      <c r="R433" s="166"/>
      <c r="S433" s="167"/>
      <c r="T433" s="168"/>
      <c r="U433" s="167"/>
      <c r="V433" s="168"/>
      <c r="W433" s="169"/>
      <c r="X433" s="168"/>
      <c r="Y433" s="169"/>
      <c r="Z433" s="168"/>
      <c r="AA433" s="169"/>
      <c r="AB433" s="168"/>
      <c r="AC433" s="169"/>
      <c r="AD433" s="133">
        <f t="shared" si="30"/>
        <v>0</v>
      </c>
      <c r="AE433" s="133">
        <f t="shared" si="31"/>
        <v>0</v>
      </c>
    </row>
    <row r="434" spans="1:31" s="69" customFormat="1" ht="25.5" hidden="1" outlineLevel="1" collapsed="1" x14ac:dyDescent="0.2">
      <c r="A434" s="25" t="str">
        <f>'Утв. ИП 2014-2019'!A436</f>
        <v>1.1.6.2.53/12</v>
      </c>
      <c r="B434" s="6" t="str">
        <f>'Утв. ИП 2014-2019'!B436</f>
        <v>3.2.65</v>
      </c>
      <c r="C434" s="7" t="str">
        <f>'Утв. ИП 2014-2019'!C436</f>
        <v>Электроснабжение нежилых помещений №№ 9, 10, 12, 13, 11 по адресу: г. Липецк, пр. Победы, д. 49</v>
      </c>
      <c r="D434" s="8" t="str">
        <f>'Утв. ИП 2014-2019'!K436</f>
        <v>0,2 км/ 0 МВА</v>
      </c>
      <c r="E434" s="8"/>
      <c r="F434" s="8"/>
      <c r="G434" s="8"/>
      <c r="H434" s="8"/>
      <c r="I434" s="8"/>
      <c r="J434" s="23" t="str">
        <f>'Утв. ИП 2014-2019'!Q436</f>
        <v>0,2 км/ 0 МВА</v>
      </c>
      <c r="K434" s="23"/>
      <c r="L434" s="8"/>
      <c r="M434" s="8"/>
      <c r="N434" s="8"/>
      <c r="O434" s="8"/>
      <c r="P434" s="8"/>
      <c r="Q434" s="23"/>
      <c r="R434" s="166"/>
      <c r="S434" s="167"/>
      <c r="T434" s="168"/>
      <c r="U434" s="167"/>
      <c r="V434" s="168"/>
      <c r="W434" s="169"/>
      <c r="X434" s="168"/>
      <c r="Y434" s="169"/>
      <c r="Z434" s="168"/>
      <c r="AA434" s="169"/>
      <c r="AB434" s="168"/>
      <c r="AC434" s="169"/>
      <c r="AD434" s="133">
        <f t="shared" si="30"/>
        <v>0</v>
      </c>
      <c r="AE434" s="133">
        <f t="shared" si="31"/>
        <v>0</v>
      </c>
    </row>
    <row r="435" spans="1:31" s="69" customFormat="1" ht="15.75" hidden="1" outlineLevel="2" x14ac:dyDescent="0.2">
      <c r="A435" s="25">
        <f>'Утв. ИП 2014-2019'!A437</f>
        <v>0</v>
      </c>
      <c r="B435" s="6">
        <f>'Утв. ИП 2014-2019'!B437</f>
        <v>0</v>
      </c>
      <c r="C435" s="7" t="str">
        <f>'Утв. ИП 2014-2019'!C437</f>
        <v>реконструкция</v>
      </c>
      <c r="D435" s="8"/>
      <c r="E435" s="8"/>
      <c r="F435" s="8"/>
      <c r="G435" s="8"/>
      <c r="H435" s="8"/>
      <c r="I435" s="8"/>
      <c r="J435" s="23"/>
      <c r="K435" s="23"/>
      <c r="L435" s="8"/>
      <c r="M435" s="8"/>
      <c r="N435" s="8"/>
      <c r="O435" s="8"/>
      <c r="P435" s="8"/>
      <c r="Q435" s="23"/>
      <c r="R435" s="166"/>
      <c r="S435" s="167"/>
      <c r="T435" s="168"/>
      <c r="U435" s="167"/>
      <c r="V435" s="168"/>
      <c r="W435" s="169"/>
      <c r="X435" s="168"/>
      <c r="Y435" s="169"/>
      <c r="Z435" s="168"/>
      <c r="AA435" s="169"/>
      <c r="AB435" s="168"/>
      <c r="AC435" s="169"/>
      <c r="AD435" s="133">
        <f t="shared" si="30"/>
        <v>0</v>
      </c>
      <c r="AE435" s="133">
        <f t="shared" si="31"/>
        <v>0</v>
      </c>
    </row>
    <row r="436" spans="1:31" s="69" customFormat="1" ht="15.75" hidden="1" outlineLevel="2" x14ac:dyDescent="0.2">
      <c r="A436" s="25">
        <f>'Утв. ИП 2014-2019'!A438</f>
        <v>0</v>
      </c>
      <c r="B436" s="6">
        <f>'Утв. ИП 2014-2019'!B438</f>
        <v>0</v>
      </c>
      <c r="C436" s="7" t="str">
        <f>'Утв. ИП 2014-2019'!C438</f>
        <v>строительство</v>
      </c>
      <c r="D436" s="8"/>
      <c r="E436" s="8"/>
      <c r="F436" s="8"/>
      <c r="G436" s="8"/>
      <c r="H436" s="8"/>
      <c r="I436" s="8"/>
      <c r="J436" s="23"/>
      <c r="K436" s="8"/>
      <c r="L436" s="23"/>
      <c r="M436" s="8"/>
      <c r="N436" s="8"/>
      <c r="O436" s="8"/>
      <c r="P436" s="8"/>
      <c r="Q436" s="23"/>
      <c r="R436" s="166"/>
      <c r="S436" s="167"/>
      <c r="T436" s="168"/>
      <c r="U436" s="167"/>
      <c r="V436" s="168"/>
      <c r="W436" s="169"/>
      <c r="X436" s="168"/>
      <c r="Y436" s="169"/>
      <c r="Z436" s="168"/>
      <c r="AA436" s="169"/>
      <c r="AB436" s="168"/>
      <c r="AC436" s="169"/>
      <c r="AD436" s="133">
        <f t="shared" si="30"/>
        <v>0</v>
      </c>
      <c r="AE436" s="133">
        <f t="shared" si="31"/>
        <v>0</v>
      </c>
    </row>
    <row r="437" spans="1:31" s="69" customFormat="1" ht="63.75" hidden="1" outlineLevel="1" collapsed="1" x14ac:dyDescent="0.2">
      <c r="A437" s="25" t="str">
        <f>'Утв. ИП 2014-2019'!A439</f>
        <v>1.1.6.2.54/12</v>
      </c>
      <c r="B437" s="6" t="str">
        <f>'Утв. ИП 2014-2019'!B439</f>
        <v>3.2.66</v>
      </c>
      <c r="C437" s="7" t="str">
        <f>'Утв. ИП 2014-2019'!C439</f>
        <v>Реконструкция ВЛ-0,4 кВ от КТП-471 по ул. Гагарина от опоры № 134 до опоры № 134/1 (инв. № 346047) для электроснабжения индивидуального жилого дома усадебного типа с хозяйственными постройками по адресу: г. Липецк, ул. 1 Мая, д. 5</v>
      </c>
      <c r="D437" s="8" t="str">
        <f>'Утв. ИП 2014-2019'!K439</f>
        <v>0,05 км/ 0 МВА</v>
      </c>
      <c r="E437" s="8"/>
      <c r="F437" s="8"/>
      <c r="G437" s="8"/>
      <c r="H437" s="8"/>
      <c r="I437" s="8"/>
      <c r="J437" s="23" t="str">
        <f>'Утв. ИП 2014-2019'!Q439</f>
        <v>0,05 км/ 0 МВА</v>
      </c>
      <c r="K437" s="23" t="s">
        <v>942</v>
      </c>
      <c r="L437" s="8"/>
      <c r="M437" s="8"/>
      <c r="N437" s="8"/>
      <c r="O437" s="8"/>
      <c r="P437" s="8"/>
      <c r="Q437" s="23" t="s">
        <v>942</v>
      </c>
      <c r="R437" s="136">
        <v>0.05</v>
      </c>
      <c r="S437" s="137"/>
      <c r="T437" s="128"/>
      <c r="U437" s="137"/>
      <c r="V437" s="128"/>
      <c r="W437" s="49"/>
      <c r="X437" s="128"/>
      <c r="Y437" s="49"/>
      <c r="Z437" s="128"/>
      <c r="AA437" s="49"/>
      <c r="AB437" s="128"/>
      <c r="AC437" s="49"/>
      <c r="AD437" s="133">
        <f t="shared" si="30"/>
        <v>0.05</v>
      </c>
      <c r="AE437" s="133">
        <f t="shared" si="31"/>
        <v>0</v>
      </c>
    </row>
    <row r="438" spans="1:31" s="69" customFormat="1" ht="15.75" hidden="1" outlineLevel="2" x14ac:dyDescent="0.2">
      <c r="A438" s="25">
        <f>'Утв. ИП 2014-2019'!A440</f>
        <v>0</v>
      </c>
      <c r="B438" s="6">
        <f>'Утв. ИП 2014-2019'!B440</f>
        <v>0</v>
      </c>
      <c r="C438" s="7" t="str">
        <f>'Утв. ИП 2014-2019'!C440</f>
        <v>реконструкция</v>
      </c>
      <c r="D438" s="8"/>
      <c r="E438" s="8"/>
      <c r="F438" s="8"/>
      <c r="G438" s="8"/>
      <c r="H438" s="8"/>
      <c r="I438" s="8"/>
      <c r="J438" s="23"/>
      <c r="K438" s="8"/>
      <c r="L438" s="23"/>
      <c r="M438" s="8"/>
      <c r="N438" s="8"/>
      <c r="O438" s="8"/>
      <c r="P438" s="8"/>
      <c r="Q438" s="23"/>
      <c r="R438" s="136"/>
      <c r="S438" s="137"/>
      <c r="T438" s="128"/>
      <c r="U438" s="137"/>
      <c r="V438" s="128"/>
      <c r="W438" s="49"/>
      <c r="X438" s="128"/>
      <c r="Y438" s="49"/>
      <c r="Z438" s="128"/>
      <c r="AA438" s="49"/>
      <c r="AB438" s="128"/>
      <c r="AC438" s="49"/>
      <c r="AD438" s="133">
        <f t="shared" si="30"/>
        <v>0</v>
      </c>
      <c r="AE438" s="133">
        <f t="shared" si="31"/>
        <v>0</v>
      </c>
    </row>
    <row r="439" spans="1:31" s="69" customFormat="1" ht="15.75" hidden="1" outlineLevel="2" x14ac:dyDescent="0.2">
      <c r="A439" s="25">
        <f>'Утв. ИП 2014-2019'!A441</f>
        <v>0</v>
      </c>
      <c r="B439" s="6">
        <f>'Утв. ИП 2014-2019'!B441</f>
        <v>0</v>
      </c>
      <c r="C439" s="7" t="str">
        <f>'Утв. ИП 2014-2019'!C441</f>
        <v>строительство</v>
      </c>
      <c r="D439" s="8"/>
      <c r="E439" s="8"/>
      <c r="F439" s="8"/>
      <c r="G439" s="8"/>
      <c r="H439" s="8"/>
      <c r="I439" s="8"/>
      <c r="J439" s="23"/>
      <c r="K439" s="23"/>
      <c r="L439" s="8"/>
      <c r="M439" s="8"/>
      <c r="N439" s="8"/>
      <c r="O439" s="8"/>
      <c r="P439" s="8"/>
      <c r="Q439" s="23"/>
      <c r="R439" s="136"/>
      <c r="S439" s="137"/>
      <c r="T439" s="128"/>
      <c r="U439" s="137"/>
      <c r="V439" s="128"/>
      <c r="W439" s="49"/>
      <c r="X439" s="128"/>
      <c r="Y439" s="49"/>
      <c r="Z439" s="128"/>
      <c r="AA439" s="49"/>
      <c r="AB439" s="128"/>
      <c r="AC439" s="49"/>
      <c r="AD439" s="133">
        <f t="shared" si="30"/>
        <v>0</v>
      </c>
      <c r="AE439" s="133">
        <f t="shared" si="31"/>
        <v>0</v>
      </c>
    </row>
    <row r="440" spans="1:31" s="69" customFormat="1" ht="38.25" hidden="1" outlineLevel="1" collapsed="1" x14ac:dyDescent="0.2">
      <c r="A440" s="25" t="str">
        <f>'Утв. ИП 2014-2019'!A442</f>
        <v>1.1.6.2.55/12</v>
      </c>
      <c r="B440" s="6" t="str">
        <f>'Утв. ИП 2014-2019'!B442</f>
        <v>3.2.67</v>
      </c>
      <c r="C440" s="7" t="str">
        <f>'Утв. ИП 2014-2019'!C442</f>
        <v>Электроснабжение индивидуального жилого дома усадебного типа с хозяйственными постройками по адресу: г. Липецк, ул. Салтыкова-Щедрина, д. 70</v>
      </c>
      <c r="D440" s="8"/>
      <c r="E440" s="8" t="str">
        <f>'Утв. ИП 2014-2019'!L442</f>
        <v>0,7 км/ 0 МВА</v>
      </c>
      <c r="F440" s="8"/>
      <c r="G440" s="8"/>
      <c r="H440" s="8"/>
      <c r="I440" s="8"/>
      <c r="J440" s="23" t="str">
        <f>'Утв. ИП 2014-2019'!Q442</f>
        <v>0,7 км/ 0 МВА</v>
      </c>
      <c r="K440" s="8"/>
      <c r="L440" s="23"/>
      <c r="M440" s="8"/>
      <c r="N440" s="8"/>
      <c r="O440" s="8"/>
      <c r="P440" s="8"/>
      <c r="Q440" s="23"/>
      <c r="R440" s="166"/>
      <c r="S440" s="167"/>
      <c r="T440" s="168"/>
      <c r="U440" s="167"/>
      <c r="V440" s="168"/>
      <c r="W440" s="169"/>
      <c r="X440" s="168"/>
      <c r="Y440" s="169"/>
      <c r="Z440" s="168"/>
      <c r="AA440" s="169"/>
      <c r="AB440" s="168"/>
      <c r="AC440" s="169"/>
      <c r="AD440" s="133">
        <f t="shared" si="30"/>
        <v>0</v>
      </c>
      <c r="AE440" s="133">
        <f t="shared" si="31"/>
        <v>0</v>
      </c>
    </row>
    <row r="441" spans="1:31" s="69" customFormat="1" ht="15.75" hidden="1" outlineLevel="2" x14ac:dyDescent="0.2">
      <c r="A441" s="25">
        <f>'Утв. ИП 2014-2019'!A443</f>
        <v>0</v>
      </c>
      <c r="B441" s="6">
        <f>'Утв. ИП 2014-2019'!B443</f>
        <v>0</v>
      </c>
      <c r="C441" s="7" t="str">
        <f>'Утв. ИП 2014-2019'!C443</f>
        <v>реконструкция</v>
      </c>
      <c r="D441" s="8"/>
      <c r="E441" s="8"/>
      <c r="F441" s="8"/>
      <c r="G441" s="8"/>
      <c r="H441" s="8"/>
      <c r="I441" s="8"/>
      <c r="J441" s="23"/>
      <c r="K441" s="23"/>
      <c r="L441" s="8"/>
      <c r="M441" s="8"/>
      <c r="N441" s="8"/>
      <c r="O441" s="8"/>
      <c r="P441" s="8"/>
      <c r="Q441" s="23"/>
      <c r="R441" s="166"/>
      <c r="S441" s="167"/>
      <c r="T441" s="168"/>
      <c r="U441" s="167"/>
      <c r="V441" s="168"/>
      <c r="W441" s="169"/>
      <c r="X441" s="168"/>
      <c r="Y441" s="169"/>
      <c r="Z441" s="168"/>
      <c r="AA441" s="169"/>
      <c r="AB441" s="168"/>
      <c r="AC441" s="169"/>
      <c r="AD441" s="133">
        <f t="shared" si="30"/>
        <v>0</v>
      </c>
      <c r="AE441" s="133">
        <f t="shared" si="31"/>
        <v>0</v>
      </c>
    </row>
    <row r="442" spans="1:31" s="69" customFormat="1" ht="15.75" hidden="1" outlineLevel="2" x14ac:dyDescent="0.2">
      <c r="A442" s="25">
        <f>'Утв. ИП 2014-2019'!A444</f>
        <v>0</v>
      </c>
      <c r="B442" s="6">
        <f>'Утв. ИП 2014-2019'!B444</f>
        <v>0</v>
      </c>
      <c r="C442" s="7" t="str">
        <f>'Утв. ИП 2014-2019'!C444</f>
        <v>строительство</v>
      </c>
      <c r="D442" s="8"/>
      <c r="E442" s="8"/>
      <c r="F442" s="8"/>
      <c r="G442" s="8"/>
      <c r="H442" s="8"/>
      <c r="I442" s="8"/>
      <c r="J442" s="23"/>
      <c r="K442" s="23"/>
      <c r="L442" s="8"/>
      <c r="M442" s="8"/>
      <c r="N442" s="8"/>
      <c r="O442" s="8"/>
      <c r="P442" s="8"/>
      <c r="Q442" s="23"/>
      <c r="R442" s="166"/>
      <c r="S442" s="167"/>
      <c r="T442" s="168"/>
      <c r="U442" s="167"/>
      <c r="V442" s="168"/>
      <c r="W442" s="169"/>
      <c r="X442" s="168"/>
      <c r="Y442" s="169"/>
      <c r="Z442" s="168"/>
      <c r="AA442" s="169"/>
      <c r="AB442" s="168"/>
      <c r="AC442" s="169"/>
      <c r="AD442" s="133">
        <f t="shared" si="30"/>
        <v>0</v>
      </c>
      <c r="AE442" s="133">
        <f t="shared" si="31"/>
        <v>0</v>
      </c>
    </row>
    <row r="443" spans="1:31" s="69" customFormat="1" ht="38.25" hidden="1" outlineLevel="1" collapsed="1" x14ac:dyDescent="0.2">
      <c r="A443" s="25" t="str">
        <f>'Утв. ИП 2014-2019'!A445</f>
        <v>1.1.6.2.56/12</v>
      </c>
      <c r="B443" s="6" t="str">
        <f>'Утв. ИП 2014-2019'!B445</f>
        <v>3.2.68</v>
      </c>
      <c r="C443" s="7" t="str">
        <f>'Утв. ИП 2014-2019'!C445</f>
        <v>Монтаж шкафа учета на опоре № 7 ВЛ-0,4 кВ по пер. Попова от ТП-24 для электроснабжения гаража по адресу: г. Липецк, пер. Попова, строение 3А</v>
      </c>
      <c r="D443" s="8" t="str">
        <f>'Утв. ИП 2014-2019'!K445</f>
        <v>0,0 км/ 0 МВА</v>
      </c>
      <c r="E443" s="8"/>
      <c r="F443" s="8"/>
      <c r="G443" s="8"/>
      <c r="H443" s="8"/>
      <c r="I443" s="8"/>
      <c r="J443" s="23" t="str">
        <f>'Утв. ИП 2014-2019'!Q445</f>
        <v>0,0 км/ 0 МВА</v>
      </c>
      <c r="K443" s="23"/>
      <c r="L443" s="8"/>
      <c r="M443" s="8"/>
      <c r="N443" s="8"/>
      <c r="O443" s="8"/>
      <c r="P443" s="8"/>
      <c r="Q443" s="23"/>
      <c r="R443" s="136"/>
      <c r="S443" s="137"/>
      <c r="T443" s="128"/>
      <c r="U443" s="137"/>
      <c r="V443" s="128"/>
      <c r="W443" s="49"/>
      <c r="X443" s="128"/>
      <c r="Y443" s="49"/>
      <c r="Z443" s="128"/>
      <c r="AA443" s="49"/>
      <c r="AB443" s="128"/>
      <c r="AC443" s="49"/>
      <c r="AD443" s="133">
        <f t="shared" si="30"/>
        <v>0</v>
      </c>
      <c r="AE443" s="133">
        <f t="shared" si="31"/>
        <v>0</v>
      </c>
    </row>
    <row r="444" spans="1:31" s="69" customFormat="1" ht="15.75" hidden="1" outlineLevel="2" x14ac:dyDescent="0.2">
      <c r="A444" s="25">
        <f>'Утв. ИП 2014-2019'!A446</f>
        <v>0</v>
      </c>
      <c r="B444" s="6">
        <f>'Утв. ИП 2014-2019'!B446</f>
        <v>0</v>
      </c>
      <c r="C444" s="7" t="str">
        <f>'Утв. ИП 2014-2019'!C446</f>
        <v>реконструкция</v>
      </c>
      <c r="D444" s="8"/>
      <c r="E444" s="8"/>
      <c r="F444" s="8"/>
      <c r="G444" s="8"/>
      <c r="H444" s="8"/>
      <c r="I444" s="8"/>
      <c r="J444" s="23"/>
      <c r="K444" s="23"/>
      <c r="L444" s="8"/>
      <c r="M444" s="8"/>
      <c r="N444" s="8"/>
      <c r="O444" s="8"/>
      <c r="P444" s="8"/>
      <c r="Q444" s="23"/>
      <c r="R444" s="136"/>
      <c r="S444" s="137"/>
      <c r="T444" s="128"/>
      <c r="U444" s="137"/>
      <c r="V444" s="128"/>
      <c r="W444" s="49"/>
      <c r="X444" s="128"/>
      <c r="Y444" s="49"/>
      <c r="Z444" s="128"/>
      <c r="AA444" s="49"/>
      <c r="AB444" s="128"/>
      <c r="AC444" s="49"/>
      <c r="AD444" s="133">
        <f t="shared" si="30"/>
        <v>0</v>
      </c>
      <c r="AE444" s="133">
        <f t="shared" si="31"/>
        <v>0</v>
      </c>
    </row>
    <row r="445" spans="1:31" s="69" customFormat="1" ht="15.75" hidden="1" outlineLevel="2" x14ac:dyDescent="0.2">
      <c r="A445" s="25">
        <f>'Утв. ИП 2014-2019'!A447</f>
        <v>0</v>
      </c>
      <c r="B445" s="6">
        <f>'Утв. ИП 2014-2019'!B447</f>
        <v>0</v>
      </c>
      <c r="C445" s="7" t="str">
        <f>'Утв. ИП 2014-2019'!C447</f>
        <v>строительство</v>
      </c>
      <c r="D445" s="8"/>
      <c r="E445" s="8"/>
      <c r="F445" s="8"/>
      <c r="G445" s="8"/>
      <c r="H445" s="8"/>
      <c r="I445" s="8"/>
      <c r="J445" s="23"/>
      <c r="K445" s="23"/>
      <c r="L445" s="8"/>
      <c r="M445" s="8"/>
      <c r="N445" s="8"/>
      <c r="O445" s="8"/>
      <c r="P445" s="8"/>
      <c r="Q445" s="23"/>
      <c r="R445" s="136"/>
      <c r="S445" s="137"/>
      <c r="T445" s="128"/>
      <c r="U445" s="137"/>
      <c r="V445" s="128"/>
      <c r="W445" s="49"/>
      <c r="X445" s="128"/>
      <c r="Y445" s="49"/>
      <c r="Z445" s="128"/>
      <c r="AA445" s="49"/>
      <c r="AB445" s="128"/>
      <c r="AC445" s="49"/>
      <c r="AD445" s="133">
        <f t="shared" si="30"/>
        <v>0</v>
      </c>
      <c r="AE445" s="133">
        <f t="shared" si="31"/>
        <v>0</v>
      </c>
    </row>
    <row r="446" spans="1:31" s="69" customFormat="1" ht="51" hidden="1" outlineLevel="1" collapsed="1" x14ac:dyDescent="0.2">
      <c r="A446" s="25" t="str">
        <f>'Утв. ИП 2014-2019'!A448</f>
        <v>1.1.6.2.57/12</v>
      </c>
      <c r="B446" s="6" t="str">
        <f>'Утв. ИП 2014-2019'!B448</f>
        <v>3.2.69</v>
      </c>
      <c r="C446" s="7" t="str">
        <f>'Утв. ИП 2014-2019'!C448</f>
        <v>Монтаж ВЛ-0,4 кВ от КТП, смонтированной по п. 4.1.60/09 программы перспективного развития, для электроснабжения жилого дома по адресу: г. Липецк, СНТ "Металлург-1", квартал III, зем. уч. № 2</v>
      </c>
      <c r="D446" s="8"/>
      <c r="E446" s="8" t="str">
        <f>'Утв. ИП 2014-2019'!L448</f>
        <v>0,05 км/ 0 МВА</v>
      </c>
      <c r="F446" s="8"/>
      <c r="G446" s="8"/>
      <c r="H446" s="8"/>
      <c r="I446" s="8"/>
      <c r="J446" s="23" t="str">
        <f>'Утв. ИП 2014-2019'!Q448</f>
        <v>0,05 км/ 0 МВА</v>
      </c>
      <c r="K446" s="23"/>
      <c r="L446" s="8"/>
      <c r="M446" s="8"/>
      <c r="N446" s="8"/>
      <c r="O446" s="8"/>
      <c r="P446" s="8"/>
      <c r="Q446" s="23"/>
      <c r="R446" s="136"/>
      <c r="S446" s="137"/>
      <c r="T446" s="128"/>
      <c r="U446" s="137"/>
      <c r="V446" s="128"/>
      <c r="W446" s="49"/>
      <c r="X446" s="128"/>
      <c r="Y446" s="49"/>
      <c r="Z446" s="128"/>
      <c r="AA446" s="49"/>
      <c r="AB446" s="128"/>
      <c r="AC446" s="49"/>
      <c r="AD446" s="133">
        <f t="shared" si="30"/>
        <v>0</v>
      </c>
      <c r="AE446" s="133">
        <f t="shared" si="31"/>
        <v>0</v>
      </c>
    </row>
    <row r="447" spans="1:31" s="69" customFormat="1" ht="15.75" hidden="1" outlineLevel="2" x14ac:dyDescent="0.2">
      <c r="A447" s="25">
        <f>'Утв. ИП 2014-2019'!A449</f>
        <v>0</v>
      </c>
      <c r="B447" s="6">
        <f>'Утв. ИП 2014-2019'!B449</f>
        <v>0</v>
      </c>
      <c r="C447" s="7" t="str">
        <f>'Утв. ИП 2014-2019'!C449</f>
        <v>реконструкция</v>
      </c>
      <c r="D447" s="8"/>
      <c r="E447" s="8"/>
      <c r="F447" s="8"/>
      <c r="G447" s="8"/>
      <c r="H447" s="8"/>
      <c r="I447" s="8"/>
      <c r="J447" s="23"/>
      <c r="K447" s="23"/>
      <c r="L447" s="8"/>
      <c r="M447" s="8"/>
      <c r="N447" s="8"/>
      <c r="O447" s="8"/>
      <c r="P447" s="8"/>
      <c r="Q447" s="23"/>
      <c r="R447" s="136"/>
      <c r="S447" s="137"/>
      <c r="T447" s="128"/>
      <c r="U447" s="137"/>
      <c r="V447" s="128"/>
      <c r="W447" s="49"/>
      <c r="X447" s="128"/>
      <c r="Y447" s="49"/>
      <c r="Z447" s="128"/>
      <c r="AA447" s="49"/>
      <c r="AB447" s="128"/>
      <c r="AC447" s="49"/>
      <c r="AD447" s="133">
        <f t="shared" si="30"/>
        <v>0</v>
      </c>
      <c r="AE447" s="133">
        <f t="shared" si="31"/>
        <v>0</v>
      </c>
    </row>
    <row r="448" spans="1:31" s="69" customFormat="1" ht="15.75" hidden="1" outlineLevel="2" x14ac:dyDescent="0.2">
      <c r="A448" s="25">
        <f>'Утв. ИП 2014-2019'!A450</f>
        <v>0</v>
      </c>
      <c r="B448" s="6">
        <f>'Утв. ИП 2014-2019'!B450</f>
        <v>0</v>
      </c>
      <c r="C448" s="7" t="str">
        <f>'Утв. ИП 2014-2019'!C450</f>
        <v>строительство</v>
      </c>
      <c r="D448" s="8"/>
      <c r="E448" s="8"/>
      <c r="F448" s="8"/>
      <c r="G448" s="8"/>
      <c r="H448" s="8"/>
      <c r="I448" s="8"/>
      <c r="J448" s="23"/>
      <c r="K448" s="23"/>
      <c r="L448" s="8"/>
      <c r="M448" s="8"/>
      <c r="N448" s="8"/>
      <c r="O448" s="8"/>
      <c r="P448" s="8"/>
      <c r="Q448" s="23"/>
      <c r="R448" s="136"/>
      <c r="S448" s="137"/>
      <c r="T448" s="128"/>
      <c r="U448" s="137"/>
      <c r="V448" s="128"/>
      <c r="W448" s="49"/>
      <c r="X448" s="128"/>
      <c r="Y448" s="49"/>
      <c r="Z448" s="128"/>
      <c r="AA448" s="49"/>
      <c r="AB448" s="128"/>
      <c r="AC448" s="49"/>
      <c r="AD448" s="133">
        <f t="shared" si="30"/>
        <v>0</v>
      </c>
      <c r="AE448" s="133">
        <f t="shared" si="31"/>
        <v>0</v>
      </c>
    </row>
    <row r="449" spans="1:31" s="69" customFormat="1" ht="38.25" hidden="1" outlineLevel="1" collapsed="1" x14ac:dyDescent="0.2">
      <c r="A449" s="25" t="str">
        <f>'Утв. ИП 2014-2019'!A451</f>
        <v>1.1.6.2.58/12</v>
      </c>
      <c r="B449" s="6" t="str">
        <f>'Утв. ИП 2014-2019'!B451</f>
        <v>3.2.70</v>
      </c>
      <c r="C449" s="7" t="str">
        <f>'Утв. ИП 2014-2019'!C451</f>
        <v>Электроснабжение индивидуального жилого дома усадебного типа и хозяйственных построек по адресу: г. Липецк, пер. Верещагина, 13.</v>
      </c>
      <c r="D449" s="8" t="str">
        <f>'Утв. ИП 2014-2019'!K451</f>
        <v>0,7 км/ 0 МВА</v>
      </c>
      <c r="E449" s="8"/>
      <c r="F449" s="8"/>
      <c r="G449" s="8"/>
      <c r="H449" s="8"/>
      <c r="I449" s="8"/>
      <c r="J449" s="23" t="str">
        <f>'Утв. ИП 2014-2019'!Q451</f>
        <v>0,7 км/ 0 МВА</v>
      </c>
      <c r="K449" s="23"/>
      <c r="L449" s="8"/>
      <c r="M449" s="8"/>
      <c r="N449" s="8"/>
      <c r="O449" s="8"/>
      <c r="P449" s="8"/>
      <c r="Q449" s="23"/>
      <c r="R449" s="166"/>
      <c r="S449" s="167"/>
      <c r="T449" s="168"/>
      <c r="U449" s="167"/>
      <c r="V449" s="168"/>
      <c r="W449" s="169"/>
      <c r="X449" s="168"/>
      <c r="Y449" s="169"/>
      <c r="Z449" s="168"/>
      <c r="AA449" s="169"/>
      <c r="AB449" s="168"/>
      <c r="AC449" s="169"/>
      <c r="AD449" s="133">
        <f t="shared" si="30"/>
        <v>0</v>
      </c>
      <c r="AE449" s="133">
        <f t="shared" si="31"/>
        <v>0</v>
      </c>
    </row>
    <row r="450" spans="1:31" s="69" customFormat="1" ht="15.75" hidden="1" outlineLevel="2" x14ac:dyDescent="0.2">
      <c r="A450" s="25">
        <f>'Утв. ИП 2014-2019'!A452</f>
        <v>0</v>
      </c>
      <c r="B450" s="6">
        <f>'Утв. ИП 2014-2019'!B452</f>
        <v>0</v>
      </c>
      <c r="C450" s="7" t="str">
        <f>'Утв. ИП 2014-2019'!C452</f>
        <v>реконструкция</v>
      </c>
      <c r="D450" s="8"/>
      <c r="E450" s="8"/>
      <c r="F450" s="8"/>
      <c r="G450" s="8"/>
      <c r="H450" s="8"/>
      <c r="I450" s="8"/>
      <c r="J450" s="23"/>
      <c r="K450" s="23"/>
      <c r="L450" s="8"/>
      <c r="M450" s="8"/>
      <c r="N450" s="8"/>
      <c r="O450" s="8"/>
      <c r="P450" s="8"/>
      <c r="Q450" s="23"/>
      <c r="R450" s="166"/>
      <c r="S450" s="167"/>
      <c r="T450" s="168"/>
      <c r="U450" s="167"/>
      <c r="V450" s="168"/>
      <c r="W450" s="169"/>
      <c r="X450" s="168"/>
      <c r="Y450" s="169"/>
      <c r="Z450" s="168"/>
      <c r="AA450" s="169"/>
      <c r="AB450" s="168"/>
      <c r="AC450" s="169"/>
      <c r="AD450" s="133">
        <f t="shared" si="30"/>
        <v>0</v>
      </c>
      <c r="AE450" s="133">
        <f t="shared" si="31"/>
        <v>0</v>
      </c>
    </row>
    <row r="451" spans="1:31" s="69" customFormat="1" ht="15.75" hidden="1" outlineLevel="2" x14ac:dyDescent="0.2">
      <c r="A451" s="25">
        <f>'Утв. ИП 2014-2019'!A453</f>
        <v>0</v>
      </c>
      <c r="B451" s="6">
        <f>'Утв. ИП 2014-2019'!B453</f>
        <v>0</v>
      </c>
      <c r="C451" s="7" t="str">
        <f>'Утв. ИП 2014-2019'!C453</f>
        <v>строительство</v>
      </c>
      <c r="D451" s="8"/>
      <c r="E451" s="8"/>
      <c r="F451" s="8"/>
      <c r="G451" s="8"/>
      <c r="H451" s="8"/>
      <c r="I451" s="8"/>
      <c r="J451" s="23"/>
      <c r="K451" s="8"/>
      <c r="L451" s="23"/>
      <c r="M451" s="8"/>
      <c r="N451" s="8"/>
      <c r="O451" s="8"/>
      <c r="P451" s="8"/>
      <c r="Q451" s="23"/>
      <c r="R451" s="166"/>
      <c r="S451" s="167"/>
      <c r="T451" s="168"/>
      <c r="U451" s="167"/>
      <c r="V451" s="168"/>
      <c r="W451" s="169"/>
      <c r="X451" s="168"/>
      <c r="Y451" s="169"/>
      <c r="Z451" s="168"/>
      <c r="AA451" s="169"/>
      <c r="AB451" s="168"/>
      <c r="AC451" s="169"/>
      <c r="AD451" s="133">
        <f t="shared" si="30"/>
        <v>0</v>
      </c>
      <c r="AE451" s="133">
        <f t="shared" si="31"/>
        <v>0</v>
      </c>
    </row>
    <row r="452" spans="1:31" s="69" customFormat="1" ht="38.25" hidden="1" outlineLevel="1" collapsed="1" x14ac:dyDescent="0.2">
      <c r="A452" s="25" t="str">
        <f>'Утв. ИП 2014-2019'!A454</f>
        <v>1.1.6.2.60/12</v>
      </c>
      <c r="B452" s="6" t="str">
        <f>'Утв. ИП 2014-2019'!B454</f>
        <v>3.2.71</v>
      </c>
      <c r="C452" s="7" t="str">
        <f>'Утв. ИП 2014-2019'!C454</f>
        <v>Реконструкция ВЛ-0,4 кВ по ул. З. Космодемьянской от ТП-507 для электроснабжения киоска по адресу: г. Липецк, пр. Осенний, между домами № 2 и № 4 (инв. № 346092)</v>
      </c>
      <c r="D452" s="8"/>
      <c r="E452" s="8" t="str">
        <f>'Утв. ИП 2014-2019'!L454</f>
        <v>0,1 км/ 0 МВА</v>
      </c>
      <c r="F452" s="8"/>
      <c r="G452" s="8"/>
      <c r="H452" s="8"/>
      <c r="I452" s="8"/>
      <c r="J452" s="23" t="str">
        <f>'Утв. ИП 2014-2019'!Q454</f>
        <v>0,1 км/ 0 МВА</v>
      </c>
      <c r="K452" s="8"/>
      <c r="L452" s="23" t="s">
        <v>1418</v>
      </c>
      <c r="M452" s="8"/>
      <c r="N452" s="8"/>
      <c r="O452" s="8"/>
      <c r="P452" s="8"/>
      <c r="Q452" s="23" t="s">
        <v>1418</v>
      </c>
      <c r="R452" s="136"/>
      <c r="S452" s="137"/>
      <c r="T452" s="128">
        <v>0.1</v>
      </c>
      <c r="U452" s="137"/>
      <c r="V452" s="128"/>
      <c r="W452" s="49"/>
      <c r="X452" s="128"/>
      <c r="Y452" s="49"/>
      <c r="Z452" s="128"/>
      <c r="AA452" s="49"/>
      <c r="AB452" s="128"/>
      <c r="AC452" s="49"/>
      <c r="AD452" s="133">
        <f t="shared" si="30"/>
        <v>0.1</v>
      </c>
      <c r="AE452" s="133">
        <f t="shared" si="31"/>
        <v>0</v>
      </c>
    </row>
    <row r="453" spans="1:31" s="69" customFormat="1" ht="15.75" hidden="1" outlineLevel="2" x14ac:dyDescent="0.2">
      <c r="A453" s="25">
        <f>'Утв. ИП 2014-2019'!A455</f>
        <v>0</v>
      </c>
      <c r="B453" s="6">
        <f>'Утв. ИП 2014-2019'!B455</f>
        <v>0</v>
      </c>
      <c r="C453" s="7" t="str">
        <f>'Утв. ИП 2014-2019'!C455</f>
        <v>реконструкция</v>
      </c>
      <c r="D453" s="8"/>
      <c r="E453" s="8"/>
      <c r="F453" s="8"/>
      <c r="G453" s="8"/>
      <c r="H453" s="8"/>
      <c r="I453" s="8"/>
      <c r="J453" s="23"/>
      <c r="K453" s="8"/>
      <c r="L453" s="23"/>
      <c r="M453" s="8"/>
      <c r="N453" s="8"/>
      <c r="O453" s="8"/>
      <c r="P453" s="8"/>
      <c r="Q453" s="23"/>
      <c r="R453" s="136"/>
      <c r="S453" s="137"/>
      <c r="T453" s="128"/>
      <c r="U453" s="137"/>
      <c r="V453" s="128"/>
      <c r="W453" s="49"/>
      <c r="X453" s="128"/>
      <c r="Y453" s="49"/>
      <c r="Z453" s="128"/>
      <c r="AA453" s="49"/>
      <c r="AB453" s="128"/>
      <c r="AC453" s="49"/>
      <c r="AD453" s="133">
        <f t="shared" si="30"/>
        <v>0</v>
      </c>
      <c r="AE453" s="133">
        <f t="shared" si="31"/>
        <v>0</v>
      </c>
    </row>
    <row r="454" spans="1:31" s="69" customFormat="1" ht="15.75" hidden="1" outlineLevel="2" x14ac:dyDescent="0.2">
      <c r="A454" s="25">
        <f>'Утв. ИП 2014-2019'!A456</f>
        <v>0</v>
      </c>
      <c r="B454" s="6">
        <f>'Утв. ИП 2014-2019'!B456</f>
        <v>0</v>
      </c>
      <c r="C454" s="7" t="str">
        <f>'Утв. ИП 2014-2019'!C456</f>
        <v>строительство</v>
      </c>
      <c r="D454" s="8"/>
      <c r="E454" s="8"/>
      <c r="F454" s="8"/>
      <c r="G454" s="8"/>
      <c r="H454" s="8"/>
      <c r="I454" s="8"/>
      <c r="J454" s="23"/>
      <c r="K454" s="23"/>
      <c r="L454" s="8"/>
      <c r="M454" s="8"/>
      <c r="N454" s="8"/>
      <c r="O454" s="8"/>
      <c r="P454" s="8"/>
      <c r="Q454" s="23"/>
      <c r="R454" s="136"/>
      <c r="S454" s="137"/>
      <c r="T454" s="128"/>
      <c r="U454" s="137"/>
      <c r="V454" s="128"/>
      <c r="W454" s="49"/>
      <c r="X454" s="128"/>
      <c r="Y454" s="49"/>
      <c r="Z454" s="128"/>
      <c r="AA454" s="49"/>
      <c r="AB454" s="128"/>
      <c r="AC454" s="49"/>
      <c r="AD454" s="133">
        <f t="shared" si="30"/>
        <v>0</v>
      </c>
      <c r="AE454" s="133">
        <f t="shared" si="31"/>
        <v>0</v>
      </c>
    </row>
    <row r="455" spans="1:31" s="69" customFormat="1" ht="38.25" hidden="1" outlineLevel="1" collapsed="1" x14ac:dyDescent="0.2">
      <c r="A455" s="25" t="str">
        <f>'Утв. ИП 2014-2019'!A457</f>
        <v>1.1.6.2.61/12</v>
      </c>
      <c r="B455" s="6" t="str">
        <f>'Утв. ИП 2014-2019'!B457</f>
        <v>3.2.72</v>
      </c>
      <c r="C455" s="7" t="str">
        <f>'Утв. ИП 2014-2019'!C457</f>
        <v>Электроснабжение индивидуальных жилых домов по адресу: г. Липецк, ул. Маяковского, д. 5 и г. Липецк, ул. ХХ Партсъезда, д. 22.</v>
      </c>
      <c r="D455" s="8"/>
      <c r="E455" s="8" t="str">
        <f>'Утв. ИП 2014-2019'!L457</f>
        <v>0,6 км/ 0 МВА</v>
      </c>
      <c r="F455" s="8"/>
      <c r="G455" s="8"/>
      <c r="H455" s="8"/>
      <c r="I455" s="8"/>
      <c r="J455" s="23" t="str">
        <f>'Утв. ИП 2014-2019'!Q457</f>
        <v>0,6 км/ 0 МВА</v>
      </c>
      <c r="K455" s="23"/>
      <c r="L455" s="8"/>
      <c r="M455" s="8"/>
      <c r="N455" s="8"/>
      <c r="O455" s="8"/>
      <c r="P455" s="8"/>
      <c r="Q455" s="23"/>
      <c r="R455" s="136"/>
      <c r="S455" s="137"/>
      <c r="T455" s="128"/>
      <c r="U455" s="137"/>
      <c r="V455" s="128"/>
      <c r="W455" s="49"/>
      <c r="X455" s="128"/>
      <c r="Y455" s="49"/>
      <c r="Z455" s="128"/>
      <c r="AA455" s="49"/>
      <c r="AB455" s="128"/>
      <c r="AC455" s="49"/>
      <c r="AD455" s="133">
        <f t="shared" si="30"/>
        <v>0</v>
      </c>
      <c r="AE455" s="133">
        <f t="shared" si="31"/>
        <v>0</v>
      </c>
    </row>
    <row r="456" spans="1:31" s="69" customFormat="1" ht="15.75" hidden="1" outlineLevel="2" x14ac:dyDescent="0.2">
      <c r="A456" s="25">
        <f>'Утв. ИП 2014-2019'!A458</f>
        <v>0</v>
      </c>
      <c r="B456" s="6">
        <f>'Утв. ИП 2014-2019'!B458</f>
        <v>0</v>
      </c>
      <c r="C456" s="7" t="str">
        <f>'Утв. ИП 2014-2019'!C458</f>
        <v>реконструкция</v>
      </c>
      <c r="D456" s="8"/>
      <c r="E456" s="8"/>
      <c r="F456" s="8"/>
      <c r="G456" s="8"/>
      <c r="H456" s="8"/>
      <c r="I456" s="8"/>
      <c r="J456" s="23"/>
      <c r="K456" s="23"/>
      <c r="L456" s="8"/>
      <c r="M456" s="8"/>
      <c r="N456" s="8"/>
      <c r="O456" s="8"/>
      <c r="P456" s="8"/>
      <c r="Q456" s="23"/>
      <c r="R456" s="136"/>
      <c r="S456" s="137"/>
      <c r="T456" s="128"/>
      <c r="U456" s="137"/>
      <c r="V456" s="128"/>
      <c r="W456" s="49"/>
      <c r="X456" s="128"/>
      <c r="Y456" s="49"/>
      <c r="Z456" s="128"/>
      <c r="AA456" s="49"/>
      <c r="AB456" s="128"/>
      <c r="AC456" s="49"/>
      <c r="AD456" s="133">
        <f t="shared" si="30"/>
        <v>0</v>
      </c>
      <c r="AE456" s="133">
        <f t="shared" si="31"/>
        <v>0</v>
      </c>
    </row>
    <row r="457" spans="1:31" s="69" customFormat="1" ht="15.75" hidden="1" outlineLevel="2" x14ac:dyDescent="0.2">
      <c r="A457" s="25">
        <f>'Утв. ИП 2014-2019'!A459</f>
        <v>0</v>
      </c>
      <c r="B457" s="6">
        <f>'Утв. ИП 2014-2019'!B459</f>
        <v>0</v>
      </c>
      <c r="C457" s="7" t="str">
        <f>'Утв. ИП 2014-2019'!C459</f>
        <v>строительство</v>
      </c>
      <c r="D457" s="8"/>
      <c r="E457" s="8"/>
      <c r="F457" s="8"/>
      <c r="G457" s="8"/>
      <c r="H457" s="8"/>
      <c r="I457" s="8"/>
      <c r="J457" s="23"/>
      <c r="K457" s="8"/>
      <c r="L457" s="23"/>
      <c r="M457" s="8"/>
      <c r="N457" s="8"/>
      <c r="O457" s="8"/>
      <c r="P457" s="8"/>
      <c r="Q457" s="23"/>
      <c r="R457" s="136"/>
      <c r="S457" s="137"/>
      <c r="T457" s="128"/>
      <c r="U457" s="137"/>
      <c r="V457" s="128"/>
      <c r="W457" s="49"/>
      <c r="X457" s="128"/>
      <c r="Y457" s="49"/>
      <c r="Z457" s="128"/>
      <c r="AA457" s="49"/>
      <c r="AB457" s="128"/>
      <c r="AC457" s="49"/>
      <c r="AD457" s="133">
        <f t="shared" ref="AD457:AD520" si="32">R457+T457+V457+X457+Z457+AB457</f>
        <v>0</v>
      </c>
      <c r="AE457" s="133">
        <f t="shared" ref="AE457:AE520" si="33">S457+U457+W457+Y457+AA457+AC457</f>
        <v>0</v>
      </c>
    </row>
    <row r="458" spans="1:31" s="69" customFormat="1" ht="51" hidden="1" outlineLevel="1" collapsed="1" x14ac:dyDescent="0.2">
      <c r="A458" s="25" t="str">
        <f>'Утв. ИП 2014-2019'!A460</f>
        <v>1.1.6.2.62/12</v>
      </c>
      <c r="B458" s="6" t="str">
        <f>'Утв. ИП 2014-2019'!B460</f>
        <v>3.2.73</v>
      </c>
      <c r="C458" s="7" t="str">
        <f>'Утв. ИП 2014-2019'!C460</f>
        <v>Строительство КЛ-0,4 кВ от ТП-66 до жилого дома № 29 по ул. Гагарина для электроснабжения магазина непродовольственных товаров по адресу: г. Липецк, ул. Гагарина, д. 29, кв. 2</v>
      </c>
      <c r="D458" s="8" t="str">
        <f>'Утв. ИП 2014-2019'!K460</f>
        <v>0,05 км/ 0 МВА</v>
      </c>
      <c r="E458" s="8"/>
      <c r="F458" s="8"/>
      <c r="G458" s="8"/>
      <c r="H458" s="8"/>
      <c r="I458" s="8"/>
      <c r="J458" s="23" t="str">
        <f>'Утв. ИП 2014-2019'!Q460</f>
        <v>0,05 км/ 0 МВА</v>
      </c>
      <c r="K458" s="8"/>
      <c r="L458" s="23"/>
      <c r="M458" s="8"/>
      <c r="N458" s="8"/>
      <c r="O458" s="8"/>
      <c r="P458" s="8"/>
      <c r="Q458" s="23"/>
      <c r="R458" s="136"/>
      <c r="S458" s="137"/>
      <c r="T458" s="128"/>
      <c r="U458" s="137"/>
      <c r="V458" s="128"/>
      <c r="W458" s="49"/>
      <c r="X458" s="128"/>
      <c r="Y458" s="49"/>
      <c r="Z458" s="128"/>
      <c r="AA458" s="49"/>
      <c r="AB458" s="128"/>
      <c r="AC458" s="49"/>
      <c r="AD458" s="133">
        <f t="shared" si="32"/>
        <v>0</v>
      </c>
      <c r="AE458" s="133">
        <f t="shared" si="33"/>
        <v>0</v>
      </c>
    </row>
    <row r="459" spans="1:31" s="69" customFormat="1" ht="15.75" hidden="1" outlineLevel="2" x14ac:dyDescent="0.2">
      <c r="A459" s="25">
        <f>'Утв. ИП 2014-2019'!A461</f>
        <v>0</v>
      </c>
      <c r="B459" s="6">
        <f>'Утв. ИП 2014-2019'!B461</f>
        <v>0</v>
      </c>
      <c r="C459" s="7" t="str">
        <f>'Утв. ИП 2014-2019'!C461</f>
        <v>реконструкция</v>
      </c>
      <c r="D459" s="8"/>
      <c r="E459" s="8"/>
      <c r="F459" s="8"/>
      <c r="G459" s="8"/>
      <c r="H459" s="8"/>
      <c r="I459" s="8"/>
      <c r="J459" s="23"/>
      <c r="K459" s="8"/>
      <c r="L459" s="23"/>
      <c r="M459" s="8"/>
      <c r="N459" s="8"/>
      <c r="O459" s="8"/>
      <c r="P459" s="8"/>
      <c r="Q459" s="23"/>
      <c r="R459" s="136"/>
      <c r="S459" s="137"/>
      <c r="T459" s="128"/>
      <c r="U459" s="137"/>
      <c r="V459" s="128"/>
      <c r="W459" s="49"/>
      <c r="X459" s="128"/>
      <c r="Y459" s="49"/>
      <c r="Z459" s="128"/>
      <c r="AA459" s="49"/>
      <c r="AB459" s="128"/>
      <c r="AC459" s="49"/>
      <c r="AD459" s="133">
        <f t="shared" si="32"/>
        <v>0</v>
      </c>
      <c r="AE459" s="133">
        <f t="shared" si="33"/>
        <v>0</v>
      </c>
    </row>
    <row r="460" spans="1:31" s="69" customFormat="1" ht="15.75" hidden="1" outlineLevel="2" x14ac:dyDescent="0.2">
      <c r="A460" s="25">
        <f>'Утв. ИП 2014-2019'!A462</f>
        <v>0</v>
      </c>
      <c r="B460" s="6">
        <f>'Утв. ИП 2014-2019'!B462</f>
        <v>0</v>
      </c>
      <c r="C460" s="7" t="str">
        <f>'Утв. ИП 2014-2019'!C462</f>
        <v>строительство</v>
      </c>
      <c r="D460" s="8"/>
      <c r="E460" s="8"/>
      <c r="F460" s="8"/>
      <c r="G460" s="8"/>
      <c r="H460" s="8"/>
      <c r="I460" s="8"/>
      <c r="J460" s="23"/>
      <c r="K460" s="8"/>
      <c r="L460" s="23"/>
      <c r="M460" s="8"/>
      <c r="N460" s="8"/>
      <c r="O460" s="8"/>
      <c r="P460" s="8"/>
      <c r="Q460" s="23"/>
      <c r="R460" s="136"/>
      <c r="S460" s="137"/>
      <c r="T460" s="128"/>
      <c r="U460" s="137"/>
      <c r="V460" s="128"/>
      <c r="W460" s="49"/>
      <c r="X460" s="128"/>
      <c r="Y460" s="49"/>
      <c r="Z460" s="128"/>
      <c r="AA460" s="49"/>
      <c r="AB460" s="128"/>
      <c r="AC460" s="49"/>
      <c r="AD460" s="133">
        <f t="shared" si="32"/>
        <v>0</v>
      </c>
      <c r="AE460" s="133">
        <f t="shared" si="33"/>
        <v>0</v>
      </c>
    </row>
    <row r="461" spans="1:31" s="69" customFormat="1" ht="63.75" hidden="1" outlineLevel="1" collapsed="1" x14ac:dyDescent="0.2">
      <c r="A461" s="25" t="str">
        <f>'Утв. ИП 2014-2019'!A463</f>
        <v>1.1.6.2.63/12</v>
      </c>
      <c r="B461" s="6" t="str">
        <f>'Утв. ИП 2014-2019'!B463</f>
        <v>3.2.74</v>
      </c>
      <c r="C461" s="7" t="str">
        <f>'Утв. ИП 2014-2019'!C463</f>
        <v>Строительство ВЛ-0,4 кВ от КТП-266 от ВЛ-0,4 кВ, смонтированной по п. 1.1.6.2.3/11 программы перспективного развития, для электроснабжения садового домика по адресу: г. Липецк, СНТ "им. И.В. Мичурина", ул. Вишневая, зем. уч. № 32</v>
      </c>
      <c r="D461" s="8" t="str">
        <f>'Утв. ИП 2014-2019'!K463</f>
        <v>0,15 км/ 0 МВА</v>
      </c>
      <c r="E461" s="8"/>
      <c r="F461" s="8"/>
      <c r="G461" s="8"/>
      <c r="H461" s="8"/>
      <c r="I461" s="8"/>
      <c r="J461" s="23" t="str">
        <f>'Утв. ИП 2014-2019'!Q463</f>
        <v>0,15 км/ 0 МВА</v>
      </c>
      <c r="K461" s="8"/>
      <c r="L461" s="23"/>
      <c r="M461" s="8"/>
      <c r="N461" s="8"/>
      <c r="O461" s="8"/>
      <c r="P461" s="8"/>
      <c r="Q461" s="23"/>
      <c r="R461" s="136"/>
      <c r="S461" s="137"/>
      <c r="T461" s="128"/>
      <c r="U461" s="137"/>
      <c r="V461" s="128"/>
      <c r="W461" s="49"/>
      <c r="X461" s="128"/>
      <c r="Y461" s="49"/>
      <c r="Z461" s="128"/>
      <c r="AA461" s="49"/>
      <c r="AB461" s="128"/>
      <c r="AC461" s="49"/>
      <c r="AD461" s="133">
        <f t="shared" si="32"/>
        <v>0</v>
      </c>
      <c r="AE461" s="133">
        <f t="shared" si="33"/>
        <v>0</v>
      </c>
    </row>
    <row r="462" spans="1:31" s="69" customFormat="1" ht="15.75" hidden="1" outlineLevel="2" x14ac:dyDescent="0.2">
      <c r="A462" s="25">
        <f>'Утв. ИП 2014-2019'!A464</f>
        <v>0</v>
      </c>
      <c r="B462" s="6">
        <f>'Утв. ИП 2014-2019'!B464</f>
        <v>0</v>
      </c>
      <c r="C462" s="7" t="str">
        <f>'Утв. ИП 2014-2019'!C464</f>
        <v>реконструкция</v>
      </c>
      <c r="D462" s="8"/>
      <c r="E462" s="8"/>
      <c r="F462" s="8"/>
      <c r="G462" s="8"/>
      <c r="H462" s="8"/>
      <c r="I462" s="8"/>
      <c r="J462" s="23"/>
      <c r="K462" s="8"/>
      <c r="L462" s="23"/>
      <c r="M462" s="8"/>
      <c r="N462" s="8"/>
      <c r="O462" s="8"/>
      <c r="P462" s="8"/>
      <c r="Q462" s="23"/>
      <c r="R462" s="136"/>
      <c r="S462" s="137"/>
      <c r="T462" s="128"/>
      <c r="U462" s="137"/>
      <c r="V462" s="128"/>
      <c r="W462" s="49"/>
      <c r="X462" s="128"/>
      <c r="Y462" s="49"/>
      <c r="Z462" s="128"/>
      <c r="AA462" s="49"/>
      <c r="AB462" s="128"/>
      <c r="AC462" s="49"/>
      <c r="AD462" s="133">
        <f t="shared" si="32"/>
        <v>0</v>
      </c>
      <c r="AE462" s="133">
        <f t="shared" si="33"/>
        <v>0</v>
      </c>
    </row>
    <row r="463" spans="1:31" s="69" customFormat="1" ht="15.75" hidden="1" outlineLevel="2" x14ac:dyDescent="0.2">
      <c r="A463" s="25">
        <f>'Утв. ИП 2014-2019'!A465</f>
        <v>0</v>
      </c>
      <c r="B463" s="6">
        <f>'Утв. ИП 2014-2019'!B465</f>
        <v>0</v>
      </c>
      <c r="C463" s="7" t="str">
        <f>'Утв. ИП 2014-2019'!C465</f>
        <v>строительство</v>
      </c>
      <c r="D463" s="8"/>
      <c r="E463" s="8"/>
      <c r="F463" s="8"/>
      <c r="G463" s="8"/>
      <c r="H463" s="8"/>
      <c r="I463" s="8"/>
      <c r="J463" s="23"/>
      <c r="K463" s="23"/>
      <c r="L463" s="8"/>
      <c r="M463" s="8"/>
      <c r="N463" s="8"/>
      <c r="O463" s="8"/>
      <c r="P463" s="8"/>
      <c r="Q463" s="23"/>
      <c r="R463" s="136"/>
      <c r="S463" s="137"/>
      <c r="T463" s="128"/>
      <c r="U463" s="137"/>
      <c r="V463" s="128"/>
      <c r="W463" s="49"/>
      <c r="X463" s="128"/>
      <c r="Y463" s="49"/>
      <c r="Z463" s="128"/>
      <c r="AA463" s="49"/>
      <c r="AB463" s="128"/>
      <c r="AC463" s="49"/>
      <c r="AD463" s="133">
        <f t="shared" si="32"/>
        <v>0</v>
      </c>
      <c r="AE463" s="133">
        <f t="shared" si="33"/>
        <v>0</v>
      </c>
    </row>
    <row r="464" spans="1:31" s="69" customFormat="1" ht="51" hidden="1" outlineLevel="1" collapsed="1" x14ac:dyDescent="0.2">
      <c r="A464" s="25" t="str">
        <f>'Утв. ИП 2014-2019'!A466</f>
        <v>1.1.6.2.64/12</v>
      </c>
      <c r="B464" s="6" t="str">
        <f>'Утв. ИП 2014-2019'!B466</f>
        <v>3.2.75</v>
      </c>
      <c r="C464" s="7" t="str">
        <f>'Утв. ИП 2014-2019'!C466</f>
        <v>Реконструкция ВЛ-0,4 кВ по ул. Курчатова от КТП-416 (инв. № 346153) для электроснабжения индивидуальных жилых домов по адресу: г. Липецк, ул. Курчатова, в районе домов № 205 и № 198</v>
      </c>
      <c r="D464" s="8" t="str">
        <f>'Утв. ИП 2014-2019'!K466</f>
        <v>0,05 км/ 0 МВА</v>
      </c>
      <c r="E464" s="8"/>
      <c r="F464" s="8"/>
      <c r="G464" s="8"/>
      <c r="H464" s="8"/>
      <c r="I464" s="8"/>
      <c r="J464" s="23" t="str">
        <f>'Утв. ИП 2014-2019'!Q466</f>
        <v>0,05 км/ 0 МВА</v>
      </c>
      <c r="K464" s="23" t="s">
        <v>942</v>
      </c>
      <c r="L464" s="23"/>
      <c r="M464" s="8"/>
      <c r="N464" s="8"/>
      <c r="O464" s="8"/>
      <c r="P464" s="8"/>
      <c r="Q464" s="23" t="s">
        <v>942</v>
      </c>
      <c r="R464" s="136">
        <v>0.05</v>
      </c>
      <c r="S464" s="137"/>
      <c r="T464" s="128"/>
      <c r="U464" s="137"/>
      <c r="V464" s="128"/>
      <c r="W464" s="49"/>
      <c r="X464" s="128"/>
      <c r="Y464" s="49"/>
      <c r="Z464" s="128"/>
      <c r="AA464" s="49"/>
      <c r="AB464" s="128"/>
      <c r="AC464" s="49"/>
      <c r="AD464" s="133">
        <f t="shared" si="32"/>
        <v>0.05</v>
      </c>
      <c r="AE464" s="133">
        <f t="shared" si="33"/>
        <v>0</v>
      </c>
    </row>
    <row r="465" spans="1:31" s="69" customFormat="1" ht="15.75" hidden="1" outlineLevel="2" x14ac:dyDescent="0.2">
      <c r="A465" s="25">
        <f>'Утв. ИП 2014-2019'!A467</f>
        <v>0</v>
      </c>
      <c r="B465" s="6">
        <f>'Утв. ИП 2014-2019'!B467</f>
        <v>0</v>
      </c>
      <c r="C465" s="7" t="str">
        <f>'Утв. ИП 2014-2019'!C467</f>
        <v>реконструкция</v>
      </c>
      <c r="D465" s="8"/>
      <c r="E465" s="8"/>
      <c r="F465" s="8"/>
      <c r="G465" s="8"/>
      <c r="H465" s="8"/>
      <c r="I465" s="8"/>
      <c r="J465" s="23"/>
      <c r="K465" s="8"/>
      <c r="L465" s="23"/>
      <c r="M465" s="8"/>
      <c r="N465" s="8"/>
      <c r="O465" s="8"/>
      <c r="P465" s="8"/>
      <c r="Q465" s="23"/>
      <c r="R465" s="136"/>
      <c r="S465" s="137"/>
      <c r="T465" s="128"/>
      <c r="U465" s="137"/>
      <c r="V465" s="128"/>
      <c r="W465" s="49"/>
      <c r="X465" s="128"/>
      <c r="Y465" s="49"/>
      <c r="Z465" s="128"/>
      <c r="AA465" s="49"/>
      <c r="AB465" s="128"/>
      <c r="AC465" s="49"/>
      <c r="AD465" s="133">
        <f t="shared" si="32"/>
        <v>0</v>
      </c>
      <c r="AE465" s="133">
        <f t="shared" si="33"/>
        <v>0</v>
      </c>
    </row>
    <row r="466" spans="1:31" s="69" customFormat="1" ht="15.75" hidden="1" outlineLevel="2" x14ac:dyDescent="0.2">
      <c r="A466" s="25">
        <f>'Утв. ИП 2014-2019'!A468</f>
        <v>0</v>
      </c>
      <c r="B466" s="6">
        <f>'Утв. ИП 2014-2019'!B468</f>
        <v>0</v>
      </c>
      <c r="C466" s="7" t="str">
        <f>'Утв. ИП 2014-2019'!C468</f>
        <v>строительство</v>
      </c>
      <c r="D466" s="8"/>
      <c r="E466" s="8"/>
      <c r="F466" s="8"/>
      <c r="G466" s="8"/>
      <c r="H466" s="8"/>
      <c r="I466" s="8"/>
      <c r="J466" s="23"/>
      <c r="K466" s="8"/>
      <c r="L466" s="23"/>
      <c r="M466" s="8"/>
      <c r="N466" s="8"/>
      <c r="O466" s="8"/>
      <c r="P466" s="8"/>
      <c r="Q466" s="23"/>
      <c r="R466" s="136"/>
      <c r="S466" s="137"/>
      <c r="T466" s="128"/>
      <c r="U466" s="137"/>
      <c r="V466" s="128"/>
      <c r="W466" s="49"/>
      <c r="X466" s="128"/>
      <c r="Y466" s="49"/>
      <c r="Z466" s="128"/>
      <c r="AA466" s="49"/>
      <c r="AB466" s="128"/>
      <c r="AC466" s="49"/>
      <c r="AD466" s="133">
        <f t="shared" si="32"/>
        <v>0</v>
      </c>
      <c r="AE466" s="133">
        <f t="shared" si="33"/>
        <v>0</v>
      </c>
    </row>
    <row r="467" spans="1:31" s="69" customFormat="1" ht="25.5" hidden="1" outlineLevel="1" collapsed="1" x14ac:dyDescent="0.2">
      <c r="A467" s="25" t="str">
        <f>'Утв. ИП 2014-2019'!A469</f>
        <v>1.1.6.2.65/12</v>
      </c>
      <c r="B467" s="6" t="str">
        <f>'Утв. ИП 2014-2019'!B469</f>
        <v>3.2.76</v>
      </c>
      <c r="C467" s="7" t="str">
        <f>'Утв. ИП 2014-2019'!C469</f>
        <v>Электроснабжение кирпичного гаража № 36 по адресу: г. Липецк, ул. Циолковского, во дворе дома № 30/4</v>
      </c>
      <c r="D467" s="8"/>
      <c r="E467" s="8" t="str">
        <f>'Утв. ИП 2014-2019'!L469</f>
        <v>0,2 км/ 0 МВА</v>
      </c>
      <c r="F467" s="8"/>
      <c r="G467" s="8"/>
      <c r="H467" s="8"/>
      <c r="I467" s="8"/>
      <c r="J467" s="23" t="str">
        <f>'Утв. ИП 2014-2019'!Q469</f>
        <v>0,2 км/ 0 МВА</v>
      </c>
      <c r="K467" s="8"/>
      <c r="L467" s="23"/>
      <c r="M467" s="8"/>
      <c r="N467" s="8"/>
      <c r="O467" s="8"/>
      <c r="P467" s="8"/>
      <c r="Q467" s="23"/>
      <c r="R467" s="166"/>
      <c r="S467" s="167"/>
      <c r="T467" s="168"/>
      <c r="U467" s="167"/>
      <c r="V467" s="168"/>
      <c r="W467" s="169"/>
      <c r="X467" s="168"/>
      <c r="Y467" s="169"/>
      <c r="Z467" s="168"/>
      <c r="AA467" s="169"/>
      <c r="AB467" s="168"/>
      <c r="AC467" s="169"/>
      <c r="AD467" s="133">
        <f t="shared" si="32"/>
        <v>0</v>
      </c>
      <c r="AE467" s="133">
        <f t="shared" si="33"/>
        <v>0</v>
      </c>
    </row>
    <row r="468" spans="1:31" s="69" customFormat="1" ht="15.75" hidden="1" outlineLevel="2" x14ac:dyDescent="0.2">
      <c r="A468" s="25">
        <f>'Утв. ИП 2014-2019'!A470</f>
        <v>0</v>
      </c>
      <c r="B468" s="6">
        <f>'Утв. ИП 2014-2019'!B470</f>
        <v>0</v>
      </c>
      <c r="C468" s="7" t="str">
        <f>'Утв. ИП 2014-2019'!C470</f>
        <v>реконструкция</v>
      </c>
      <c r="D468" s="8"/>
      <c r="E468" s="8"/>
      <c r="F468" s="8"/>
      <c r="G468" s="8"/>
      <c r="H468" s="8"/>
      <c r="I468" s="8"/>
      <c r="J468" s="23"/>
      <c r="K468" s="8"/>
      <c r="L468" s="23"/>
      <c r="M468" s="8"/>
      <c r="N468" s="8"/>
      <c r="O468" s="8"/>
      <c r="P468" s="8"/>
      <c r="Q468" s="23"/>
      <c r="R468" s="166"/>
      <c r="S468" s="167"/>
      <c r="T468" s="168"/>
      <c r="U468" s="167"/>
      <c r="V468" s="168"/>
      <c r="W468" s="169"/>
      <c r="X468" s="168"/>
      <c r="Y468" s="169"/>
      <c r="Z468" s="168"/>
      <c r="AA468" s="169"/>
      <c r="AB468" s="168"/>
      <c r="AC468" s="169"/>
      <c r="AD468" s="133">
        <f t="shared" si="32"/>
        <v>0</v>
      </c>
      <c r="AE468" s="133">
        <f t="shared" si="33"/>
        <v>0</v>
      </c>
    </row>
    <row r="469" spans="1:31" s="69" customFormat="1" ht="15.75" hidden="1" outlineLevel="2" x14ac:dyDescent="0.2">
      <c r="A469" s="25">
        <f>'Утв. ИП 2014-2019'!A471</f>
        <v>0</v>
      </c>
      <c r="B469" s="6">
        <f>'Утв. ИП 2014-2019'!B471</f>
        <v>0</v>
      </c>
      <c r="C469" s="7" t="str">
        <f>'Утв. ИП 2014-2019'!C471</f>
        <v>строительство</v>
      </c>
      <c r="D469" s="8"/>
      <c r="E469" s="8"/>
      <c r="F469" s="8"/>
      <c r="G469" s="8"/>
      <c r="H469" s="8"/>
      <c r="I469" s="8"/>
      <c r="J469" s="23"/>
      <c r="K469" s="8"/>
      <c r="L469" s="23"/>
      <c r="M469" s="8"/>
      <c r="N469" s="8"/>
      <c r="O469" s="8"/>
      <c r="P469" s="8"/>
      <c r="Q469" s="23"/>
      <c r="R469" s="166"/>
      <c r="S469" s="167"/>
      <c r="T469" s="168"/>
      <c r="U469" s="167"/>
      <c r="V469" s="168"/>
      <c r="W469" s="169"/>
      <c r="X469" s="168"/>
      <c r="Y469" s="169"/>
      <c r="Z469" s="168"/>
      <c r="AA469" s="169"/>
      <c r="AB469" s="168"/>
      <c r="AC469" s="169"/>
      <c r="AD469" s="133">
        <f t="shared" si="32"/>
        <v>0</v>
      </c>
      <c r="AE469" s="133">
        <f t="shared" si="33"/>
        <v>0</v>
      </c>
    </row>
    <row r="470" spans="1:31" s="69" customFormat="1" ht="25.5" hidden="1" outlineLevel="1" collapsed="1" x14ac:dyDescent="0.2">
      <c r="A470" s="25" t="str">
        <f>'Утв. ИП 2014-2019'!A472</f>
        <v>1.1.6.2.66/12</v>
      </c>
      <c r="B470" s="6" t="str">
        <f>'Утв. ИП 2014-2019'!B472</f>
        <v>3.2.77</v>
      </c>
      <c r="C470" s="7" t="str">
        <f>'Утв. ИП 2014-2019'!C472</f>
        <v>Электроснабжение гаража по адресу: г. Липецк, во дворе дома № 3 по ул. Горького</v>
      </c>
      <c r="D470" s="8"/>
      <c r="E470" s="8" t="str">
        <f>'Утв. ИП 2014-2019'!L472</f>
        <v>0,15 км/ 0 МВА</v>
      </c>
      <c r="F470" s="8"/>
      <c r="G470" s="8"/>
      <c r="H470" s="8"/>
      <c r="I470" s="8"/>
      <c r="J470" s="23" t="str">
        <f>'Утв. ИП 2014-2019'!Q472</f>
        <v>0,15 км/ 0 МВА</v>
      </c>
      <c r="K470" s="8"/>
      <c r="L470" s="23"/>
      <c r="M470" s="8"/>
      <c r="N470" s="8"/>
      <c r="O470" s="8"/>
      <c r="P470" s="8"/>
      <c r="Q470" s="23"/>
      <c r="R470" s="166"/>
      <c r="S470" s="167"/>
      <c r="T470" s="168"/>
      <c r="U470" s="167"/>
      <c r="V470" s="168"/>
      <c r="W470" s="169"/>
      <c r="X470" s="168"/>
      <c r="Y470" s="169"/>
      <c r="Z470" s="168"/>
      <c r="AA470" s="169"/>
      <c r="AB470" s="168"/>
      <c r="AC470" s="169"/>
      <c r="AD470" s="133">
        <f t="shared" si="32"/>
        <v>0</v>
      </c>
      <c r="AE470" s="133">
        <f t="shared" si="33"/>
        <v>0</v>
      </c>
    </row>
    <row r="471" spans="1:31" s="69" customFormat="1" ht="15.75" hidden="1" outlineLevel="2" x14ac:dyDescent="0.2">
      <c r="A471" s="25">
        <f>'Утв. ИП 2014-2019'!A473</f>
        <v>0</v>
      </c>
      <c r="B471" s="6">
        <f>'Утв. ИП 2014-2019'!B473</f>
        <v>0</v>
      </c>
      <c r="C471" s="7" t="str">
        <f>'Утв. ИП 2014-2019'!C473</f>
        <v>реконструкция</v>
      </c>
      <c r="D471" s="8"/>
      <c r="E471" s="8"/>
      <c r="F471" s="8"/>
      <c r="G471" s="8"/>
      <c r="H471" s="8"/>
      <c r="I471" s="8"/>
      <c r="J471" s="23"/>
      <c r="K471" s="8"/>
      <c r="L471" s="23"/>
      <c r="M471" s="8"/>
      <c r="N471" s="8"/>
      <c r="O471" s="8"/>
      <c r="P471" s="8"/>
      <c r="Q471" s="23"/>
      <c r="R471" s="166"/>
      <c r="S471" s="167"/>
      <c r="T471" s="168"/>
      <c r="U471" s="167"/>
      <c r="V471" s="168"/>
      <c r="W471" s="169"/>
      <c r="X471" s="168"/>
      <c r="Y471" s="169"/>
      <c r="Z471" s="168"/>
      <c r="AA471" s="169"/>
      <c r="AB471" s="168"/>
      <c r="AC471" s="169"/>
      <c r="AD471" s="133">
        <f t="shared" si="32"/>
        <v>0</v>
      </c>
      <c r="AE471" s="133">
        <f t="shared" si="33"/>
        <v>0</v>
      </c>
    </row>
    <row r="472" spans="1:31" s="69" customFormat="1" ht="15.75" hidden="1" outlineLevel="2" x14ac:dyDescent="0.2">
      <c r="A472" s="25">
        <f>'Утв. ИП 2014-2019'!A474</f>
        <v>0</v>
      </c>
      <c r="B472" s="6">
        <f>'Утв. ИП 2014-2019'!B474</f>
        <v>0</v>
      </c>
      <c r="C472" s="7" t="str">
        <f>'Утв. ИП 2014-2019'!C474</f>
        <v>строительство</v>
      </c>
      <c r="D472" s="8"/>
      <c r="E472" s="8"/>
      <c r="F472" s="8"/>
      <c r="G472" s="8"/>
      <c r="H472" s="8"/>
      <c r="I472" s="8"/>
      <c r="J472" s="23"/>
      <c r="K472" s="8"/>
      <c r="L472" s="23"/>
      <c r="M472" s="8"/>
      <c r="N472" s="8"/>
      <c r="O472" s="8"/>
      <c r="P472" s="8"/>
      <c r="Q472" s="23"/>
      <c r="R472" s="166"/>
      <c r="S472" s="167"/>
      <c r="T472" s="168"/>
      <c r="U472" s="167"/>
      <c r="V472" s="168"/>
      <c r="W472" s="169"/>
      <c r="X472" s="168"/>
      <c r="Y472" s="169"/>
      <c r="Z472" s="168"/>
      <c r="AA472" s="169"/>
      <c r="AB472" s="168"/>
      <c r="AC472" s="169"/>
      <c r="AD472" s="133">
        <f t="shared" si="32"/>
        <v>0</v>
      </c>
      <c r="AE472" s="133">
        <f t="shared" si="33"/>
        <v>0</v>
      </c>
    </row>
    <row r="473" spans="1:31" s="69" customFormat="1" ht="51" hidden="1" outlineLevel="1" collapsed="1" x14ac:dyDescent="0.2">
      <c r="A473" s="25" t="str">
        <f>'Утв. ИП 2014-2019'!A475</f>
        <v>1.1.6.2.67/12</v>
      </c>
      <c r="B473" s="6" t="str">
        <f>'Утв. ИП 2014-2019'!B475</f>
        <v>3.2.78</v>
      </c>
      <c r="C473" s="7" t="str">
        <f>'Утв. ИП 2014-2019'!C475</f>
        <v>Строительство ВЛ-0,4 кВ от ближайшей опоры ВЛ-0,4 кВ, смонтированной по п.1.1.6.3.2/10 ППР от КТП-400 для электроснабжения садового домика по адресу: г. Липецк, ПОПиИ "Сокол-1", зем. уч. № 826</v>
      </c>
      <c r="D473" s="8" t="str">
        <f>'Утв. ИП 2014-2019'!K475</f>
        <v>0,05 км/ 0 МВА</v>
      </c>
      <c r="E473" s="8"/>
      <c r="F473" s="8"/>
      <c r="G473" s="8"/>
      <c r="H473" s="8"/>
      <c r="I473" s="8"/>
      <c r="J473" s="23" t="str">
        <f>'Утв. ИП 2014-2019'!Q475</f>
        <v>0,05 км/ 0 МВА</v>
      </c>
      <c r="K473" s="8"/>
      <c r="L473" s="23"/>
      <c r="M473" s="8"/>
      <c r="N473" s="8"/>
      <c r="O473" s="8"/>
      <c r="P473" s="8"/>
      <c r="Q473" s="23"/>
      <c r="R473" s="136"/>
      <c r="S473" s="137"/>
      <c r="T473" s="128"/>
      <c r="U473" s="137"/>
      <c r="V473" s="128"/>
      <c r="W473" s="49"/>
      <c r="X473" s="128"/>
      <c r="Y473" s="49"/>
      <c r="Z473" s="128"/>
      <c r="AA473" s="49"/>
      <c r="AB473" s="128"/>
      <c r="AC473" s="49"/>
      <c r="AD473" s="133">
        <f t="shared" si="32"/>
        <v>0</v>
      </c>
      <c r="AE473" s="133">
        <f t="shared" si="33"/>
        <v>0</v>
      </c>
    </row>
    <row r="474" spans="1:31" s="69" customFormat="1" ht="15.75" hidden="1" outlineLevel="2" x14ac:dyDescent="0.2">
      <c r="A474" s="25">
        <f>'Утв. ИП 2014-2019'!A476</f>
        <v>0</v>
      </c>
      <c r="B474" s="6">
        <f>'Утв. ИП 2014-2019'!B476</f>
        <v>0</v>
      </c>
      <c r="C474" s="7" t="str">
        <f>'Утв. ИП 2014-2019'!C476</f>
        <v>реконструкция</v>
      </c>
      <c r="D474" s="8"/>
      <c r="E474" s="8"/>
      <c r="F474" s="8"/>
      <c r="G474" s="8"/>
      <c r="H474" s="8"/>
      <c r="I474" s="8"/>
      <c r="J474" s="23"/>
      <c r="K474" s="8"/>
      <c r="L474" s="23"/>
      <c r="M474" s="8"/>
      <c r="N474" s="8"/>
      <c r="O474" s="8"/>
      <c r="P474" s="8"/>
      <c r="Q474" s="23"/>
      <c r="R474" s="136"/>
      <c r="S474" s="137"/>
      <c r="T474" s="128"/>
      <c r="U474" s="137"/>
      <c r="V474" s="128"/>
      <c r="W474" s="49"/>
      <c r="X474" s="128"/>
      <c r="Y474" s="49"/>
      <c r="Z474" s="128"/>
      <c r="AA474" s="49"/>
      <c r="AB474" s="128"/>
      <c r="AC474" s="49"/>
      <c r="AD474" s="133">
        <f t="shared" si="32"/>
        <v>0</v>
      </c>
      <c r="AE474" s="133">
        <f t="shared" si="33"/>
        <v>0</v>
      </c>
    </row>
    <row r="475" spans="1:31" s="69" customFormat="1" ht="15.75" hidden="1" outlineLevel="2" x14ac:dyDescent="0.2">
      <c r="A475" s="25">
        <f>'Утв. ИП 2014-2019'!A477</f>
        <v>0</v>
      </c>
      <c r="B475" s="6">
        <f>'Утв. ИП 2014-2019'!B477</f>
        <v>0</v>
      </c>
      <c r="C475" s="7" t="str">
        <f>'Утв. ИП 2014-2019'!C477</f>
        <v>строительство</v>
      </c>
      <c r="D475" s="8"/>
      <c r="E475" s="8"/>
      <c r="F475" s="8"/>
      <c r="G475" s="8"/>
      <c r="H475" s="8"/>
      <c r="I475" s="8"/>
      <c r="J475" s="23"/>
      <c r="K475" s="8"/>
      <c r="L475" s="23"/>
      <c r="M475" s="8"/>
      <c r="N475" s="8"/>
      <c r="O475" s="8"/>
      <c r="P475" s="8"/>
      <c r="Q475" s="23"/>
      <c r="R475" s="136"/>
      <c r="S475" s="137"/>
      <c r="T475" s="128"/>
      <c r="U475" s="137"/>
      <c r="V475" s="128"/>
      <c r="W475" s="49"/>
      <c r="X475" s="128"/>
      <c r="Y475" s="49"/>
      <c r="Z475" s="128"/>
      <c r="AA475" s="49"/>
      <c r="AB475" s="128"/>
      <c r="AC475" s="49"/>
      <c r="AD475" s="133">
        <f t="shared" si="32"/>
        <v>0</v>
      </c>
      <c r="AE475" s="133">
        <f t="shared" si="33"/>
        <v>0</v>
      </c>
    </row>
    <row r="476" spans="1:31" s="69" customFormat="1" ht="51" hidden="1" outlineLevel="1" collapsed="1" x14ac:dyDescent="0.2">
      <c r="A476" s="25" t="str">
        <f>'Утв. ИП 2014-2019'!A478</f>
        <v>1.1.6.2.68/12</v>
      </c>
      <c r="B476" s="6" t="str">
        <f>'Утв. ИП 2014-2019'!B478</f>
        <v>3.2.79</v>
      </c>
      <c r="C476" s="7" t="str">
        <f>'Утв. ИП 2014-2019'!C478</f>
        <v>Строительство ВЛ-0,4 кВ от опоры № 26 ВЛ-0,4 кВ по ул. Садовая от КТПН-399 для электроснабжения садового домика по адресу: г. Липецк, СНТ "Металлург-2" ОАО "НЛМК", уч. № 1994</v>
      </c>
      <c r="D476" s="8" t="str">
        <f>'Утв. ИП 2014-2019'!K478</f>
        <v>0,05 км/ 0 МВА</v>
      </c>
      <c r="E476" s="8"/>
      <c r="F476" s="8"/>
      <c r="G476" s="8"/>
      <c r="H476" s="8"/>
      <c r="I476" s="8"/>
      <c r="J476" s="23" t="str">
        <f>'Утв. ИП 2014-2019'!Q478</f>
        <v>0,05 км/ 0 МВА</v>
      </c>
      <c r="K476" s="23"/>
      <c r="L476" s="8"/>
      <c r="M476" s="8"/>
      <c r="N476" s="8"/>
      <c r="O476" s="8"/>
      <c r="P476" s="8"/>
      <c r="Q476" s="23"/>
      <c r="R476" s="136"/>
      <c r="S476" s="137"/>
      <c r="T476" s="128"/>
      <c r="U476" s="137"/>
      <c r="V476" s="128"/>
      <c r="W476" s="49"/>
      <c r="X476" s="128"/>
      <c r="Y476" s="49"/>
      <c r="Z476" s="128"/>
      <c r="AA476" s="49"/>
      <c r="AB476" s="128"/>
      <c r="AC476" s="49"/>
      <c r="AD476" s="133">
        <f t="shared" si="32"/>
        <v>0</v>
      </c>
      <c r="AE476" s="133">
        <f t="shared" si="33"/>
        <v>0</v>
      </c>
    </row>
    <row r="477" spans="1:31" s="69" customFormat="1" ht="15.75" hidden="1" outlineLevel="2" x14ac:dyDescent="0.2">
      <c r="A477" s="25">
        <f>'Утв. ИП 2014-2019'!A479</f>
        <v>0</v>
      </c>
      <c r="B477" s="6">
        <f>'Утв. ИП 2014-2019'!B479</f>
        <v>0</v>
      </c>
      <c r="C477" s="7" t="str">
        <f>'Утв. ИП 2014-2019'!C479</f>
        <v>реконструкция</v>
      </c>
      <c r="D477" s="8"/>
      <c r="E477" s="8"/>
      <c r="F477" s="8"/>
      <c r="G477" s="8"/>
      <c r="H477" s="8"/>
      <c r="I477" s="8"/>
      <c r="J477" s="23"/>
      <c r="K477" s="23"/>
      <c r="L477" s="8"/>
      <c r="M477" s="8"/>
      <c r="N477" s="8"/>
      <c r="O477" s="8"/>
      <c r="P477" s="8"/>
      <c r="Q477" s="23"/>
      <c r="R477" s="136"/>
      <c r="S477" s="137"/>
      <c r="T477" s="128"/>
      <c r="U477" s="137"/>
      <c r="V477" s="128"/>
      <c r="W477" s="49"/>
      <c r="X477" s="128"/>
      <c r="Y477" s="49"/>
      <c r="Z477" s="128"/>
      <c r="AA477" s="49"/>
      <c r="AB477" s="128"/>
      <c r="AC477" s="49"/>
      <c r="AD477" s="133">
        <f t="shared" si="32"/>
        <v>0</v>
      </c>
      <c r="AE477" s="133">
        <f t="shared" si="33"/>
        <v>0</v>
      </c>
    </row>
    <row r="478" spans="1:31" s="69" customFormat="1" ht="15.75" hidden="1" outlineLevel="2" x14ac:dyDescent="0.2">
      <c r="A478" s="25">
        <f>'Утв. ИП 2014-2019'!A480</f>
        <v>0</v>
      </c>
      <c r="B478" s="6">
        <f>'Утв. ИП 2014-2019'!B480</f>
        <v>0</v>
      </c>
      <c r="C478" s="7" t="str">
        <f>'Утв. ИП 2014-2019'!C480</f>
        <v>строительство</v>
      </c>
      <c r="D478" s="8"/>
      <c r="E478" s="8"/>
      <c r="F478" s="8"/>
      <c r="G478" s="8"/>
      <c r="H478" s="8"/>
      <c r="I478" s="8"/>
      <c r="J478" s="23"/>
      <c r="K478" s="8"/>
      <c r="L478" s="23"/>
      <c r="M478" s="8"/>
      <c r="N478" s="8"/>
      <c r="O478" s="8"/>
      <c r="P478" s="8"/>
      <c r="Q478" s="23"/>
      <c r="R478" s="136"/>
      <c r="S478" s="137"/>
      <c r="T478" s="128"/>
      <c r="U478" s="137"/>
      <c r="V478" s="128"/>
      <c r="W478" s="49"/>
      <c r="X478" s="128"/>
      <c r="Y478" s="49"/>
      <c r="Z478" s="128"/>
      <c r="AA478" s="49"/>
      <c r="AB478" s="128"/>
      <c r="AC478" s="49"/>
      <c r="AD478" s="133">
        <f t="shared" si="32"/>
        <v>0</v>
      </c>
      <c r="AE478" s="133">
        <f t="shared" si="33"/>
        <v>0</v>
      </c>
    </row>
    <row r="479" spans="1:31" s="69" customFormat="1" ht="38.25" hidden="1" outlineLevel="1" collapsed="1" x14ac:dyDescent="0.2">
      <c r="A479" s="25" t="str">
        <f>'Утв. ИП 2014-2019'!A481</f>
        <v>1.1.6.2.69/12</v>
      </c>
      <c r="B479" s="6" t="str">
        <f>'Утв. ИП 2014-2019'!B481</f>
        <v>3.2.80</v>
      </c>
      <c r="C479" s="7" t="str">
        <f>'Утв. ИП 2014-2019'!C481</f>
        <v>Строительство ВЛ-0,4 кВ от МТП, смонтированной по п.1.1.6.3.40/10 ППР, для электроснабжения гаража по адресу: г. Липецк, ПОПиИ "Сокол-1", зем. уч. № 264</v>
      </c>
      <c r="D479" s="8" t="str">
        <f>'Утв. ИП 2014-2019'!K481</f>
        <v>0,2 км/ 0 МВА</v>
      </c>
      <c r="E479" s="8"/>
      <c r="F479" s="8"/>
      <c r="G479" s="8"/>
      <c r="H479" s="8"/>
      <c r="I479" s="8"/>
      <c r="J479" s="23" t="str">
        <f>'Утв. ИП 2014-2019'!Q481</f>
        <v>0,2 км/ 0 МВА</v>
      </c>
      <c r="K479" s="8"/>
      <c r="L479" s="23"/>
      <c r="M479" s="8"/>
      <c r="N479" s="8"/>
      <c r="O479" s="8"/>
      <c r="P479" s="8"/>
      <c r="Q479" s="23"/>
      <c r="R479" s="136"/>
      <c r="S479" s="137"/>
      <c r="T479" s="128"/>
      <c r="U479" s="137"/>
      <c r="V479" s="128"/>
      <c r="W479" s="49"/>
      <c r="X479" s="128"/>
      <c r="Y479" s="49"/>
      <c r="Z479" s="128"/>
      <c r="AA479" s="49"/>
      <c r="AB479" s="128"/>
      <c r="AC479" s="49"/>
      <c r="AD479" s="133">
        <f t="shared" si="32"/>
        <v>0</v>
      </c>
      <c r="AE479" s="133">
        <f t="shared" si="33"/>
        <v>0</v>
      </c>
    </row>
    <row r="480" spans="1:31" s="69" customFormat="1" ht="15.75" hidden="1" outlineLevel="2" x14ac:dyDescent="0.2">
      <c r="A480" s="25">
        <f>'Утв. ИП 2014-2019'!A482</f>
        <v>0</v>
      </c>
      <c r="B480" s="6">
        <f>'Утв. ИП 2014-2019'!B482</f>
        <v>0</v>
      </c>
      <c r="C480" s="7" t="str">
        <f>'Утв. ИП 2014-2019'!C482</f>
        <v>реконструкция</v>
      </c>
      <c r="D480" s="8"/>
      <c r="E480" s="8"/>
      <c r="F480" s="8"/>
      <c r="G480" s="8"/>
      <c r="H480" s="8"/>
      <c r="I480" s="8"/>
      <c r="J480" s="23"/>
      <c r="K480" s="8"/>
      <c r="L480" s="23"/>
      <c r="M480" s="8"/>
      <c r="N480" s="8"/>
      <c r="O480" s="8"/>
      <c r="P480" s="8"/>
      <c r="Q480" s="23"/>
      <c r="R480" s="136"/>
      <c r="S480" s="137"/>
      <c r="T480" s="128"/>
      <c r="U480" s="137"/>
      <c r="V480" s="128"/>
      <c r="W480" s="49"/>
      <c r="X480" s="128"/>
      <c r="Y480" s="49"/>
      <c r="Z480" s="128"/>
      <c r="AA480" s="49"/>
      <c r="AB480" s="128"/>
      <c r="AC480" s="49"/>
      <c r="AD480" s="133">
        <f t="shared" si="32"/>
        <v>0</v>
      </c>
      <c r="AE480" s="133">
        <f t="shared" si="33"/>
        <v>0</v>
      </c>
    </row>
    <row r="481" spans="1:31" s="69" customFormat="1" ht="15.75" hidden="1" outlineLevel="2" x14ac:dyDescent="0.2">
      <c r="A481" s="25">
        <f>'Утв. ИП 2014-2019'!A483</f>
        <v>0</v>
      </c>
      <c r="B481" s="6">
        <f>'Утв. ИП 2014-2019'!B483</f>
        <v>0</v>
      </c>
      <c r="C481" s="7" t="str">
        <f>'Утв. ИП 2014-2019'!C483</f>
        <v>строительство</v>
      </c>
      <c r="D481" s="8"/>
      <c r="E481" s="8"/>
      <c r="F481" s="8"/>
      <c r="G481" s="8"/>
      <c r="H481" s="8"/>
      <c r="I481" s="8"/>
      <c r="J481" s="23"/>
      <c r="K481" s="23"/>
      <c r="L481" s="8"/>
      <c r="M481" s="8"/>
      <c r="N481" s="8"/>
      <c r="O481" s="8"/>
      <c r="P481" s="8"/>
      <c r="Q481" s="23"/>
      <c r="R481" s="136"/>
      <c r="S481" s="137"/>
      <c r="T481" s="128"/>
      <c r="U481" s="137"/>
      <c r="V481" s="128"/>
      <c r="W481" s="49"/>
      <c r="X481" s="128"/>
      <c r="Y481" s="49"/>
      <c r="Z481" s="128"/>
      <c r="AA481" s="49"/>
      <c r="AB481" s="128"/>
      <c r="AC481" s="49"/>
      <c r="AD481" s="133">
        <f t="shared" si="32"/>
        <v>0</v>
      </c>
      <c r="AE481" s="133">
        <f t="shared" si="33"/>
        <v>0</v>
      </c>
    </row>
    <row r="482" spans="1:31" s="69" customFormat="1" ht="25.5" hidden="1" outlineLevel="1" collapsed="1" x14ac:dyDescent="0.2">
      <c r="A482" s="25" t="str">
        <f>'Утв. ИП 2014-2019'!A484</f>
        <v>1.1.6.2.70/12</v>
      </c>
      <c r="B482" s="6" t="str">
        <f>'Утв. ИП 2014-2019'!B484</f>
        <v>3.2.81</v>
      </c>
      <c r="C482" s="7" t="str">
        <f>'Утв. ИП 2014-2019'!C484</f>
        <v>Электроснабжение садового домика по адресу: г. Липецк, садоводческое общество "Сокол-3", массив 1, участок № 212</v>
      </c>
      <c r="D482" s="8" t="str">
        <f>'Утв. ИП 2014-2019'!K484</f>
        <v>0,3 км/ 0,1 МВА</v>
      </c>
      <c r="E482" s="8"/>
      <c r="F482" s="8"/>
      <c r="G482" s="8"/>
      <c r="H482" s="8"/>
      <c r="I482" s="8"/>
      <c r="J482" s="23" t="str">
        <f>'Утв. ИП 2014-2019'!Q484</f>
        <v>0,3 км/ 0,1 МВА</v>
      </c>
      <c r="K482" s="8"/>
      <c r="L482" s="23"/>
      <c r="M482" s="8"/>
      <c r="N482" s="8"/>
      <c r="O482" s="8"/>
      <c r="P482" s="8"/>
      <c r="Q482" s="23"/>
      <c r="R482" s="136"/>
      <c r="S482" s="137"/>
      <c r="T482" s="128"/>
      <c r="U482" s="137"/>
      <c r="V482" s="128"/>
      <c r="W482" s="49"/>
      <c r="X482" s="128"/>
      <c r="Y482" s="49"/>
      <c r="Z482" s="128"/>
      <c r="AA482" s="49"/>
      <c r="AB482" s="128"/>
      <c r="AC482" s="49"/>
      <c r="AD482" s="133">
        <f t="shared" si="32"/>
        <v>0</v>
      </c>
      <c r="AE482" s="133">
        <f t="shared" si="33"/>
        <v>0</v>
      </c>
    </row>
    <row r="483" spans="1:31" s="69" customFormat="1" ht="15.75" hidden="1" outlineLevel="2" x14ac:dyDescent="0.2">
      <c r="A483" s="25">
        <f>'Утв. ИП 2014-2019'!A485</f>
        <v>0</v>
      </c>
      <c r="B483" s="6">
        <f>'Утв. ИП 2014-2019'!B485</f>
        <v>0</v>
      </c>
      <c r="C483" s="7" t="str">
        <f>'Утв. ИП 2014-2019'!C485</f>
        <v>реконструкция</v>
      </c>
      <c r="D483" s="8"/>
      <c r="E483" s="8"/>
      <c r="F483" s="8"/>
      <c r="G483" s="8"/>
      <c r="H483" s="8"/>
      <c r="I483" s="8"/>
      <c r="J483" s="23"/>
      <c r="K483" s="8"/>
      <c r="L483" s="23"/>
      <c r="M483" s="8"/>
      <c r="N483" s="8"/>
      <c r="O483" s="8"/>
      <c r="P483" s="8"/>
      <c r="Q483" s="23"/>
      <c r="R483" s="136"/>
      <c r="S483" s="137"/>
      <c r="T483" s="128"/>
      <c r="U483" s="137"/>
      <c r="V483" s="128"/>
      <c r="W483" s="49"/>
      <c r="X483" s="128"/>
      <c r="Y483" s="49"/>
      <c r="Z483" s="128"/>
      <c r="AA483" s="49"/>
      <c r="AB483" s="128"/>
      <c r="AC483" s="49"/>
      <c r="AD483" s="133">
        <f t="shared" si="32"/>
        <v>0</v>
      </c>
      <c r="AE483" s="133">
        <f t="shared" si="33"/>
        <v>0</v>
      </c>
    </row>
    <row r="484" spans="1:31" s="69" customFormat="1" ht="15.75" hidden="1" outlineLevel="2" x14ac:dyDescent="0.2">
      <c r="A484" s="25">
        <f>'Утв. ИП 2014-2019'!A486</f>
        <v>0</v>
      </c>
      <c r="B484" s="6">
        <f>'Утв. ИП 2014-2019'!B486</f>
        <v>0</v>
      </c>
      <c r="C484" s="7" t="str">
        <f>'Утв. ИП 2014-2019'!C486</f>
        <v>строительство</v>
      </c>
      <c r="D484" s="8"/>
      <c r="E484" s="8"/>
      <c r="F484" s="8"/>
      <c r="G484" s="8"/>
      <c r="H484" s="8"/>
      <c r="I484" s="8"/>
      <c r="J484" s="23"/>
      <c r="K484" s="8"/>
      <c r="L484" s="23"/>
      <c r="M484" s="8"/>
      <c r="N484" s="8"/>
      <c r="O484" s="8"/>
      <c r="P484" s="8"/>
      <c r="Q484" s="23"/>
      <c r="R484" s="136"/>
      <c r="S484" s="137"/>
      <c r="T484" s="128"/>
      <c r="U484" s="137"/>
      <c r="V484" s="128"/>
      <c r="W484" s="49"/>
      <c r="X484" s="128"/>
      <c r="Y484" s="49"/>
      <c r="Z484" s="128"/>
      <c r="AA484" s="49"/>
      <c r="AB484" s="128"/>
      <c r="AC484" s="49"/>
      <c r="AD484" s="133">
        <f t="shared" si="32"/>
        <v>0</v>
      </c>
      <c r="AE484" s="133">
        <f t="shared" si="33"/>
        <v>0</v>
      </c>
    </row>
    <row r="485" spans="1:31" s="69" customFormat="1" ht="38.25" hidden="1" outlineLevel="1" collapsed="1" x14ac:dyDescent="0.2">
      <c r="A485" s="25" t="str">
        <f>'Утв. ИП 2014-2019'!A487</f>
        <v>1.1.6.2.71/12</v>
      </c>
      <c r="B485" s="6" t="str">
        <f>'Утв. ИП 2014-2019'!B487</f>
        <v>3.2.82</v>
      </c>
      <c r="C485" s="7" t="str">
        <f>'Утв. ИП 2014-2019'!C487</f>
        <v>Монтаж узла учета в РУ-0,4 кВ ТП-203 для электроснабжения киоска К-5156 по адресу: г. Липецк, ул. Гагарина, в районе дома № 103/1</v>
      </c>
      <c r="D485" s="8" t="str">
        <f>'Утв. ИП 2014-2019'!K487</f>
        <v>0,0 км/ 0 МВА</v>
      </c>
      <c r="E485" s="8"/>
      <c r="F485" s="8"/>
      <c r="G485" s="8"/>
      <c r="H485" s="8"/>
      <c r="I485" s="8"/>
      <c r="J485" s="23" t="str">
        <f>'Утв. ИП 2014-2019'!Q487</f>
        <v>0,0 км/ 0 МВА</v>
      </c>
      <c r="K485" s="8"/>
      <c r="L485" s="23"/>
      <c r="M485" s="8"/>
      <c r="N485" s="8"/>
      <c r="O485" s="8"/>
      <c r="P485" s="8"/>
      <c r="Q485" s="23"/>
      <c r="R485" s="136"/>
      <c r="S485" s="137"/>
      <c r="T485" s="128"/>
      <c r="U485" s="137"/>
      <c r="V485" s="128"/>
      <c r="W485" s="49"/>
      <c r="X485" s="128"/>
      <c r="Y485" s="49"/>
      <c r="Z485" s="128"/>
      <c r="AA485" s="49"/>
      <c r="AB485" s="128"/>
      <c r="AC485" s="49"/>
      <c r="AD485" s="133">
        <f t="shared" si="32"/>
        <v>0</v>
      </c>
      <c r="AE485" s="133">
        <f t="shared" si="33"/>
        <v>0</v>
      </c>
    </row>
    <row r="486" spans="1:31" s="69" customFormat="1" ht="15.75" hidden="1" outlineLevel="2" x14ac:dyDescent="0.2">
      <c r="A486" s="25">
        <f>'Утв. ИП 2014-2019'!A488</f>
        <v>0</v>
      </c>
      <c r="B486" s="6">
        <f>'Утв. ИП 2014-2019'!B488</f>
        <v>0</v>
      </c>
      <c r="C486" s="7" t="str">
        <f>'Утв. ИП 2014-2019'!C488</f>
        <v>реконструкция</v>
      </c>
      <c r="D486" s="8"/>
      <c r="E486" s="8"/>
      <c r="F486" s="8"/>
      <c r="G486" s="8"/>
      <c r="H486" s="8"/>
      <c r="I486" s="8"/>
      <c r="J486" s="23"/>
      <c r="K486" s="23"/>
      <c r="L486" s="8"/>
      <c r="M486" s="8"/>
      <c r="N486" s="8"/>
      <c r="O486" s="8"/>
      <c r="P486" s="8"/>
      <c r="Q486" s="23"/>
      <c r="R486" s="136"/>
      <c r="S486" s="137"/>
      <c r="T486" s="128"/>
      <c r="U486" s="137"/>
      <c r="V486" s="128"/>
      <c r="W486" s="49"/>
      <c r="X486" s="128"/>
      <c r="Y486" s="49"/>
      <c r="Z486" s="128"/>
      <c r="AA486" s="49"/>
      <c r="AB486" s="128"/>
      <c r="AC486" s="49"/>
      <c r="AD486" s="133">
        <f t="shared" si="32"/>
        <v>0</v>
      </c>
      <c r="AE486" s="133">
        <f t="shared" si="33"/>
        <v>0</v>
      </c>
    </row>
    <row r="487" spans="1:31" s="69" customFormat="1" ht="15.75" hidden="1" outlineLevel="2" x14ac:dyDescent="0.2">
      <c r="A487" s="25">
        <f>'Утв. ИП 2014-2019'!A489</f>
        <v>0</v>
      </c>
      <c r="B487" s="6">
        <f>'Утв. ИП 2014-2019'!B489</f>
        <v>0</v>
      </c>
      <c r="C487" s="7" t="str">
        <f>'Утв. ИП 2014-2019'!C489</f>
        <v>строительство</v>
      </c>
      <c r="D487" s="8"/>
      <c r="E487" s="8"/>
      <c r="F487" s="8"/>
      <c r="G487" s="8"/>
      <c r="H487" s="8"/>
      <c r="I487" s="8"/>
      <c r="J487" s="23"/>
      <c r="K487" s="8"/>
      <c r="L487" s="23"/>
      <c r="M487" s="8"/>
      <c r="N487" s="8"/>
      <c r="O487" s="8"/>
      <c r="P487" s="8"/>
      <c r="Q487" s="23"/>
      <c r="R487" s="136"/>
      <c r="S487" s="137"/>
      <c r="T487" s="128"/>
      <c r="U487" s="137"/>
      <c r="V487" s="128"/>
      <c r="W487" s="49"/>
      <c r="X487" s="128"/>
      <c r="Y487" s="49"/>
      <c r="Z487" s="128"/>
      <c r="AA487" s="49"/>
      <c r="AB487" s="128"/>
      <c r="AC487" s="49"/>
      <c r="AD487" s="133">
        <f t="shared" si="32"/>
        <v>0</v>
      </c>
      <c r="AE487" s="133">
        <f t="shared" si="33"/>
        <v>0</v>
      </c>
    </row>
    <row r="488" spans="1:31" s="69" customFormat="1" ht="38.25" hidden="1" outlineLevel="1" collapsed="1" x14ac:dyDescent="0.2">
      <c r="A488" s="25" t="str">
        <f>'Утв. ИП 2014-2019'!A490</f>
        <v>1.1.6.2.72/12</v>
      </c>
      <c r="B488" s="6" t="str">
        <f>'Утв. ИП 2014-2019'!B490</f>
        <v>3.2.83</v>
      </c>
      <c r="C488" s="7" t="str">
        <f>'Утв. ИП 2014-2019'!C490</f>
        <v>Электроснабжение садового домика по адресу: г. Липецк, садоводческое некоммерческое товарищество пенсионеров и инвалидов "Речное", участок № 8, линия 5</v>
      </c>
      <c r="D488" s="8" t="str">
        <f>'Утв. ИП 2014-2019'!K490</f>
        <v>0,5 км/ 0,16 МВА</v>
      </c>
      <c r="E488" s="8"/>
      <c r="F488" s="8"/>
      <c r="G488" s="8"/>
      <c r="H488" s="8"/>
      <c r="I488" s="8"/>
      <c r="J488" s="23" t="str">
        <f>'Утв. ИП 2014-2019'!Q490</f>
        <v>0,5 км/ 0,16 МВА</v>
      </c>
      <c r="K488" s="8"/>
      <c r="L488" s="23"/>
      <c r="M488" s="8"/>
      <c r="N488" s="8"/>
      <c r="O488" s="8"/>
      <c r="P488" s="8"/>
      <c r="Q488" s="23"/>
      <c r="R488" s="136"/>
      <c r="S488" s="137"/>
      <c r="T488" s="128"/>
      <c r="U488" s="137"/>
      <c r="V488" s="128"/>
      <c r="W488" s="49"/>
      <c r="X488" s="128"/>
      <c r="Y488" s="49"/>
      <c r="Z488" s="128"/>
      <c r="AA488" s="49"/>
      <c r="AB488" s="128"/>
      <c r="AC488" s="49"/>
      <c r="AD488" s="133">
        <f t="shared" si="32"/>
        <v>0</v>
      </c>
      <c r="AE488" s="133">
        <f t="shared" si="33"/>
        <v>0</v>
      </c>
    </row>
    <row r="489" spans="1:31" s="69" customFormat="1" ht="15.75" hidden="1" outlineLevel="2" x14ac:dyDescent="0.2">
      <c r="A489" s="25">
        <f>'Утв. ИП 2014-2019'!A491</f>
        <v>0</v>
      </c>
      <c r="B489" s="6">
        <f>'Утв. ИП 2014-2019'!B491</f>
        <v>0</v>
      </c>
      <c r="C489" s="7" t="str">
        <f>'Утв. ИП 2014-2019'!C491</f>
        <v>реконструкция</v>
      </c>
      <c r="D489" s="8"/>
      <c r="E489" s="8"/>
      <c r="F489" s="8"/>
      <c r="G489" s="8"/>
      <c r="H489" s="8"/>
      <c r="I489" s="8"/>
      <c r="J489" s="23"/>
      <c r="K489" s="23"/>
      <c r="L489" s="8"/>
      <c r="M489" s="8"/>
      <c r="N489" s="8"/>
      <c r="O489" s="8"/>
      <c r="P489" s="8"/>
      <c r="Q489" s="23"/>
      <c r="R489" s="136"/>
      <c r="S489" s="137"/>
      <c r="T489" s="128"/>
      <c r="U489" s="137"/>
      <c r="V489" s="128"/>
      <c r="W489" s="49"/>
      <c r="X489" s="128"/>
      <c r="Y489" s="49"/>
      <c r="Z489" s="128"/>
      <c r="AA489" s="49"/>
      <c r="AB489" s="128"/>
      <c r="AC489" s="49"/>
      <c r="AD489" s="133">
        <f t="shared" si="32"/>
        <v>0</v>
      </c>
      <c r="AE489" s="133">
        <f t="shared" si="33"/>
        <v>0</v>
      </c>
    </row>
    <row r="490" spans="1:31" s="69" customFormat="1" ht="15.75" hidden="1" outlineLevel="2" x14ac:dyDescent="0.2">
      <c r="A490" s="25">
        <f>'Утв. ИП 2014-2019'!A492</f>
        <v>0</v>
      </c>
      <c r="B490" s="6">
        <f>'Утв. ИП 2014-2019'!B492</f>
        <v>0</v>
      </c>
      <c r="C490" s="7" t="str">
        <f>'Утв. ИП 2014-2019'!C492</f>
        <v>строительство</v>
      </c>
      <c r="D490" s="8"/>
      <c r="E490" s="8"/>
      <c r="F490" s="8"/>
      <c r="G490" s="8"/>
      <c r="H490" s="8"/>
      <c r="I490" s="8"/>
      <c r="J490" s="23"/>
      <c r="K490" s="23"/>
      <c r="L490" s="8"/>
      <c r="M490" s="8"/>
      <c r="N490" s="8"/>
      <c r="O490" s="8"/>
      <c r="P490" s="8"/>
      <c r="Q490" s="23"/>
      <c r="R490" s="136"/>
      <c r="S490" s="137"/>
      <c r="T490" s="128"/>
      <c r="U490" s="137"/>
      <c r="V490" s="128"/>
      <c r="W490" s="49"/>
      <c r="X490" s="128"/>
      <c r="Y490" s="49"/>
      <c r="Z490" s="128"/>
      <c r="AA490" s="49"/>
      <c r="AB490" s="128"/>
      <c r="AC490" s="49"/>
      <c r="AD490" s="133">
        <f t="shared" si="32"/>
        <v>0</v>
      </c>
      <c r="AE490" s="133">
        <f t="shared" si="33"/>
        <v>0</v>
      </c>
    </row>
    <row r="491" spans="1:31" s="69" customFormat="1" ht="38.25" hidden="1" outlineLevel="1" collapsed="1" x14ac:dyDescent="0.2">
      <c r="A491" s="25" t="str">
        <f>'Утв. ИП 2014-2019'!A493</f>
        <v>1.1.6.2.73/12</v>
      </c>
      <c r="B491" s="6" t="str">
        <f>'Утв. ИП 2014-2019'!B493</f>
        <v>3.2.84</v>
      </c>
      <c r="C491" s="7" t="str">
        <f>'Утв. ИП 2014-2019'!C493</f>
        <v>Электроснабжение автомойки по адресу: Липецкая область, Грязинский район, район п. Новая Жизнь (кадастровый № 48:02:094 01:74:44)</v>
      </c>
      <c r="D491" s="8"/>
      <c r="E491" s="8" t="str">
        <f>'Утв. ИП 2014-2019'!L493</f>
        <v>0,2 км/ 0 МВА</v>
      </c>
      <c r="F491" s="8"/>
      <c r="G491" s="8"/>
      <c r="H491" s="8"/>
      <c r="I491" s="8"/>
      <c r="J491" s="23" t="str">
        <f>'Утв. ИП 2014-2019'!Q493</f>
        <v>0,2 км/ 0 МВА</v>
      </c>
      <c r="K491" s="23"/>
      <c r="L491" s="8"/>
      <c r="M491" s="8"/>
      <c r="N491" s="8"/>
      <c r="O491" s="8"/>
      <c r="P491" s="8"/>
      <c r="Q491" s="23"/>
      <c r="R491" s="166"/>
      <c r="S491" s="167"/>
      <c r="T491" s="168"/>
      <c r="U491" s="167"/>
      <c r="V491" s="168"/>
      <c r="W491" s="169"/>
      <c r="X491" s="168"/>
      <c r="Y491" s="169"/>
      <c r="Z491" s="168"/>
      <c r="AA491" s="169"/>
      <c r="AB491" s="168"/>
      <c r="AC491" s="169"/>
      <c r="AD491" s="133">
        <f t="shared" si="32"/>
        <v>0</v>
      </c>
      <c r="AE491" s="133">
        <f t="shared" si="33"/>
        <v>0</v>
      </c>
    </row>
    <row r="492" spans="1:31" s="69" customFormat="1" ht="15.75" hidden="1" outlineLevel="2" x14ac:dyDescent="0.2">
      <c r="A492" s="25">
        <f>'Утв. ИП 2014-2019'!A494</f>
        <v>0</v>
      </c>
      <c r="B492" s="6">
        <f>'Утв. ИП 2014-2019'!B494</f>
        <v>0</v>
      </c>
      <c r="C492" s="7" t="str">
        <f>'Утв. ИП 2014-2019'!C494</f>
        <v>реконструкция</v>
      </c>
      <c r="D492" s="8"/>
      <c r="E492" s="8"/>
      <c r="F492" s="8"/>
      <c r="G492" s="8"/>
      <c r="H492" s="8"/>
      <c r="I492" s="8"/>
      <c r="J492" s="23"/>
      <c r="K492" s="23"/>
      <c r="L492" s="8"/>
      <c r="M492" s="8"/>
      <c r="N492" s="8"/>
      <c r="O492" s="8"/>
      <c r="P492" s="8"/>
      <c r="Q492" s="23"/>
      <c r="R492" s="166"/>
      <c r="S492" s="167"/>
      <c r="T492" s="168"/>
      <c r="U492" s="167"/>
      <c r="V492" s="168"/>
      <c r="W492" s="169"/>
      <c r="X492" s="168"/>
      <c r="Y492" s="169"/>
      <c r="Z492" s="168"/>
      <c r="AA492" s="169"/>
      <c r="AB492" s="168"/>
      <c r="AC492" s="169"/>
      <c r="AD492" s="133">
        <f t="shared" si="32"/>
        <v>0</v>
      </c>
      <c r="AE492" s="133">
        <f t="shared" si="33"/>
        <v>0</v>
      </c>
    </row>
    <row r="493" spans="1:31" s="69" customFormat="1" ht="15.75" hidden="1" outlineLevel="2" x14ac:dyDescent="0.2">
      <c r="A493" s="25">
        <f>'Утв. ИП 2014-2019'!A495</f>
        <v>0</v>
      </c>
      <c r="B493" s="6">
        <f>'Утв. ИП 2014-2019'!B495</f>
        <v>0</v>
      </c>
      <c r="C493" s="7" t="str">
        <f>'Утв. ИП 2014-2019'!C495</f>
        <v>строительство</v>
      </c>
      <c r="D493" s="8"/>
      <c r="E493" s="8"/>
      <c r="F493" s="8"/>
      <c r="G493" s="8"/>
      <c r="H493" s="8"/>
      <c r="I493" s="8"/>
      <c r="J493" s="23"/>
      <c r="K493" s="8"/>
      <c r="L493" s="23"/>
      <c r="M493" s="8"/>
      <c r="N493" s="8"/>
      <c r="O493" s="8"/>
      <c r="P493" s="8"/>
      <c r="Q493" s="23"/>
      <c r="R493" s="166"/>
      <c r="S493" s="167"/>
      <c r="T493" s="168"/>
      <c r="U493" s="167"/>
      <c r="V493" s="168"/>
      <c r="W493" s="169"/>
      <c r="X493" s="168"/>
      <c r="Y493" s="169"/>
      <c r="Z493" s="168"/>
      <c r="AA493" s="169"/>
      <c r="AB493" s="168"/>
      <c r="AC493" s="169"/>
      <c r="AD493" s="133">
        <f t="shared" si="32"/>
        <v>0</v>
      </c>
      <c r="AE493" s="133">
        <f t="shared" si="33"/>
        <v>0</v>
      </c>
    </row>
    <row r="494" spans="1:31" s="69" customFormat="1" ht="25.5" hidden="1" outlineLevel="1" collapsed="1" x14ac:dyDescent="0.2">
      <c r="A494" s="25" t="str">
        <f>'Утв. ИП 2014-2019'!A496</f>
        <v>1.1.6.2.74/12</v>
      </c>
      <c r="B494" s="6" t="str">
        <f>'Утв. ИП 2014-2019'!B496</f>
        <v>3.2.85</v>
      </c>
      <c r="C494" s="7" t="str">
        <f>'Утв. ИП 2014-2019'!C496</f>
        <v>Электроснабжение садового домика по адресу: г. Липецк, СНТ "Металлург-1", квартал 1, зем. уч. № 130</v>
      </c>
      <c r="D494" s="8" t="str">
        <f>'Утв. ИП 2014-2019'!K496</f>
        <v>0,1 км/ 0 МВА</v>
      </c>
      <c r="E494" s="8"/>
      <c r="F494" s="8"/>
      <c r="G494" s="8"/>
      <c r="H494" s="8"/>
      <c r="I494" s="8"/>
      <c r="J494" s="23" t="str">
        <f>'Утв. ИП 2014-2019'!Q496</f>
        <v>0,1 км/ 0 МВА</v>
      </c>
      <c r="K494" s="8"/>
      <c r="L494" s="23"/>
      <c r="M494" s="8"/>
      <c r="N494" s="8"/>
      <c r="O494" s="8"/>
      <c r="P494" s="8"/>
      <c r="Q494" s="23"/>
      <c r="R494" s="136"/>
      <c r="S494" s="137"/>
      <c r="T494" s="128"/>
      <c r="U494" s="137"/>
      <c r="V494" s="128"/>
      <c r="W494" s="49"/>
      <c r="X494" s="128"/>
      <c r="Y494" s="49"/>
      <c r="Z494" s="128"/>
      <c r="AA494" s="49"/>
      <c r="AB494" s="128"/>
      <c r="AC494" s="49"/>
      <c r="AD494" s="133">
        <f t="shared" si="32"/>
        <v>0</v>
      </c>
      <c r="AE494" s="133">
        <f t="shared" si="33"/>
        <v>0</v>
      </c>
    </row>
    <row r="495" spans="1:31" s="69" customFormat="1" ht="15.75" hidden="1" outlineLevel="2" x14ac:dyDescent="0.2">
      <c r="A495" s="25">
        <f>'Утв. ИП 2014-2019'!A497</f>
        <v>0</v>
      </c>
      <c r="B495" s="6">
        <f>'Утв. ИП 2014-2019'!B497</f>
        <v>0</v>
      </c>
      <c r="C495" s="7" t="str">
        <f>'Утв. ИП 2014-2019'!C497</f>
        <v>реконструкция</v>
      </c>
      <c r="D495" s="8"/>
      <c r="E495" s="8"/>
      <c r="F495" s="8"/>
      <c r="G495" s="8"/>
      <c r="H495" s="8"/>
      <c r="I495" s="8"/>
      <c r="J495" s="23"/>
      <c r="K495" s="8"/>
      <c r="L495" s="23"/>
      <c r="M495" s="8"/>
      <c r="N495" s="8"/>
      <c r="O495" s="8"/>
      <c r="P495" s="8"/>
      <c r="Q495" s="23"/>
      <c r="R495" s="136"/>
      <c r="S495" s="137"/>
      <c r="T495" s="128"/>
      <c r="U495" s="137"/>
      <c r="V495" s="128"/>
      <c r="W495" s="49"/>
      <c r="X495" s="128"/>
      <c r="Y495" s="49"/>
      <c r="Z495" s="128"/>
      <c r="AA495" s="49"/>
      <c r="AB495" s="128"/>
      <c r="AC495" s="49"/>
      <c r="AD495" s="133">
        <f t="shared" si="32"/>
        <v>0</v>
      </c>
      <c r="AE495" s="133">
        <f t="shared" si="33"/>
        <v>0</v>
      </c>
    </row>
    <row r="496" spans="1:31" s="69" customFormat="1" ht="15.75" hidden="1" outlineLevel="2" x14ac:dyDescent="0.2">
      <c r="A496" s="25">
        <f>'Утв. ИП 2014-2019'!A498</f>
        <v>0</v>
      </c>
      <c r="B496" s="6">
        <f>'Утв. ИП 2014-2019'!B498</f>
        <v>0</v>
      </c>
      <c r="C496" s="7" t="str">
        <f>'Утв. ИП 2014-2019'!C498</f>
        <v>строительство</v>
      </c>
      <c r="D496" s="8"/>
      <c r="E496" s="8"/>
      <c r="F496" s="8"/>
      <c r="G496" s="8"/>
      <c r="H496" s="8"/>
      <c r="I496" s="8"/>
      <c r="J496" s="23"/>
      <c r="K496" s="8"/>
      <c r="L496" s="23"/>
      <c r="M496" s="8"/>
      <c r="N496" s="8"/>
      <c r="O496" s="8"/>
      <c r="P496" s="8"/>
      <c r="Q496" s="23"/>
      <c r="R496" s="136"/>
      <c r="S496" s="137"/>
      <c r="T496" s="128"/>
      <c r="U496" s="137"/>
      <c r="V496" s="128"/>
      <c r="W496" s="49"/>
      <c r="X496" s="128"/>
      <c r="Y496" s="49"/>
      <c r="Z496" s="128"/>
      <c r="AA496" s="49"/>
      <c r="AB496" s="128"/>
      <c r="AC496" s="49"/>
      <c r="AD496" s="133">
        <f t="shared" si="32"/>
        <v>0</v>
      </c>
      <c r="AE496" s="133">
        <f t="shared" si="33"/>
        <v>0</v>
      </c>
    </row>
    <row r="497" spans="1:31" s="69" customFormat="1" ht="51" hidden="1" outlineLevel="1" collapsed="1" x14ac:dyDescent="0.2">
      <c r="A497" s="25" t="str">
        <f>'Утв. ИП 2014-2019'!A499</f>
        <v>1.1.6.2.75/12</v>
      </c>
      <c r="B497" s="6" t="str">
        <f>'Утв. ИП 2014-2019'!B499</f>
        <v>3.2.86</v>
      </c>
      <c r="C497" s="7" t="str">
        <f>'Утв. ИП 2014-2019'!C499</f>
        <v>Реконструкция ВЛ-0,4 кВ, смонтированной по п. 1.1.6.2.22/11 программы перспективного развития, от новой КТП до жилого дома по адресу: г. Липецк, с. Сселки, ул. Провинциальная, д. № 57</v>
      </c>
      <c r="D497" s="8"/>
      <c r="E497" s="8" t="str">
        <f>'Утв. ИП 2014-2019'!L499</f>
        <v>0,05 км/ 0 МВА</v>
      </c>
      <c r="F497" s="8"/>
      <c r="G497" s="8"/>
      <c r="H497" s="8"/>
      <c r="I497" s="8"/>
      <c r="J497" s="23" t="str">
        <f>'Утв. ИП 2014-2019'!Q499</f>
        <v>0,05 км/ 0 МВА</v>
      </c>
      <c r="K497" s="23"/>
      <c r="L497" s="23" t="s">
        <v>1420</v>
      </c>
      <c r="M497" s="8"/>
      <c r="N497" s="8"/>
      <c r="O497" s="8"/>
      <c r="P497" s="8"/>
      <c r="Q497" s="23" t="s">
        <v>1420</v>
      </c>
      <c r="R497" s="136"/>
      <c r="S497" s="137"/>
      <c r="T497" s="128">
        <v>0.05</v>
      </c>
      <c r="U497" s="137"/>
      <c r="V497" s="128"/>
      <c r="W497" s="49"/>
      <c r="X497" s="128"/>
      <c r="Y497" s="49"/>
      <c r="Z497" s="128"/>
      <c r="AA497" s="49"/>
      <c r="AB497" s="128"/>
      <c r="AC497" s="49"/>
      <c r="AD497" s="133">
        <f t="shared" si="32"/>
        <v>0.05</v>
      </c>
      <c r="AE497" s="133">
        <f t="shared" si="33"/>
        <v>0</v>
      </c>
    </row>
    <row r="498" spans="1:31" s="69" customFormat="1" ht="15.75" hidden="1" outlineLevel="2" x14ac:dyDescent="0.2">
      <c r="A498" s="25">
        <f>'Утв. ИП 2014-2019'!A500</f>
        <v>0</v>
      </c>
      <c r="B498" s="6">
        <f>'Утв. ИП 2014-2019'!B500</f>
        <v>0</v>
      </c>
      <c r="C498" s="7" t="str">
        <f>'Утв. ИП 2014-2019'!C500</f>
        <v>реконструкция</v>
      </c>
      <c r="D498" s="8"/>
      <c r="E498" s="8"/>
      <c r="F498" s="8"/>
      <c r="G498" s="8"/>
      <c r="H498" s="8"/>
      <c r="I498" s="8"/>
      <c r="J498" s="23"/>
      <c r="K498" s="8"/>
      <c r="L498" s="8"/>
      <c r="M498" s="8"/>
      <c r="N498" s="8"/>
      <c r="O498" s="8"/>
      <c r="P498" s="8"/>
      <c r="Q498" s="8"/>
      <c r="R498" s="136"/>
      <c r="S498" s="137"/>
      <c r="T498" s="128"/>
      <c r="U498" s="137"/>
      <c r="V498" s="128"/>
      <c r="W498" s="49"/>
      <c r="X498" s="128"/>
      <c r="Y498" s="49"/>
      <c r="Z498" s="128"/>
      <c r="AA498" s="49"/>
      <c r="AB498" s="128"/>
      <c r="AC498" s="49"/>
      <c r="AD498" s="133">
        <f t="shared" si="32"/>
        <v>0</v>
      </c>
      <c r="AE498" s="133">
        <f t="shared" si="33"/>
        <v>0</v>
      </c>
    </row>
    <row r="499" spans="1:31" s="69" customFormat="1" ht="15.75" hidden="1" outlineLevel="2" x14ac:dyDescent="0.2">
      <c r="A499" s="25">
        <f>'Утв. ИП 2014-2019'!A501</f>
        <v>0</v>
      </c>
      <c r="B499" s="6">
        <f>'Утв. ИП 2014-2019'!B501</f>
        <v>0</v>
      </c>
      <c r="C499" s="7" t="str">
        <f>'Утв. ИП 2014-2019'!C501</f>
        <v>строительство</v>
      </c>
      <c r="D499" s="8"/>
      <c r="E499" s="8"/>
      <c r="F499" s="8"/>
      <c r="G499" s="8"/>
      <c r="H499" s="8"/>
      <c r="I499" s="8"/>
      <c r="J499" s="23"/>
      <c r="K499" s="23"/>
      <c r="L499" s="12"/>
      <c r="M499" s="8"/>
      <c r="N499" s="8"/>
      <c r="O499" s="8"/>
      <c r="P499" s="8"/>
      <c r="Q499" s="23"/>
      <c r="R499" s="136"/>
      <c r="S499" s="137"/>
      <c r="T499" s="128"/>
      <c r="U499" s="137"/>
      <c r="V499" s="128"/>
      <c r="W499" s="49"/>
      <c r="X499" s="128"/>
      <c r="Y499" s="49"/>
      <c r="Z499" s="128"/>
      <c r="AA499" s="49"/>
      <c r="AB499" s="128"/>
      <c r="AC499" s="49"/>
      <c r="AD499" s="133">
        <f t="shared" si="32"/>
        <v>0</v>
      </c>
      <c r="AE499" s="133">
        <f t="shared" si="33"/>
        <v>0</v>
      </c>
    </row>
    <row r="500" spans="1:31" s="69" customFormat="1" ht="51" hidden="1" outlineLevel="1" collapsed="1" x14ac:dyDescent="0.2">
      <c r="A500" s="25" t="str">
        <f>'Утв. ИП 2014-2019'!A502</f>
        <v>1.1.6.2.76/12</v>
      </c>
      <c r="B500" s="6" t="str">
        <f>'Утв. ИП 2014-2019'!B502</f>
        <v>3.2.87</v>
      </c>
      <c r="C500" s="7" t="str">
        <f>'Утв. ИП 2014-2019'!C502</f>
        <v>Реконструкция ВЛ-0,4 кВ, смонтированной по п. 1.1.6.3.13/10 программы перспективного развития, от КТП-412 для электроснабжения садового домика по адресу: г. Липецк, СТ "Строитель", земельный участок № 1933</v>
      </c>
      <c r="D500" s="8"/>
      <c r="E500" s="8" t="str">
        <f>'Утв. ИП 2014-2019'!L502</f>
        <v>0,05 км/ 0 МВА</v>
      </c>
      <c r="F500" s="8"/>
      <c r="G500" s="8"/>
      <c r="H500" s="8"/>
      <c r="I500" s="8"/>
      <c r="J500" s="23" t="str">
        <f>'Утв. ИП 2014-2019'!Q502</f>
        <v>0,05 км/ 0 МВА</v>
      </c>
      <c r="K500" s="23"/>
      <c r="L500" s="23" t="s">
        <v>942</v>
      </c>
      <c r="M500" s="8"/>
      <c r="N500" s="8"/>
      <c r="O500" s="8"/>
      <c r="P500" s="8"/>
      <c r="Q500" s="23" t="s">
        <v>942</v>
      </c>
      <c r="R500" s="136"/>
      <c r="S500" s="137"/>
      <c r="T500" s="128">
        <v>0.05</v>
      </c>
      <c r="U500" s="137"/>
      <c r="V500" s="128"/>
      <c r="W500" s="49"/>
      <c r="X500" s="128"/>
      <c r="Y500" s="49"/>
      <c r="Z500" s="128"/>
      <c r="AA500" s="49"/>
      <c r="AB500" s="128"/>
      <c r="AC500" s="49"/>
      <c r="AD500" s="133">
        <f t="shared" si="32"/>
        <v>0.05</v>
      </c>
      <c r="AE500" s="133">
        <f t="shared" si="33"/>
        <v>0</v>
      </c>
    </row>
    <row r="501" spans="1:31" s="69" customFormat="1" ht="15.75" hidden="1" outlineLevel="2" x14ac:dyDescent="0.2">
      <c r="A501" s="25">
        <f>'Утв. ИП 2014-2019'!A503</f>
        <v>0</v>
      </c>
      <c r="B501" s="6">
        <f>'Утв. ИП 2014-2019'!B503</f>
        <v>0</v>
      </c>
      <c r="C501" s="7" t="str">
        <f>'Утв. ИП 2014-2019'!C503</f>
        <v>реконструкция</v>
      </c>
      <c r="D501" s="8"/>
      <c r="E501" s="8"/>
      <c r="F501" s="8"/>
      <c r="G501" s="8"/>
      <c r="H501" s="8"/>
      <c r="I501" s="8"/>
      <c r="J501" s="23"/>
      <c r="K501" s="8"/>
      <c r="L501" s="8"/>
      <c r="M501" s="8"/>
      <c r="N501" s="8"/>
      <c r="O501" s="8"/>
      <c r="P501" s="8"/>
      <c r="Q501" s="8"/>
      <c r="R501" s="136"/>
      <c r="S501" s="137"/>
      <c r="T501" s="128"/>
      <c r="U501" s="137"/>
      <c r="V501" s="128"/>
      <c r="W501" s="49"/>
      <c r="X501" s="128"/>
      <c r="Y501" s="49"/>
      <c r="Z501" s="128"/>
      <c r="AA501" s="49"/>
      <c r="AB501" s="128"/>
      <c r="AC501" s="49"/>
      <c r="AD501" s="133">
        <f t="shared" si="32"/>
        <v>0</v>
      </c>
      <c r="AE501" s="133">
        <f t="shared" si="33"/>
        <v>0</v>
      </c>
    </row>
    <row r="502" spans="1:31" s="69" customFormat="1" ht="15.75" hidden="1" outlineLevel="2" x14ac:dyDescent="0.2">
      <c r="A502" s="25">
        <f>'Утв. ИП 2014-2019'!A504</f>
        <v>0</v>
      </c>
      <c r="B502" s="6">
        <f>'Утв. ИП 2014-2019'!B504</f>
        <v>0</v>
      </c>
      <c r="C502" s="7" t="str">
        <f>'Утв. ИП 2014-2019'!C504</f>
        <v>строительство</v>
      </c>
      <c r="D502" s="8"/>
      <c r="E502" s="8"/>
      <c r="F502" s="8"/>
      <c r="G502" s="8"/>
      <c r="H502" s="8"/>
      <c r="I502" s="8"/>
      <c r="J502" s="23"/>
      <c r="K502" s="23"/>
      <c r="L502" s="8"/>
      <c r="M502" s="8"/>
      <c r="N502" s="8"/>
      <c r="O502" s="8"/>
      <c r="P502" s="8"/>
      <c r="Q502" s="23"/>
      <c r="R502" s="136"/>
      <c r="S502" s="137"/>
      <c r="T502" s="128"/>
      <c r="U502" s="137"/>
      <c r="V502" s="128"/>
      <c r="W502" s="49"/>
      <c r="X502" s="128"/>
      <c r="Y502" s="49"/>
      <c r="Z502" s="128"/>
      <c r="AA502" s="49"/>
      <c r="AB502" s="128"/>
      <c r="AC502" s="49"/>
      <c r="AD502" s="133">
        <f t="shared" si="32"/>
        <v>0</v>
      </c>
      <c r="AE502" s="133">
        <f t="shared" si="33"/>
        <v>0</v>
      </c>
    </row>
    <row r="503" spans="1:31" s="69" customFormat="1" ht="51" hidden="1" outlineLevel="1" collapsed="1" x14ac:dyDescent="0.2">
      <c r="A503" s="25" t="str">
        <f>'Утв. ИП 2014-2019'!A505</f>
        <v>1.1.6.2.78/12</v>
      </c>
      <c r="B503" s="6" t="str">
        <f>'Утв. ИП 2014-2019'!B505</f>
        <v>3.2.88</v>
      </c>
      <c r="C503" s="7" t="str">
        <f>'Утв. ИП 2014-2019'!C505</f>
        <v>Строительство КЛ-0,4 кВ от ТП-590 до владения 3 по ул. Имени Рихарда Зорге в пос. Дачный для электроснабжения объекта: "Водоснабжение поселков Новая Жизнь, Матырский, Дачный, ст. Казинка, в/ч 11700"</v>
      </c>
      <c r="D503" s="8" t="str">
        <f>'Утв. ИП 2014-2019'!K505</f>
        <v>0,05 км/ 0 МВА</v>
      </c>
      <c r="E503" s="8"/>
      <c r="F503" s="8"/>
      <c r="G503" s="8"/>
      <c r="H503" s="8"/>
      <c r="I503" s="8"/>
      <c r="J503" s="23" t="str">
        <f>'Утв. ИП 2014-2019'!Q505</f>
        <v>0,05 км/ 0 МВА</v>
      </c>
      <c r="K503" s="23"/>
      <c r="L503" s="8"/>
      <c r="M503" s="8"/>
      <c r="N503" s="8"/>
      <c r="O503" s="8"/>
      <c r="P503" s="8"/>
      <c r="Q503" s="23"/>
      <c r="R503" s="136"/>
      <c r="S503" s="137"/>
      <c r="T503" s="128"/>
      <c r="U503" s="137"/>
      <c r="V503" s="128"/>
      <c r="W503" s="49"/>
      <c r="X503" s="128"/>
      <c r="Y503" s="49"/>
      <c r="Z503" s="128"/>
      <c r="AA503" s="49"/>
      <c r="AB503" s="128"/>
      <c r="AC503" s="49"/>
      <c r="AD503" s="133">
        <f t="shared" si="32"/>
        <v>0</v>
      </c>
      <c r="AE503" s="133">
        <f t="shared" si="33"/>
        <v>0</v>
      </c>
    </row>
    <row r="504" spans="1:31" s="69" customFormat="1" ht="15.75" hidden="1" outlineLevel="2" x14ac:dyDescent="0.2">
      <c r="A504" s="25">
        <f>'Утв. ИП 2014-2019'!A506</f>
        <v>0</v>
      </c>
      <c r="B504" s="6">
        <f>'Утв. ИП 2014-2019'!B506</f>
        <v>0</v>
      </c>
      <c r="C504" s="7" t="str">
        <f>'Утв. ИП 2014-2019'!C506</f>
        <v>реконструкция</v>
      </c>
      <c r="D504" s="8"/>
      <c r="E504" s="8"/>
      <c r="F504" s="8"/>
      <c r="G504" s="8"/>
      <c r="H504" s="8"/>
      <c r="I504" s="8"/>
      <c r="J504" s="23"/>
      <c r="K504" s="23"/>
      <c r="L504" s="8"/>
      <c r="M504" s="8"/>
      <c r="N504" s="8"/>
      <c r="O504" s="8"/>
      <c r="P504" s="8"/>
      <c r="Q504" s="23"/>
      <c r="R504" s="136"/>
      <c r="S504" s="137"/>
      <c r="T504" s="128"/>
      <c r="U504" s="137"/>
      <c r="V504" s="128"/>
      <c r="W504" s="49"/>
      <c r="X504" s="128"/>
      <c r="Y504" s="49"/>
      <c r="Z504" s="128"/>
      <c r="AA504" s="49"/>
      <c r="AB504" s="128"/>
      <c r="AC504" s="49"/>
      <c r="AD504" s="133">
        <f t="shared" si="32"/>
        <v>0</v>
      </c>
      <c r="AE504" s="133">
        <f t="shared" si="33"/>
        <v>0</v>
      </c>
    </row>
    <row r="505" spans="1:31" s="69" customFormat="1" ht="15.75" hidden="1" outlineLevel="2" x14ac:dyDescent="0.2">
      <c r="A505" s="25">
        <f>'Утв. ИП 2014-2019'!A507</f>
        <v>0</v>
      </c>
      <c r="B505" s="6">
        <f>'Утв. ИП 2014-2019'!B507</f>
        <v>0</v>
      </c>
      <c r="C505" s="7" t="str">
        <f>'Утв. ИП 2014-2019'!C507</f>
        <v>строительство</v>
      </c>
      <c r="D505" s="8"/>
      <c r="E505" s="8"/>
      <c r="F505" s="8"/>
      <c r="G505" s="8"/>
      <c r="H505" s="8"/>
      <c r="I505" s="8"/>
      <c r="J505" s="23"/>
      <c r="K505" s="23"/>
      <c r="L505" s="8"/>
      <c r="M505" s="8"/>
      <c r="N505" s="8"/>
      <c r="O505" s="8"/>
      <c r="P505" s="8"/>
      <c r="Q505" s="23"/>
      <c r="R505" s="136"/>
      <c r="S505" s="137"/>
      <c r="T505" s="128"/>
      <c r="U505" s="137"/>
      <c r="V505" s="128"/>
      <c r="W505" s="49"/>
      <c r="X505" s="128"/>
      <c r="Y505" s="49"/>
      <c r="Z505" s="128"/>
      <c r="AA505" s="49"/>
      <c r="AB505" s="128"/>
      <c r="AC505" s="49"/>
      <c r="AD505" s="133">
        <f t="shared" si="32"/>
        <v>0</v>
      </c>
      <c r="AE505" s="133">
        <f t="shared" si="33"/>
        <v>0</v>
      </c>
    </row>
    <row r="506" spans="1:31" s="69" customFormat="1" ht="25.5" hidden="1" outlineLevel="1" collapsed="1" x14ac:dyDescent="0.2">
      <c r="A506" s="25" t="str">
        <f>'Утв. ИП 2014-2019'!A508</f>
        <v>1.1.6.2.80/12</v>
      </c>
      <c r="B506" s="6" t="str">
        <f>'Утв. ИП 2014-2019'!B508</f>
        <v>3.2.89</v>
      </c>
      <c r="C506" s="7" t="str">
        <f>'Утв. ИП 2014-2019'!C508</f>
        <v>Электроснабжение 43/100 долей жилого дома по адресу: г. Липецк, ул. Краснодонская, д. 15.</v>
      </c>
      <c r="D506" s="8"/>
      <c r="E506" s="8" t="str">
        <f>'Утв. ИП 2014-2019'!L508</f>
        <v>0,5 км/ 0,4 МВА</v>
      </c>
      <c r="F506" s="8"/>
      <c r="G506" s="8"/>
      <c r="H506" s="8"/>
      <c r="I506" s="8"/>
      <c r="J506" s="23" t="str">
        <f>'Утв. ИП 2014-2019'!Q508</f>
        <v>0,5 км/ 0,4 МВА</v>
      </c>
      <c r="K506" s="23"/>
      <c r="L506" s="8"/>
      <c r="M506" s="8"/>
      <c r="N506" s="8"/>
      <c r="O506" s="8"/>
      <c r="P506" s="8"/>
      <c r="Q506" s="23"/>
      <c r="R506" s="166"/>
      <c r="S506" s="167"/>
      <c r="T506" s="168"/>
      <c r="U506" s="167"/>
      <c r="V506" s="168"/>
      <c r="W506" s="169"/>
      <c r="X506" s="168"/>
      <c r="Y506" s="169"/>
      <c r="Z506" s="168"/>
      <c r="AA506" s="169"/>
      <c r="AB506" s="168"/>
      <c r="AC506" s="169"/>
      <c r="AD506" s="133">
        <f t="shared" si="32"/>
        <v>0</v>
      </c>
      <c r="AE506" s="133">
        <f t="shared" si="33"/>
        <v>0</v>
      </c>
    </row>
    <row r="507" spans="1:31" s="69" customFormat="1" ht="15.75" hidden="1" outlineLevel="2" x14ac:dyDescent="0.2">
      <c r="A507" s="25">
        <f>'Утв. ИП 2014-2019'!A509</f>
        <v>0</v>
      </c>
      <c r="B507" s="6">
        <f>'Утв. ИП 2014-2019'!B509</f>
        <v>0</v>
      </c>
      <c r="C507" s="7" t="str">
        <f>'Утв. ИП 2014-2019'!C509</f>
        <v>реконструкция</v>
      </c>
      <c r="D507" s="8"/>
      <c r="E507" s="8"/>
      <c r="F507" s="8"/>
      <c r="G507" s="8"/>
      <c r="H507" s="8"/>
      <c r="I507" s="8"/>
      <c r="J507" s="23"/>
      <c r="K507" s="23"/>
      <c r="L507" s="8"/>
      <c r="M507" s="8"/>
      <c r="N507" s="8"/>
      <c r="O507" s="8"/>
      <c r="P507" s="8"/>
      <c r="Q507" s="23"/>
      <c r="R507" s="166"/>
      <c r="S507" s="167"/>
      <c r="T507" s="168"/>
      <c r="U507" s="167"/>
      <c r="V507" s="168"/>
      <c r="W507" s="169"/>
      <c r="X507" s="168"/>
      <c r="Y507" s="169"/>
      <c r="Z507" s="168"/>
      <c r="AA507" s="169"/>
      <c r="AB507" s="168"/>
      <c r="AC507" s="169"/>
      <c r="AD507" s="133">
        <f t="shared" si="32"/>
        <v>0</v>
      </c>
      <c r="AE507" s="133">
        <f t="shared" si="33"/>
        <v>0</v>
      </c>
    </row>
    <row r="508" spans="1:31" s="69" customFormat="1" ht="15.75" hidden="1" outlineLevel="2" x14ac:dyDescent="0.2">
      <c r="A508" s="25">
        <f>'Утв. ИП 2014-2019'!A510</f>
        <v>0</v>
      </c>
      <c r="B508" s="6">
        <f>'Утв. ИП 2014-2019'!B510</f>
        <v>0</v>
      </c>
      <c r="C508" s="7" t="str">
        <f>'Утв. ИП 2014-2019'!C510</f>
        <v>строительство</v>
      </c>
      <c r="D508" s="8"/>
      <c r="E508" s="8"/>
      <c r="F508" s="8"/>
      <c r="G508" s="8"/>
      <c r="H508" s="8"/>
      <c r="I508" s="8"/>
      <c r="J508" s="23"/>
      <c r="K508" s="8"/>
      <c r="L508" s="8"/>
      <c r="M508" s="8"/>
      <c r="N508" s="8"/>
      <c r="O508" s="8"/>
      <c r="P508" s="8"/>
      <c r="Q508" s="8"/>
      <c r="R508" s="166"/>
      <c r="S508" s="167"/>
      <c r="T508" s="168"/>
      <c r="U508" s="167"/>
      <c r="V508" s="168"/>
      <c r="W508" s="169"/>
      <c r="X508" s="168"/>
      <c r="Y508" s="169"/>
      <c r="Z508" s="168"/>
      <c r="AA508" s="169"/>
      <c r="AB508" s="168"/>
      <c r="AC508" s="169"/>
      <c r="AD508" s="133">
        <f t="shared" si="32"/>
        <v>0</v>
      </c>
      <c r="AE508" s="133">
        <f t="shared" si="33"/>
        <v>0</v>
      </c>
    </row>
    <row r="509" spans="1:31" s="69" customFormat="1" ht="51" hidden="1" outlineLevel="1" collapsed="1" x14ac:dyDescent="0.2">
      <c r="A509" s="25" t="str">
        <f>'Утв. ИП 2014-2019'!A511</f>
        <v>1.1.6.2.81/12</v>
      </c>
      <c r="B509" s="6" t="str">
        <f>'Утв. ИП 2014-2019'!B511</f>
        <v>3.2.90</v>
      </c>
      <c r="C509" s="7" t="str">
        <f>'Утв. ИП 2014-2019'!C511</f>
        <v>Реконструкция ВЛ-0,4 кВ, смонтированной по п. 4.1.26/09 программы перспективного развития, от КТП-642 для электроснабжения садового домика по адресу: г. Липецк, СНТ "Горняк", земельный участок № 67</v>
      </c>
      <c r="D509" s="8" t="str">
        <f>'Утв. ИП 2014-2019'!K511</f>
        <v>0,03 км/ 0 МВА</v>
      </c>
      <c r="E509" s="8"/>
      <c r="F509" s="8"/>
      <c r="G509" s="8"/>
      <c r="H509" s="8"/>
      <c r="I509" s="8"/>
      <c r="J509" s="23" t="str">
        <f>'Утв. ИП 2014-2019'!Q511</f>
        <v>0,03 км/ 0 МВА</v>
      </c>
      <c r="K509" s="23" t="s">
        <v>1421</v>
      </c>
      <c r="L509" s="8"/>
      <c r="M509" s="8"/>
      <c r="N509" s="8"/>
      <c r="O509" s="8"/>
      <c r="P509" s="8"/>
      <c r="Q509" s="23" t="s">
        <v>1421</v>
      </c>
      <c r="R509" s="136">
        <v>0.03</v>
      </c>
      <c r="S509" s="137"/>
      <c r="T509" s="128"/>
      <c r="U509" s="137"/>
      <c r="V509" s="128"/>
      <c r="W509" s="49"/>
      <c r="X509" s="128"/>
      <c r="Y509" s="49"/>
      <c r="Z509" s="128"/>
      <c r="AA509" s="49"/>
      <c r="AB509" s="128"/>
      <c r="AC509" s="49"/>
      <c r="AD509" s="133">
        <f t="shared" si="32"/>
        <v>0.03</v>
      </c>
      <c r="AE509" s="133">
        <f t="shared" si="33"/>
        <v>0</v>
      </c>
    </row>
    <row r="510" spans="1:31" s="69" customFormat="1" ht="15.75" hidden="1" outlineLevel="2" x14ac:dyDescent="0.2">
      <c r="A510" s="25">
        <f>'Утв. ИП 2014-2019'!A512</f>
        <v>0</v>
      </c>
      <c r="B510" s="6">
        <f>'Утв. ИП 2014-2019'!B512</f>
        <v>0</v>
      </c>
      <c r="C510" s="7" t="str">
        <f>'Утв. ИП 2014-2019'!C512</f>
        <v>реконструкция</v>
      </c>
      <c r="D510" s="8"/>
      <c r="E510" s="8"/>
      <c r="F510" s="8"/>
      <c r="G510" s="8"/>
      <c r="H510" s="8"/>
      <c r="I510" s="8"/>
      <c r="J510" s="23"/>
      <c r="K510" s="23"/>
      <c r="L510" s="8"/>
      <c r="M510" s="8"/>
      <c r="N510" s="8"/>
      <c r="O510" s="8"/>
      <c r="P510" s="8"/>
      <c r="Q510" s="23"/>
      <c r="R510" s="136"/>
      <c r="S510" s="137"/>
      <c r="T510" s="128"/>
      <c r="U510" s="137"/>
      <c r="V510" s="128"/>
      <c r="W510" s="49"/>
      <c r="X510" s="128"/>
      <c r="Y510" s="49"/>
      <c r="Z510" s="128"/>
      <c r="AA510" s="49"/>
      <c r="AB510" s="128"/>
      <c r="AC510" s="49"/>
      <c r="AD510" s="133">
        <f t="shared" si="32"/>
        <v>0</v>
      </c>
      <c r="AE510" s="133">
        <f t="shared" si="33"/>
        <v>0</v>
      </c>
    </row>
    <row r="511" spans="1:31" s="69" customFormat="1" ht="15.75" hidden="1" outlineLevel="2" x14ac:dyDescent="0.2">
      <c r="A511" s="25">
        <f>'Утв. ИП 2014-2019'!A513</f>
        <v>0</v>
      </c>
      <c r="B511" s="6">
        <f>'Утв. ИП 2014-2019'!B513</f>
        <v>0</v>
      </c>
      <c r="C511" s="7" t="str">
        <f>'Утв. ИП 2014-2019'!C513</f>
        <v>строительство</v>
      </c>
      <c r="D511" s="8"/>
      <c r="E511" s="8"/>
      <c r="F511" s="8"/>
      <c r="G511" s="8"/>
      <c r="H511" s="8"/>
      <c r="I511" s="8"/>
      <c r="J511" s="23"/>
      <c r="K511" s="23"/>
      <c r="L511" s="8"/>
      <c r="M511" s="8"/>
      <c r="N511" s="8"/>
      <c r="O511" s="8"/>
      <c r="P511" s="8"/>
      <c r="Q511" s="23"/>
      <c r="R511" s="136"/>
      <c r="S511" s="137"/>
      <c r="T511" s="128"/>
      <c r="U511" s="137"/>
      <c r="V511" s="128"/>
      <c r="W511" s="49"/>
      <c r="X511" s="128"/>
      <c r="Y511" s="49"/>
      <c r="Z511" s="128"/>
      <c r="AA511" s="49"/>
      <c r="AB511" s="128"/>
      <c r="AC511" s="49"/>
      <c r="AD511" s="133">
        <f t="shared" si="32"/>
        <v>0</v>
      </c>
      <c r="AE511" s="133">
        <f t="shared" si="33"/>
        <v>0</v>
      </c>
    </row>
    <row r="512" spans="1:31" s="69" customFormat="1" ht="38.25" hidden="1" outlineLevel="1" collapsed="1" x14ac:dyDescent="0.2">
      <c r="A512" s="25" t="str">
        <f>'Утв. ИП 2014-2019'!A514</f>
        <v>1.1.6.2.82/12</v>
      </c>
      <c r="B512" s="6" t="str">
        <f>'Утв. ИП 2014-2019'!B514</f>
        <v>3.2.91</v>
      </c>
      <c r="C512" s="7" t="str">
        <f>'Утв. ИП 2014-2019'!C514</f>
        <v>Строительство ВЛ-0,4 кВ от новой МТП до садового домика по адресу: г. Липецк, СТ "Сокол-1", линия № 4, земельный участок № 564</v>
      </c>
      <c r="D512" s="8"/>
      <c r="E512" s="8" t="str">
        <f>'Утв. ИП 2014-2019'!L514</f>
        <v>0,05 км/ 0 МВА</v>
      </c>
      <c r="F512" s="8"/>
      <c r="G512" s="8"/>
      <c r="H512" s="8"/>
      <c r="I512" s="8"/>
      <c r="J512" s="23" t="str">
        <f>'Утв. ИП 2014-2019'!Q514</f>
        <v>0,05 км/ 0 МВА</v>
      </c>
      <c r="K512" s="23"/>
      <c r="L512" s="8"/>
      <c r="M512" s="8"/>
      <c r="N512" s="8"/>
      <c r="O512" s="8"/>
      <c r="P512" s="8"/>
      <c r="Q512" s="23"/>
      <c r="R512" s="136"/>
      <c r="S512" s="137"/>
      <c r="T512" s="128"/>
      <c r="U512" s="137"/>
      <c r="V512" s="128"/>
      <c r="W512" s="49"/>
      <c r="X512" s="128"/>
      <c r="Y512" s="49"/>
      <c r="Z512" s="128"/>
      <c r="AA512" s="49"/>
      <c r="AB512" s="128"/>
      <c r="AC512" s="49"/>
      <c r="AD512" s="133">
        <f t="shared" si="32"/>
        <v>0</v>
      </c>
      <c r="AE512" s="133">
        <f t="shared" si="33"/>
        <v>0</v>
      </c>
    </row>
    <row r="513" spans="1:31" s="69" customFormat="1" ht="15.75" hidden="1" outlineLevel="2" x14ac:dyDescent="0.2">
      <c r="A513" s="25">
        <f>'Утв. ИП 2014-2019'!A515</f>
        <v>0</v>
      </c>
      <c r="B513" s="6">
        <f>'Утв. ИП 2014-2019'!B515</f>
        <v>0</v>
      </c>
      <c r="C513" s="7" t="str">
        <f>'Утв. ИП 2014-2019'!C515</f>
        <v>реконструкция</v>
      </c>
      <c r="D513" s="8"/>
      <c r="E513" s="8"/>
      <c r="F513" s="8"/>
      <c r="G513" s="8"/>
      <c r="H513" s="8"/>
      <c r="I513" s="8"/>
      <c r="J513" s="23"/>
      <c r="K513" s="8"/>
      <c r="L513" s="23"/>
      <c r="M513" s="8"/>
      <c r="N513" s="8"/>
      <c r="O513" s="8"/>
      <c r="P513" s="8"/>
      <c r="Q513" s="23"/>
      <c r="R513" s="136"/>
      <c r="S513" s="137"/>
      <c r="T513" s="128"/>
      <c r="U513" s="137"/>
      <c r="V513" s="128"/>
      <c r="W513" s="49"/>
      <c r="X513" s="128"/>
      <c r="Y513" s="49"/>
      <c r="Z513" s="128"/>
      <c r="AA513" s="49"/>
      <c r="AB513" s="128"/>
      <c r="AC513" s="49"/>
      <c r="AD513" s="133">
        <f t="shared" si="32"/>
        <v>0</v>
      </c>
      <c r="AE513" s="133">
        <f t="shared" si="33"/>
        <v>0</v>
      </c>
    </row>
    <row r="514" spans="1:31" s="69" customFormat="1" ht="15.75" hidden="1" outlineLevel="2" x14ac:dyDescent="0.2">
      <c r="A514" s="25">
        <f>'Утв. ИП 2014-2019'!A516</f>
        <v>0</v>
      </c>
      <c r="B514" s="6">
        <f>'Утв. ИП 2014-2019'!B516</f>
        <v>0</v>
      </c>
      <c r="C514" s="7" t="str">
        <f>'Утв. ИП 2014-2019'!C516</f>
        <v>строительство</v>
      </c>
      <c r="D514" s="8"/>
      <c r="E514" s="8"/>
      <c r="F514" s="8"/>
      <c r="G514" s="8"/>
      <c r="H514" s="8"/>
      <c r="I514" s="8"/>
      <c r="J514" s="23"/>
      <c r="K514" s="8"/>
      <c r="L514" s="23"/>
      <c r="M514" s="8"/>
      <c r="N514" s="8"/>
      <c r="O514" s="8"/>
      <c r="P514" s="8"/>
      <c r="Q514" s="23"/>
      <c r="R514" s="136"/>
      <c r="S514" s="137"/>
      <c r="T514" s="128"/>
      <c r="U514" s="137"/>
      <c r="V514" s="128"/>
      <c r="W514" s="49"/>
      <c r="X514" s="128"/>
      <c r="Y514" s="49"/>
      <c r="Z514" s="128"/>
      <c r="AA514" s="49"/>
      <c r="AB514" s="128"/>
      <c r="AC514" s="49"/>
      <c r="AD514" s="133">
        <f t="shared" si="32"/>
        <v>0</v>
      </c>
      <c r="AE514" s="133">
        <f t="shared" si="33"/>
        <v>0</v>
      </c>
    </row>
    <row r="515" spans="1:31" s="69" customFormat="1" ht="51" hidden="1" outlineLevel="1" collapsed="1" x14ac:dyDescent="0.2">
      <c r="A515" s="25" t="str">
        <f>'Утв. ИП 2014-2019'!A517</f>
        <v>1.1.6.2.85/12</v>
      </c>
      <c r="B515" s="6" t="str">
        <f>'Утв. ИП 2014-2019'!B517</f>
        <v>3.2.92</v>
      </c>
      <c r="C515" s="7" t="str">
        <f>'Утв. ИП 2014-2019'!C517</f>
        <v>Реконструкция ВЛ-0,4 кВ, смонтированной по п. 4.1.63/09 программы перспективного развития, от КТП-854 по ул. Жемчужная для электроснабжения индивидуального жилого дома по адресу: г. Липецк, с. Сселки, уч. № 3</v>
      </c>
      <c r="D515" s="8" t="str">
        <f>'Утв. ИП 2014-2019'!K517</f>
        <v>0,05 км/ 0 МВА</v>
      </c>
      <c r="E515" s="8"/>
      <c r="F515" s="8"/>
      <c r="G515" s="8"/>
      <c r="H515" s="8"/>
      <c r="I515" s="8"/>
      <c r="J515" s="23" t="str">
        <f>'Утв. ИП 2014-2019'!Q517</f>
        <v>0,05 км/ 0 МВА</v>
      </c>
      <c r="K515" s="23" t="s">
        <v>942</v>
      </c>
      <c r="L515" s="8"/>
      <c r="M515" s="8"/>
      <c r="N515" s="8"/>
      <c r="O515" s="8"/>
      <c r="P515" s="8"/>
      <c r="Q515" s="23" t="s">
        <v>942</v>
      </c>
      <c r="R515" s="136">
        <v>0.05</v>
      </c>
      <c r="S515" s="137"/>
      <c r="T515" s="128"/>
      <c r="U515" s="137"/>
      <c r="V515" s="128"/>
      <c r="W515" s="49"/>
      <c r="X515" s="128"/>
      <c r="Y515" s="49"/>
      <c r="Z515" s="128"/>
      <c r="AA515" s="49"/>
      <c r="AB515" s="128"/>
      <c r="AC515" s="49"/>
      <c r="AD515" s="133">
        <f t="shared" si="32"/>
        <v>0.05</v>
      </c>
      <c r="AE515" s="133">
        <f t="shared" si="33"/>
        <v>0</v>
      </c>
    </row>
    <row r="516" spans="1:31" s="69" customFormat="1" ht="15.75" hidden="1" outlineLevel="2" x14ac:dyDescent="0.2">
      <c r="A516" s="25">
        <f>'Утв. ИП 2014-2019'!A518</f>
        <v>0</v>
      </c>
      <c r="B516" s="6">
        <f>'Утв. ИП 2014-2019'!B518</f>
        <v>0</v>
      </c>
      <c r="C516" s="7" t="str">
        <f>'Утв. ИП 2014-2019'!C518</f>
        <v>реконструкция</v>
      </c>
      <c r="D516" s="8"/>
      <c r="E516" s="8"/>
      <c r="F516" s="8"/>
      <c r="G516" s="8"/>
      <c r="H516" s="8"/>
      <c r="I516" s="8"/>
      <c r="J516" s="23"/>
      <c r="K516" s="23"/>
      <c r="L516" s="8"/>
      <c r="M516" s="8"/>
      <c r="N516" s="8"/>
      <c r="O516" s="8"/>
      <c r="P516" s="8"/>
      <c r="Q516" s="23"/>
      <c r="R516" s="136"/>
      <c r="S516" s="137"/>
      <c r="T516" s="128"/>
      <c r="U516" s="137"/>
      <c r="V516" s="128"/>
      <c r="W516" s="49"/>
      <c r="X516" s="128"/>
      <c r="Y516" s="49"/>
      <c r="Z516" s="128"/>
      <c r="AA516" s="49"/>
      <c r="AB516" s="128"/>
      <c r="AC516" s="49"/>
      <c r="AD516" s="133">
        <f t="shared" si="32"/>
        <v>0</v>
      </c>
      <c r="AE516" s="133">
        <f t="shared" si="33"/>
        <v>0</v>
      </c>
    </row>
    <row r="517" spans="1:31" s="69" customFormat="1" ht="15.75" hidden="1" outlineLevel="2" x14ac:dyDescent="0.2">
      <c r="A517" s="25">
        <f>'Утв. ИП 2014-2019'!A519</f>
        <v>0</v>
      </c>
      <c r="B517" s="6">
        <f>'Утв. ИП 2014-2019'!B519</f>
        <v>0</v>
      </c>
      <c r="C517" s="7" t="str">
        <f>'Утв. ИП 2014-2019'!C519</f>
        <v>строительство</v>
      </c>
      <c r="D517" s="8"/>
      <c r="E517" s="8"/>
      <c r="F517" s="8"/>
      <c r="G517" s="8"/>
      <c r="H517" s="8"/>
      <c r="I517" s="8"/>
      <c r="J517" s="23"/>
      <c r="K517" s="8"/>
      <c r="L517" s="23"/>
      <c r="M517" s="8"/>
      <c r="N517" s="8"/>
      <c r="O517" s="8"/>
      <c r="P517" s="8"/>
      <c r="Q517" s="23"/>
      <c r="R517" s="136"/>
      <c r="S517" s="137"/>
      <c r="T517" s="128"/>
      <c r="U517" s="137"/>
      <c r="V517" s="128"/>
      <c r="W517" s="49"/>
      <c r="X517" s="128"/>
      <c r="Y517" s="49"/>
      <c r="Z517" s="128"/>
      <c r="AA517" s="49"/>
      <c r="AB517" s="128"/>
      <c r="AC517" s="49"/>
      <c r="AD517" s="133">
        <f t="shared" si="32"/>
        <v>0</v>
      </c>
      <c r="AE517" s="133">
        <f t="shared" si="33"/>
        <v>0</v>
      </c>
    </row>
    <row r="518" spans="1:31" s="2" customFormat="1" ht="51" hidden="1" outlineLevel="1" collapsed="1" x14ac:dyDescent="0.2">
      <c r="A518" s="25" t="str">
        <f>'Утв. ИП 2014-2019'!A520</f>
        <v>1.1.6.2.86/12</v>
      </c>
      <c r="B518" s="6" t="str">
        <f>'Утв. ИП 2014-2019'!B520</f>
        <v>3.2.93</v>
      </c>
      <c r="C518" s="7" t="str">
        <f>'Утв. ИП 2014-2019'!C520</f>
        <v>Строительство ВЛ-0,4 кВ от МТП, смонтированной по п. 1.1.6.3.40.2/10 программы перспективного развития, до садовых домиков по адресу: г. Липецк, потребительское общество пенсионеров и инвалидов "Сокол-1", зем. уч. № 406, 395</v>
      </c>
      <c r="D518" s="8" t="str">
        <f>'Утв. ИП 2014-2019'!K520</f>
        <v>0,3 км/ 0 МВА</v>
      </c>
      <c r="E518" s="8"/>
      <c r="F518" s="8"/>
      <c r="G518" s="8"/>
      <c r="H518" s="8"/>
      <c r="I518" s="8"/>
      <c r="J518" s="23" t="str">
        <f>'Утв. ИП 2014-2019'!Q520</f>
        <v>0,3 км/ 0 МВА</v>
      </c>
      <c r="K518" s="8"/>
      <c r="L518" s="23"/>
      <c r="M518" s="8"/>
      <c r="N518" s="8"/>
      <c r="O518" s="8"/>
      <c r="P518" s="8"/>
      <c r="Q518" s="23"/>
      <c r="R518" s="136"/>
      <c r="S518" s="137"/>
      <c r="T518" s="128"/>
      <c r="U518" s="137"/>
      <c r="V518" s="128"/>
      <c r="W518" s="49"/>
      <c r="X518" s="128"/>
      <c r="Y518" s="49"/>
      <c r="Z518" s="128"/>
      <c r="AA518" s="49"/>
      <c r="AB518" s="128"/>
      <c r="AC518" s="49"/>
      <c r="AD518" s="133">
        <f t="shared" si="32"/>
        <v>0</v>
      </c>
      <c r="AE518" s="133">
        <f t="shared" si="33"/>
        <v>0</v>
      </c>
    </row>
    <row r="519" spans="1:31" ht="15.75" hidden="1" outlineLevel="2" x14ac:dyDescent="0.2">
      <c r="A519" s="25">
        <f>'Утв. ИП 2014-2019'!A521</f>
        <v>0</v>
      </c>
      <c r="B519" s="6">
        <f>'Утв. ИП 2014-2019'!B521</f>
        <v>0</v>
      </c>
      <c r="C519" s="7" t="str">
        <f>'Утв. ИП 2014-2019'!C521</f>
        <v>реконструкция</v>
      </c>
      <c r="D519" s="8"/>
      <c r="E519" s="8"/>
      <c r="F519" s="8"/>
      <c r="G519" s="8"/>
      <c r="H519" s="8"/>
      <c r="I519" s="8"/>
      <c r="J519" s="23"/>
      <c r="K519" s="8"/>
      <c r="L519" s="23"/>
      <c r="M519" s="8"/>
      <c r="N519" s="8"/>
      <c r="O519" s="8"/>
      <c r="P519" s="8"/>
      <c r="Q519" s="23"/>
      <c r="R519" s="136"/>
      <c r="S519" s="137"/>
      <c r="T519" s="128"/>
      <c r="U519" s="137"/>
      <c r="V519" s="128"/>
      <c r="W519" s="49"/>
      <c r="X519" s="128"/>
      <c r="Y519" s="49"/>
      <c r="Z519" s="128"/>
      <c r="AA519" s="49"/>
      <c r="AB519" s="128"/>
      <c r="AC519" s="49"/>
      <c r="AD519" s="133">
        <f t="shared" si="32"/>
        <v>0</v>
      </c>
      <c r="AE519" s="133">
        <f t="shared" si="33"/>
        <v>0</v>
      </c>
    </row>
    <row r="520" spans="1:31" s="21" customFormat="1" ht="15.75" hidden="1" outlineLevel="2" x14ac:dyDescent="0.25">
      <c r="A520" s="25">
        <f>'Утв. ИП 2014-2019'!A522</f>
        <v>0</v>
      </c>
      <c r="B520" s="6">
        <f>'Утв. ИП 2014-2019'!B522</f>
        <v>0</v>
      </c>
      <c r="C520" s="7" t="str">
        <f>'Утв. ИП 2014-2019'!C522</f>
        <v>строительство</v>
      </c>
      <c r="D520" s="8"/>
      <c r="E520" s="8"/>
      <c r="F520" s="8"/>
      <c r="G520" s="8"/>
      <c r="H520" s="8"/>
      <c r="I520" s="8"/>
      <c r="J520" s="23"/>
      <c r="K520" s="8"/>
      <c r="L520" s="23"/>
      <c r="M520" s="8"/>
      <c r="N520" s="8"/>
      <c r="O520" s="8"/>
      <c r="P520" s="8"/>
      <c r="Q520" s="23"/>
      <c r="R520" s="136"/>
      <c r="S520" s="137"/>
      <c r="T520" s="128"/>
      <c r="U520" s="137"/>
      <c r="V520" s="128"/>
      <c r="W520" s="49"/>
      <c r="X520" s="128"/>
      <c r="Y520" s="49"/>
      <c r="Z520" s="128"/>
      <c r="AA520" s="49"/>
      <c r="AB520" s="128"/>
      <c r="AC520" s="49"/>
      <c r="AD520" s="133">
        <f t="shared" si="32"/>
        <v>0</v>
      </c>
      <c r="AE520" s="133">
        <f t="shared" si="33"/>
        <v>0</v>
      </c>
    </row>
    <row r="521" spans="1:31" ht="51" hidden="1" outlineLevel="1" collapsed="1" x14ac:dyDescent="0.2">
      <c r="A521" s="25" t="str">
        <f>'Утв. ИП 2014-2019'!A523</f>
        <v>1.1.6.2.87/12</v>
      </c>
      <c r="B521" s="6" t="str">
        <f>'Утв. ИП 2014-2019'!B523</f>
        <v>3.2.94</v>
      </c>
      <c r="C521" s="7" t="str">
        <f>'Утв. ИП 2014-2019'!C523</f>
        <v>Реконструкция ВЛ-0,4 кВ, смонтированной по п. 1.1.6.2.22/11 программы перспективного развития, для электроснабжения индивидуального жилого дома по адресу: г. Липецк, между д. 77 по ул. Кирова и д. 4 по ул. Жемчужная</v>
      </c>
      <c r="D521" s="8" t="str">
        <f>'Утв. ИП 2014-2019'!K523</f>
        <v>0,03 км/ 0 МВА</v>
      </c>
      <c r="E521" s="8"/>
      <c r="F521" s="8"/>
      <c r="G521" s="8"/>
      <c r="H521" s="8"/>
      <c r="I521" s="8"/>
      <c r="J521" s="23" t="str">
        <f>'Утв. ИП 2014-2019'!Q523</f>
        <v>0,03 км/ 0 МВА</v>
      </c>
      <c r="K521" s="23" t="s">
        <v>1421</v>
      </c>
      <c r="L521" s="23"/>
      <c r="M521" s="8"/>
      <c r="N521" s="8"/>
      <c r="O521" s="8"/>
      <c r="P521" s="8"/>
      <c r="Q521" s="23" t="s">
        <v>1421</v>
      </c>
      <c r="R521" s="136">
        <v>0.03</v>
      </c>
      <c r="S521" s="137"/>
      <c r="T521" s="128"/>
      <c r="U521" s="137"/>
      <c r="V521" s="128"/>
      <c r="W521" s="49"/>
      <c r="X521" s="128"/>
      <c r="Y521" s="49"/>
      <c r="Z521" s="128"/>
      <c r="AA521" s="49"/>
      <c r="AB521" s="128"/>
      <c r="AC521" s="49"/>
      <c r="AD521" s="133">
        <f t="shared" ref="AD521:AD584" si="34">R521+T521+V521+X521+Z521+AB521</f>
        <v>0.03</v>
      </c>
      <c r="AE521" s="133">
        <f t="shared" ref="AE521:AE584" si="35">S521+U521+W521+Y521+AA521+AC521</f>
        <v>0</v>
      </c>
    </row>
    <row r="522" spans="1:31" ht="15.75" hidden="1" outlineLevel="2" x14ac:dyDescent="0.2">
      <c r="A522" s="25">
        <f>'Утв. ИП 2014-2019'!A524</f>
        <v>0</v>
      </c>
      <c r="B522" s="6">
        <f>'Утв. ИП 2014-2019'!B524</f>
        <v>0</v>
      </c>
      <c r="C522" s="7" t="str">
        <f>'Утв. ИП 2014-2019'!C524</f>
        <v>реконструкция</v>
      </c>
      <c r="D522" s="8"/>
      <c r="E522" s="8"/>
      <c r="F522" s="8"/>
      <c r="G522" s="8"/>
      <c r="H522" s="8"/>
      <c r="I522" s="8"/>
      <c r="J522" s="23"/>
      <c r="K522" s="8"/>
      <c r="L522" s="23"/>
      <c r="M522" s="8"/>
      <c r="N522" s="8"/>
      <c r="O522" s="8"/>
      <c r="P522" s="8"/>
      <c r="Q522" s="23"/>
      <c r="R522" s="136"/>
      <c r="S522" s="137"/>
      <c r="T522" s="128"/>
      <c r="U522" s="137"/>
      <c r="V522" s="128"/>
      <c r="W522" s="49"/>
      <c r="X522" s="128"/>
      <c r="Y522" s="49"/>
      <c r="Z522" s="128"/>
      <c r="AA522" s="49"/>
      <c r="AB522" s="128"/>
      <c r="AC522" s="49"/>
      <c r="AD522" s="133">
        <f t="shared" si="34"/>
        <v>0</v>
      </c>
      <c r="AE522" s="133">
        <f t="shared" si="35"/>
        <v>0</v>
      </c>
    </row>
    <row r="523" spans="1:31" ht="15.75" hidden="1" outlineLevel="2" x14ac:dyDescent="0.2">
      <c r="A523" s="25">
        <f>'Утв. ИП 2014-2019'!A525</f>
        <v>0</v>
      </c>
      <c r="B523" s="6">
        <f>'Утв. ИП 2014-2019'!B525</f>
        <v>0</v>
      </c>
      <c r="C523" s="7" t="str">
        <f>'Утв. ИП 2014-2019'!C525</f>
        <v>строительство</v>
      </c>
      <c r="D523" s="8"/>
      <c r="E523" s="8"/>
      <c r="F523" s="8"/>
      <c r="G523" s="8"/>
      <c r="H523" s="8"/>
      <c r="I523" s="8"/>
      <c r="J523" s="23"/>
      <c r="K523" s="8"/>
      <c r="L523" s="23"/>
      <c r="M523" s="8"/>
      <c r="N523" s="8"/>
      <c r="O523" s="8"/>
      <c r="P523" s="8"/>
      <c r="Q523" s="23"/>
      <c r="R523" s="136"/>
      <c r="S523" s="137"/>
      <c r="T523" s="128"/>
      <c r="U523" s="137"/>
      <c r="V523" s="128"/>
      <c r="W523" s="49"/>
      <c r="X523" s="128"/>
      <c r="Y523" s="49"/>
      <c r="Z523" s="128"/>
      <c r="AA523" s="49"/>
      <c r="AB523" s="128"/>
      <c r="AC523" s="49"/>
      <c r="AD523" s="133">
        <f t="shared" si="34"/>
        <v>0</v>
      </c>
      <c r="AE523" s="133">
        <f t="shared" si="35"/>
        <v>0</v>
      </c>
    </row>
    <row r="524" spans="1:31" ht="51" hidden="1" outlineLevel="1" collapsed="1" x14ac:dyDescent="0.2">
      <c r="A524" s="25" t="str">
        <f>'Утв. ИП 2014-2019'!A526</f>
        <v>1.1.6.2.88/12</v>
      </c>
      <c r="B524" s="6" t="str">
        <f>'Утв. ИП 2014-2019'!B526</f>
        <v>3.2.95</v>
      </c>
      <c r="C524" s="7" t="str">
        <f>'Утв. ИП 2014-2019'!C526</f>
        <v>Монтаж шкафа учета на опоре ВЛ-0,4 кВ, смонтированной по п. 4.1.73/09 программы перспективного развития, для электроснабжения садового домика по адресу: г. Липецк, СТ "Строитель", зем. уч. № 719</v>
      </c>
      <c r="D524" s="8" t="str">
        <f>'Утв. ИП 2014-2019'!K526</f>
        <v>0,0 км/ 0 МВА</v>
      </c>
      <c r="E524" s="8"/>
      <c r="F524" s="8"/>
      <c r="G524" s="8"/>
      <c r="H524" s="8"/>
      <c r="I524" s="8"/>
      <c r="J524" s="23" t="str">
        <f>'Утв. ИП 2014-2019'!Q526</f>
        <v>0,0 км/ 0 МВА</v>
      </c>
      <c r="K524" s="8"/>
      <c r="L524" s="23"/>
      <c r="M524" s="8"/>
      <c r="N524" s="8"/>
      <c r="O524" s="8"/>
      <c r="P524" s="8"/>
      <c r="Q524" s="23"/>
      <c r="R524" s="136"/>
      <c r="S524" s="137"/>
      <c r="T524" s="128"/>
      <c r="U524" s="137"/>
      <c r="V524" s="128"/>
      <c r="W524" s="49"/>
      <c r="X524" s="128"/>
      <c r="Y524" s="49"/>
      <c r="Z524" s="128"/>
      <c r="AA524" s="49"/>
      <c r="AB524" s="128"/>
      <c r="AC524" s="49"/>
      <c r="AD524" s="133">
        <f t="shared" si="34"/>
        <v>0</v>
      </c>
      <c r="AE524" s="133">
        <f t="shared" si="35"/>
        <v>0</v>
      </c>
    </row>
    <row r="525" spans="1:31" ht="15.75" hidden="1" outlineLevel="2" x14ac:dyDescent="0.2">
      <c r="A525" s="25">
        <f>'Утв. ИП 2014-2019'!A527</f>
        <v>0</v>
      </c>
      <c r="B525" s="6">
        <f>'Утв. ИП 2014-2019'!B527</f>
        <v>0</v>
      </c>
      <c r="C525" s="7" t="str">
        <f>'Утв. ИП 2014-2019'!C527</f>
        <v>реконструкция</v>
      </c>
      <c r="D525" s="8"/>
      <c r="E525" s="8"/>
      <c r="F525" s="8"/>
      <c r="G525" s="8"/>
      <c r="H525" s="8"/>
      <c r="I525" s="8"/>
      <c r="J525" s="23"/>
      <c r="K525" s="23"/>
      <c r="L525" s="8"/>
      <c r="M525" s="8"/>
      <c r="N525" s="8"/>
      <c r="O525" s="8"/>
      <c r="P525" s="8"/>
      <c r="Q525" s="23"/>
      <c r="R525" s="136"/>
      <c r="S525" s="137"/>
      <c r="T525" s="128"/>
      <c r="U525" s="137"/>
      <c r="V525" s="128"/>
      <c r="W525" s="49"/>
      <c r="X525" s="128"/>
      <c r="Y525" s="49"/>
      <c r="Z525" s="128"/>
      <c r="AA525" s="49"/>
      <c r="AB525" s="128"/>
      <c r="AC525" s="49"/>
      <c r="AD525" s="133">
        <f t="shared" si="34"/>
        <v>0</v>
      </c>
      <c r="AE525" s="133">
        <f t="shared" si="35"/>
        <v>0</v>
      </c>
    </row>
    <row r="526" spans="1:31" ht="15.75" hidden="1" outlineLevel="2" x14ac:dyDescent="0.2">
      <c r="A526" s="25">
        <f>'Утв. ИП 2014-2019'!A528</f>
        <v>0</v>
      </c>
      <c r="B526" s="6">
        <f>'Утв. ИП 2014-2019'!B528</f>
        <v>0</v>
      </c>
      <c r="C526" s="7" t="str">
        <f>'Утв. ИП 2014-2019'!C528</f>
        <v>строительство</v>
      </c>
      <c r="D526" s="8"/>
      <c r="E526" s="8"/>
      <c r="F526" s="8"/>
      <c r="G526" s="8"/>
      <c r="H526" s="8"/>
      <c r="I526" s="8"/>
      <c r="J526" s="23"/>
      <c r="K526" s="23"/>
      <c r="L526" s="8"/>
      <c r="M526" s="8"/>
      <c r="N526" s="8"/>
      <c r="O526" s="8"/>
      <c r="P526" s="8"/>
      <c r="Q526" s="23"/>
      <c r="R526" s="136"/>
      <c r="S526" s="137"/>
      <c r="T526" s="128"/>
      <c r="U526" s="137"/>
      <c r="V526" s="128"/>
      <c r="W526" s="49"/>
      <c r="X526" s="128"/>
      <c r="Y526" s="49"/>
      <c r="Z526" s="128"/>
      <c r="AA526" s="49"/>
      <c r="AB526" s="128"/>
      <c r="AC526" s="49"/>
      <c r="AD526" s="133">
        <f t="shared" si="34"/>
        <v>0</v>
      </c>
      <c r="AE526" s="133">
        <f t="shared" si="35"/>
        <v>0</v>
      </c>
    </row>
    <row r="527" spans="1:31" ht="51" hidden="1" outlineLevel="1" collapsed="1" x14ac:dyDescent="0.2">
      <c r="A527" s="25" t="str">
        <f>'Утв. ИП 2014-2019'!A529</f>
        <v>1.1.6.2.89/12</v>
      </c>
      <c r="B527" s="6" t="str">
        <f>'Утв. ИП 2014-2019'!B529</f>
        <v>3.2.96</v>
      </c>
      <c r="C527" s="7" t="str">
        <f>'Утв. ИП 2014-2019'!C529</f>
        <v>Реконструкция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840</v>
      </c>
      <c r="D527" s="8" t="str">
        <f>'Утв. ИП 2014-2019'!K529</f>
        <v>0,03 км/ 0 МВА</v>
      </c>
      <c r="E527" s="8"/>
      <c r="F527" s="8"/>
      <c r="G527" s="8"/>
      <c r="H527" s="8"/>
      <c r="I527" s="8"/>
      <c r="J527" s="23" t="str">
        <f>'Утв. ИП 2014-2019'!Q529</f>
        <v>0,03 км/ 0 МВА</v>
      </c>
      <c r="K527" s="23" t="s">
        <v>1421</v>
      </c>
      <c r="L527" s="23"/>
      <c r="M527" s="8"/>
      <c r="N527" s="8"/>
      <c r="O527" s="8"/>
      <c r="P527" s="8"/>
      <c r="Q527" s="23" t="s">
        <v>1421</v>
      </c>
      <c r="R527" s="136">
        <v>0.03</v>
      </c>
      <c r="S527" s="137"/>
      <c r="T527" s="128"/>
      <c r="U527" s="137"/>
      <c r="V527" s="128"/>
      <c r="W527" s="49"/>
      <c r="X527" s="128"/>
      <c r="Y527" s="49"/>
      <c r="Z527" s="128"/>
      <c r="AA527" s="49"/>
      <c r="AB527" s="128"/>
      <c r="AC527" s="49"/>
      <c r="AD527" s="133">
        <f t="shared" si="34"/>
        <v>0.03</v>
      </c>
      <c r="AE527" s="133">
        <f t="shared" si="35"/>
        <v>0</v>
      </c>
    </row>
    <row r="528" spans="1:31" ht="15.75" hidden="1" outlineLevel="2" x14ac:dyDescent="0.2">
      <c r="A528" s="25">
        <f>'Утв. ИП 2014-2019'!A530</f>
        <v>0</v>
      </c>
      <c r="B528" s="6">
        <f>'Утв. ИП 2014-2019'!B530</f>
        <v>0</v>
      </c>
      <c r="C528" s="7" t="str">
        <f>'Утв. ИП 2014-2019'!C530</f>
        <v>реконструкция</v>
      </c>
      <c r="D528" s="8"/>
      <c r="E528" s="8"/>
      <c r="F528" s="8"/>
      <c r="G528" s="8"/>
      <c r="H528" s="8"/>
      <c r="I528" s="8"/>
      <c r="J528" s="23"/>
      <c r="K528" s="23"/>
      <c r="L528" s="8"/>
      <c r="M528" s="8"/>
      <c r="N528" s="8"/>
      <c r="O528" s="8"/>
      <c r="P528" s="8"/>
      <c r="Q528" s="23"/>
      <c r="R528" s="136"/>
      <c r="S528" s="137"/>
      <c r="T528" s="128"/>
      <c r="U528" s="137"/>
      <c r="V528" s="128"/>
      <c r="W528" s="49"/>
      <c r="X528" s="128"/>
      <c r="Y528" s="49"/>
      <c r="Z528" s="128"/>
      <c r="AA528" s="49"/>
      <c r="AB528" s="128"/>
      <c r="AC528" s="49"/>
      <c r="AD528" s="133">
        <f t="shared" si="34"/>
        <v>0</v>
      </c>
      <c r="AE528" s="133">
        <f t="shared" si="35"/>
        <v>0</v>
      </c>
    </row>
    <row r="529" spans="1:31" ht="15.75" hidden="1" outlineLevel="2" x14ac:dyDescent="0.2">
      <c r="A529" s="25">
        <f>'Утв. ИП 2014-2019'!A531</f>
        <v>0</v>
      </c>
      <c r="B529" s="6">
        <f>'Утв. ИП 2014-2019'!B531</f>
        <v>0</v>
      </c>
      <c r="C529" s="7" t="str">
        <f>'Утв. ИП 2014-2019'!C531</f>
        <v>строительство</v>
      </c>
      <c r="D529" s="8"/>
      <c r="E529" s="8"/>
      <c r="F529" s="8"/>
      <c r="G529" s="8"/>
      <c r="H529" s="8"/>
      <c r="I529" s="8"/>
      <c r="J529" s="23"/>
      <c r="K529" s="8"/>
      <c r="L529" s="23"/>
      <c r="M529" s="8"/>
      <c r="N529" s="8"/>
      <c r="O529" s="8"/>
      <c r="P529" s="8"/>
      <c r="Q529" s="23"/>
      <c r="R529" s="136"/>
      <c r="S529" s="137"/>
      <c r="T529" s="128"/>
      <c r="U529" s="137"/>
      <c r="V529" s="128"/>
      <c r="W529" s="49"/>
      <c r="X529" s="128"/>
      <c r="Y529" s="49"/>
      <c r="Z529" s="128"/>
      <c r="AA529" s="49"/>
      <c r="AB529" s="128"/>
      <c r="AC529" s="49"/>
      <c r="AD529" s="133">
        <f t="shared" si="34"/>
        <v>0</v>
      </c>
      <c r="AE529" s="133">
        <f t="shared" si="35"/>
        <v>0</v>
      </c>
    </row>
    <row r="530" spans="1:31" ht="25.5" hidden="1" outlineLevel="1" collapsed="1" x14ac:dyDescent="0.2">
      <c r="A530" s="25" t="str">
        <f>'Утв. ИП 2014-2019'!A532</f>
        <v>1.1.6.2.90/12</v>
      </c>
      <c r="B530" s="6" t="str">
        <f>'Утв. ИП 2014-2019'!B532</f>
        <v>3.2.97</v>
      </c>
      <c r="C530" s="7" t="str">
        <f>'Утв. ИП 2014-2019'!C532</f>
        <v>Электроснабжение садового домика по адресу: г. Липецк, СНТ "Мечта", уч. № 1030</v>
      </c>
      <c r="D530" s="8"/>
      <c r="E530" s="8" t="str">
        <f>'Утв. ИП 2014-2019'!L532</f>
        <v>1,0 км/ 0,25 МВА</v>
      </c>
      <c r="F530" s="8"/>
      <c r="G530" s="8"/>
      <c r="H530" s="8"/>
      <c r="I530" s="8"/>
      <c r="J530" s="23" t="str">
        <f>'Утв. ИП 2014-2019'!Q532</f>
        <v>1,0 км/ 0,25 МВА</v>
      </c>
      <c r="K530" s="23"/>
      <c r="L530" s="8"/>
      <c r="M530" s="8"/>
      <c r="N530" s="8"/>
      <c r="O530" s="8"/>
      <c r="P530" s="8"/>
      <c r="Q530" s="23"/>
      <c r="R530" s="166"/>
      <c r="S530" s="167"/>
      <c r="T530" s="168"/>
      <c r="U530" s="167"/>
      <c r="V530" s="168"/>
      <c r="W530" s="169"/>
      <c r="X530" s="168"/>
      <c r="Y530" s="169"/>
      <c r="Z530" s="168"/>
      <c r="AA530" s="169"/>
      <c r="AB530" s="168"/>
      <c r="AC530" s="169"/>
      <c r="AD530" s="133">
        <f t="shared" si="34"/>
        <v>0</v>
      </c>
      <c r="AE530" s="133">
        <f t="shared" si="35"/>
        <v>0</v>
      </c>
    </row>
    <row r="531" spans="1:31" ht="15.75" hidden="1" outlineLevel="2" x14ac:dyDescent="0.2">
      <c r="A531" s="25">
        <f>'Утв. ИП 2014-2019'!A533</f>
        <v>0</v>
      </c>
      <c r="B531" s="6">
        <f>'Утв. ИП 2014-2019'!B533</f>
        <v>0</v>
      </c>
      <c r="C531" s="7" t="str">
        <f>'Утв. ИП 2014-2019'!C533</f>
        <v>реконструкция</v>
      </c>
      <c r="D531" s="8"/>
      <c r="E531" s="8"/>
      <c r="F531" s="8"/>
      <c r="G531" s="8"/>
      <c r="H531" s="8"/>
      <c r="I531" s="8"/>
      <c r="J531" s="23"/>
      <c r="K531" s="23"/>
      <c r="L531" s="8"/>
      <c r="M531" s="8"/>
      <c r="N531" s="8"/>
      <c r="O531" s="8"/>
      <c r="P531" s="8"/>
      <c r="Q531" s="23"/>
      <c r="R531" s="166"/>
      <c r="S531" s="167"/>
      <c r="T531" s="168"/>
      <c r="U531" s="167"/>
      <c r="V531" s="168"/>
      <c r="W531" s="169"/>
      <c r="X531" s="168"/>
      <c r="Y531" s="169"/>
      <c r="Z531" s="168"/>
      <c r="AA531" s="169"/>
      <c r="AB531" s="168"/>
      <c r="AC531" s="169"/>
      <c r="AD531" s="133">
        <f t="shared" si="34"/>
        <v>0</v>
      </c>
      <c r="AE531" s="133">
        <f t="shared" si="35"/>
        <v>0</v>
      </c>
    </row>
    <row r="532" spans="1:31" ht="15.75" hidden="1" outlineLevel="2" x14ac:dyDescent="0.2">
      <c r="A532" s="25">
        <f>'Утв. ИП 2014-2019'!A534</f>
        <v>0</v>
      </c>
      <c r="B532" s="6">
        <f>'Утв. ИП 2014-2019'!B534</f>
        <v>0</v>
      </c>
      <c r="C532" s="7" t="str">
        <f>'Утв. ИП 2014-2019'!C534</f>
        <v>строительство</v>
      </c>
      <c r="D532" s="8"/>
      <c r="E532" s="8"/>
      <c r="F532" s="8"/>
      <c r="G532" s="8"/>
      <c r="H532" s="8"/>
      <c r="I532" s="8"/>
      <c r="J532" s="23"/>
      <c r="K532" s="8"/>
      <c r="L532" s="23"/>
      <c r="M532" s="8"/>
      <c r="N532" s="8"/>
      <c r="O532" s="8"/>
      <c r="P532" s="8"/>
      <c r="Q532" s="23"/>
      <c r="R532" s="166"/>
      <c r="S532" s="167"/>
      <c r="T532" s="168"/>
      <c r="U532" s="167"/>
      <c r="V532" s="168"/>
      <c r="W532" s="169"/>
      <c r="X532" s="168"/>
      <c r="Y532" s="169"/>
      <c r="Z532" s="168"/>
      <c r="AA532" s="169"/>
      <c r="AB532" s="168"/>
      <c r="AC532" s="169"/>
      <c r="AD532" s="133">
        <f t="shared" si="34"/>
        <v>0</v>
      </c>
      <c r="AE532" s="133">
        <f t="shared" si="35"/>
        <v>0</v>
      </c>
    </row>
    <row r="533" spans="1:31" ht="51" hidden="1" outlineLevel="1" collapsed="1" x14ac:dyDescent="0.2">
      <c r="A533" s="25" t="str">
        <f>'Утв. ИП 2014-2019'!A535</f>
        <v>1.1.6.2.96/12</v>
      </c>
      <c r="B533" s="6" t="str">
        <f>'Утв. ИП 2014-2019'!B535</f>
        <v>3.2.98</v>
      </c>
      <c r="C533" s="7" t="str">
        <f>'Утв. ИП 2014-2019'!C535</f>
        <v>Монтаж узла учета на опоре ВЛ-0,4 кВ от КТП, смонтированной по п. 1.1.6.3.9/10 программы перспективного развития, для электроснабжения кирпичного садового домика по адресу: г. Липецк, СНТ "Цементник", уч. № 2148</v>
      </c>
      <c r="D533" s="8" t="str">
        <f>'Утв. ИП 2014-2019'!K535</f>
        <v>0,03 км/ 0 МВА</v>
      </c>
      <c r="E533" s="8"/>
      <c r="F533" s="8"/>
      <c r="G533" s="8"/>
      <c r="H533" s="8"/>
      <c r="I533" s="8"/>
      <c r="J533" s="23" t="str">
        <f>'Утв. ИП 2014-2019'!Q535</f>
        <v>0,03 км/ 0 МВА</v>
      </c>
      <c r="K533" s="8"/>
      <c r="L533" s="23"/>
      <c r="M533" s="8"/>
      <c r="N533" s="8"/>
      <c r="O533" s="8"/>
      <c r="P533" s="8"/>
      <c r="Q533" s="23"/>
      <c r="R533" s="136"/>
      <c r="S533" s="137"/>
      <c r="T533" s="128"/>
      <c r="U533" s="137"/>
      <c r="V533" s="128"/>
      <c r="W533" s="49"/>
      <c r="X533" s="128"/>
      <c r="Y533" s="49"/>
      <c r="Z533" s="128"/>
      <c r="AA533" s="49"/>
      <c r="AB533" s="128"/>
      <c r="AC533" s="49"/>
      <c r="AD533" s="133">
        <f t="shared" si="34"/>
        <v>0</v>
      </c>
      <c r="AE533" s="133">
        <f t="shared" si="35"/>
        <v>0</v>
      </c>
    </row>
    <row r="534" spans="1:31" ht="15.75" hidden="1" outlineLevel="2" x14ac:dyDescent="0.2">
      <c r="A534" s="25">
        <f>'Утв. ИП 2014-2019'!A536</f>
        <v>0</v>
      </c>
      <c r="B534" s="6">
        <f>'Утв. ИП 2014-2019'!B536</f>
        <v>0</v>
      </c>
      <c r="C534" s="7" t="str">
        <f>'Утв. ИП 2014-2019'!C536</f>
        <v>реконструкция</v>
      </c>
      <c r="D534" s="8"/>
      <c r="E534" s="8"/>
      <c r="F534" s="8"/>
      <c r="G534" s="8"/>
      <c r="H534" s="8"/>
      <c r="I534" s="8"/>
      <c r="J534" s="23"/>
      <c r="K534" s="8"/>
      <c r="L534" s="23"/>
      <c r="M534" s="8"/>
      <c r="N534" s="8"/>
      <c r="O534" s="8"/>
      <c r="P534" s="8"/>
      <c r="Q534" s="23"/>
      <c r="R534" s="136"/>
      <c r="S534" s="137"/>
      <c r="T534" s="128"/>
      <c r="U534" s="137"/>
      <c r="V534" s="128"/>
      <c r="W534" s="49"/>
      <c r="X534" s="128"/>
      <c r="Y534" s="49"/>
      <c r="Z534" s="128"/>
      <c r="AA534" s="49"/>
      <c r="AB534" s="128"/>
      <c r="AC534" s="49"/>
      <c r="AD534" s="133">
        <f t="shared" si="34"/>
        <v>0</v>
      </c>
      <c r="AE534" s="133">
        <f t="shared" si="35"/>
        <v>0</v>
      </c>
    </row>
    <row r="535" spans="1:31" ht="15.75" hidden="1" outlineLevel="2" x14ac:dyDescent="0.2">
      <c r="A535" s="25">
        <f>'Утв. ИП 2014-2019'!A537</f>
        <v>0</v>
      </c>
      <c r="B535" s="6">
        <f>'Утв. ИП 2014-2019'!B537</f>
        <v>0</v>
      </c>
      <c r="C535" s="7" t="str">
        <f>'Утв. ИП 2014-2019'!C537</f>
        <v>строительство</v>
      </c>
      <c r="D535" s="8"/>
      <c r="E535" s="8"/>
      <c r="F535" s="8"/>
      <c r="G535" s="8"/>
      <c r="H535" s="8"/>
      <c r="I535" s="8"/>
      <c r="J535" s="23"/>
      <c r="K535" s="23"/>
      <c r="L535" s="8"/>
      <c r="M535" s="8"/>
      <c r="N535" s="8"/>
      <c r="O535" s="8"/>
      <c r="P535" s="8"/>
      <c r="Q535" s="23"/>
      <c r="R535" s="136"/>
      <c r="S535" s="137"/>
      <c r="T535" s="128"/>
      <c r="U535" s="137"/>
      <c r="V535" s="128"/>
      <c r="W535" s="49"/>
      <c r="X535" s="128"/>
      <c r="Y535" s="49"/>
      <c r="Z535" s="128"/>
      <c r="AA535" s="49"/>
      <c r="AB535" s="128"/>
      <c r="AC535" s="49"/>
      <c r="AD535" s="133">
        <f t="shared" si="34"/>
        <v>0</v>
      </c>
      <c r="AE535" s="133">
        <f t="shared" si="35"/>
        <v>0</v>
      </c>
    </row>
    <row r="536" spans="1:31" ht="51" hidden="1" outlineLevel="1" collapsed="1" x14ac:dyDescent="0.2">
      <c r="A536" s="25" t="str">
        <f>'Утв. ИП 2014-2019'!A538</f>
        <v>1.1.6.2.97/12</v>
      </c>
      <c r="B536" s="6" t="str">
        <f>'Утв. ИП 2014-2019'!B538</f>
        <v>3.2.99</v>
      </c>
      <c r="C536" s="7" t="str">
        <f>'Утв. ИП 2014-2019'!C538</f>
        <v>Монтаж узла учета в РУ-0,4 кВ ТП-194 для электроснабжения автостоянки закрытого типа на 27 машиномест (индивидуальных гаражей) по адресу: г. Липецк, ул. Балмочных С.Ф., владение 15 б</v>
      </c>
      <c r="D536" s="8"/>
      <c r="E536" s="8" t="str">
        <f>'Утв. ИП 2014-2019'!L538</f>
        <v>0,0 км/ 0 МВА</v>
      </c>
      <c r="F536" s="8"/>
      <c r="G536" s="8"/>
      <c r="H536" s="8"/>
      <c r="I536" s="8"/>
      <c r="J536" s="23" t="str">
        <f>'Утв. ИП 2014-2019'!Q538</f>
        <v>0,0 км/ 0 МВА</v>
      </c>
      <c r="K536" s="23"/>
      <c r="L536" s="8"/>
      <c r="M536" s="8"/>
      <c r="N536" s="8"/>
      <c r="O536" s="8"/>
      <c r="P536" s="8"/>
      <c r="Q536" s="23"/>
      <c r="R536" s="136"/>
      <c r="S536" s="137"/>
      <c r="T536" s="128"/>
      <c r="U536" s="137"/>
      <c r="V536" s="128"/>
      <c r="W536" s="49"/>
      <c r="X536" s="128"/>
      <c r="Y536" s="49"/>
      <c r="Z536" s="128"/>
      <c r="AA536" s="49"/>
      <c r="AB536" s="128"/>
      <c r="AC536" s="49"/>
      <c r="AD536" s="133">
        <f t="shared" si="34"/>
        <v>0</v>
      </c>
      <c r="AE536" s="133">
        <f t="shared" si="35"/>
        <v>0</v>
      </c>
    </row>
    <row r="537" spans="1:31" ht="15.75" hidden="1" outlineLevel="2" x14ac:dyDescent="0.2">
      <c r="A537" s="25">
        <f>'Утв. ИП 2014-2019'!A539</f>
        <v>0</v>
      </c>
      <c r="B537" s="6">
        <f>'Утв. ИП 2014-2019'!B539</f>
        <v>0</v>
      </c>
      <c r="C537" s="7" t="str">
        <f>'Утв. ИП 2014-2019'!C539</f>
        <v>реконструкция</v>
      </c>
      <c r="D537" s="8"/>
      <c r="E537" s="8"/>
      <c r="F537" s="8"/>
      <c r="G537" s="8"/>
      <c r="H537" s="8"/>
      <c r="I537" s="8"/>
      <c r="J537" s="23"/>
      <c r="K537" s="8"/>
      <c r="L537" s="23"/>
      <c r="M537" s="8"/>
      <c r="N537" s="8"/>
      <c r="O537" s="8"/>
      <c r="P537" s="8"/>
      <c r="Q537" s="23"/>
      <c r="R537" s="136"/>
      <c r="S537" s="137"/>
      <c r="T537" s="128"/>
      <c r="U537" s="137"/>
      <c r="V537" s="128"/>
      <c r="W537" s="49"/>
      <c r="X537" s="128"/>
      <c r="Y537" s="49"/>
      <c r="Z537" s="128"/>
      <c r="AA537" s="49"/>
      <c r="AB537" s="128"/>
      <c r="AC537" s="49"/>
      <c r="AD537" s="133">
        <f t="shared" si="34"/>
        <v>0</v>
      </c>
      <c r="AE537" s="133">
        <f t="shared" si="35"/>
        <v>0</v>
      </c>
    </row>
    <row r="538" spans="1:31" ht="15.75" hidden="1" outlineLevel="2" x14ac:dyDescent="0.2">
      <c r="A538" s="25">
        <f>'Утв. ИП 2014-2019'!A540</f>
        <v>0</v>
      </c>
      <c r="B538" s="6">
        <f>'Утв. ИП 2014-2019'!B540</f>
        <v>0</v>
      </c>
      <c r="C538" s="7" t="str">
        <f>'Утв. ИП 2014-2019'!C540</f>
        <v>строительство</v>
      </c>
      <c r="D538" s="8"/>
      <c r="E538" s="8"/>
      <c r="F538" s="8"/>
      <c r="G538" s="8"/>
      <c r="H538" s="8"/>
      <c r="I538" s="8"/>
      <c r="J538" s="23"/>
      <c r="K538" s="8"/>
      <c r="L538" s="23"/>
      <c r="M538" s="8"/>
      <c r="N538" s="8"/>
      <c r="O538" s="8"/>
      <c r="P538" s="8"/>
      <c r="Q538" s="23"/>
      <c r="R538" s="136"/>
      <c r="S538" s="137"/>
      <c r="T538" s="128"/>
      <c r="U538" s="137"/>
      <c r="V538" s="128"/>
      <c r="W538" s="49"/>
      <c r="X538" s="128"/>
      <c r="Y538" s="49"/>
      <c r="Z538" s="128"/>
      <c r="AA538" s="49"/>
      <c r="AB538" s="128"/>
      <c r="AC538" s="49"/>
      <c r="AD538" s="133">
        <f t="shared" si="34"/>
        <v>0</v>
      </c>
      <c r="AE538" s="133">
        <f t="shared" si="35"/>
        <v>0</v>
      </c>
    </row>
    <row r="539" spans="1:31" ht="51" hidden="1" outlineLevel="1" collapsed="1" x14ac:dyDescent="0.2">
      <c r="A539" s="25" t="str">
        <f>'Утв. ИП 2014-2019'!A541</f>
        <v>1.1.6.2.98/12</v>
      </c>
      <c r="B539" s="6" t="str">
        <f>'Утв. ИП 2014-2019'!B541</f>
        <v>3.2.100</v>
      </c>
      <c r="C539" s="7" t="str">
        <f>'Утв. ИП 2014-2019'!C541</f>
        <v>Реконструкция ВЛ-0,4 кВ по ул. Дальняя, смонтированной по п. 4.1.78/09 программы перспективного развития, от КТП-646 для электроснабжения садового домика по адресу: г. Липецк, СНТ "Металлург-3", улица № 37-1, участок № 25</v>
      </c>
      <c r="D539" s="8" t="str">
        <f>'Утв. ИП 2014-2019'!K541</f>
        <v>0,04 км/ 0 МВА</v>
      </c>
      <c r="E539" s="8"/>
      <c r="F539" s="8"/>
      <c r="G539" s="8"/>
      <c r="H539" s="8"/>
      <c r="I539" s="8"/>
      <c r="J539" s="23" t="str">
        <f>'Утв. ИП 2014-2019'!Q541</f>
        <v>0,04 км/ 0 МВА</v>
      </c>
      <c r="K539" s="23" t="s">
        <v>1422</v>
      </c>
      <c r="L539" s="23"/>
      <c r="M539" s="8"/>
      <c r="N539" s="8"/>
      <c r="O539" s="8"/>
      <c r="P539" s="8"/>
      <c r="Q539" s="23" t="s">
        <v>1422</v>
      </c>
      <c r="R539" s="136">
        <v>0.04</v>
      </c>
      <c r="S539" s="137"/>
      <c r="T539" s="128"/>
      <c r="U539" s="137"/>
      <c r="V539" s="128"/>
      <c r="W539" s="49"/>
      <c r="X539" s="128"/>
      <c r="Y539" s="49"/>
      <c r="Z539" s="128"/>
      <c r="AA539" s="49"/>
      <c r="AB539" s="128"/>
      <c r="AC539" s="49"/>
      <c r="AD539" s="133">
        <f t="shared" si="34"/>
        <v>0.04</v>
      </c>
      <c r="AE539" s="133">
        <f t="shared" si="35"/>
        <v>0</v>
      </c>
    </row>
    <row r="540" spans="1:31" ht="15.75" hidden="1" outlineLevel="2" x14ac:dyDescent="0.2">
      <c r="A540" s="25">
        <f>'Утв. ИП 2014-2019'!A542</f>
        <v>0</v>
      </c>
      <c r="B540" s="6">
        <f>'Утв. ИП 2014-2019'!B542</f>
        <v>0</v>
      </c>
      <c r="C540" s="7" t="str">
        <f>'Утв. ИП 2014-2019'!C542</f>
        <v>реконструкция</v>
      </c>
      <c r="D540" s="8"/>
      <c r="E540" s="8"/>
      <c r="F540" s="8"/>
      <c r="G540" s="8"/>
      <c r="H540" s="8"/>
      <c r="I540" s="8"/>
      <c r="J540" s="23"/>
      <c r="K540" s="8"/>
      <c r="L540" s="23"/>
      <c r="M540" s="8"/>
      <c r="N540" s="8"/>
      <c r="O540" s="8"/>
      <c r="P540" s="8"/>
      <c r="Q540" s="23"/>
      <c r="R540" s="136"/>
      <c r="S540" s="137"/>
      <c r="T540" s="128"/>
      <c r="U540" s="137"/>
      <c r="V540" s="128"/>
      <c r="W540" s="49"/>
      <c r="X540" s="128"/>
      <c r="Y540" s="49"/>
      <c r="Z540" s="128"/>
      <c r="AA540" s="49"/>
      <c r="AB540" s="128"/>
      <c r="AC540" s="49"/>
      <c r="AD540" s="133">
        <f t="shared" si="34"/>
        <v>0</v>
      </c>
      <c r="AE540" s="133">
        <f t="shared" si="35"/>
        <v>0</v>
      </c>
    </row>
    <row r="541" spans="1:31" ht="15.75" hidden="1" outlineLevel="2" x14ac:dyDescent="0.2">
      <c r="A541" s="25">
        <f>'Утв. ИП 2014-2019'!A543</f>
        <v>0</v>
      </c>
      <c r="B541" s="6">
        <f>'Утв. ИП 2014-2019'!B543</f>
        <v>0</v>
      </c>
      <c r="C541" s="7" t="str">
        <f>'Утв. ИП 2014-2019'!C543</f>
        <v>строительство</v>
      </c>
      <c r="D541" s="8"/>
      <c r="E541" s="8"/>
      <c r="F541" s="8"/>
      <c r="G541" s="8"/>
      <c r="H541" s="8"/>
      <c r="I541" s="8"/>
      <c r="J541" s="23"/>
      <c r="K541" s="23"/>
      <c r="L541" s="8"/>
      <c r="M541" s="8"/>
      <c r="N541" s="8"/>
      <c r="O541" s="8"/>
      <c r="P541" s="8"/>
      <c r="Q541" s="23"/>
      <c r="R541" s="136"/>
      <c r="S541" s="137"/>
      <c r="T541" s="128"/>
      <c r="U541" s="137"/>
      <c r="V541" s="128"/>
      <c r="W541" s="49"/>
      <c r="X541" s="128"/>
      <c r="Y541" s="49"/>
      <c r="Z541" s="128"/>
      <c r="AA541" s="49"/>
      <c r="AB541" s="128"/>
      <c r="AC541" s="49"/>
      <c r="AD541" s="133">
        <f t="shared" si="34"/>
        <v>0</v>
      </c>
      <c r="AE541" s="133">
        <f t="shared" si="35"/>
        <v>0</v>
      </c>
    </row>
    <row r="542" spans="1:31" ht="51" hidden="1" outlineLevel="1" collapsed="1" x14ac:dyDescent="0.2">
      <c r="A542" s="25" t="str">
        <f>'Утв. ИП 2014-2019'!A544</f>
        <v>1.1.6.2.99/12</v>
      </c>
      <c r="B542" s="6" t="str">
        <f>'Утв. ИП 2014-2019'!B544</f>
        <v>3.2.101</v>
      </c>
      <c r="C542" s="7" t="str">
        <f>'Утв. ИП 2014-2019'!C544</f>
        <v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СНТ "Машиностроитель", участок № 817</v>
      </c>
      <c r="D542" s="8" t="str">
        <f>'Утв. ИП 2014-2019'!K544</f>
        <v>0,0 км/ 0 МВА</v>
      </c>
      <c r="E542" s="8"/>
      <c r="F542" s="8"/>
      <c r="G542" s="8"/>
      <c r="H542" s="8"/>
      <c r="I542" s="8"/>
      <c r="J542" s="23" t="str">
        <f>'Утв. ИП 2014-2019'!Q544</f>
        <v>0,0 км/ 0 МВА</v>
      </c>
      <c r="K542" s="8"/>
      <c r="L542" s="23"/>
      <c r="M542" s="8"/>
      <c r="N542" s="8"/>
      <c r="O542" s="8"/>
      <c r="P542" s="8"/>
      <c r="Q542" s="23"/>
      <c r="R542" s="136"/>
      <c r="S542" s="137"/>
      <c r="T542" s="128"/>
      <c r="U542" s="137"/>
      <c r="V542" s="128"/>
      <c r="W542" s="49"/>
      <c r="X542" s="128"/>
      <c r="Y542" s="49"/>
      <c r="Z542" s="128"/>
      <c r="AA542" s="49"/>
      <c r="AB542" s="128"/>
      <c r="AC542" s="49"/>
      <c r="AD542" s="133">
        <f t="shared" si="34"/>
        <v>0</v>
      </c>
      <c r="AE542" s="133">
        <f t="shared" si="35"/>
        <v>0</v>
      </c>
    </row>
    <row r="543" spans="1:31" ht="15.75" hidden="1" outlineLevel="2" x14ac:dyDescent="0.2">
      <c r="A543" s="25">
        <f>'Утв. ИП 2014-2019'!A545</f>
        <v>0</v>
      </c>
      <c r="B543" s="6">
        <f>'Утв. ИП 2014-2019'!B545</f>
        <v>0</v>
      </c>
      <c r="C543" s="7" t="str">
        <f>'Утв. ИП 2014-2019'!C545</f>
        <v>реконструкция</v>
      </c>
      <c r="D543" s="8"/>
      <c r="E543" s="8"/>
      <c r="F543" s="8"/>
      <c r="G543" s="8"/>
      <c r="H543" s="8"/>
      <c r="I543" s="8"/>
      <c r="J543" s="23"/>
      <c r="K543" s="23"/>
      <c r="L543" s="8"/>
      <c r="M543" s="8"/>
      <c r="N543" s="8"/>
      <c r="O543" s="8"/>
      <c r="P543" s="8"/>
      <c r="Q543" s="23"/>
      <c r="R543" s="136"/>
      <c r="S543" s="137"/>
      <c r="T543" s="128"/>
      <c r="U543" s="137"/>
      <c r="V543" s="128"/>
      <c r="W543" s="49"/>
      <c r="X543" s="128"/>
      <c r="Y543" s="49"/>
      <c r="Z543" s="128"/>
      <c r="AA543" s="49"/>
      <c r="AB543" s="128"/>
      <c r="AC543" s="49"/>
      <c r="AD543" s="133">
        <f t="shared" si="34"/>
        <v>0</v>
      </c>
      <c r="AE543" s="133">
        <f t="shared" si="35"/>
        <v>0</v>
      </c>
    </row>
    <row r="544" spans="1:31" ht="15.75" hidden="1" outlineLevel="2" x14ac:dyDescent="0.2">
      <c r="A544" s="25">
        <f>'Утв. ИП 2014-2019'!A546</f>
        <v>0</v>
      </c>
      <c r="B544" s="6">
        <f>'Утв. ИП 2014-2019'!B546</f>
        <v>0</v>
      </c>
      <c r="C544" s="7" t="str">
        <f>'Утв. ИП 2014-2019'!C546</f>
        <v>строительство</v>
      </c>
      <c r="D544" s="8"/>
      <c r="E544" s="8"/>
      <c r="F544" s="8"/>
      <c r="G544" s="8"/>
      <c r="H544" s="8"/>
      <c r="I544" s="8"/>
      <c r="J544" s="23"/>
      <c r="K544" s="8"/>
      <c r="L544" s="23"/>
      <c r="M544" s="8"/>
      <c r="N544" s="8"/>
      <c r="O544" s="8"/>
      <c r="P544" s="8"/>
      <c r="Q544" s="23"/>
      <c r="R544" s="136"/>
      <c r="S544" s="137"/>
      <c r="T544" s="128"/>
      <c r="U544" s="137"/>
      <c r="V544" s="128"/>
      <c r="W544" s="49"/>
      <c r="X544" s="128"/>
      <c r="Y544" s="49"/>
      <c r="Z544" s="128"/>
      <c r="AA544" s="49"/>
      <c r="AB544" s="128"/>
      <c r="AC544" s="49"/>
      <c r="AD544" s="133">
        <f t="shared" si="34"/>
        <v>0</v>
      </c>
      <c r="AE544" s="133">
        <f t="shared" si="35"/>
        <v>0</v>
      </c>
    </row>
    <row r="545" spans="1:31" ht="25.5" hidden="1" outlineLevel="1" collapsed="1" x14ac:dyDescent="0.2">
      <c r="A545" s="25" t="str">
        <f>'Утв. ИП 2014-2019'!A547</f>
        <v>1.1.6.2.100/12</v>
      </c>
      <c r="B545" s="6" t="str">
        <f>'Утв. ИП 2014-2019'!B547</f>
        <v>3.2.102</v>
      </c>
      <c r="C545" s="7" t="str">
        <f>'Утв. ИП 2014-2019'!C547</f>
        <v>Электроснабжение гаража № 58 по адресу: г. Липецк, ГК "Лада", ряд лит. 3</v>
      </c>
      <c r="D545" s="8"/>
      <c r="E545" s="8" t="str">
        <f>'Утв. ИП 2014-2019'!L547</f>
        <v>0,1 км/ 0 МВА</v>
      </c>
      <c r="F545" s="8"/>
      <c r="G545" s="8"/>
      <c r="H545" s="8"/>
      <c r="I545" s="8"/>
      <c r="J545" s="23" t="str">
        <f>'Утв. ИП 2014-2019'!Q547</f>
        <v>0,1 км/ 0 МВА</v>
      </c>
      <c r="K545" s="8"/>
      <c r="L545" s="23"/>
      <c r="M545" s="8"/>
      <c r="N545" s="8"/>
      <c r="O545" s="8"/>
      <c r="P545" s="8"/>
      <c r="Q545" s="23"/>
      <c r="R545" s="166"/>
      <c r="S545" s="167"/>
      <c r="T545" s="168"/>
      <c r="U545" s="167"/>
      <c r="V545" s="168"/>
      <c r="W545" s="169"/>
      <c r="X545" s="168"/>
      <c r="Y545" s="169"/>
      <c r="Z545" s="168"/>
      <c r="AA545" s="169"/>
      <c r="AB545" s="168"/>
      <c r="AC545" s="169"/>
      <c r="AD545" s="133">
        <f t="shared" si="34"/>
        <v>0</v>
      </c>
      <c r="AE545" s="133">
        <f t="shared" si="35"/>
        <v>0</v>
      </c>
    </row>
    <row r="546" spans="1:31" ht="15.75" hidden="1" outlineLevel="2" x14ac:dyDescent="0.2">
      <c r="A546" s="25">
        <f>'Утв. ИП 2014-2019'!A548</f>
        <v>0</v>
      </c>
      <c r="B546" s="6">
        <f>'Утв. ИП 2014-2019'!B548</f>
        <v>0</v>
      </c>
      <c r="C546" s="7" t="str">
        <f>'Утв. ИП 2014-2019'!C548</f>
        <v>реконструкция</v>
      </c>
      <c r="D546" s="8"/>
      <c r="E546" s="8"/>
      <c r="F546" s="8"/>
      <c r="G546" s="8"/>
      <c r="H546" s="8"/>
      <c r="I546" s="8"/>
      <c r="J546" s="23"/>
      <c r="K546" s="23"/>
      <c r="L546" s="8"/>
      <c r="M546" s="8"/>
      <c r="N546" s="8"/>
      <c r="O546" s="8"/>
      <c r="P546" s="8"/>
      <c r="Q546" s="23"/>
      <c r="R546" s="166"/>
      <c r="S546" s="167"/>
      <c r="T546" s="168"/>
      <c r="U546" s="167"/>
      <c r="V546" s="168"/>
      <c r="W546" s="169"/>
      <c r="X546" s="168"/>
      <c r="Y546" s="169"/>
      <c r="Z546" s="168"/>
      <c r="AA546" s="169"/>
      <c r="AB546" s="168"/>
      <c r="AC546" s="169"/>
      <c r="AD546" s="133">
        <f t="shared" si="34"/>
        <v>0</v>
      </c>
      <c r="AE546" s="133">
        <f t="shared" si="35"/>
        <v>0</v>
      </c>
    </row>
    <row r="547" spans="1:31" ht="15.75" hidden="1" outlineLevel="2" x14ac:dyDescent="0.2">
      <c r="A547" s="25">
        <f>'Утв. ИП 2014-2019'!A549</f>
        <v>0</v>
      </c>
      <c r="B547" s="6">
        <f>'Утв. ИП 2014-2019'!B549</f>
        <v>0</v>
      </c>
      <c r="C547" s="7" t="str">
        <f>'Утв. ИП 2014-2019'!C549</f>
        <v>строительство</v>
      </c>
      <c r="D547" s="8"/>
      <c r="E547" s="8"/>
      <c r="F547" s="8"/>
      <c r="G547" s="8"/>
      <c r="H547" s="8"/>
      <c r="I547" s="8"/>
      <c r="J547" s="23"/>
      <c r="K547" s="23"/>
      <c r="L547" s="8"/>
      <c r="M547" s="8"/>
      <c r="N547" s="8"/>
      <c r="O547" s="8"/>
      <c r="P547" s="8"/>
      <c r="Q547" s="23"/>
      <c r="R547" s="166"/>
      <c r="S547" s="167"/>
      <c r="T547" s="168"/>
      <c r="U547" s="167"/>
      <c r="V547" s="168"/>
      <c r="W547" s="169"/>
      <c r="X547" s="168"/>
      <c r="Y547" s="169"/>
      <c r="Z547" s="168"/>
      <c r="AA547" s="169"/>
      <c r="AB547" s="168"/>
      <c r="AC547" s="169"/>
      <c r="AD547" s="133">
        <f t="shared" si="34"/>
        <v>0</v>
      </c>
      <c r="AE547" s="133">
        <f t="shared" si="35"/>
        <v>0</v>
      </c>
    </row>
    <row r="548" spans="1:31" ht="15.75" hidden="1" outlineLevel="1" collapsed="1" x14ac:dyDescent="0.2">
      <c r="A548" s="25" t="str">
        <f>'Утв. ИП 2014-2019'!A550</f>
        <v>1.1.6.2.101/12</v>
      </c>
      <c r="B548" s="6" t="str">
        <f>'Утв. ИП 2014-2019'!B550</f>
        <v>3.2.103</v>
      </c>
      <c r="C548" s="7" t="str">
        <f>'Утв. ИП 2014-2019'!C550</f>
        <v>Электроснабжение гаражей в ГК "Вираж"</v>
      </c>
      <c r="D548" s="8"/>
      <c r="E548" s="8" t="str">
        <f>'Утв. ИП 2014-2019'!L550</f>
        <v>1 км/ 0 МВА</v>
      </c>
      <c r="F548" s="8"/>
      <c r="G548" s="8"/>
      <c r="H548" s="8"/>
      <c r="I548" s="8"/>
      <c r="J548" s="23" t="str">
        <f>'Утв. ИП 2014-2019'!Q550</f>
        <v>1 км/ 0 МВА</v>
      </c>
      <c r="K548" s="8"/>
      <c r="L548" s="23"/>
      <c r="M548" s="8"/>
      <c r="N548" s="8"/>
      <c r="O548" s="8"/>
      <c r="P548" s="8"/>
      <c r="Q548" s="23"/>
      <c r="R548" s="136"/>
      <c r="S548" s="137"/>
      <c r="T548" s="128"/>
      <c r="U548" s="137"/>
      <c r="V548" s="128"/>
      <c r="W548" s="49"/>
      <c r="X548" s="128"/>
      <c r="Y548" s="49"/>
      <c r="Z548" s="128"/>
      <c r="AA548" s="49"/>
      <c r="AB548" s="128"/>
      <c r="AC548" s="49"/>
      <c r="AD548" s="133">
        <f t="shared" si="34"/>
        <v>0</v>
      </c>
      <c r="AE548" s="133">
        <f t="shared" si="35"/>
        <v>0</v>
      </c>
    </row>
    <row r="549" spans="1:31" ht="15.75" hidden="1" outlineLevel="2" x14ac:dyDescent="0.2">
      <c r="A549" s="25">
        <f>'Утв. ИП 2014-2019'!A551</f>
        <v>0</v>
      </c>
      <c r="B549" s="6">
        <f>'Утв. ИП 2014-2019'!B551</f>
        <v>0</v>
      </c>
      <c r="C549" s="7" t="str">
        <f>'Утв. ИП 2014-2019'!C551</f>
        <v>реконструкция</v>
      </c>
      <c r="D549" s="8"/>
      <c r="E549" s="8"/>
      <c r="F549" s="8"/>
      <c r="G549" s="8"/>
      <c r="H549" s="8"/>
      <c r="I549" s="8"/>
      <c r="J549" s="23"/>
      <c r="K549" s="23"/>
      <c r="L549" s="8"/>
      <c r="M549" s="8"/>
      <c r="N549" s="8"/>
      <c r="O549" s="8"/>
      <c r="P549" s="8"/>
      <c r="Q549" s="23"/>
      <c r="R549" s="136"/>
      <c r="S549" s="137"/>
      <c r="T549" s="128"/>
      <c r="U549" s="137"/>
      <c r="V549" s="128"/>
      <c r="W549" s="49"/>
      <c r="X549" s="128"/>
      <c r="Y549" s="49"/>
      <c r="Z549" s="128"/>
      <c r="AA549" s="49"/>
      <c r="AB549" s="128"/>
      <c r="AC549" s="49"/>
      <c r="AD549" s="133">
        <f t="shared" si="34"/>
        <v>0</v>
      </c>
      <c r="AE549" s="133">
        <f t="shared" si="35"/>
        <v>0</v>
      </c>
    </row>
    <row r="550" spans="1:31" ht="15.75" hidden="1" outlineLevel="2" x14ac:dyDescent="0.2">
      <c r="A550" s="25">
        <f>'Утв. ИП 2014-2019'!A552</f>
        <v>0</v>
      </c>
      <c r="B550" s="6">
        <f>'Утв. ИП 2014-2019'!B552</f>
        <v>0</v>
      </c>
      <c r="C550" s="7" t="str">
        <f>'Утв. ИП 2014-2019'!C552</f>
        <v>строительство</v>
      </c>
      <c r="D550" s="8"/>
      <c r="E550" s="8"/>
      <c r="F550" s="8"/>
      <c r="G550" s="8"/>
      <c r="H550" s="8"/>
      <c r="I550" s="8"/>
      <c r="J550" s="23"/>
      <c r="K550" s="8"/>
      <c r="L550" s="23"/>
      <c r="M550" s="8"/>
      <c r="N550" s="8"/>
      <c r="O550" s="8"/>
      <c r="P550" s="8"/>
      <c r="Q550" s="23"/>
      <c r="R550" s="136"/>
      <c r="S550" s="137"/>
      <c r="T550" s="128"/>
      <c r="U550" s="137"/>
      <c r="V550" s="128"/>
      <c r="W550" s="49"/>
      <c r="X550" s="128"/>
      <c r="Y550" s="49"/>
      <c r="Z550" s="128"/>
      <c r="AA550" s="49"/>
      <c r="AB550" s="128"/>
      <c r="AC550" s="49"/>
      <c r="AD550" s="133">
        <f t="shared" si="34"/>
        <v>0</v>
      </c>
      <c r="AE550" s="133">
        <f t="shared" si="35"/>
        <v>0</v>
      </c>
    </row>
    <row r="551" spans="1:31" ht="51" hidden="1" outlineLevel="1" collapsed="1" x14ac:dyDescent="0.2">
      <c r="A551" s="25" t="str">
        <f>'Утв. ИП 2014-2019'!A553</f>
        <v>1.1.6.2.102/12</v>
      </c>
      <c r="B551" s="6" t="str">
        <f>'Утв. ИП 2014-2019'!B553</f>
        <v>3.2.104</v>
      </c>
      <c r="C551" s="7" t="str">
        <f>'Утв. ИП 2014-2019'!C553</f>
        <v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с/т "Машиностроитель-1", зем. уч. № 834</v>
      </c>
      <c r="D551" s="8" t="str">
        <f>'Утв. ИП 2014-2019'!K553</f>
        <v>0,0 км/ 0 МВА</v>
      </c>
      <c r="E551" s="8"/>
      <c r="F551" s="8"/>
      <c r="G551" s="8"/>
      <c r="H551" s="8"/>
      <c r="I551" s="8"/>
      <c r="J551" s="23" t="str">
        <f>'Утв. ИП 2014-2019'!Q553</f>
        <v>0,0 км/ 0 МВА</v>
      </c>
      <c r="K551" s="8"/>
      <c r="L551" s="23"/>
      <c r="M551" s="8"/>
      <c r="N551" s="8"/>
      <c r="O551" s="8"/>
      <c r="P551" s="8"/>
      <c r="Q551" s="23"/>
      <c r="R551" s="136"/>
      <c r="S551" s="137"/>
      <c r="T551" s="128"/>
      <c r="U551" s="137"/>
      <c r="V551" s="128"/>
      <c r="W551" s="49"/>
      <c r="X551" s="128"/>
      <c r="Y551" s="49"/>
      <c r="Z551" s="128"/>
      <c r="AA551" s="49"/>
      <c r="AB551" s="128"/>
      <c r="AC551" s="49"/>
      <c r="AD551" s="133">
        <f t="shared" si="34"/>
        <v>0</v>
      </c>
      <c r="AE551" s="133">
        <f t="shared" si="35"/>
        <v>0</v>
      </c>
    </row>
    <row r="552" spans="1:31" ht="15.75" hidden="1" outlineLevel="2" x14ac:dyDescent="0.2">
      <c r="A552" s="25">
        <f>'Утв. ИП 2014-2019'!A554</f>
        <v>0</v>
      </c>
      <c r="B552" s="6">
        <f>'Утв. ИП 2014-2019'!B554</f>
        <v>0</v>
      </c>
      <c r="C552" s="7" t="str">
        <f>'Утв. ИП 2014-2019'!C554</f>
        <v>реконструкция</v>
      </c>
      <c r="D552" s="8"/>
      <c r="E552" s="8"/>
      <c r="F552" s="8"/>
      <c r="G552" s="8"/>
      <c r="H552" s="8"/>
      <c r="I552" s="8"/>
      <c r="J552" s="23"/>
      <c r="K552" s="8"/>
      <c r="L552" s="23"/>
      <c r="M552" s="8"/>
      <c r="N552" s="8"/>
      <c r="O552" s="8"/>
      <c r="P552" s="8"/>
      <c r="Q552" s="23"/>
      <c r="R552" s="136"/>
      <c r="S552" s="137"/>
      <c r="T552" s="128"/>
      <c r="U552" s="137"/>
      <c r="V552" s="128"/>
      <c r="W552" s="49"/>
      <c r="X552" s="128"/>
      <c r="Y552" s="49"/>
      <c r="Z552" s="128"/>
      <c r="AA552" s="49"/>
      <c r="AB552" s="128"/>
      <c r="AC552" s="49"/>
      <c r="AD552" s="133">
        <f t="shared" si="34"/>
        <v>0</v>
      </c>
      <c r="AE552" s="133">
        <f t="shared" si="35"/>
        <v>0</v>
      </c>
    </row>
    <row r="553" spans="1:31" ht="15.75" hidden="1" outlineLevel="2" x14ac:dyDescent="0.2">
      <c r="A553" s="25">
        <f>'Утв. ИП 2014-2019'!A555</f>
        <v>0</v>
      </c>
      <c r="B553" s="6">
        <f>'Утв. ИП 2014-2019'!B555</f>
        <v>0</v>
      </c>
      <c r="C553" s="7" t="str">
        <f>'Утв. ИП 2014-2019'!C555</f>
        <v>строительство</v>
      </c>
      <c r="D553" s="8"/>
      <c r="E553" s="8"/>
      <c r="F553" s="8"/>
      <c r="G553" s="8"/>
      <c r="H553" s="8"/>
      <c r="I553" s="8"/>
      <c r="J553" s="23"/>
      <c r="K553" s="8"/>
      <c r="L553" s="23"/>
      <c r="M553" s="8"/>
      <c r="N553" s="8"/>
      <c r="O553" s="8"/>
      <c r="P553" s="8"/>
      <c r="Q553" s="23"/>
      <c r="R553" s="136"/>
      <c r="S553" s="137"/>
      <c r="T553" s="128"/>
      <c r="U553" s="137"/>
      <c r="V553" s="128"/>
      <c r="W553" s="49"/>
      <c r="X553" s="128"/>
      <c r="Y553" s="49"/>
      <c r="Z553" s="128"/>
      <c r="AA553" s="49"/>
      <c r="AB553" s="128"/>
      <c r="AC553" s="49"/>
      <c r="AD553" s="133">
        <f t="shared" si="34"/>
        <v>0</v>
      </c>
      <c r="AE553" s="133">
        <f t="shared" si="35"/>
        <v>0</v>
      </c>
    </row>
    <row r="554" spans="1:31" ht="51" hidden="1" outlineLevel="1" collapsed="1" x14ac:dyDescent="0.2">
      <c r="A554" s="25" t="str">
        <f>'Утв. ИП 2014-2019'!A556</f>
        <v>1.1.6.2.103/12</v>
      </c>
      <c r="B554" s="6" t="str">
        <f>'Утв. ИП 2014-2019'!B556</f>
        <v>3.2.105</v>
      </c>
      <c r="C554" s="7" t="str">
        <f>'Утв. ИП 2014-2019'!C556</f>
        <v>Монтаж узла учета на опоре ВЛ-0,4 кВ по ул. Индустриальная от КТП-301 для электроснабжения части II жилого дома по адресу: г. Липецк, ул. Индустриальная, д. 112, часть II жилого дома</v>
      </c>
      <c r="D554" s="8"/>
      <c r="E554" s="8" t="str">
        <f>'Утв. ИП 2014-2019'!L556</f>
        <v>0,0 км/ 0 МВА</v>
      </c>
      <c r="F554" s="8"/>
      <c r="G554" s="8"/>
      <c r="H554" s="8"/>
      <c r="I554" s="8"/>
      <c r="J554" s="23" t="str">
        <f>'Утв. ИП 2014-2019'!Q556</f>
        <v>0,0 км/ 0 МВА</v>
      </c>
      <c r="K554" s="23"/>
      <c r="L554" s="8"/>
      <c r="M554" s="8"/>
      <c r="N554" s="8"/>
      <c r="O554" s="8"/>
      <c r="P554" s="8"/>
      <c r="Q554" s="23"/>
      <c r="R554" s="136"/>
      <c r="S554" s="137"/>
      <c r="T554" s="128"/>
      <c r="U554" s="137"/>
      <c r="V554" s="128"/>
      <c r="W554" s="49"/>
      <c r="X554" s="128"/>
      <c r="Y554" s="49"/>
      <c r="Z554" s="128"/>
      <c r="AA554" s="49"/>
      <c r="AB554" s="128"/>
      <c r="AC554" s="49"/>
      <c r="AD554" s="133">
        <f t="shared" si="34"/>
        <v>0</v>
      </c>
      <c r="AE554" s="133">
        <f t="shared" si="35"/>
        <v>0</v>
      </c>
    </row>
    <row r="555" spans="1:31" ht="15.75" hidden="1" outlineLevel="2" x14ac:dyDescent="0.2">
      <c r="A555" s="25">
        <f>'Утв. ИП 2014-2019'!A557</f>
        <v>0</v>
      </c>
      <c r="B555" s="6">
        <f>'Утв. ИП 2014-2019'!B557</f>
        <v>0</v>
      </c>
      <c r="C555" s="7" t="str">
        <f>'Утв. ИП 2014-2019'!C557</f>
        <v>реконструкция</v>
      </c>
      <c r="D555" s="8"/>
      <c r="E555" s="8"/>
      <c r="F555" s="8"/>
      <c r="G555" s="8"/>
      <c r="H555" s="8"/>
      <c r="I555" s="8"/>
      <c r="J555" s="23"/>
      <c r="K555" s="8"/>
      <c r="L555" s="23"/>
      <c r="M555" s="8"/>
      <c r="N555" s="8"/>
      <c r="O555" s="8"/>
      <c r="P555" s="8"/>
      <c r="Q555" s="23"/>
      <c r="R555" s="136"/>
      <c r="S555" s="137"/>
      <c r="T555" s="128"/>
      <c r="U555" s="137"/>
      <c r="V555" s="128"/>
      <c r="W555" s="49"/>
      <c r="X555" s="128"/>
      <c r="Y555" s="49"/>
      <c r="Z555" s="128"/>
      <c r="AA555" s="49"/>
      <c r="AB555" s="128"/>
      <c r="AC555" s="49"/>
      <c r="AD555" s="133">
        <f t="shared" si="34"/>
        <v>0</v>
      </c>
      <c r="AE555" s="133">
        <f t="shared" si="35"/>
        <v>0</v>
      </c>
    </row>
    <row r="556" spans="1:31" ht="15.75" hidden="1" outlineLevel="2" x14ac:dyDescent="0.2">
      <c r="A556" s="25">
        <f>'Утв. ИП 2014-2019'!A558</f>
        <v>0</v>
      </c>
      <c r="B556" s="6">
        <f>'Утв. ИП 2014-2019'!B558</f>
        <v>0</v>
      </c>
      <c r="C556" s="7" t="str">
        <f>'Утв. ИП 2014-2019'!C558</f>
        <v>строительство</v>
      </c>
      <c r="D556" s="8"/>
      <c r="E556" s="8"/>
      <c r="F556" s="8"/>
      <c r="G556" s="8"/>
      <c r="H556" s="8"/>
      <c r="I556" s="8"/>
      <c r="J556" s="23"/>
      <c r="K556" s="8"/>
      <c r="L556" s="23"/>
      <c r="M556" s="8"/>
      <c r="N556" s="8"/>
      <c r="O556" s="8"/>
      <c r="P556" s="8"/>
      <c r="Q556" s="23"/>
      <c r="R556" s="136"/>
      <c r="S556" s="137"/>
      <c r="T556" s="128"/>
      <c r="U556" s="137"/>
      <c r="V556" s="128"/>
      <c r="W556" s="49"/>
      <c r="X556" s="128"/>
      <c r="Y556" s="49"/>
      <c r="Z556" s="128"/>
      <c r="AA556" s="49"/>
      <c r="AB556" s="128"/>
      <c r="AC556" s="49"/>
      <c r="AD556" s="133">
        <f t="shared" si="34"/>
        <v>0</v>
      </c>
      <c r="AE556" s="133">
        <f t="shared" si="35"/>
        <v>0</v>
      </c>
    </row>
    <row r="557" spans="1:31" ht="25.5" hidden="1" outlineLevel="1" collapsed="1" x14ac:dyDescent="0.2">
      <c r="A557" s="25" t="str">
        <f>'Утв. ИП 2014-2019'!A559</f>
        <v>1.1.6.2.104/12</v>
      </c>
      <c r="B557" s="6" t="str">
        <f>'Утв. ИП 2014-2019'!B559</f>
        <v>3.2.106</v>
      </c>
      <c r="C557" s="7" t="str">
        <f>'Утв. ИП 2014-2019'!C559</f>
        <v>Электроснабжение базовой станции сотовой связи № 35135 "Автопарк" по адресу: г. Липецк, ул. Механизаторов, д. 9</v>
      </c>
      <c r="D557" s="8"/>
      <c r="E557" s="8" t="str">
        <f>'Утв. ИП 2014-2019'!L559</f>
        <v>0,08 км/ 0 МВА</v>
      </c>
      <c r="F557" s="8"/>
      <c r="G557" s="8"/>
      <c r="H557" s="8"/>
      <c r="I557" s="8"/>
      <c r="J557" s="23" t="str">
        <f>'Утв. ИП 2014-2019'!Q559</f>
        <v>0,08 км/ 0 МВА</v>
      </c>
      <c r="K557" s="8"/>
      <c r="L557" s="23"/>
      <c r="M557" s="8"/>
      <c r="N557" s="8"/>
      <c r="O557" s="8"/>
      <c r="P557" s="8"/>
      <c r="Q557" s="23"/>
      <c r="R557" s="166"/>
      <c r="S557" s="167"/>
      <c r="T557" s="168"/>
      <c r="U557" s="167"/>
      <c r="V557" s="168"/>
      <c r="W557" s="169"/>
      <c r="X557" s="168"/>
      <c r="Y557" s="169"/>
      <c r="Z557" s="168"/>
      <c r="AA557" s="169"/>
      <c r="AB557" s="168"/>
      <c r="AC557" s="169"/>
      <c r="AD557" s="133">
        <f t="shared" si="34"/>
        <v>0</v>
      </c>
      <c r="AE557" s="133">
        <f t="shared" si="35"/>
        <v>0</v>
      </c>
    </row>
    <row r="558" spans="1:31" ht="15.75" hidden="1" outlineLevel="2" x14ac:dyDescent="0.2">
      <c r="A558" s="25">
        <f>'Утв. ИП 2014-2019'!A560</f>
        <v>0</v>
      </c>
      <c r="B558" s="6">
        <f>'Утв. ИП 2014-2019'!B560</f>
        <v>0</v>
      </c>
      <c r="C558" s="7" t="str">
        <f>'Утв. ИП 2014-2019'!C560</f>
        <v>реконструкция</v>
      </c>
      <c r="D558" s="8"/>
      <c r="E558" s="8"/>
      <c r="F558" s="8"/>
      <c r="G558" s="8"/>
      <c r="H558" s="8"/>
      <c r="I558" s="8"/>
      <c r="J558" s="23"/>
      <c r="K558" s="23"/>
      <c r="L558" s="8"/>
      <c r="M558" s="8"/>
      <c r="N558" s="8"/>
      <c r="O558" s="8"/>
      <c r="P558" s="8"/>
      <c r="Q558" s="23"/>
      <c r="R558" s="166"/>
      <c r="S558" s="167"/>
      <c r="T558" s="168"/>
      <c r="U558" s="167"/>
      <c r="V558" s="168"/>
      <c r="W558" s="169"/>
      <c r="X558" s="168"/>
      <c r="Y558" s="169"/>
      <c r="Z558" s="168"/>
      <c r="AA558" s="169"/>
      <c r="AB558" s="168"/>
      <c r="AC558" s="169"/>
      <c r="AD558" s="133">
        <f t="shared" si="34"/>
        <v>0</v>
      </c>
      <c r="AE558" s="133">
        <f t="shared" si="35"/>
        <v>0</v>
      </c>
    </row>
    <row r="559" spans="1:31" ht="15.75" hidden="1" outlineLevel="2" x14ac:dyDescent="0.2">
      <c r="A559" s="25">
        <f>'Утв. ИП 2014-2019'!A561</f>
        <v>0</v>
      </c>
      <c r="B559" s="6">
        <f>'Утв. ИП 2014-2019'!B561</f>
        <v>0</v>
      </c>
      <c r="C559" s="7" t="str">
        <f>'Утв. ИП 2014-2019'!C561</f>
        <v>строительство</v>
      </c>
      <c r="D559" s="8"/>
      <c r="E559" s="8"/>
      <c r="F559" s="8"/>
      <c r="G559" s="8"/>
      <c r="H559" s="8"/>
      <c r="I559" s="8"/>
      <c r="J559" s="23"/>
      <c r="K559" s="23"/>
      <c r="L559" s="8"/>
      <c r="M559" s="8"/>
      <c r="N559" s="8"/>
      <c r="O559" s="8"/>
      <c r="P559" s="8"/>
      <c r="Q559" s="23"/>
      <c r="R559" s="166"/>
      <c r="S559" s="167"/>
      <c r="T559" s="168"/>
      <c r="U559" s="167"/>
      <c r="V559" s="168"/>
      <c r="W559" s="169"/>
      <c r="X559" s="168"/>
      <c r="Y559" s="169"/>
      <c r="Z559" s="168"/>
      <c r="AA559" s="169"/>
      <c r="AB559" s="168"/>
      <c r="AC559" s="169"/>
      <c r="AD559" s="133">
        <f t="shared" si="34"/>
        <v>0</v>
      </c>
      <c r="AE559" s="133">
        <f t="shared" si="35"/>
        <v>0</v>
      </c>
    </row>
    <row r="560" spans="1:31" ht="38.25" hidden="1" outlineLevel="1" collapsed="1" x14ac:dyDescent="0.2">
      <c r="A560" s="25" t="str">
        <f>'Утв. ИП 2014-2019'!A562</f>
        <v>1.1.6.2.84/12</v>
      </c>
      <c r="B560" s="6" t="str">
        <f>'Утв. ИП 2014-2019'!B562</f>
        <v>3.2.107</v>
      </c>
      <c r="C560" s="7" t="str">
        <f>'Утв. ИП 2014-2019'!C562</f>
        <v>Реконструкция ВЛ-0,4 кВ по ул. Северная от ТП-418 (инв. № 346287) для электроснабжения гаража с погребом по адресу: г. Липецк, ул. 40 лет Октября, строение 23 А/1.</v>
      </c>
      <c r="D560" s="8"/>
      <c r="E560" s="8" t="str">
        <f>'Утв. ИП 2014-2019'!L562</f>
        <v>0,05 км/ 0 МВА</v>
      </c>
      <c r="F560" s="8"/>
      <c r="G560" s="8"/>
      <c r="H560" s="8"/>
      <c r="I560" s="8"/>
      <c r="J560" s="23" t="str">
        <f>'Утв. ИП 2014-2019'!Q562</f>
        <v>0,05 км/ 0 МВА</v>
      </c>
      <c r="K560" s="8"/>
      <c r="L560" s="23" t="s">
        <v>942</v>
      </c>
      <c r="M560" s="8"/>
      <c r="N560" s="8"/>
      <c r="O560" s="8"/>
      <c r="P560" s="8"/>
      <c r="Q560" s="23" t="s">
        <v>942</v>
      </c>
      <c r="R560" s="136"/>
      <c r="S560" s="137"/>
      <c r="T560" s="128">
        <v>0.05</v>
      </c>
      <c r="U560" s="137"/>
      <c r="V560" s="128"/>
      <c r="W560" s="49"/>
      <c r="X560" s="128"/>
      <c r="Y560" s="49"/>
      <c r="Z560" s="128"/>
      <c r="AA560" s="49"/>
      <c r="AB560" s="128"/>
      <c r="AC560" s="49"/>
      <c r="AD560" s="133">
        <f t="shared" si="34"/>
        <v>0.05</v>
      </c>
      <c r="AE560" s="133">
        <f t="shared" si="35"/>
        <v>0</v>
      </c>
    </row>
    <row r="561" spans="1:31" ht="15.75" hidden="1" outlineLevel="2" x14ac:dyDescent="0.2">
      <c r="A561" s="25">
        <f>'Утв. ИП 2014-2019'!A563</f>
        <v>0</v>
      </c>
      <c r="B561" s="6">
        <f>'Утв. ИП 2014-2019'!B563</f>
        <v>0</v>
      </c>
      <c r="C561" s="7" t="str">
        <f>'Утв. ИП 2014-2019'!C563</f>
        <v>реконструкция</v>
      </c>
      <c r="D561" s="8"/>
      <c r="E561" s="8"/>
      <c r="F561" s="8"/>
      <c r="G561" s="8"/>
      <c r="H561" s="8"/>
      <c r="I561" s="8"/>
      <c r="J561" s="23"/>
      <c r="K561" s="8"/>
      <c r="L561" s="23"/>
      <c r="M561" s="8"/>
      <c r="N561" s="8"/>
      <c r="O561" s="8"/>
      <c r="P561" s="8"/>
      <c r="Q561" s="23"/>
      <c r="R561" s="136"/>
      <c r="S561" s="137"/>
      <c r="T561" s="128"/>
      <c r="U561" s="137"/>
      <c r="V561" s="128"/>
      <c r="W561" s="49"/>
      <c r="X561" s="128"/>
      <c r="Y561" s="49"/>
      <c r="Z561" s="128"/>
      <c r="AA561" s="49"/>
      <c r="AB561" s="128"/>
      <c r="AC561" s="49"/>
      <c r="AD561" s="133">
        <f t="shared" si="34"/>
        <v>0</v>
      </c>
      <c r="AE561" s="133">
        <f t="shared" si="35"/>
        <v>0</v>
      </c>
    </row>
    <row r="562" spans="1:31" ht="15.75" hidden="1" outlineLevel="2" x14ac:dyDescent="0.2">
      <c r="A562" s="25">
        <f>'Утв. ИП 2014-2019'!A564</f>
        <v>0</v>
      </c>
      <c r="B562" s="6">
        <f>'Утв. ИП 2014-2019'!B564</f>
        <v>0</v>
      </c>
      <c r="C562" s="7" t="str">
        <f>'Утв. ИП 2014-2019'!C564</f>
        <v>строительство</v>
      </c>
      <c r="D562" s="8"/>
      <c r="E562" s="8"/>
      <c r="F562" s="8"/>
      <c r="G562" s="8"/>
      <c r="H562" s="8"/>
      <c r="I562" s="8"/>
      <c r="J562" s="23"/>
      <c r="K562" s="8"/>
      <c r="L562" s="23"/>
      <c r="M562" s="8"/>
      <c r="N562" s="8"/>
      <c r="O562" s="8"/>
      <c r="P562" s="8"/>
      <c r="Q562" s="23"/>
      <c r="R562" s="136"/>
      <c r="S562" s="137"/>
      <c r="T562" s="128"/>
      <c r="U562" s="137"/>
      <c r="V562" s="128"/>
      <c r="W562" s="49"/>
      <c r="X562" s="128"/>
      <c r="Y562" s="49"/>
      <c r="Z562" s="128"/>
      <c r="AA562" s="49"/>
      <c r="AB562" s="128"/>
      <c r="AC562" s="49"/>
      <c r="AD562" s="133">
        <f t="shared" si="34"/>
        <v>0</v>
      </c>
      <c r="AE562" s="133">
        <f t="shared" si="35"/>
        <v>0</v>
      </c>
    </row>
    <row r="563" spans="1:31" ht="25.5" hidden="1" outlineLevel="1" collapsed="1" x14ac:dyDescent="0.2">
      <c r="A563" s="25" t="str">
        <f>'Утв. ИП 2014-2019'!A565</f>
        <v>1.1.6.2.91/12</v>
      </c>
      <c r="B563" s="6" t="str">
        <f>'Утв. ИП 2014-2019'!B565</f>
        <v>3.2.108</v>
      </c>
      <c r="C563" s="7" t="str">
        <f>'Утв. ИП 2014-2019'!C565</f>
        <v>Электроснабжение садовых домиков в СНТ "Дачный-1"</v>
      </c>
      <c r="D563" s="8"/>
      <c r="E563" s="8" t="str">
        <f>'Утв. ИП 2014-2019'!L565</f>
        <v>0,5 км/ 0,16 МВА</v>
      </c>
      <c r="F563" s="8"/>
      <c r="G563" s="8"/>
      <c r="H563" s="8"/>
      <c r="I563" s="8"/>
      <c r="J563" s="23" t="str">
        <f>'Утв. ИП 2014-2019'!Q565</f>
        <v>0,5 км/ 0,16 МВА</v>
      </c>
      <c r="K563" s="8"/>
      <c r="L563" s="23"/>
      <c r="M563" s="8"/>
      <c r="N563" s="8"/>
      <c r="O563" s="8"/>
      <c r="P563" s="8"/>
      <c r="Q563" s="23"/>
      <c r="R563" s="136"/>
      <c r="S563" s="137"/>
      <c r="T563" s="128"/>
      <c r="U563" s="137"/>
      <c r="V563" s="128"/>
      <c r="W563" s="49"/>
      <c r="X563" s="128"/>
      <c r="Y563" s="49"/>
      <c r="Z563" s="128"/>
      <c r="AA563" s="49"/>
      <c r="AB563" s="128"/>
      <c r="AC563" s="49"/>
      <c r="AD563" s="133">
        <f t="shared" si="34"/>
        <v>0</v>
      </c>
      <c r="AE563" s="133">
        <f t="shared" si="35"/>
        <v>0</v>
      </c>
    </row>
    <row r="564" spans="1:31" ht="15.75" hidden="1" outlineLevel="2" x14ac:dyDescent="0.2">
      <c r="A564" s="25">
        <f>'Утв. ИП 2014-2019'!A566</f>
        <v>0</v>
      </c>
      <c r="B564" s="6">
        <f>'Утв. ИП 2014-2019'!B566</f>
        <v>0</v>
      </c>
      <c r="C564" s="7" t="str">
        <f>'Утв. ИП 2014-2019'!C566</f>
        <v>реконструкция</v>
      </c>
      <c r="D564" s="8"/>
      <c r="E564" s="8"/>
      <c r="F564" s="8"/>
      <c r="G564" s="8"/>
      <c r="H564" s="8"/>
      <c r="I564" s="8"/>
      <c r="J564" s="23"/>
      <c r="K564" s="23"/>
      <c r="L564" s="8"/>
      <c r="M564" s="8"/>
      <c r="N564" s="8"/>
      <c r="O564" s="8"/>
      <c r="P564" s="8"/>
      <c r="Q564" s="23"/>
      <c r="R564" s="136"/>
      <c r="S564" s="137"/>
      <c r="T564" s="128"/>
      <c r="U564" s="137"/>
      <c r="V564" s="128"/>
      <c r="W564" s="49"/>
      <c r="X564" s="128"/>
      <c r="Y564" s="49"/>
      <c r="Z564" s="128"/>
      <c r="AA564" s="49"/>
      <c r="AB564" s="128"/>
      <c r="AC564" s="49"/>
      <c r="AD564" s="133">
        <f t="shared" si="34"/>
        <v>0</v>
      </c>
      <c r="AE564" s="133">
        <f t="shared" si="35"/>
        <v>0</v>
      </c>
    </row>
    <row r="565" spans="1:31" ht="15.75" hidden="1" outlineLevel="2" x14ac:dyDescent="0.2">
      <c r="A565" s="25">
        <f>'Утв. ИП 2014-2019'!A567</f>
        <v>0</v>
      </c>
      <c r="B565" s="6">
        <f>'Утв. ИП 2014-2019'!B567</f>
        <v>0</v>
      </c>
      <c r="C565" s="7" t="str">
        <f>'Утв. ИП 2014-2019'!C567</f>
        <v>строительство</v>
      </c>
      <c r="D565" s="8"/>
      <c r="E565" s="8"/>
      <c r="F565" s="8"/>
      <c r="G565" s="8"/>
      <c r="H565" s="8"/>
      <c r="I565" s="8"/>
      <c r="J565" s="23"/>
      <c r="K565" s="8"/>
      <c r="L565" s="23"/>
      <c r="M565" s="8"/>
      <c r="N565" s="8"/>
      <c r="O565" s="8"/>
      <c r="P565" s="8"/>
      <c r="Q565" s="23"/>
      <c r="R565" s="136"/>
      <c r="S565" s="137"/>
      <c r="T565" s="128"/>
      <c r="U565" s="137"/>
      <c r="V565" s="128"/>
      <c r="W565" s="49"/>
      <c r="X565" s="128"/>
      <c r="Y565" s="49"/>
      <c r="Z565" s="128"/>
      <c r="AA565" s="49"/>
      <c r="AB565" s="128"/>
      <c r="AC565" s="49"/>
      <c r="AD565" s="133">
        <f t="shared" si="34"/>
        <v>0</v>
      </c>
      <c r="AE565" s="133">
        <f t="shared" si="35"/>
        <v>0</v>
      </c>
    </row>
    <row r="566" spans="1:31" ht="38.25" hidden="1" outlineLevel="1" collapsed="1" x14ac:dyDescent="0.2">
      <c r="A566" s="25" t="str">
        <f>'Утв. ИП 2014-2019'!A568</f>
        <v>1.1.6.2.93/12</v>
      </c>
      <c r="B566" s="6" t="str">
        <f>'Утв. ИП 2014-2019'!B568</f>
        <v>3.2.109</v>
      </c>
      <c r="C566" s="7" t="str">
        <f>'Утв. ИП 2014-2019'!C568</f>
        <v>Монтаж узла учета на опоре ВЛ-0,4 кВ по ул. Апраксина от ТП-857 для электроснабжения жилого дома по адресу: г. Липецк, с. Сселки, д. 429 (по схеме)</v>
      </c>
      <c r="D566" s="8"/>
      <c r="E566" s="8" t="str">
        <f>'Утв. ИП 2014-2019'!L568</f>
        <v>0,0 км/ 0 МВА</v>
      </c>
      <c r="F566" s="8"/>
      <c r="G566" s="8"/>
      <c r="H566" s="8"/>
      <c r="I566" s="8"/>
      <c r="J566" s="23" t="str">
        <f>'Утв. ИП 2014-2019'!Q568</f>
        <v>0,0 км/ 0 МВА</v>
      </c>
      <c r="K566" s="8"/>
      <c r="L566" s="23"/>
      <c r="M566" s="8"/>
      <c r="N566" s="8"/>
      <c r="O566" s="8"/>
      <c r="P566" s="8"/>
      <c r="Q566" s="23"/>
      <c r="R566" s="136"/>
      <c r="S566" s="137"/>
      <c r="T566" s="128"/>
      <c r="U566" s="137"/>
      <c r="V566" s="128"/>
      <c r="W566" s="49"/>
      <c r="X566" s="128"/>
      <c r="Y566" s="49"/>
      <c r="Z566" s="128"/>
      <c r="AA566" s="49"/>
      <c r="AB566" s="128"/>
      <c r="AC566" s="49"/>
      <c r="AD566" s="133">
        <f t="shared" si="34"/>
        <v>0</v>
      </c>
      <c r="AE566" s="133">
        <f t="shared" si="35"/>
        <v>0</v>
      </c>
    </row>
    <row r="567" spans="1:31" ht="15.75" hidden="1" outlineLevel="2" x14ac:dyDescent="0.2">
      <c r="A567" s="25">
        <f>'Утв. ИП 2014-2019'!A569</f>
        <v>0</v>
      </c>
      <c r="B567" s="6">
        <f>'Утв. ИП 2014-2019'!B569</f>
        <v>0</v>
      </c>
      <c r="C567" s="7" t="str">
        <f>'Утв. ИП 2014-2019'!C569</f>
        <v>реконструкция</v>
      </c>
      <c r="D567" s="8"/>
      <c r="E567" s="8"/>
      <c r="F567" s="8"/>
      <c r="G567" s="8"/>
      <c r="H567" s="8"/>
      <c r="I567" s="8"/>
      <c r="J567" s="23"/>
      <c r="K567" s="8"/>
      <c r="L567" s="23"/>
      <c r="M567" s="8"/>
      <c r="N567" s="8"/>
      <c r="O567" s="8"/>
      <c r="P567" s="8"/>
      <c r="Q567" s="23"/>
      <c r="R567" s="136"/>
      <c r="S567" s="137"/>
      <c r="T567" s="128"/>
      <c r="U567" s="137"/>
      <c r="V567" s="128"/>
      <c r="W567" s="49"/>
      <c r="X567" s="128"/>
      <c r="Y567" s="49"/>
      <c r="Z567" s="128"/>
      <c r="AA567" s="49"/>
      <c r="AB567" s="128"/>
      <c r="AC567" s="49"/>
      <c r="AD567" s="133">
        <f t="shared" si="34"/>
        <v>0</v>
      </c>
      <c r="AE567" s="133">
        <f t="shared" si="35"/>
        <v>0</v>
      </c>
    </row>
    <row r="568" spans="1:31" ht="15.75" hidden="1" outlineLevel="2" x14ac:dyDescent="0.2">
      <c r="A568" s="25">
        <f>'Утв. ИП 2014-2019'!A570</f>
        <v>0</v>
      </c>
      <c r="B568" s="6">
        <f>'Утв. ИП 2014-2019'!B570</f>
        <v>0</v>
      </c>
      <c r="C568" s="7" t="str">
        <f>'Утв. ИП 2014-2019'!C570</f>
        <v>строительство</v>
      </c>
      <c r="D568" s="8"/>
      <c r="E568" s="8"/>
      <c r="F568" s="8"/>
      <c r="G568" s="8"/>
      <c r="H568" s="8"/>
      <c r="I568" s="8"/>
      <c r="J568" s="23"/>
      <c r="K568" s="8"/>
      <c r="L568" s="23"/>
      <c r="M568" s="8"/>
      <c r="N568" s="8"/>
      <c r="O568" s="8"/>
      <c r="P568" s="8"/>
      <c r="Q568" s="23"/>
      <c r="R568" s="136"/>
      <c r="S568" s="137"/>
      <c r="T568" s="128"/>
      <c r="U568" s="137"/>
      <c r="V568" s="128"/>
      <c r="W568" s="49"/>
      <c r="X568" s="128"/>
      <c r="Y568" s="49"/>
      <c r="Z568" s="128"/>
      <c r="AA568" s="49"/>
      <c r="AB568" s="128"/>
      <c r="AC568" s="49"/>
      <c r="AD568" s="133">
        <f t="shared" si="34"/>
        <v>0</v>
      </c>
      <c r="AE568" s="133">
        <f t="shared" si="35"/>
        <v>0</v>
      </c>
    </row>
    <row r="569" spans="1:31" ht="51" hidden="1" outlineLevel="1" collapsed="1" x14ac:dyDescent="0.2">
      <c r="A569" s="25" t="str">
        <f>'Утв. ИП 2014-2019'!A571</f>
        <v>1.1.6.2.95/12</v>
      </c>
      <c r="B569" s="6" t="str">
        <f>'Утв. ИП 2014-2019'!B571</f>
        <v>3.2.110</v>
      </c>
      <c r="C569" s="7" t="str">
        <f>'Утв. ИП 2014-2019'!C571</f>
        <v>Монтаж узла учета на опоре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819</v>
      </c>
      <c r="D569" s="8"/>
      <c r="E569" s="8" t="str">
        <f>'Утв. ИП 2014-2019'!L571</f>
        <v>0,0 км/ 0 МВА</v>
      </c>
      <c r="F569" s="8"/>
      <c r="G569" s="8"/>
      <c r="H569" s="8"/>
      <c r="I569" s="8"/>
      <c r="J569" s="23" t="str">
        <f>'Утв. ИП 2014-2019'!Q571</f>
        <v>0,0 км/ 0 МВА</v>
      </c>
      <c r="K569" s="8"/>
      <c r="L569" s="23"/>
      <c r="M569" s="8"/>
      <c r="N569" s="8"/>
      <c r="O569" s="8"/>
      <c r="P569" s="8"/>
      <c r="Q569" s="23"/>
      <c r="R569" s="136"/>
      <c r="S569" s="137"/>
      <c r="T569" s="128"/>
      <c r="U569" s="137"/>
      <c r="V569" s="128"/>
      <c r="W569" s="49"/>
      <c r="X569" s="128"/>
      <c r="Y569" s="49"/>
      <c r="Z569" s="128"/>
      <c r="AA569" s="49"/>
      <c r="AB569" s="128"/>
      <c r="AC569" s="49"/>
      <c r="AD569" s="133">
        <f t="shared" si="34"/>
        <v>0</v>
      </c>
      <c r="AE569" s="133">
        <f t="shared" si="35"/>
        <v>0</v>
      </c>
    </row>
    <row r="570" spans="1:31" ht="15.75" hidden="1" outlineLevel="2" x14ac:dyDescent="0.2">
      <c r="A570" s="25">
        <f>'Утв. ИП 2014-2019'!A572</f>
        <v>0</v>
      </c>
      <c r="B570" s="6">
        <f>'Утв. ИП 2014-2019'!B572</f>
        <v>0</v>
      </c>
      <c r="C570" s="7" t="str">
        <f>'Утв. ИП 2014-2019'!C572</f>
        <v>реконструкция</v>
      </c>
      <c r="D570" s="8"/>
      <c r="E570" s="8"/>
      <c r="F570" s="8"/>
      <c r="G570" s="8"/>
      <c r="H570" s="8"/>
      <c r="I570" s="8"/>
      <c r="J570" s="23"/>
      <c r="K570" s="8"/>
      <c r="L570" s="23"/>
      <c r="M570" s="8"/>
      <c r="N570" s="8"/>
      <c r="O570" s="8"/>
      <c r="P570" s="8"/>
      <c r="Q570" s="23"/>
      <c r="R570" s="136"/>
      <c r="S570" s="137"/>
      <c r="T570" s="128"/>
      <c r="U570" s="137"/>
      <c r="V570" s="128"/>
      <c r="W570" s="49"/>
      <c r="X570" s="128"/>
      <c r="Y570" s="49"/>
      <c r="Z570" s="128"/>
      <c r="AA570" s="49"/>
      <c r="AB570" s="128"/>
      <c r="AC570" s="49"/>
      <c r="AD570" s="133">
        <f t="shared" si="34"/>
        <v>0</v>
      </c>
      <c r="AE570" s="133">
        <f t="shared" si="35"/>
        <v>0</v>
      </c>
    </row>
    <row r="571" spans="1:31" ht="15.75" hidden="1" outlineLevel="2" x14ac:dyDescent="0.2">
      <c r="A571" s="25">
        <f>'Утв. ИП 2014-2019'!A573</f>
        <v>0</v>
      </c>
      <c r="B571" s="6">
        <f>'Утв. ИП 2014-2019'!B573</f>
        <v>0</v>
      </c>
      <c r="C571" s="7" t="str">
        <f>'Утв. ИП 2014-2019'!C573</f>
        <v>строительство</v>
      </c>
      <c r="D571" s="8"/>
      <c r="E571" s="8"/>
      <c r="F571" s="8"/>
      <c r="G571" s="8"/>
      <c r="H571" s="8"/>
      <c r="I571" s="8"/>
      <c r="J571" s="23"/>
      <c r="K571" s="23"/>
      <c r="L571" s="8"/>
      <c r="M571" s="8"/>
      <c r="N571" s="8"/>
      <c r="O571" s="8"/>
      <c r="P571" s="8"/>
      <c r="Q571" s="23"/>
      <c r="R571" s="136"/>
      <c r="S571" s="137"/>
      <c r="T571" s="128"/>
      <c r="U571" s="137"/>
      <c r="V571" s="128"/>
      <c r="W571" s="49"/>
      <c r="X571" s="128"/>
      <c r="Y571" s="49"/>
      <c r="Z571" s="128"/>
      <c r="AA571" s="49"/>
      <c r="AB571" s="128"/>
      <c r="AC571" s="49"/>
      <c r="AD571" s="133">
        <f t="shared" si="34"/>
        <v>0</v>
      </c>
      <c r="AE571" s="133">
        <f t="shared" si="35"/>
        <v>0</v>
      </c>
    </row>
    <row r="572" spans="1:31" ht="38.25" hidden="1" outlineLevel="1" collapsed="1" x14ac:dyDescent="0.2">
      <c r="A572" s="25" t="str">
        <f>'Утв. ИП 2014-2019'!A574</f>
        <v>1.1.6.2.105/12</v>
      </c>
      <c r="B572" s="6" t="str">
        <f>'Утв. ИП 2014-2019'!B574</f>
        <v>3.2.111</v>
      </c>
      <c r="C572" s="7" t="str">
        <f>'Утв. ИП 2014-2019'!C574</f>
        <v>Электроснабжение пункта проката плавательных средств на набережной реки Воронеж по адресу: г. Липецк, ул. 50 лет НЛМК</v>
      </c>
      <c r="D572" s="8"/>
      <c r="E572" s="8" t="str">
        <f>'Утв. ИП 2014-2019'!L574</f>
        <v>0 км/ 0 МВА</v>
      </c>
      <c r="F572" s="8"/>
      <c r="G572" s="8"/>
      <c r="H572" s="8"/>
      <c r="I572" s="8"/>
      <c r="J572" s="23" t="str">
        <f>'Утв. ИП 2014-2019'!Q574</f>
        <v>0 км/ 0 МВА</v>
      </c>
      <c r="K572" s="8"/>
      <c r="L572" s="23"/>
      <c r="M572" s="8"/>
      <c r="N572" s="8"/>
      <c r="O572" s="8"/>
      <c r="P572" s="8"/>
      <c r="Q572" s="23"/>
      <c r="R572" s="136"/>
      <c r="S572" s="137"/>
      <c r="T572" s="128"/>
      <c r="U572" s="137"/>
      <c r="V572" s="128"/>
      <c r="W572" s="49"/>
      <c r="X572" s="128"/>
      <c r="Y572" s="49"/>
      <c r="Z572" s="128"/>
      <c r="AA572" s="49"/>
      <c r="AB572" s="128"/>
      <c r="AC572" s="49"/>
      <c r="AD572" s="133">
        <f t="shared" si="34"/>
        <v>0</v>
      </c>
      <c r="AE572" s="133">
        <f t="shared" si="35"/>
        <v>0</v>
      </c>
    </row>
    <row r="573" spans="1:31" ht="15.75" hidden="1" outlineLevel="2" x14ac:dyDescent="0.2">
      <c r="A573" s="25">
        <f>'Утв. ИП 2014-2019'!A575</f>
        <v>0</v>
      </c>
      <c r="B573" s="6">
        <f>'Утв. ИП 2014-2019'!B575</f>
        <v>0</v>
      </c>
      <c r="C573" s="7" t="str">
        <f>'Утв. ИП 2014-2019'!C575</f>
        <v>реконструкция</v>
      </c>
      <c r="D573" s="8"/>
      <c r="E573" s="8"/>
      <c r="F573" s="8"/>
      <c r="G573" s="8"/>
      <c r="H573" s="8"/>
      <c r="I573" s="8"/>
      <c r="J573" s="23"/>
      <c r="K573" s="23"/>
      <c r="L573" s="8"/>
      <c r="M573" s="8"/>
      <c r="N573" s="8"/>
      <c r="O573" s="8"/>
      <c r="P573" s="8"/>
      <c r="Q573" s="23"/>
      <c r="R573" s="136"/>
      <c r="S573" s="137"/>
      <c r="T573" s="128"/>
      <c r="U573" s="137"/>
      <c r="V573" s="128"/>
      <c r="W573" s="49"/>
      <c r="X573" s="128"/>
      <c r="Y573" s="49"/>
      <c r="Z573" s="128"/>
      <c r="AA573" s="49"/>
      <c r="AB573" s="128"/>
      <c r="AC573" s="49"/>
      <c r="AD573" s="133">
        <f t="shared" si="34"/>
        <v>0</v>
      </c>
      <c r="AE573" s="133">
        <f t="shared" si="35"/>
        <v>0</v>
      </c>
    </row>
    <row r="574" spans="1:31" ht="15.75" hidden="1" outlineLevel="2" x14ac:dyDescent="0.2">
      <c r="A574" s="25">
        <f>'Утв. ИП 2014-2019'!A576</f>
        <v>0</v>
      </c>
      <c r="B574" s="6">
        <f>'Утв. ИП 2014-2019'!B576</f>
        <v>0</v>
      </c>
      <c r="C574" s="7" t="str">
        <f>'Утв. ИП 2014-2019'!C576</f>
        <v>строительство</v>
      </c>
      <c r="D574" s="8"/>
      <c r="E574" s="8"/>
      <c r="F574" s="8"/>
      <c r="G574" s="8"/>
      <c r="H574" s="8"/>
      <c r="I574" s="8"/>
      <c r="J574" s="23"/>
      <c r="K574" s="8"/>
      <c r="L574" s="23"/>
      <c r="M574" s="8"/>
      <c r="N574" s="8"/>
      <c r="O574" s="8"/>
      <c r="P574" s="8"/>
      <c r="Q574" s="23"/>
      <c r="R574" s="136"/>
      <c r="S574" s="137"/>
      <c r="T574" s="128"/>
      <c r="U574" s="137"/>
      <c r="V574" s="128"/>
      <c r="W574" s="49"/>
      <c r="X574" s="128"/>
      <c r="Y574" s="49"/>
      <c r="Z574" s="128"/>
      <c r="AA574" s="49"/>
      <c r="AB574" s="128"/>
      <c r="AC574" s="49"/>
      <c r="AD574" s="133">
        <f t="shared" si="34"/>
        <v>0</v>
      </c>
      <c r="AE574" s="133">
        <f t="shared" si="35"/>
        <v>0</v>
      </c>
    </row>
    <row r="575" spans="1:31" ht="51" hidden="1" outlineLevel="1" collapsed="1" x14ac:dyDescent="0.2">
      <c r="A575" s="25" t="str">
        <f>'Утв. ИП 2014-2019'!A577</f>
        <v>1.1.6.2.106/12</v>
      </c>
      <c r="B575" s="6" t="str">
        <f>'Утв. ИП 2014-2019'!B577</f>
        <v>3.2.112</v>
      </c>
      <c r="C575" s="7" t="str">
        <f>'Утв. ИП 2014-2019'!C577</f>
        <v>Реконструкция ВЛ-0,4 кВ, смонтированной по п. 1.1.6.2.5/11 программы перспективного развития, от КТП-23 для электроснабжения садового домика по адресу: г. Липецк, СНТ "имени И.В. Мичурина", ул. Трубная, уч. № 62</v>
      </c>
      <c r="D575" s="8" t="str">
        <f>'Утв. ИП 2014-2019'!K577</f>
        <v>0,05 км/ 0 МВА</v>
      </c>
      <c r="E575" s="8"/>
      <c r="F575" s="8"/>
      <c r="G575" s="8"/>
      <c r="H575" s="8"/>
      <c r="I575" s="8"/>
      <c r="J575" s="23" t="str">
        <f>'Утв. ИП 2014-2019'!Q577</f>
        <v>0,05 км/ 0 МВА</v>
      </c>
      <c r="K575" s="23" t="s">
        <v>942</v>
      </c>
      <c r="L575" s="23"/>
      <c r="M575" s="8"/>
      <c r="N575" s="8"/>
      <c r="O575" s="8"/>
      <c r="P575" s="8"/>
      <c r="Q575" s="23" t="s">
        <v>942</v>
      </c>
      <c r="R575" s="136">
        <v>0.05</v>
      </c>
      <c r="S575" s="137"/>
      <c r="T575" s="128"/>
      <c r="U575" s="137"/>
      <c r="V575" s="128"/>
      <c r="W575" s="49"/>
      <c r="X575" s="128"/>
      <c r="Y575" s="49"/>
      <c r="Z575" s="128"/>
      <c r="AA575" s="49"/>
      <c r="AB575" s="128"/>
      <c r="AC575" s="49"/>
      <c r="AD575" s="133">
        <f t="shared" si="34"/>
        <v>0.05</v>
      </c>
      <c r="AE575" s="133">
        <f t="shared" si="35"/>
        <v>0</v>
      </c>
    </row>
    <row r="576" spans="1:31" ht="15.75" hidden="1" outlineLevel="2" x14ac:dyDescent="0.2">
      <c r="A576" s="25">
        <f>'Утв. ИП 2014-2019'!A578</f>
        <v>0</v>
      </c>
      <c r="B576" s="6">
        <f>'Утв. ИП 2014-2019'!B578</f>
        <v>0</v>
      </c>
      <c r="C576" s="7" t="str">
        <f>'Утв. ИП 2014-2019'!C578</f>
        <v>реконструкция</v>
      </c>
      <c r="D576" s="8"/>
      <c r="E576" s="8"/>
      <c r="F576" s="8"/>
      <c r="G576" s="8"/>
      <c r="H576" s="8"/>
      <c r="I576" s="8"/>
      <c r="J576" s="23"/>
      <c r="K576" s="23"/>
      <c r="L576" s="8"/>
      <c r="M576" s="8"/>
      <c r="N576" s="8"/>
      <c r="O576" s="8"/>
      <c r="P576" s="8"/>
      <c r="Q576" s="23"/>
      <c r="R576" s="136"/>
      <c r="S576" s="137"/>
      <c r="T576" s="128"/>
      <c r="U576" s="137"/>
      <c r="V576" s="128"/>
      <c r="W576" s="49"/>
      <c r="X576" s="128"/>
      <c r="Y576" s="49"/>
      <c r="Z576" s="128"/>
      <c r="AA576" s="49"/>
      <c r="AB576" s="128"/>
      <c r="AC576" s="49"/>
      <c r="AD576" s="133">
        <f t="shared" si="34"/>
        <v>0</v>
      </c>
      <c r="AE576" s="133">
        <f t="shared" si="35"/>
        <v>0</v>
      </c>
    </row>
    <row r="577" spans="1:31" ht="15.75" hidden="1" outlineLevel="2" x14ac:dyDescent="0.2">
      <c r="A577" s="25">
        <f>'Утв. ИП 2014-2019'!A579</f>
        <v>0</v>
      </c>
      <c r="B577" s="6">
        <f>'Утв. ИП 2014-2019'!B579</f>
        <v>0</v>
      </c>
      <c r="C577" s="7" t="str">
        <f>'Утв. ИП 2014-2019'!C579</f>
        <v>строительство</v>
      </c>
      <c r="D577" s="8"/>
      <c r="E577" s="8"/>
      <c r="F577" s="8"/>
      <c r="G577" s="8"/>
      <c r="H577" s="8"/>
      <c r="I577" s="8"/>
      <c r="J577" s="23"/>
      <c r="K577" s="8"/>
      <c r="L577" s="23"/>
      <c r="M577" s="8"/>
      <c r="N577" s="8"/>
      <c r="O577" s="8"/>
      <c r="P577" s="8"/>
      <c r="Q577" s="23"/>
      <c r="R577" s="136"/>
      <c r="S577" s="137"/>
      <c r="T577" s="128"/>
      <c r="U577" s="137"/>
      <c r="V577" s="128"/>
      <c r="W577" s="49"/>
      <c r="X577" s="128"/>
      <c r="Y577" s="49"/>
      <c r="Z577" s="128"/>
      <c r="AA577" s="49"/>
      <c r="AB577" s="128"/>
      <c r="AC577" s="49"/>
      <c r="AD577" s="133">
        <f t="shared" si="34"/>
        <v>0</v>
      </c>
      <c r="AE577" s="133">
        <f t="shared" si="35"/>
        <v>0</v>
      </c>
    </row>
    <row r="578" spans="1:31" ht="25.5" hidden="1" outlineLevel="1" collapsed="1" x14ac:dyDescent="0.2">
      <c r="A578" s="25" t="str">
        <f>'Утв. ИП 2014-2019'!A580</f>
        <v>1.1.6.2.107/12</v>
      </c>
      <c r="B578" s="6" t="str">
        <f>'Утв. ИП 2014-2019'!B580</f>
        <v>3.2.113</v>
      </c>
      <c r="C578" s="7" t="str">
        <f>'Утв. ИП 2014-2019'!C580</f>
        <v>Электроснабжение садового домика по адресу: г. Липецк, СНТ "Монтажник", участок № 949</v>
      </c>
      <c r="D578" s="8"/>
      <c r="E578" s="8" t="str">
        <f>'Утв. ИП 2014-2019'!L580</f>
        <v>0,5 км/ 0,1 МВА</v>
      </c>
      <c r="F578" s="8"/>
      <c r="G578" s="8"/>
      <c r="H578" s="8"/>
      <c r="I578" s="8"/>
      <c r="J578" s="23" t="str">
        <f>'Утв. ИП 2014-2019'!Q580</f>
        <v>0,5 км/ 0,1 МВА</v>
      </c>
      <c r="K578" s="8"/>
      <c r="L578" s="23"/>
      <c r="M578" s="8"/>
      <c r="N578" s="8"/>
      <c r="O578" s="8"/>
      <c r="P578" s="8"/>
      <c r="Q578" s="23"/>
      <c r="R578" s="136"/>
      <c r="S578" s="137"/>
      <c r="T578" s="128"/>
      <c r="U578" s="137"/>
      <c r="V578" s="128"/>
      <c r="W578" s="49"/>
      <c r="X578" s="128"/>
      <c r="Y578" s="49"/>
      <c r="Z578" s="128"/>
      <c r="AA578" s="49"/>
      <c r="AB578" s="128"/>
      <c r="AC578" s="49"/>
      <c r="AD578" s="133">
        <f t="shared" si="34"/>
        <v>0</v>
      </c>
      <c r="AE578" s="133">
        <f t="shared" si="35"/>
        <v>0</v>
      </c>
    </row>
    <row r="579" spans="1:31" ht="15.75" hidden="1" outlineLevel="2" x14ac:dyDescent="0.2">
      <c r="A579" s="25">
        <f>'Утв. ИП 2014-2019'!A581</f>
        <v>0</v>
      </c>
      <c r="B579" s="6">
        <f>'Утв. ИП 2014-2019'!B581</f>
        <v>0</v>
      </c>
      <c r="C579" s="7" t="str">
        <f>'Утв. ИП 2014-2019'!C581</f>
        <v>реконструкция</v>
      </c>
      <c r="D579" s="8"/>
      <c r="E579" s="8"/>
      <c r="F579" s="8"/>
      <c r="G579" s="8"/>
      <c r="H579" s="8"/>
      <c r="I579" s="8"/>
      <c r="J579" s="23"/>
      <c r="K579" s="23"/>
      <c r="L579" s="8"/>
      <c r="M579" s="8"/>
      <c r="N579" s="8"/>
      <c r="O579" s="8"/>
      <c r="P579" s="8"/>
      <c r="Q579" s="23"/>
      <c r="R579" s="136"/>
      <c r="S579" s="137"/>
      <c r="T579" s="128"/>
      <c r="U579" s="137"/>
      <c r="V579" s="128"/>
      <c r="W579" s="49"/>
      <c r="X579" s="128"/>
      <c r="Y579" s="49"/>
      <c r="Z579" s="128"/>
      <c r="AA579" s="49"/>
      <c r="AB579" s="128"/>
      <c r="AC579" s="49"/>
      <c r="AD579" s="133">
        <f t="shared" si="34"/>
        <v>0</v>
      </c>
      <c r="AE579" s="133">
        <f t="shared" si="35"/>
        <v>0</v>
      </c>
    </row>
    <row r="580" spans="1:31" ht="15.75" hidden="1" outlineLevel="2" x14ac:dyDescent="0.2">
      <c r="A580" s="25">
        <f>'Утв. ИП 2014-2019'!A582</f>
        <v>0</v>
      </c>
      <c r="B580" s="6">
        <f>'Утв. ИП 2014-2019'!B582</f>
        <v>0</v>
      </c>
      <c r="C580" s="7" t="str">
        <f>'Утв. ИП 2014-2019'!C582</f>
        <v>строительство</v>
      </c>
      <c r="D580" s="8"/>
      <c r="E580" s="8"/>
      <c r="F580" s="8"/>
      <c r="G580" s="8"/>
      <c r="H580" s="8"/>
      <c r="I580" s="8"/>
      <c r="J580" s="23"/>
      <c r="K580" s="8"/>
      <c r="L580" s="23"/>
      <c r="M580" s="8"/>
      <c r="N580" s="8"/>
      <c r="O580" s="8"/>
      <c r="P580" s="8"/>
      <c r="Q580" s="23"/>
      <c r="R580" s="136"/>
      <c r="S580" s="137"/>
      <c r="T580" s="128"/>
      <c r="U580" s="137"/>
      <c r="V580" s="128"/>
      <c r="W580" s="49"/>
      <c r="X580" s="128"/>
      <c r="Y580" s="49"/>
      <c r="Z580" s="128"/>
      <c r="AA580" s="49"/>
      <c r="AB580" s="128"/>
      <c r="AC580" s="49"/>
      <c r="AD580" s="133">
        <f t="shared" si="34"/>
        <v>0</v>
      </c>
      <c r="AE580" s="133">
        <f t="shared" si="35"/>
        <v>0</v>
      </c>
    </row>
    <row r="581" spans="1:31" ht="51" hidden="1" outlineLevel="1" collapsed="1" x14ac:dyDescent="0.2">
      <c r="A581" s="25" t="str">
        <f>'Утв. ИП 2014-2019'!A583</f>
        <v>1.1.6.2.108/12</v>
      </c>
      <c r="B581" s="6" t="str">
        <f>'Утв. ИП 2014-2019'!B583</f>
        <v>3.2.114</v>
      </c>
      <c r="C581" s="7" t="str">
        <f>'Утв. ИП 2014-2019'!C583</f>
        <v>Монтаж узла учета на опоре ВЛ-0,4 кВ по ул. Жемчужная, смонтированной по п. 1.1.6.2.33/12 программы перспективного развития, от КТП-854 для электроснабжения жилого дома по адресу: г. Липецк, ул. Жемчужная, д. 6</v>
      </c>
      <c r="D581" s="8"/>
      <c r="E581" s="8" t="str">
        <f>'Утв. ИП 2014-2019'!L583</f>
        <v>0,0 км/ 0 МВА</v>
      </c>
      <c r="F581" s="8"/>
      <c r="G581" s="8"/>
      <c r="H581" s="8"/>
      <c r="I581" s="8"/>
      <c r="J581" s="23" t="str">
        <f>'Утв. ИП 2014-2019'!Q583</f>
        <v>0,0 км/ 0 МВА</v>
      </c>
      <c r="K581" s="23"/>
      <c r="L581" s="8"/>
      <c r="M581" s="8"/>
      <c r="N581" s="8"/>
      <c r="O581" s="8"/>
      <c r="P581" s="8"/>
      <c r="Q581" s="23"/>
      <c r="R581" s="136"/>
      <c r="S581" s="137"/>
      <c r="T581" s="128"/>
      <c r="U581" s="137"/>
      <c r="V581" s="128"/>
      <c r="W581" s="49"/>
      <c r="X581" s="128"/>
      <c r="Y581" s="49"/>
      <c r="Z581" s="128"/>
      <c r="AA581" s="49"/>
      <c r="AB581" s="128"/>
      <c r="AC581" s="49"/>
      <c r="AD581" s="133">
        <f t="shared" si="34"/>
        <v>0</v>
      </c>
      <c r="AE581" s="133">
        <f t="shared" si="35"/>
        <v>0</v>
      </c>
    </row>
    <row r="582" spans="1:31" ht="15.75" hidden="1" outlineLevel="2" x14ac:dyDescent="0.2">
      <c r="A582" s="25">
        <f>'Утв. ИП 2014-2019'!A584</f>
        <v>0</v>
      </c>
      <c r="B582" s="6">
        <f>'Утв. ИП 2014-2019'!B584</f>
        <v>0</v>
      </c>
      <c r="C582" s="7" t="str">
        <f>'Утв. ИП 2014-2019'!C584</f>
        <v>реконструкция</v>
      </c>
      <c r="D582" s="8"/>
      <c r="E582" s="8"/>
      <c r="F582" s="8"/>
      <c r="G582" s="8"/>
      <c r="H582" s="8"/>
      <c r="I582" s="8"/>
      <c r="J582" s="23"/>
      <c r="K582" s="23"/>
      <c r="L582" s="8"/>
      <c r="M582" s="8"/>
      <c r="N582" s="8"/>
      <c r="O582" s="8"/>
      <c r="P582" s="8"/>
      <c r="Q582" s="23"/>
      <c r="R582" s="136"/>
      <c r="S582" s="137"/>
      <c r="T582" s="128"/>
      <c r="U582" s="137"/>
      <c r="V582" s="128"/>
      <c r="W582" s="49"/>
      <c r="X582" s="128"/>
      <c r="Y582" s="49"/>
      <c r="Z582" s="128"/>
      <c r="AA582" s="49"/>
      <c r="AB582" s="128"/>
      <c r="AC582" s="49"/>
      <c r="AD582" s="133">
        <f t="shared" si="34"/>
        <v>0</v>
      </c>
      <c r="AE582" s="133">
        <f t="shared" si="35"/>
        <v>0</v>
      </c>
    </row>
    <row r="583" spans="1:31" ht="15.75" hidden="1" outlineLevel="2" x14ac:dyDescent="0.2">
      <c r="A583" s="25">
        <f>'Утв. ИП 2014-2019'!A585</f>
        <v>0</v>
      </c>
      <c r="B583" s="6">
        <f>'Утв. ИП 2014-2019'!B585</f>
        <v>0</v>
      </c>
      <c r="C583" s="7" t="str">
        <f>'Утв. ИП 2014-2019'!C585</f>
        <v>строительство</v>
      </c>
      <c r="D583" s="8"/>
      <c r="E583" s="8"/>
      <c r="F583" s="8"/>
      <c r="G583" s="8"/>
      <c r="H583" s="8"/>
      <c r="I583" s="8"/>
      <c r="J583" s="23"/>
      <c r="K583" s="8"/>
      <c r="L583" s="23"/>
      <c r="M583" s="8"/>
      <c r="N583" s="8"/>
      <c r="O583" s="8"/>
      <c r="P583" s="8"/>
      <c r="Q583" s="23"/>
      <c r="R583" s="136"/>
      <c r="S583" s="137"/>
      <c r="T583" s="128"/>
      <c r="U583" s="137"/>
      <c r="V583" s="128"/>
      <c r="W583" s="49"/>
      <c r="X583" s="128"/>
      <c r="Y583" s="49"/>
      <c r="Z583" s="128"/>
      <c r="AA583" s="49"/>
      <c r="AB583" s="128"/>
      <c r="AC583" s="49"/>
      <c r="AD583" s="133">
        <f t="shared" si="34"/>
        <v>0</v>
      </c>
      <c r="AE583" s="133">
        <f t="shared" si="35"/>
        <v>0</v>
      </c>
    </row>
    <row r="584" spans="1:31" ht="38.25" hidden="1" outlineLevel="1" collapsed="1" x14ac:dyDescent="0.2">
      <c r="A584" s="25" t="str">
        <f>'Утв. ИП 2014-2019'!A586</f>
        <v>1.1.6.2.109/12</v>
      </c>
      <c r="B584" s="6" t="str">
        <f>'Утв. ИП 2014-2019'!B586</f>
        <v>3.2.115</v>
      </c>
      <c r="C584" s="7" t="str">
        <f>'Утв. ИП 2014-2019'!C586</f>
        <v>Монтаж оборудования в РУ-0,4 кВ ТП-507 для электроснабжения киоска № К-4450 по адресу: г. Липецк, пл. Мира, в районе магазина "Мировой"</v>
      </c>
      <c r="D584" s="8" t="str">
        <f>'Утв. ИП 2014-2019'!K586</f>
        <v>0,0 км/ 0 МВА</v>
      </c>
      <c r="E584" s="8"/>
      <c r="F584" s="8"/>
      <c r="G584" s="8"/>
      <c r="H584" s="8"/>
      <c r="I584" s="8"/>
      <c r="J584" s="23" t="str">
        <f>'Утв. ИП 2014-2019'!Q586</f>
        <v>0,0 км/ 0 МВА</v>
      </c>
      <c r="K584" s="8"/>
      <c r="L584" s="23"/>
      <c r="M584" s="8"/>
      <c r="N584" s="8"/>
      <c r="O584" s="8"/>
      <c r="P584" s="8"/>
      <c r="Q584" s="23"/>
      <c r="R584" s="136"/>
      <c r="S584" s="137"/>
      <c r="T584" s="128"/>
      <c r="U584" s="137"/>
      <c r="V584" s="128"/>
      <c r="W584" s="49"/>
      <c r="X584" s="128"/>
      <c r="Y584" s="49"/>
      <c r="Z584" s="128"/>
      <c r="AA584" s="49"/>
      <c r="AB584" s="128"/>
      <c r="AC584" s="49"/>
      <c r="AD584" s="133">
        <f t="shared" si="34"/>
        <v>0</v>
      </c>
      <c r="AE584" s="133">
        <f t="shared" si="35"/>
        <v>0</v>
      </c>
    </row>
    <row r="585" spans="1:31" ht="15.75" hidden="1" outlineLevel="2" x14ac:dyDescent="0.2">
      <c r="A585" s="25">
        <f>'Утв. ИП 2014-2019'!A587</f>
        <v>0</v>
      </c>
      <c r="B585" s="6">
        <f>'Утв. ИП 2014-2019'!B587</f>
        <v>0</v>
      </c>
      <c r="C585" s="7" t="str">
        <f>'Утв. ИП 2014-2019'!C587</f>
        <v>реконструкция</v>
      </c>
      <c r="D585" s="8"/>
      <c r="E585" s="8"/>
      <c r="F585" s="8"/>
      <c r="G585" s="8"/>
      <c r="H585" s="8"/>
      <c r="I585" s="8"/>
      <c r="J585" s="23"/>
      <c r="K585" s="23"/>
      <c r="L585" s="8"/>
      <c r="M585" s="8"/>
      <c r="N585" s="8"/>
      <c r="O585" s="8"/>
      <c r="P585" s="8"/>
      <c r="Q585" s="23"/>
      <c r="R585" s="136"/>
      <c r="S585" s="137"/>
      <c r="T585" s="128"/>
      <c r="U585" s="137"/>
      <c r="V585" s="128"/>
      <c r="W585" s="49"/>
      <c r="X585" s="128"/>
      <c r="Y585" s="49"/>
      <c r="Z585" s="128"/>
      <c r="AA585" s="49"/>
      <c r="AB585" s="128"/>
      <c r="AC585" s="49"/>
      <c r="AD585" s="133">
        <f t="shared" ref="AD585:AD613" si="36">R585+T585+V585+X585+Z585+AB585</f>
        <v>0</v>
      </c>
      <c r="AE585" s="133">
        <f t="shared" ref="AE585:AE612" si="37">S585+U585+W585+Y585+AA585+AC585</f>
        <v>0</v>
      </c>
    </row>
    <row r="586" spans="1:31" ht="15.75" hidden="1" outlineLevel="2" x14ac:dyDescent="0.2">
      <c r="A586" s="25">
        <f>'Утв. ИП 2014-2019'!A588</f>
        <v>0</v>
      </c>
      <c r="B586" s="6">
        <f>'Утв. ИП 2014-2019'!B588</f>
        <v>0</v>
      </c>
      <c r="C586" s="7" t="str">
        <f>'Утв. ИП 2014-2019'!C588</f>
        <v>строительство</v>
      </c>
      <c r="D586" s="8"/>
      <c r="E586" s="8"/>
      <c r="F586" s="8"/>
      <c r="G586" s="8"/>
      <c r="H586" s="8"/>
      <c r="I586" s="8"/>
      <c r="J586" s="23"/>
      <c r="K586" s="23"/>
      <c r="L586" s="8"/>
      <c r="M586" s="8"/>
      <c r="N586" s="8"/>
      <c r="O586" s="8"/>
      <c r="P586" s="8"/>
      <c r="Q586" s="23"/>
      <c r="R586" s="136"/>
      <c r="S586" s="137"/>
      <c r="T586" s="128"/>
      <c r="U586" s="137"/>
      <c r="V586" s="128"/>
      <c r="W586" s="49"/>
      <c r="X586" s="128"/>
      <c r="Y586" s="49"/>
      <c r="Z586" s="128"/>
      <c r="AA586" s="49"/>
      <c r="AB586" s="128"/>
      <c r="AC586" s="49"/>
      <c r="AD586" s="133">
        <f t="shared" si="36"/>
        <v>0</v>
      </c>
      <c r="AE586" s="133">
        <f t="shared" si="37"/>
        <v>0</v>
      </c>
    </row>
    <row r="587" spans="1:31" ht="25.5" hidden="1" outlineLevel="1" collapsed="1" x14ac:dyDescent="0.2">
      <c r="A587" s="25" t="str">
        <f>'Утв. ИП 2014-2019'!A589</f>
        <v>1.1.6.2.110/12</v>
      </c>
      <c r="B587" s="6" t="str">
        <f>'Утв. ИП 2014-2019'!B589</f>
        <v>3.2.116</v>
      </c>
      <c r="C587" s="7" t="str">
        <f>'Утв. ИП 2014-2019'!C589</f>
        <v>Строительство КЛ-0,4 кВ от ТП-642 до здания аптеки по адресу: г. Липецк, ул. Ударников, д. 7 а</v>
      </c>
      <c r="D587" s="8"/>
      <c r="E587" s="8" t="str">
        <f>'Утв. ИП 2014-2019'!L589</f>
        <v>0,1 км/ 0 МВА</v>
      </c>
      <c r="F587" s="8"/>
      <c r="G587" s="8"/>
      <c r="H587" s="8"/>
      <c r="I587" s="8"/>
      <c r="J587" s="23" t="str">
        <f>'Утв. ИП 2014-2019'!Q589</f>
        <v>0,1 км/ 0 МВА</v>
      </c>
      <c r="K587" s="23"/>
      <c r="L587" s="8"/>
      <c r="M587" s="8"/>
      <c r="N587" s="8"/>
      <c r="O587" s="8"/>
      <c r="P587" s="8"/>
      <c r="Q587" s="23"/>
      <c r="R587" s="136"/>
      <c r="S587" s="137"/>
      <c r="T587" s="128"/>
      <c r="U587" s="137"/>
      <c r="V587" s="128"/>
      <c r="W587" s="49"/>
      <c r="X587" s="128"/>
      <c r="Y587" s="49"/>
      <c r="Z587" s="128"/>
      <c r="AA587" s="49"/>
      <c r="AB587" s="128"/>
      <c r="AC587" s="49"/>
      <c r="AD587" s="133">
        <f t="shared" si="36"/>
        <v>0</v>
      </c>
      <c r="AE587" s="133">
        <f t="shared" si="37"/>
        <v>0</v>
      </c>
    </row>
    <row r="588" spans="1:31" ht="15.75" hidden="1" outlineLevel="2" x14ac:dyDescent="0.2">
      <c r="A588" s="25">
        <f>'Утв. ИП 2014-2019'!A590</f>
        <v>0</v>
      </c>
      <c r="B588" s="6">
        <f>'Утв. ИП 2014-2019'!B590</f>
        <v>0</v>
      </c>
      <c r="C588" s="7" t="str">
        <f>'Утв. ИП 2014-2019'!C590</f>
        <v>реконструкция</v>
      </c>
      <c r="D588" s="8"/>
      <c r="E588" s="8"/>
      <c r="F588" s="8"/>
      <c r="G588" s="8"/>
      <c r="H588" s="8"/>
      <c r="I588" s="8"/>
      <c r="J588" s="23"/>
      <c r="K588" s="8"/>
      <c r="L588" s="23"/>
      <c r="M588" s="8"/>
      <c r="N588" s="8"/>
      <c r="O588" s="8"/>
      <c r="P588" s="8"/>
      <c r="Q588" s="23"/>
      <c r="R588" s="136"/>
      <c r="S588" s="137"/>
      <c r="T588" s="128"/>
      <c r="U588" s="137"/>
      <c r="V588" s="128"/>
      <c r="W588" s="49"/>
      <c r="X588" s="128"/>
      <c r="Y588" s="49"/>
      <c r="Z588" s="128"/>
      <c r="AA588" s="49"/>
      <c r="AB588" s="128"/>
      <c r="AC588" s="49"/>
      <c r="AD588" s="133">
        <f t="shared" si="36"/>
        <v>0</v>
      </c>
      <c r="AE588" s="133">
        <f t="shared" si="37"/>
        <v>0</v>
      </c>
    </row>
    <row r="589" spans="1:31" ht="15.75" hidden="1" outlineLevel="2" x14ac:dyDescent="0.2">
      <c r="A589" s="25">
        <f>'Утв. ИП 2014-2019'!A591</f>
        <v>0</v>
      </c>
      <c r="B589" s="6">
        <f>'Утв. ИП 2014-2019'!B591</f>
        <v>0</v>
      </c>
      <c r="C589" s="7" t="str">
        <f>'Утв. ИП 2014-2019'!C591</f>
        <v>строительство</v>
      </c>
      <c r="D589" s="8"/>
      <c r="E589" s="8"/>
      <c r="F589" s="8"/>
      <c r="G589" s="8"/>
      <c r="H589" s="8"/>
      <c r="I589" s="8"/>
      <c r="J589" s="23"/>
      <c r="K589" s="23"/>
      <c r="L589" s="8"/>
      <c r="M589" s="8"/>
      <c r="N589" s="8"/>
      <c r="O589" s="8"/>
      <c r="P589" s="8"/>
      <c r="Q589" s="23"/>
      <c r="R589" s="136"/>
      <c r="S589" s="137"/>
      <c r="T589" s="128"/>
      <c r="U589" s="137"/>
      <c r="V589" s="128"/>
      <c r="W589" s="49"/>
      <c r="X589" s="128"/>
      <c r="Y589" s="49"/>
      <c r="Z589" s="128"/>
      <c r="AA589" s="49"/>
      <c r="AB589" s="128"/>
      <c r="AC589" s="49"/>
      <c r="AD589" s="133">
        <f t="shared" si="36"/>
        <v>0</v>
      </c>
      <c r="AE589" s="133">
        <f t="shared" si="37"/>
        <v>0</v>
      </c>
    </row>
    <row r="590" spans="1:31" ht="25.5" hidden="1" outlineLevel="1" collapsed="1" x14ac:dyDescent="0.2">
      <c r="A590" s="25" t="str">
        <f>'Утв. ИП 2014-2019'!A592</f>
        <v>1.1.6.2.111/12</v>
      </c>
      <c r="B590" s="6" t="str">
        <f>'Утв. ИП 2014-2019'!B592</f>
        <v>3.2.117</v>
      </c>
      <c r="C590" s="7" t="str">
        <f>'Утв. ИП 2014-2019'!C592</f>
        <v>Электроснабжение нежилых помещений по адресу: г. Липецк, пр. 60 лет СССР, д. 23, корп. а</v>
      </c>
      <c r="D590" s="8"/>
      <c r="E590" s="8" t="str">
        <f>'Утв. ИП 2014-2019'!L592</f>
        <v>0,1 км/ 0 МВА</v>
      </c>
      <c r="F590" s="8"/>
      <c r="G590" s="8"/>
      <c r="H590" s="8"/>
      <c r="I590" s="8"/>
      <c r="J590" s="23" t="str">
        <f>'Утв. ИП 2014-2019'!Q592</f>
        <v>0,1 км/ 0 МВА</v>
      </c>
      <c r="K590" s="8"/>
      <c r="L590" s="23"/>
      <c r="M590" s="8"/>
      <c r="N590" s="8"/>
      <c r="O590" s="8"/>
      <c r="P590" s="8"/>
      <c r="Q590" s="23"/>
      <c r="R590" s="166"/>
      <c r="S590" s="167"/>
      <c r="T590" s="168"/>
      <c r="U590" s="167"/>
      <c r="V590" s="168"/>
      <c r="W590" s="169"/>
      <c r="X590" s="168"/>
      <c r="Y590" s="169"/>
      <c r="Z590" s="168"/>
      <c r="AA590" s="169"/>
      <c r="AB590" s="168"/>
      <c r="AC590" s="169"/>
      <c r="AD590" s="133">
        <f t="shared" si="36"/>
        <v>0</v>
      </c>
      <c r="AE590" s="133">
        <f t="shared" si="37"/>
        <v>0</v>
      </c>
    </row>
    <row r="591" spans="1:31" ht="15.75" hidden="1" outlineLevel="2" x14ac:dyDescent="0.2">
      <c r="A591" s="25">
        <f>'Утв. ИП 2014-2019'!A593</f>
        <v>0</v>
      </c>
      <c r="B591" s="6">
        <f>'Утв. ИП 2014-2019'!B593</f>
        <v>0</v>
      </c>
      <c r="C591" s="7" t="str">
        <f>'Утв. ИП 2014-2019'!C593</f>
        <v>реконструкция</v>
      </c>
      <c r="D591" s="8"/>
      <c r="E591" s="8"/>
      <c r="F591" s="8"/>
      <c r="G591" s="8"/>
      <c r="H591" s="8"/>
      <c r="I591" s="8"/>
      <c r="J591" s="23"/>
      <c r="K591" s="8"/>
      <c r="L591" s="23"/>
      <c r="M591" s="8"/>
      <c r="N591" s="8"/>
      <c r="O591" s="8"/>
      <c r="P591" s="8"/>
      <c r="Q591" s="23"/>
      <c r="R591" s="166"/>
      <c r="S591" s="167"/>
      <c r="T591" s="168"/>
      <c r="U591" s="167"/>
      <c r="V591" s="168"/>
      <c r="W591" s="169"/>
      <c r="X591" s="168"/>
      <c r="Y591" s="169"/>
      <c r="Z591" s="168"/>
      <c r="AA591" s="169"/>
      <c r="AB591" s="168"/>
      <c r="AC591" s="169"/>
      <c r="AD591" s="133">
        <f t="shared" si="36"/>
        <v>0</v>
      </c>
      <c r="AE591" s="133">
        <f t="shared" si="37"/>
        <v>0</v>
      </c>
    </row>
    <row r="592" spans="1:31" ht="15.75" hidden="1" outlineLevel="2" x14ac:dyDescent="0.2">
      <c r="A592" s="25">
        <f>'Утв. ИП 2014-2019'!A594</f>
        <v>0</v>
      </c>
      <c r="B592" s="6">
        <f>'Утв. ИП 2014-2019'!B594</f>
        <v>0</v>
      </c>
      <c r="C592" s="7" t="str">
        <f>'Утв. ИП 2014-2019'!C594</f>
        <v>строительство</v>
      </c>
      <c r="D592" s="8"/>
      <c r="E592" s="8"/>
      <c r="F592" s="8"/>
      <c r="G592" s="8"/>
      <c r="H592" s="8"/>
      <c r="I592" s="8"/>
      <c r="J592" s="23"/>
      <c r="K592" s="8"/>
      <c r="L592" s="23"/>
      <c r="M592" s="8"/>
      <c r="N592" s="8"/>
      <c r="O592" s="8"/>
      <c r="P592" s="8"/>
      <c r="Q592" s="23"/>
      <c r="R592" s="166"/>
      <c r="S592" s="167"/>
      <c r="T592" s="168"/>
      <c r="U592" s="167"/>
      <c r="V592" s="168"/>
      <c r="W592" s="169"/>
      <c r="X592" s="168"/>
      <c r="Y592" s="169"/>
      <c r="Z592" s="168"/>
      <c r="AA592" s="169"/>
      <c r="AB592" s="168"/>
      <c r="AC592" s="169"/>
      <c r="AD592" s="133">
        <f t="shared" si="36"/>
        <v>0</v>
      </c>
      <c r="AE592" s="133">
        <f t="shared" si="37"/>
        <v>0</v>
      </c>
    </row>
    <row r="593" spans="1:31" ht="38.25" hidden="1" outlineLevel="1" collapsed="1" x14ac:dyDescent="0.2">
      <c r="A593" s="25" t="str">
        <f>'Утв. ИП 2014-2019'!A595</f>
        <v>1.1.6.2.112/12</v>
      </c>
      <c r="B593" s="6" t="str">
        <f>'Утв. ИП 2014-2019'!B595</f>
        <v>3.2.118</v>
      </c>
      <c r="C593" s="7" t="str">
        <f>'Утв. ИП 2014-2019'!C595</f>
        <v xml:space="preserve">Электроснабжение индивидуального жилого дома и летней кухни по адресу: г. Липецк, ул. Зеленая, д. 19 "а" и ул. Зеленая, д. 27 </v>
      </c>
      <c r="D593" s="8"/>
      <c r="E593" s="8" t="str">
        <f>'Утв. ИП 2014-2019'!L595</f>
        <v>0,3 км/ 0 МВА</v>
      </c>
      <c r="F593" s="8"/>
      <c r="G593" s="8"/>
      <c r="H593" s="8"/>
      <c r="I593" s="8"/>
      <c r="J593" s="23" t="str">
        <f>'Утв. ИП 2014-2019'!Q595</f>
        <v>0,3 км/ 0 МВА</v>
      </c>
      <c r="K593" s="8"/>
      <c r="L593" s="23"/>
      <c r="M593" s="8"/>
      <c r="N593" s="8"/>
      <c r="O593" s="8"/>
      <c r="P593" s="8"/>
      <c r="Q593" s="23"/>
      <c r="R593" s="166"/>
      <c r="S593" s="167"/>
      <c r="T593" s="168"/>
      <c r="U593" s="167"/>
      <c r="V593" s="168"/>
      <c r="W593" s="169"/>
      <c r="X593" s="168"/>
      <c r="Y593" s="169"/>
      <c r="Z593" s="168"/>
      <c r="AA593" s="169"/>
      <c r="AB593" s="168"/>
      <c r="AC593" s="169"/>
      <c r="AD593" s="133">
        <f t="shared" si="36"/>
        <v>0</v>
      </c>
      <c r="AE593" s="133">
        <f t="shared" si="37"/>
        <v>0</v>
      </c>
    </row>
    <row r="594" spans="1:31" ht="15.75" hidden="1" outlineLevel="2" x14ac:dyDescent="0.2">
      <c r="A594" s="25">
        <f>'Утв. ИП 2014-2019'!A596</f>
        <v>0</v>
      </c>
      <c r="B594" s="6">
        <f>'Утв. ИП 2014-2019'!B596</f>
        <v>0</v>
      </c>
      <c r="C594" s="7" t="str">
        <f>'Утв. ИП 2014-2019'!C596</f>
        <v>реконструкция</v>
      </c>
      <c r="D594" s="8"/>
      <c r="E594" s="8"/>
      <c r="F594" s="8"/>
      <c r="G594" s="8"/>
      <c r="H594" s="8"/>
      <c r="I594" s="8"/>
      <c r="J594" s="23"/>
      <c r="K594" s="8"/>
      <c r="L594" s="23"/>
      <c r="M594" s="8"/>
      <c r="N594" s="8"/>
      <c r="O594" s="8"/>
      <c r="P594" s="8"/>
      <c r="Q594" s="23"/>
      <c r="R594" s="166"/>
      <c r="S594" s="167"/>
      <c r="T594" s="168"/>
      <c r="U594" s="167"/>
      <c r="V594" s="168"/>
      <c r="W594" s="169"/>
      <c r="X594" s="168"/>
      <c r="Y594" s="169"/>
      <c r="Z594" s="168"/>
      <c r="AA594" s="169"/>
      <c r="AB594" s="168"/>
      <c r="AC594" s="169"/>
      <c r="AD594" s="133">
        <f t="shared" si="36"/>
        <v>0</v>
      </c>
      <c r="AE594" s="133">
        <f t="shared" si="37"/>
        <v>0</v>
      </c>
    </row>
    <row r="595" spans="1:31" ht="15.75" hidden="1" outlineLevel="2" x14ac:dyDescent="0.2">
      <c r="A595" s="25">
        <f>'Утв. ИП 2014-2019'!A597</f>
        <v>0</v>
      </c>
      <c r="B595" s="6">
        <f>'Утв. ИП 2014-2019'!B597</f>
        <v>0</v>
      </c>
      <c r="C595" s="7" t="str">
        <f>'Утв. ИП 2014-2019'!C597</f>
        <v>строительство</v>
      </c>
      <c r="D595" s="8"/>
      <c r="E595" s="8"/>
      <c r="F595" s="8"/>
      <c r="G595" s="8"/>
      <c r="H595" s="8"/>
      <c r="I595" s="8"/>
      <c r="J595" s="23"/>
      <c r="K595" s="8"/>
      <c r="L595" s="23"/>
      <c r="M595" s="8"/>
      <c r="N595" s="8"/>
      <c r="O595" s="8"/>
      <c r="P595" s="8"/>
      <c r="Q595" s="23"/>
      <c r="R595" s="166"/>
      <c r="S595" s="167"/>
      <c r="T595" s="168"/>
      <c r="U595" s="167"/>
      <c r="V595" s="168"/>
      <c r="W595" s="169"/>
      <c r="X595" s="168"/>
      <c r="Y595" s="169"/>
      <c r="Z595" s="168"/>
      <c r="AA595" s="169"/>
      <c r="AB595" s="168"/>
      <c r="AC595" s="169"/>
      <c r="AD595" s="133">
        <f t="shared" si="36"/>
        <v>0</v>
      </c>
      <c r="AE595" s="133">
        <f t="shared" si="37"/>
        <v>0</v>
      </c>
    </row>
    <row r="596" spans="1:31" ht="38.25" hidden="1" outlineLevel="1" collapsed="1" x14ac:dyDescent="0.2">
      <c r="A596" s="25" t="str">
        <f>'Утв. ИП 2014-2019'!A598</f>
        <v>1.1.6.2.113/12</v>
      </c>
      <c r="B596" s="6" t="str">
        <f>'Утв. ИП 2014-2019'!B598</f>
        <v>3.2.119</v>
      </c>
      <c r="C596" s="7" t="str">
        <f>'Утв. ИП 2014-2019'!C598</f>
        <v>Электроснабжение полигона войсковых стрельбищ по адресу: Липецкая область, Липецкий район, сельское поселение Введенский сельсовет, у с. Ильино</v>
      </c>
      <c r="D596" s="8"/>
      <c r="E596" s="8" t="str">
        <f>'Утв. ИП 2014-2019'!L598</f>
        <v>0,4 км/ 0 МВА</v>
      </c>
      <c r="F596" s="8"/>
      <c r="G596" s="8"/>
      <c r="H596" s="8"/>
      <c r="I596" s="8"/>
      <c r="J596" s="23" t="str">
        <f>'Утв. ИП 2014-2019'!Q598</f>
        <v>0,4 км/ 0 МВА</v>
      </c>
      <c r="K596" s="8"/>
      <c r="L596" s="23"/>
      <c r="M596" s="8"/>
      <c r="N596" s="8"/>
      <c r="O596" s="8"/>
      <c r="P596" s="8"/>
      <c r="Q596" s="23"/>
      <c r="R596" s="166"/>
      <c r="S596" s="167"/>
      <c r="T596" s="168"/>
      <c r="U596" s="167"/>
      <c r="V596" s="168"/>
      <c r="W596" s="169"/>
      <c r="X596" s="168"/>
      <c r="Y596" s="169"/>
      <c r="Z596" s="168"/>
      <c r="AA596" s="169"/>
      <c r="AB596" s="168"/>
      <c r="AC596" s="169"/>
      <c r="AD596" s="133">
        <f t="shared" si="36"/>
        <v>0</v>
      </c>
      <c r="AE596" s="133">
        <f t="shared" si="37"/>
        <v>0</v>
      </c>
    </row>
    <row r="597" spans="1:31" ht="15.75" hidden="1" outlineLevel="2" x14ac:dyDescent="0.2">
      <c r="A597" s="25">
        <f>'Утв. ИП 2014-2019'!A599</f>
        <v>0</v>
      </c>
      <c r="B597" s="6">
        <f>'Утв. ИП 2014-2019'!B599</f>
        <v>0</v>
      </c>
      <c r="C597" s="7" t="str">
        <f>'Утв. ИП 2014-2019'!C599</f>
        <v>реконструкция</v>
      </c>
      <c r="D597" s="8"/>
      <c r="E597" s="8"/>
      <c r="F597" s="8"/>
      <c r="G597" s="8"/>
      <c r="H597" s="8"/>
      <c r="I597" s="8"/>
      <c r="J597" s="23"/>
      <c r="K597" s="8"/>
      <c r="L597" s="23"/>
      <c r="M597" s="8"/>
      <c r="N597" s="8"/>
      <c r="O597" s="8"/>
      <c r="P597" s="8"/>
      <c r="Q597" s="23"/>
      <c r="R597" s="166"/>
      <c r="S597" s="167"/>
      <c r="T597" s="168"/>
      <c r="U597" s="167"/>
      <c r="V597" s="168"/>
      <c r="W597" s="169"/>
      <c r="X597" s="168"/>
      <c r="Y597" s="169"/>
      <c r="Z597" s="168"/>
      <c r="AA597" s="169"/>
      <c r="AB597" s="168"/>
      <c r="AC597" s="169"/>
      <c r="AD597" s="133">
        <f t="shared" si="36"/>
        <v>0</v>
      </c>
      <c r="AE597" s="133">
        <f t="shared" si="37"/>
        <v>0</v>
      </c>
    </row>
    <row r="598" spans="1:31" ht="15.75" hidden="1" outlineLevel="2" x14ac:dyDescent="0.2">
      <c r="A598" s="25">
        <f>'Утв. ИП 2014-2019'!A600</f>
        <v>0</v>
      </c>
      <c r="B598" s="6">
        <f>'Утв. ИП 2014-2019'!B600</f>
        <v>0</v>
      </c>
      <c r="C598" s="7" t="str">
        <f>'Утв. ИП 2014-2019'!C600</f>
        <v>строительство</v>
      </c>
      <c r="D598" s="8"/>
      <c r="E598" s="8"/>
      <c r="F598" s="8"/>
      <c r="G598" s="8"/>
      <c r="H598" s="8"/>
      <c r="I598" s="8"/>
      <c r="J598" s="23"/>
      <c r="K598" s="8"/>
      <c r="L598" s="23"/>
      <c r="M598" s="8"/>
      <c r="N598" s="8"/>
      <c r="O598" s="8"/>
      <c r="P598" s="8"/>
      <c r="Q598" s="23"/>
      <c r="R598" s="166"/>
      <c r="S598" s="167"/>
      <c r="T598" s="168"/>
      <c r="U598" s="167"/>
      <c r="V598" s="168"/>
      <c r="W598" s="169"/>
      <c r="X598" s="168"/>
      <c r="Y598" s="169"/>
      <c r="Z598" s="168"/>
      <c r="AA598" s="169"/>
      <c r="AB598" s="168"/>
      <c r="AC598" s="169"/>
      <c r="AD598" s="133">
        <f t="shared" si="36"/>
        <v>0</v>
      </c>
      <c r="AE598" s="133">
        <f t="shared" si="37"/>
        <v>0</v>
      </c>
    </row>
    <row r="599" spans="1:31" ht="38.25" hidden="1" outlineLevel="1" collapsed="1" x14ac:dyDescent="0.2">
      <c r="A599" s="25" t="str">
        <f>'Утв. ИП 2014-2019'!A601</f>
        <v>1.1.6.2.114/12</v>
      </c>
      <c r="B599" s="6" t="str">
        <f>'Утв. ИП 2014-2019'!B601</f>
        <v>3.2.120</v>
      </c>
      <c r="C599" s="7" t="str">
        <f>'Утв. ИП 2014-2019'!C601</f>
        <v>Электроснабжение 1/2 доли жилого дома с пристройками и хозяйственной постройкой по адресу: г. Липецк, ул. Урицкого, д. 118</v>
      </c>
      <c r="D599" s="8"/>
      <c r="E599" s="8" t="str">
        <f>'Утв. ИП 2014-2019'!L601</f>
        <v>2 км/ 0 МВА</v>
      </c>
      <c r="F599" s="8"/>
      <c r="G599" s="8"/>
      <c r="H599" s="8"/>
      <c r="I599" s="8"/>
      <c r="J599" s="23" t="str">
        <f>'Утв. ИП 2014-2019'!Q601</f>
        <v>2 км/ 0 МВА</v>
      </c>
      <c r="K599" s="8"/>
      <c r="L599" s="23"/>
      <c r="M599" s="8"/>
      <c r="N599" s="8"/>
      <c r="O599" s="8"/>
      <c r="P599" s="8"/>
      <c r="Q599" s="23"/>
      <c r="R599" s="136"/>
      <c r="S599" s="137"/>
      <c r="T599" s="128"/>
      <c r="U599" s="137"/>
      <c r="V599" s="128"/>
      <c r="W599" s="49"/>
      <c r="X599" s="128"/>
      <c r="Y599" s="49"/>
      <c r="Z599" s="128"/>
      <c r="AA599" s="49"/>
      <c r="AB599" s="128"/>
      <c r="AC599" s="49"/>
      <c r="AD599" s="133">
        <f t="shared" si="36"/>
        <v>0</v>
      </c>
      <c r="AE599" s="133">
        <f t="shared" si="37"/>
        <v>0</v>
      </c>
    </row>
    <row r="600" spans="1:31" ht="15.75" hidden="1" outlineLevel="2" x14ac:dyDescent="0.2">
      <c r="A600" s="25">
        <f>'Утв. ИП 2014-2019'!A602</f>
        <v>0</v>
      </c>
      <c r="B600" s="6">
        <f>'Утв. ИП 2014-2019'!B602</f>
        <v>0</v>
      </c>
      <c r="C600" s="7" t="str">
        <f>'Утв. ИП 2014-2019'!C602</f>
        <v>реконструкция</v>
      </c>
      <c r="D600" s="8"/>
      <c r="E600" s="8"/>
      <c r="F600" s="8"/>
      <c r="G600" s="8"/>
      <c r="H600" s="8"/>
      <c r="I600" s="8"/>
      <c r="J600" s="23"/>
      <c r="K600" s="8"/>
      <c r="L600" s="23"/>
      <c r="M600" s="8"/>
      <c r="N600" s="8"/>
      <c r="O600" s="8"/>
      <c r="P600" s="8"/>
      <c r="Q600" s="23"/>
      <c r="R600" s="136"/>
      <c r="S600" s="137"/>
      <c r="T600" s="128"/>
      <c r="U600" s="137"/>
      <c r="V600" s="128"/>
      <c r="W600" s="49"/>
      <c r="X600" s="128"/>
      <c r="Y600" s="49"/>
      <c r="Z600" s="128"/>
      <c r="AA600" s="49"/>
      <c r="AB600" s="128"/>
      <c r="AC600" s="49"/>
      <c r="AD600" s="133">
        <f t="shared" si="36"/>
        <v>0</v>
      </c>
      <c r="AE600" s="133">
        <f t="shared" si="37"/>
        <v>0</v>
      </c>
    </row>
    <row r="601" spans="1:31" ht="15.75" hidden="1" outlineLevel="2" x14ac:dyDescent="0.2">
      <c r="A601" s="25">
        <f>'Утв. ИП 2014-2019'!A603</f>
        <v>0</v>
      </c>
      <c r="B601" s="6">
        <f>'Утв. ИП 2014-2019'!B603</f>
        <v>0</v>
      </c>
      <c r="C601" s="7" t="str">
        <f>'Утв. ИП 2014-2019'!C603</f>
        <v>строительство</v>
      </c>
      <c r="D601" s="8"/>
      <c r="E601" s="8"/>
      <c r="F601" s="8"/>
      <c r="G601" s="8"/>
      <c r="H601" s="8"/>
      <c r="I601" s="8"/>
      <c r="J601" s="23"/>
      <c r="K601" s="8"/>
      <c r="L601" s="23"/>
      <c r="M601" s="8"/>
      <c r="N601" s="8"/>
      <c r="O601" s="8"/>
      <c r="P601" s="8"/>
      <c r="Q601" s="23"/>
      <c r="R601" s="136"/>
      <c r="S601" s="137"/>
      <c r="T601" s="128"/>
      <c r="U601" s="137"/>
      <c r="V601" s="128"/>
      <c r="W601" s="49"/>
      <c r="X601" s="128"/>
      <c r="Y601" s="49"/>
      <c r="Z601" s="128"/>
      <c r="AA601" s="49"/>
      <c r="AB601" s="128"/>
      <c r="AC601" s="49"/>
      <c r="AD601" s="133">
        <f t="shared" si="36"/>
        <v>0</v>
      </c>
      <c r="AE601" s="133">
        <f t="shared" si="37"/>
        <v>0</v>
      </c>
    </row>
    <row r="602" spans="1:31" ht="51" hidden="1" outlineLevel="1" collapsed="1" x14ac:dyDescent="0.2">
      <c r="A602" s="25" t="str">
        <f>'Утв. ИП 2014-2019'!A604</f>
        <v>1.1.6.2.115/12</v>
      </c>
      <c r="B602" s="6" t="str">
        <f>'Утв. ИП 2014-2019'!B604</f>
        <v>3.2.121</v>
      </c>
      <c r="C602" s="7" t="str">
        <f>'Утв. ИП 2014-2019'!C604</f>
        <v>Монтаж узла учета на опоре ВЛ-0,4 кВ по ул. Маршала Рыбалко от ТП-379 для электроснабжения магазина непродовольственных товаров по адресу: г. Липецк, ул. Маршала Рыбалко, район стр. 4</v>
      </c>
      <c r="D602" s="8"/>
      <c r="E602" s="8" t="str">
        <f>'Утв. ИП 2014-2019'!L604</f>
        <v>0,0 км/ 0 МВА</v>
      </c>
      <c r="F602" s="8"/>
      <c r="G602" s="8"/>
      <c r="H602" s="8"/>
      <c r="I602" s="8"/>
      <c r="J602" s="23" t="str">
        <f>'Утв. ИП 2014-2019'!Q604</f>
        <v>0,0 км/ 0 МВА</v>
      </c>
      <c r="K602" s="8"/>
      <c r="L602" s="23"/>
      <c r="M602" s="8"/>
      <c r="N602" s="8"/>
      <c r="O602" s="8"/>
      <c r="P602" s="8"/>
      <c r="Q602" s="23"/>
      <c r="R602" s="136"/>
      <c r="S602" s="137"/>
      <c r="T602" s="128"/>
      <c r="U602" s="137"/>
      <c r="V602" s="128"/>
      <c r="W602" s="49"/>
      <c r="X602" s="128"/>
      <c r="Y602" s="49"/>
      <c r="Z602" s="128"/>
      <c r="AA602" s="49"/>
      <c r="AB602" s="128"/>
      <c r="AC602" s="49"/>
      <c r="AD602" s="133">
        <f t="shared" si="36"/>
        <v>0</v>
      </c>
      <c r="AE602" s="133">
        <f t="shared" si="37"/>
        <v>0</v>
      </c>
    </row>
    <row r="603" spans="1:31" ht="15.75" hidden="1" outlineLevel="2" x14ac:dyDescent="0.2">
      <c r="A603" s="25">
        <f>'Утв. ИП 2014-2019'!A605</f>
        <v>0</v>
      </c>
      <c r="B603" s="6">
        <f>'Утв. ИП 2014-2019'!B605</f>
        <v>0</v>
      </c>
      <c r="C603" s="7" t="str">
        <f>'Утв. ИП 2014-2019'!C605</f>
        <v>реконструкция</v>
      </c>
      <c r="D603" s="8"/>
      <c r="E603" s="8"/>
      <c r="F603" s="8"/>
      <c r="G603" s="8"/>
      <c r="H603" s="8"/>
      <c r="I603" s="8"/>
      <c r="J603" s="23"/>
      <c r="K603" s="8"/>
      <c r="L603" s="23"/>
      <c r="M603" s="8"/>
      <c r="N603" s="8"/>
      <c r="O603" s="8"/>
      <c r="P603" s="8"/>
      <c r="Q603" s="23"/>
      <c r="R603" s="136"/>
      <c r="S603" s="137"/>
      <c r="T603" s="128"/>
      <c r="U603" s="137"/>
      <c r="V603" s="128"/>
      <c r="W603" s="49"/>
      <c r="X603" s="128"/>
      <c r="Y603" s="49"/>
      <c r="Z603" s="128"/>
      <c r="AA603" s="49"/>
      <c r="AB603" s="128"/>
      <c r="AC603" s="49"/>
      <c r="AD603" s="133">
        <f t="shared" si="36"/>
        <v>0</v>
      </c>
      <c r="AE603" s="133">
        <f t="shared" si="37"/>
        <v>0</v>
      </c>
    </row>
    <row r="604" spans="1:31" ht="15.75" hidden="1" outlineLevel="2" x14ac:dyDescent="0.2">
      <c r="A604" s="25">
        <f>'Утв. ИП 2014-2019'!A606</f>
        <v>0</v>
      </c>
      <c r="B604" s="6">
        <f>'Утв. ИП 2014-2019'!B606</f>
        <v>0</v>
      </c>
      <c r="C604" s="7" t="str">
        <f>'Утв. ИП 2014-2019'!C606</f>
        <v>строительство</v>
      </c>
      <c r="D604" s="8"/>
      <c r="E604" s="8"/>
      <c r="F604" s="8"/>
      <c r="G604" s="8"/>
      <c r="H604" s="8"/>
      <c r="I604" s="8"/>
      <c r="J604" s="23"/>
      <c r="K604" s="8"/>
      <c r="L604" s="23"/>
      <c r="M604" s="8"/>
      <c r="N604" s="8"/>
      <c r="O604" s="8"/>
      <c r="P604" s="8"/>
      <c r="Q604" s="23"/>
      <c r="R604" s="136"/>
      <c r="S604" s="137"/>
      <c r="T604" s="128"/>
      <c r="U604" s="137"/>
      <c r="V604" s="128"/>
      <c r="W604" s="49"/>
      <c r="X604" s="128"/>
      <c r="Y604" s="49"/>
      <c r="Z604" s="128"/>
      <c r="AA604" s="49"/>
      <c r="AB604" s="128"/>
      <c r="AC604" s="49"/>
      <c r="AD604" s="133">
        <f t="shared" si="36"/>
        <v>0</v>
      </c>
      <c r="AE604" s="133">
        <f t="shared" si="37"/>
        <v>0</v>
      </c>
    </row>
    <row r="605" spans="1:31" ht="25.5" hidden="1" outlineLevel="1" collapsed="1" x14ac:dyDescent="0.2">
      <c r="A605" s="25" t="str">
        <f>'Утв. ИП 2014-2019'!A607</f>
        <v>1.1.6.2.83/12</v>
      </c>
      <c r="B605" s="6" t="str">
        <f>'Утв. ИП 2014-2019'!B607</f>
        <v>3.2.122</v>
      </c>
      <c r="C605" s="7" t="str">
        <f>'Утв. ИП 2014-2019'!C607</f>
        <v>Электроснабжение жилого дома по адресу: г. Липецк, ул. Поселковая, д. 30 в</v>
      </c>
      <c r="D605" s="8"/>
      <c r="E605" s="8" t="str">
        <f>'Утв. ИП 2014-2019'!L607</f>
        <v>0,5 км/ 0 МВА</v>
      </c>
      <c r="F605" s="8"/>
      <c r="G605" s="8"/>
      <c r="H605" s="8"/>
      <c r="I605" s="8"/>
      <c r="J605" s="23" t="str">
        <f>'Утв. ИП 2014-2019'!Q607</f>
        <v>0,5 км/ 0 МВА</v>
      </c>
      <c r="K605" s="8"/>
      <c r="L605" s="23"/>
      <c r="M605" s="8"/>
      <c r="N605" s="8"/>
      <c r="O605" s="8"/>
      <c r="P605" s="8"/>
      <c r="Q605" s="23"/>
      <c r="R605" s="136"/>
      <c r="S605" s="137"/>
      <c r="T605" s="128"/>
      <c r="U605" s="137"/>
      <c r="V605" s="128"/>
      <c r="W605" s="49"/>
      <c r="X605" s="128"/>
      <c r="Y605" s="49"/>
      <c r="Z605" s="128"/>
      <c r="AA605" s="49"/>
      <c r="AB605" s="128"/>
      <c r="AC605" s="49"/>
      <c r="AD605" s="133">
        <f t="shared" si="36"/>
        <v>0</v>
      </c>
      <c r="AE605" s="133">
        <f t="shared" si="37"/>
        <v>0</v>
      </c>
    </row>
    <row r="606" spans="1:31" ht="15.75" hidden="1" outlineLevel="2" x14ac:dyDescent="0.2">
      <c r="A606" s="25">
        <f>'Утв. ИП 2014-2019'!A608</f>
        <v>0</v>
      </c>
      <c r="B606" s="6">
        <f>'Утв. ИП 2014-2019'!B608</f>
        <v>0</v>
      </c>
      <c r="C606" s="7" t="str">
        <f>'Утв. ИП 2014-2019'!C608</f>
        <v>реконструкция</v>
      </c>
      <c r="D606" s="8"/>
      <c r="E606" s="8"/>
      <c r="F606" s="8"/>
      <c r="G606" s="8"/>
      <c r="H606" s="8"/>
      <c r="I606" s="8"/>
      <c r="J606" s="23"/>
      <c r="K606" s="8"/>
      <c r="L606" s="23"/>
      <c r="M606" s="8"/>
      <c r="N606" s="8"/>
      <c r="O606" s="8"/>
      <c r="P606" s="8"/>
      <c r="Q606" s="23"/>
      <c r="R606" s="136"/>
      <c r="S606" s="137"/>
      <c r="T606" s="128"/>
      <c r="U606" s="137"/>
      <c r="V606" s="128"/>
      <c r="W606" s="49"/>
      <c r="X606" s="128"/>
      <c r="Y606" s="49"/>
      <c r="Z606" s="128"/>
      <c r="AA606" s="49"/>
      <c r="AB606" s="128"/>
      <c r="AC606" s="49"/>
      <c r="AD606" s="133">
        <f t="shared" si="36"/>
        <v>0</v>
      </c>
      <c r="AE606" s="133">
        <f t="shared" si="37"/>
        <v>0</v>
      </c>
    </row>
    <row r="607" spans="1:31" ht="15.75" hidden="1" outlineLevel="2" x14ac:dyDescent="0.2">
      <c r="A607" s="25">
        <f>'Утв. ИП 2014-2019'!A609</f>
        <v>0</v>
      </c>
      <c r="B607" s="6">
        <f>'Утв. ИП 2014-2019'!B609</f>
        <v>0</v>
      </c>
      <c r="C607" s="7" t="str">
        <f>'Утв. ИП 2014-2019'!C609</f>
        <v>строительство</v>
      </c>
      <c r="D607" s="8"/>
      <c r="E607" s="8"/>
      <c r="F607" s="8"/>
      <c r="G607" s="8"/>
      <c r="H607" s="8"/>
      <c r="I607" s="8"/>
      <c r="J607" s="23"/>
      <c r="K607" s="8"/>
      <c r="L607" s="23"/>
      <c r="M607" s="8"/>
      <c r="N607" s="8"/>
      <c r="O607" s="8"/>
      <c r="P607" s="8"/>
      <c r="Q607" s="23"/>
      <c r="R607" s="136"/>
      <c r="S607" s="137"/>
      <c r="T607" s="128"/>
      <c r="U607" s="137"/>
      <c r="V607" s="128"/>
      <c r="W607" s="49"/>
      <c r="X607" s="128"/>
      <c r="Y607" s="49"/>
      <c r="Z607" s="128"/>
      <c r="AA607" s="49"/>
      <c r="AB607" s="128"/>
      <c r="AC607" s="49"/>
      <c r="AD607" s="133">
        <f t="shared" si="36"/>
        <v>0</v>
      </c>
      <c r="AE607" s="133">
        <f t="shared" si="37"/>
        <v>0</v>
      </c>
    </row>
    <row r="608" spans="1:31" ht="25.5" hidden="1" outlineLevel="1" collapsed="1" x14ac:dyDescent="0.2">
      <c r="A608" s="25" t="str">
        <f>'Утв. ИП 2014-2019'!A610</f>
        <v>1.1.6.2.94/12</v>
      </c>
      <c r="B608" s="6" t="str">
        <f>'Утв. ИП 2014-2019'!B610</f>
        <v>3.2.123</v>
      </c>
      <c r="C608" s="7" t="str">
        <f>'Утв. ИП 2014-2019'!C610</f>
        <v>Электроснабжение 1/2 доли пристройки к зданию гаражей (лит. В5) по адресу: г. Липецк, ул. Пугачева, строение 1 б</v>
      </c>
      <c r="D608" s="8"/>
      <c r="E608" s="8" t="str">
        <f>'Утв. ИП 2014-2019'!L610</f>
        <v>0,1 км/ 0 МВА</v>
      </c>
      <c r="F608" s="8"/>
      <c r="G608" s="8"/>
      <c r="H608" s="8"/>
      <c r="I608" s="8"/>
      <c r="J608" s="23" t="str">
        <f>'Утв. ИП 2014-2019'!Q610</f>
        <v>0,1 км/ 0 МВА</v>
      </c>
      <c r="K608" s="8"/>
      <c r="L608" s="23"/>
      <c r="M608" s="8"/>
      <c r="N608" s="8"/>
      <c r="O608" s="8"/>
      <c r="P608" s="8"/>
      <c r="Q608" s="23"/>
      <c r="R608" s="136"/>
      <c r="S608" s="137"/>
      <c r="T608" s="128"/>
      <c r="U608" s="137"/>
      <c r="V608" s="128"/>
      <c r="W608" s="49"/>
      <c r="X608" s="128"/>
      <c r="Y608" s="49"/>
      <c r="Z608" s="128"/>
      <c r="AA608" s="49"/>
      <c r="AB608" s="128"/>
      <c r="AC608" s="49"/>
      <c r="AD608" s="133">
        <f t="shared" si="36"/>
        <v>0</v>
      </c>
      <c r="AE608" s="133">
        <f t="shared" si="37"/>
        <v>0</v>
      </c>
    </row>
    <row r="609" spans="1:31" ht="15.75" hidden="1" outlineLevel="2" x14ac:dyDescent="0.2">
      <c r="A609" s="25">
        <f>'Утв. ИП 2014-2019'!A611</f>
        <v>0</v>
      </c>
      <c r="B609" s="6">
        <f>'Утв. ИП 2014-2019'!B611</f>
        <v>0</v>
      </c>
      <c r="C609" s="7" t="str">
        <f>'Утв. ИП 2014-2019'!C611</f>
        <v>реконструкция</v>
      </c>
      <c r="D609" s="8"/>
      <c r="E609" s="8"/>
      <c r="F609" s="8"/>
      <c r="G609" s="8"/>
      <c r="H609" s="8"/>
      <c r="I609" s="8"/>
      <c r="J609" s="23"/>
      <c r="K609" s="8"/>
      <c r="L609" s="23"/>
      <c r="M609" s="8"/>
      <c r="N609" s="8"/>
      <c r="O609" s="8"/>
      <c r="P609" s="8"/>
      <c r="Q609" s="23"/>
      <c r="R609" s="136"/>
      <c r="S609" s="137"/>
      <c r="T609" s="128"/>
      <c r="U609" s="137"/>
      <c r="V609" s="128"/>
      <c r="W609" s="49"/>
      <c r="X609" s="128"/>
      <c r="Y609" s="49"/>
      <c r="Z609" s="128"/>
      <c r="AA609" s="49"/>
      <c r="AB609" s="128"/>
      <c r="AC609" s="49"/>
      <c r="AD609" s="133">
        <f t="shared" si="36"/>
        <v>0</v>
      </c>
      <c r="AE609" s="133">
        <f t="shared" si="37"/>
        <v>0</v>
      </c>
    </row>
    <row r="610" spans="1:31" ht="15.75" hidden="1" outlineLevel="2" x14ac:dyDescent="0.2">
      <c r="A610" s="25">
        <f>'Утв. ИП 2014-2019'!A612</f>
        <v>0</v>
      </c>
      <c r="B610" s="6">
        <f>'Утв. ИП 2014-2019'!B612</f>
        <v>0</v>
      </c>
      <c r="C610" s="7" t="str">
        <f>'Утв. ИП 2014-2019'!C612</f>
        <v>строительство</v>
      </c>
      <c r="D610" s="8"/>
      <c r="E610" s="8"/>
      <c r="F610" s="8"/>
      <c r="G610" s="8"/>
      <c r="H610" s="8"/>
      <c r="I610" s="8"/>
      <c r="J610" s="23"/>
      <c r="K610" s="8"/>
      <c r="L610" s="23"/>
      <c r="M610" s="8"/>
      <c r="N610" s="8"/>
      <c r="O610" s="8"/>
      <c r="P610" s="8"/>
      <c r="Q610" s="23"/>
      <c r="R610" s="136"/>
      <c r="S610" s="137"/>
      <c r="T610" s="128"/>
      <c r="U610" s="137"/>
      <c r="V610" s="128"/>
      <c r="W610" s="49"/>
      <c r="X610" s="128"/>
      <c r="Y610" s="49"/>
      <c r="Z610" s="128"/>
      <c r="AA610" s="49"/>
      <c r="AB610" s="128"/>
      <c r="AC610" s="49"/>
      <c r="AD610" s="133">
        <f t="shared" si="36"/>
        <v>0</v>
      </c>
      <c r="AE610" s="133">
        <f t="shared" si="37"/>
        <v>0</v>
      </c>
    </row>
    <row r="611" spans="1:31" ht="38.25" hidden="1" outlineLevel="1" collapsed="1" x14ac:dyDescent="0.2">
      <c r="A611" s="25" t="str">
        <f>'Утв. ИП 2014-2019'!A613</f>
        <v>1.1.6.2.116/12</v>
      </c>
      <c r="B611" s="6" t="str">
        <f>'Утв. ИП 2014-2019'!B613</f>
        <v>3.2.124</v>
      </c>
      <c r="C611" s="7" t="str">
        <f>'Утв. ИП 2014-2019'!C613</f>
        <v>Монтаж узла учета на опоре № 5 ВЛ-0,4 кВ по ул. Муравьева от ТП-379 для электроснабжения 1/2 доли жилого дома с пристройками по адресу: г. Липецк, ул. Муравьева, д. 5</v>
      </c>
      <c r="D611" s="8"/>
      <c r="E611" s="8" t="str">
        <f>'Утв. ИП 2014-2019'!L613</f>
        <v>0,0 км/ 0 МВА</v>
      </c>
      <c r="F611" s="8"/>
      <c r="G611" s="8"/>
      <c r="H611" s="8"/>
      <c r="I611" s="8"/>
      <c r="J611" s="23" t="str">
        <f>'Утв. ИП 2014-2019'!Q613</f>
        <v>0,0 км/ 0 МВА</v>
      </c>
      <c r="K611" s="8"/>
      <c r="L611" s="23"/>
      <c r="M611" s="8"/>
      <c r="N611" s="8"/>
      <c r="O611" s="8"/>
      <c r="P611" s="8"/>
      <c r="Q611" s="23"/>
      <c r="R611" s="136"/>
      <c r="S611" s="137"/>
      <c r="T611" s="128"/>
      <c r="U611" s="137"/>
      <c r="V611" s="128"/>
      <c r="W611" s="49"/>
      <c r="X611" s="128"/>
      <c r="Y611" s="49"/>
      <c r="Z611" s="128"/>
      <c r="AA611" s="49"/>
      <c r="AB611" s="128"/>
      <c r="AC611" s="49"/>
      <c r="AD611" s="133">
        <f t="shared" si="36"/>
        <v>0</v>
      </c>
      <c r="AE611" s="133">
        <f t="shared" si="37"/>
        <v>0</v>
      </c>
    </row>
    <row r="612" spans="1:31" ht="15.75" hidden="1" outlineLevel="2" x14ac:dyDescent="0.2">
      <c r="A612" s="25">
        <f>'Утв. ИП 2014-2019'!A614</f>
        <v>0</v>
      </c>
      <c r="B612" s="6">
        <f>'Утв. ИП 2014-2019'!B614</f>
        <v>0</v>
      </c>
      <c r="C612" s="7" t="str">
        <f>'Утв. ИП 2014-2019'!C614</f>
        <v>реконструкция</v>
      </c>
      <c r="D612" s="8"/>
      <c r="E612" s="8"/>
      <c r="F612" s="8"/>
      <c r="G612" s="8"/>
      <c r="H612" s="8"/>
      <c r="I612" s="8"/>
      <c r="J612" s="23"/>
      <c r="K612" s="23"/>
      <c r="L612" s="8"/>
      <c r="M612" s="8"/>
      <c r="N612" s="8"/>
      <c r="O612" s="8"/>
      <c r="P612" s="8"/>
      <c r="Q612" s="23"/>
      <c r="R612" s="136"/>
      <c r="S612" s="137"/>
      <c r="T612" s="128"/>
      <c r="U612" s="137"/>
      <c r="V612" s="128"/>
      <c r="W612" s="49"/>
      <c r="X612" s="128"/>
      <c r="Y612" s="49"/>
      <c r="Z612" s="128"/>
      <c r="AA612" s="49"/>
      <c r="AB612" s="128"/>
      <c r="AC612" s="49"/>
      <c r="AD612" s="133">
        <f t="shared" si="36"/>
        <v>0</v>
      </c>
      <c r="AE612" s="133">
        <f t="shared" si="37"/>
        <v>0</v>
      </c>
    </row>
    <row r="613" spans="1:31" ht="15.75" hidden="1" outlineLevel="2" x14ac:dyDescent="0.2">
      <c r="A613" s="25">
        <f>'Утв. ИП 2014-2019'!A615</f>
        <v>0</v>
      </c>
      <c r="B613" s="6">
        <f>'Утв. ИП 2014-2019'!B615</f>
        <v>0</v>
      </c>
      <c r="C613" s="7" t="str">
        <f>'Утв. ИП 2014-2019'!C615</f>
        <v>строительство</v>
      </c>
      <c r="D613" s="8"/>
      <c r="E613" s="8"/>
      <c r="F613" s="8"/>
      <c r="G613" s="8"/>
      <c r="H613" s="8"/>
      <c r="I613" s="8"/>
      <c r="J613" s="23"/>
      <c r="K613" s="23"/>
      <c r="L613" s="8"/>
      <c r="M613" s="8"/>
      <c r="N613" s="8"/>
      <c r="O613" s="8"/>
      <c r="P613" s="8"/>
      <c r="Q613" s="23"/>
      <c r="R613" s="136"/>
      <c r="S613" s="137"/>
      <c r="T613" s="128"/>
      <c r="U613" s="137"/>
      <c r="V613" s="128"/>
      <c r="W613" s="49"/>
      <c r="X613" s="128"/>
      <c r="Y613" s="49"/>
      <c r="Z613" s="128"/>
      <c r="AA613" s="49"/>
      <c r="AB613" s="128"/>
      <c r="AC613" s="49"/>
      <c r="AD613" s="133">
        <f t="shared" si="36"/>
        <v>0</v>
      </c>
      <c r="AE613" s="133"/>
    </row>
    <row r="614" spans="1:31" ht="51" hidden="1" outlineLevel="1" collapsed="1" x14ac:dyDescent="0.2">
      <c r="A614" s="25" t="str">
        <f>'Утв. ИП 2014-2019'!A616</f>
        <v>1.1.6.2.117/12</v>
      </c>
      <c r="B614" s="6" t="str">
        <f>'Утв. ИП 2014-2019'!B616</f>
        <v>3.2.125</v>
      </c>
      <c r="C614" s="7" t="str">
        <f>'Утв. ИП 2014-2019'!C616</f>
        <v>Монтаж узла учета на опоре № 11 ВЛ-0,4 кВ по ул. Крайняя от КТП-620 для электроснабжения гаража по адресу: Липецкая область, Липецкий район, с. Подгорное, ул. Крайняя, кадастровый № 48:20:046402:40</v>
      </c>
      <c r="D614" s="8" t="str">
        <f>'Утв. ИП 2014-2019'!K616</f>
        <v>0,0 км/ 0 МВА</v>
      </c>
      <c r="E614" s="8"/>
      <c r="F614" s="8"/>
      <c r="G614" s="8"/>
      <c r="H614" s="8"/>
      <c r="I614" s="8"/>
      <c r="J614" s="23" t="str">
        <f>'Утв. ИП 2014-2019'!Q616</f>
        <v>0,0 км/ 0 МВА</v>
      </c>
      <c r="K614" s="170"/>
      <c r="L614" s="170"/>
      <c r="M614" s="170"/>
      <c r="N614" s="170"/>
      <c r="O614" s="170"/>
      <c r="P614" s="170"/>
      <c r="Q614" s="170"/>
      <c r="R614" s="136"/>
      <c r="S614" s="137"/>
      <c r="T614" s="128"/>
      <c r="U614" s="137"/>
      <c r="V614" s="128"/>
      <c r="W614" s="49"/>
      <c r="X614" s="128"/>
      <c r="Y614" s="49"/>
      <c r="Z614" s="128"/>
      <c r="AA614" s="49"/>
      <c r="AB614" s="128"/>
      <c r="AC614" s="49"/>
      <c r="AD614" s="133"/>
      <c r="AE614" s="133"/>
    </row>
    <row r="615" spans="1:31" ht="15.75" hidden="1" outlineLevel="2" x14ac:dyDescent="0.2">
      <c r="A615" s="25">
        <f>'Утв. ИП 2014-2019'!A617</f>
        <v>0</v>
      </c>
      <c r="B615" s="6">
        <f>'Утв. ИП 2014-2019'!B617</f>
        <v>0</v>
      </c>
      <c r="C615" s="7" t="str">
        <f>'Утв. ИП 2014-2019'!C617</f>
        <v>реконструкция</v>
      </c>
      <c r="D615" s="8"/>
      <c r="E615" s="8"/>
      <c r="F615" s="8"/>
      <c r="G615" s="8"/>
      <c r="H615" s="8"/>
      <c r="I615" s="8"/>
      <c r="J615" s="23"/>
      <c r="K615" s="170"/>
      <c r="L615" s="170"/>
      <c r="M615" s="170"/>
      <c r="N615" s="170"/>
      <c r="O615" s="170"/>
      <c r="P615" s="170"/>
      <c r="Q615" s="170"/>
      <c r="R615" s="136"/>
      <c r="S615" s="137"/>
      <c r="T615" s="128"/>
      <c r="U615" s="137"/>
      <c r="V615" s="128"/>
      <c r="W615" s="49"/>
      <c r="X615" s="128"/>
      <c r="Y615" s="49"/>
      <c r="Z615" s="128"/>
      <c r="AA615" s="49"/>
      <c r="AB615" s="128"/>
      <c r="AC615" s="49"/>
      <c r="AE615" s="133"/>
    </row>
    <row r="616" spans="1:31" ht="15.75" hidden="1" outlineLevel="2" x14ac:dyDescent="0.2">
      <c r="A616" s="25">
        <f>'Утв. ИП 2014-2019'!A618</f>
        <v>0</v>
      </c>
      <c r="B616" s="6">
        <f>'Утв. ИП 2014-2019'!B618</f>
        <v>0</v>
      </c>
      <c r="C616" s="7" t="str">
        <f>'Утв. ИП 2014-2019'!C618</f>
        <v>строительство</v>
      </c>
      <c r="D616" s="8"/>
      <c r="E616" s="8"/>
      <c r="F616" s="8"/>
      <c r="G616" s="8"/>
      <c r="H616" s="8"/>
      <c r="I616" s="8"/>
      <c r="J616" s="23"/>
      <c r="K616" s="170"/>
      <c r="L616" s="170"/>
      <c r="M616" s="170"/>
      <c r="N616" s="170"/>
      <c r="O616" s="170"/>
      <c r="P616" s="170"/>
      <c r="Q616" s="170"/>
      <c r="R616" s="136"/>
      <c r="S616" s="137"/>
      <c r="T616" s="128"/>
      <c r="U616" s="137"/>
      <c r="V616" s="128"/>
      <c r="W616" s="49"/>
      <c r="X616" s="128"/>
      <c r="Y616" s="49"/>
      <c r="Z616" s="128"/>
      <c r="AA616" s="49"/>
      <c r="AB616" s="128"/>
      <c r="AC616" s="49"/>
      <c r="AE616" s="133"/>
    </row>
    <row r="617" spans="1:31" ht="51" hidden="1" outlineLevel="1" collapsed="1" x14ac:dyDescent="0.2">
      <c r="A617" s="25" t="str">
        <f>'Утв. ИП 2014-2019'!A619</f>
        <v>1.1.6.2.119/12</v>
      </c>
      <c r="B617" s="6" t="str">
        <f>'Утв. ИП 2014-2019'!B619</f>
        <v>3.2.126</v>
      </c>
      <c r="C617" s="7" t="str">
        <f>'Утв. ИП 2014-2019'!C619</f>
        <v>Строительство ВЛ-0,4 кВ от МТП, смонтированной по п. 1.1.6.2.41/12 программы перспективного развития, до склада металлоконструкций по адресу: г. Липецк, ул. Ковалева (кадастровый № 48:20:0027501:35)</v>
      </c>
      <c r="D617" s="8"/>
      <c r="E617" s="8" t="str">
        <f>'Утв. ИП 2014-2019'!L619</f>
        <v>0,15 км/ 0 МВА</v>
      </c>
      <c r="F617" s="8"/>
      <c r="G617" s="8"/>
      <c r="H617" s="8"/>
      <c r="I617" s="8"/>
      <c r="J617" s="23" t="str">
        <f>'Утв. ИП 2014-2019'!Q619</f>
        <v>0,15 км/ 0 МВА</v>
      </c>
      <c r="K617" s="170"/>
      <c r="L617" s="170"/>
      <c r="M617" s="170"/>
      <c r="N617" s="170"/>
      <c r="O617" s="170"/>
      <c r="P617" s="170"/>
      <c r="Q617" s="170"/>
      <c r="R617" s="136"/>
      <c r="S617" s="137"/>
      <c r="T617" s="128"/>
      <c r="U617" s="137"/>
      <c r="V617" s="128"/>
      <c r="W617" s="49"/>
      <c r="X617" s="128"/>
      <c r="Y617" s="49"/>
      <c r="Z617" s="128"/>
      <c r="AA617" s="49"/>
      <c r="AB617" s="128"/>
      <c r="AC617" s="49"/>
      <c r="AE617" s="133"/>
    </row>
    <row r="618" spans="1:31" ht="15.75" hidden="1" outlineLevel="2" x14ac:dyDescent="0.2">
      <c r="A618" s="25">
        <f>'Утв. ИП 2014-2019'!A620</f>
        <v>0</v>
      </c>
      <c r="B618" s="6">
        <f>'Утв. ИП 2014-2019'!B620</f>
        <v>0</v>
      </c>
      <c r="C618" s="7" t="str">
        <f>'Утв. ИП 2014-2019'!C620</f>
        <v>реконструкция</v>
      </c>
      <c r="D618" s="8"/>
      <c r="E618" s="8"/>
      <c r="F618" s="8"/>
      <c r="G618" s="8"/>
      <c r="H618" s="8"/>
      <c r="I618" s="8"/>
      <c r="J618" s="23"/>
      <c r="K618" s="170"/>
      <c r="L618" s="170"/>
      <c r="M618" s="170"/>
      <c r="N618" s="170"/>
      <c r="O618" s="170"/>
      <c r="P618" s="170"/>
      <c r="Q618" s="170"/>
      <c r="R618" s="136"/>
      <c r="S618" s="137"/>
      <c r="T618" s="128"/>
      <c r="U618" s="137"/>
      <c r="V618" s="128"/>
      <c r="W618" s="49"/>
      <c r="X618" s="128"/>
      <c r="Y618" s="49"/>
      <c r="Z618" s="128"/>
      <c r="AA618" s="49"/>
      <c r="AB618" s="128"/>
      <c r="AC618" s="49"/>
      <c r="AE618" s="133"/>
    </row>
    <row r="619" spans="1:31" ht="15.75" hidden="1" outlineLevel="2" x14ac:dyDescent="0.2">
      <c r="A619" s="25">
        <f>'Утв. ИП 2014-2019'!A621</f>
        <v>0</v>
      </c>
      <c r="B619" s="6">
        <f>'Утв. ИП 2014-2019'!B621</f>
        <v>0</v>
      </c>
      <c r="C619" s="7" t="str">
        <f>'Утв. ИП 2014-2019'!C621</f>
        <v>строительство</v>
      </c>
      <c r="D619" s="8"/>
      <c r="E619" s="8"/>
      <c r="F619" s="8"/>
      <c r="G619" s="8"/>
      <c r="H619" s="8"/>
      <c r="I619" s="8"/>
      <c r="J619" s="23"/>
      <c r="K619" s="170"/>
      <c r="L619" s="170"/>
      <c r="M619" s="170"/>
      <c r="N619" s="170"/>
      <c r="O619" s="170"/>
      <c r="P619" s="170"/>
      <c r="Q619" s="170"/>
      <c r="R619" s="136"/>
      <c r="S619" s="137"/>
      <c r="T619" s="128"/>
      <c r="U619" s="137"/>
      <c r="V619" s="128"/>
      <c r="W619" s="49"/>
      <c r="X619" s="128"/>
      <c r="Y619" s="49"/>
      <c r="Z619" s="128"/>
      <c r="AA619" s="49"/>
      <c r="AB619" s="128"/>
      <c r="AC619" s="49"/>
      <c r="AE619" s="133"/>
    </row>
    <row r="620" spans="1:31" ht="25.5" hidden="1" outlineLevel="1" collapsed="1" x14ac:dyDescent="0.2">
      <c r="A620" s="25" t="str">
        <f>'Утв. ИП 2014-2019'!A622</f>
        <v>1.1.6.2.120/12</v>
      </c>
      <c r="B620" s="6" t="str">
        <f>'Утв. ИП 2014-2019'!B622</f>
        <v>3.2.127</v>
      </c>
      <c r="C620" s="7" t="str">
        <f>'Утв. ИП 2014-2019'!C622</f>
        <v>Электроснабжение 1/2 доли жилого дома по адресу: г. Липецк, ул. Пригородная, д. № 2</v>
      </c>
      <c r="D620" s="8"/>
      <c r="E620" s="8" t="str">
        <f>'Утв. ИП 2014-2019'!L622</f>
        <v>0,5 км/ 0 МВА</v>
      </c>
      <c r="F620" s="8"/>
      <c r="G620" s="8"/>
      <c r="H620" s="8"/>
      <c r="I620" s="8"/>
      <c r="J620" s="23" t="str">
        <f>'Утв. ИП 2014-2019'!Q622</f>
        <v>0,5 км/ 0 МВА</v>
      </c>
      <c r="K620" s="170"/>
      <c r="L620" s="170"/>
      <c r="M620" s="170"/>
      <c r="N620" s="170"/>
      <c r="O620" s="170"/>
      <c r="P620" s="170"/>
      <c r="Q620" s="170"/>
      <c r="R620" s="166"/>
      <c r="S620" s="167"/>
      <c r="T620" s="168"/>
      <c r="U620" s="167"/>
      <c r="V620" s="168"/>
      <c r="W620" s="169"/>
      <c r="X620" s="168"/>
      <c r="Y620" s="169"/>
      <c r="Z620" s="168"/>
      <c r="AA620" s="169"/>
      <c r="AB620" s="168"/>
      <c r="AC620" s="169"/>
      <c r="AE620" s="133"/>
    </row>
    <row r="621" spans="1:31" ht="15.75" hidden="1" outlineLevel="2" x14ac:dyDescent="0.2">
      <c r="A621" s="25">
        <f>'Утв. ИП 2014-2019'!A623</f>
        <v>0</v>
      </c>
      <c r="B621" s="6">
        <f>'Утв. ИП 2014-2019'!B623</f>
        <v>0</v>
      </c>
      <c r="C621" s="7" t="str">
        <f>'Утв. ИП 2014-2019'!C623</f>
        <v>реконструкция</v>
      </c>
      <c r="D621" s="8"/>
      <c r="E621" s="8"/>
      <c r="F621" s="8"/>
      <c r="G621" s="8"/>
      <c r="H621" s="8"/>
      <c r="I621" s="8"/>
      <c r="J621" s="23"/>
      <c r="K621" s="170"/>
      <c r="L621" s="170"/>
      <c r="M621" s="170"/>
      <c r="N621" s="170"/>
      <c r="O621" s="170"/>
      <c r="P621" s="170"/>
      <c r="Q621" s="170"/>
      <c r="R621" s="166"/>
      <c r="S621" s="167"/>
      <c r="T621" s="168"/>
      <c r="U621" s="167"/>
      <c r="V621" s="168"/>
      <c r="W621" s="169"/>
      <c r="X621" s="168"/>
      <c r="Y621" s="169"/>
      <c r="Z621" s="168"/>
      <c r="AA621" s="169"/>
      <c r="AB621" s="168"/>
      <c r="AC621" s="169"/>
      <c r="AE621" s="133"/>
    </row>
    <row r="622" spans="1:31" ht="15.75" hidden="1" outlineLevel="2" x14ac:dyDescent="0.2">
      <c r="A622" s="25">
        <f>'Утв. ИП 2014-2019'!A624</f>
        <v>0</v>
      </c>
      <c r="B622" s="6">
        <f>'Утв. ИП 2014-2019'!B624</f>
        <v>0</v>
      </c>
      <c r="C622" s="7" t="str">
        <f>'Утв. ИП 2014-2019'!C624</f>
        <v>строительство</v>
      </c>
      <c r="D622" s="8"/>
      <c r="E622" s="8"/>
      <c r="F622" s="8"/>
      <c r="G622" s="8"/>
      <c r="H622" s="8"/>
      <c r="I622" s="8"/>
      <c r="J622" s="23"/>
      <c r="K622" s="170"/>
      <c r="L622" s="170"/>
      <c r="M622" s="170"/>
      <c r="N622" s="170"/>
      <c r="O622" s="170"/>
      <c r="P622" s="170"/>
      <c r="Q622" s="170"/>
      <c r="R622" s="166"/>
      <c r="S622" s="167"/>
      <c r="T622" s="168"/>
      <c r="U622" s="167"/>
      <c r="V622" s="168"/>
      <c r="W622" s="169"/>
      <c r="X622" s="168"/>
      <c r="Y622" s="169"/>
      <c r="Z622" s="168"/>
      <c r="AA622" s="169"/>
      <c r="AB622" s="168"/>
      <c r="AC622" s="169"/>
      <c r="AE622" s="133"/>
    </row>
    <row r="623" spans="1:31" ht="25.5" hidden="1" outlineLevel="1" collapsed="1" x14ac:dyDescent="0.2">
      <c r="A623" s="25" t="str">
        <f>'Утв. ИП 2014-2019'!A625</f>
        <v>1.1.6.2.121/12</v>
      </c>
      <c r="B623" s="6" t="str">
        <f>'Утв. ИП 2014-2019'!B625</f>
        <v>3.2.128</v>
      </c>
      <c r="C623" s="7" t="str">
        <f>'Утв. ИП 2014-2019'!C625</f>
        <v>Электроснабжение гаража № 8 по адресу: г. Липецк, ул. А.Г. Стаханова, строение 45 а</v>
      </c>
      <c r="D623" s="8"/>
      <c r="E623" s="8" t="str">
        <f>'Утв. ИП 2014-2019'!L625</f>
        <v>0,05 км/ 0 МВА</v>
      </c>
      <c r="F623" s="8"/>
      <c r="G623" s="8"/>
      <c r="H623" s="8"/>
      <c r="I623" s="8"/>
      <c r="J623" s="23" t="str">
        <f>'Утв. ИП 2014-2019'!Q625</f>
        <v>0,05 км/ 0 МВА</v>
      </c>
      <c r="K623" s="170"/>
      <c r="L623" s="170"/>
      <c r="M623" s="170"/>
      <c r="N623" s="170"/>
      <c r="O623" s="170"/>
      <c r="P623" s="170"/>
      <c r="Q623" s="170"/>
      <c r="R623" s="166"/>
      <c r="S623" s="167"/>
      <c r="T623" s="168"/>
      <c r="U623" s="167"/>
      <c r="V623" s="168"/>
      <c r="W623" s="169"/>
      <c r="X623" s="168"/>
      <c r="Y623" s="169"/>
      <c r="Z623" s="168"/>
      <c r="AA623" s="169"/>
      <c r="AB623" s="168"/>
      <c r="AC623" s="169"/>
      <c r="AE623" s="133"/>
    </row>
    <row r="624" spans="1:31" ht="15.75" hidden="1" outlineLevel="2" x14ac:dyDescent="0.2">
      <c r="A624" s="25">
        <f>'Утв. ИП 2014-2019'!A626</f>
        <v>0</v>
      </c>
      <c r="B624" s="6">
        <f>'Утв. ИП 2014-2019'!B626</f>
        <v>0</v>
      </c>
      <c r="C624" s="7" t="str">
        <f>'Утв. ИП 2014-2019'!C626</f>
        <v>реконструкция</v>
      </c>
      <c r="D624" s="8"/>
      <c r="E624" s="8"/>
      <c r="F624" s="8"/>
      <c r="G624" s="8"/>
      <c r="H624" s="8"/>
      <c r="I624" s="8"/>
      <c r="J624" s="23"/>
      <c r="K624" s="170"/>
      <c r="L624" s="170"/>
      <c r="M624" s="170"/>
      <c r="N624" s="170"/>
      <c r="O624" s="170"/>
      <c r="P624" s="170"/>
      <c r="Q624" s="170"/>
      <c r="R624" s="166"/>
      <c r="S624" s="167"/>
      <c r="T624" s="168"/>
      <c r="U624" s="167"/>
      <c r="V624" s="168"/>
      <c r="W624" s="169"/>
      <c r="X624" s="168"/>
      <c r="Y624" s="169"/>
      <c r="Z624" s="168"/>
      <c r="AA624" s="169"/>
      <c r="AB624" s="168"/>
      <c r="AC624" s="169"/>
      <c r="AE624" s="133"/>
    </row>
    <row r="625" spans="1:31" ht="15.75" hidden="1" outlineLevel="2" x14ac:dyDescent="0.2">
      <c r="A625" s="25">
        <f>'Утв. ИП 2014-2019'!A627</f>
        <v>0</v>
      </c>
      <c r="B625" s="6">
        <f>'Утв. ИП 2014-2019'!B627</f>
        <v>0</v>
      </c>
      <c r="C625" s="7" t="str">
        <f>'Утв. ИП 2014-2019'!C627</f>
        <v>строительство</v>
      </c>
      <c r="D625" s="8"/>
      <c r="E625" s="8"/>
      <c r="F625" s="8"/>
      <c r="G625" s="8"/>
      <c r="H625" s="8"/>
      <c r="I625" s="8"/>
      <c r="J625" s="23"/>
      <c r="K625" s="170"/>
      <c r="L625" s="170"/>
      <c r="M625" s="170"/>
      <c r="N625" s="170"/>
      <c r="O625" s="170"/>
      <c r="P625" s="170"/>
      <c r="Q625" s="170"/>
      <c r="R625" s="166"/>
      <c r="S625" s="167"/>
      <c r="T625" s="168"/>
      <c r="U625" s="167"/>
      <c r="V625" s="168"/>
      <c r="W625" s="169"/>
      <c r="X625" s="168"/>
      <c r="Y625" s="169"/>
      <c r="Z625" s="168"/>
      <c r="AA625" s="169"/>
      <c r="AB625" s="168"/>
      <c r="AC625" s="169"/>
      <c r="AE625" s="133"/>
    </row>
    <row r="626" spans="1:31" ht="25.5" hidden="1" outlineLevel="1" collapsed="1" x14ac:dyDescent="0.2">
      <c r="A626" s="25" t="str">
        <f>'Утв. ИП 2014-2019'!A628</f>
        <v>1.1.6.2.122/12</v>
      </c>
      <c r="B626" s="6" t="str">
        <f>'Утв. ИП 2014-2019'!B628</f>
        <v>3.2.129</v>
      </c>
      <c r="C626" s="7" t="str">
        <f>'Утв. ИП 2014-2019'!C628</f>
        <v>Электроснабжение индивидуального жилого дома по адресу: г. Липецк, ул. М. Горького, д. № 81</v>
      </c>
      <c r="D626" s="8"/>
      <c r="E626" s="8" t="str">
        <f>'Утв. ИП 2014-2019'!L628</f>
        <v>0,03 км/ 0 МВА</v>
      </c>
      <c r="F626" s="8"/>
      <c r="G626" s="8"/>
      <c r="H626" s="8"/>
      <c r="I626" s="8"/>
      <c r="J626" s="23" t="str">
        <f>'Утв. ИП 2014-2019'!Q628</f>
        <v>0,03 км/ 0 МВА</v>
      </c>
      <c r="K626" s="170"/>
      <c r="L626" s="170"/>
      <c r="M626" s="170"/>
      <c r="N626" s="170"/>
      <c r="O626" s="170"/>
      <c r="P626" s="170"/>
      <c r="Q626" s="170"/>
      <c r="R626" s="166"/>
      <c r="S626" s="167"/>
      <c r="T626" s="168"/>
      <c r="U626" s="167"/>
      <c r="V626" s="168"/>
      <c r="W626" s="169"/>
      <c r="X626" s="168"/>
      <c r="Y626" s="169"/>
      <c r="Z626" s="168"/>
      <c r="AA626" s="169"/>
      <c r="AB626" s="168"/>
      <c r="AC626" s="169"/>
      <c r="AE626" s="133"/>
    </row>
    <row r="627" spans="1:31" ht="15.75" hidden="1" outlineLevel="2" x14ac:dyDescent="0.2">
      <c r="A627" s="25">
        <f>'Утв. ИП 2014-2019'!A629</f>
        <v>0</v>
      </c>
      <c r="B627" s="6">
        <f>'Утв. ИП 2014-2019'!B629</f>
        <v>0</v>
      </c>
      <c r="C627" s="7" t="str">
        <f>'Утв. ИП 2014-2019'!C629</f>
        <v>реконструкция</v>
      </c>
      <c r="D627" s="8"/>
      <c r="E627" s="8"/>
      <c r="F627" s="8"/>
      <c r="G627" s="8"/>
      <c r="H627" s="8"/>
      <c r="I627" s="8"/>
      <c r="J627" s="23"/>
      <c r="K627" s="170"/>
      <c r="L627" s="170"/>
      <c r="M627" s="170"/>
      <c r="N627" s="170"/>
      <c r="O627" s="170"/>
      <c r="P627" s="170"/>
      <c r="Q627" s="170"/>
      <c r="R627" s="166"/>
      <c r="S627" s="167"/>
      <c r="T627" s="168"/>
      <c r="U627" s="167"/>
      <c r="V627" s="168"/>
      <c r="W627" s="169"/>
      <c r="X627" s="168"/>
      <c r="Y627" s="169"/>
      <c r="Z627" s="168"/>
      <c r="AA627" s="169"/>
      <c r="AB627" s="168"/>
      <c r="AC627" s="169"/>
      <c r="AE627" s="133"/>
    </row>
    <row r="628" spans="1:31" ht="15.75" hidden="1" outlineLevel="2" x14ac:dyDescent="0.2">
      <c r="A628" s="25">
        <f>'Утв. ИП 2014-2019'!A630</f>
        <v>0</v>
      </c>
      <c r="B628" s="6">
        <f>'Утв. ИП 2014-2019'!B630</f>
        <v>0</v>
      </c>
      <c r="C628" s="7" t="str">
        <f>'Утв. ИП 2014-2019'!C630</f>
        <v>строительство</v>
      </c>
      <c r="D628" s="8"/>
      <c r="E628" s="8"/>
      <c r="F628" s="8"/>
      <c r="G628" s="8"/>
      <c r="H628" s="8"/>
      <c r="I628" s="8"/>
      <c r="J628" s="23"/>
      <c r="K628" s="170"/>
      <c r="L628" s="170"/>
      <c r="M628" s="170"/>
      <c r="N628" s="170"/>
      <c r="O628" s="170"/>
      <c r="P628" s="170"/>
      <c r="Q628" s="170"/>
      <c r="R628" s="166"/>
      <c r="S628" s="167"/>
      <c r="T628" s="168"/>
      <c r="U628" s="167"/>
      <c r="V628" s="168"/>
      <c r="W628" s="169"/>
      <c r="X628" s="168"/>
      <c r="Y628" s="169"/>
      <c r="Z628" s="168"/>
      <c r="AA628" s="169"/>
      <c r="AB628" s="168"/>
      <c r="AC628" s="169"/>
      <c r="AE628" s="133"/>
    </row>
    <row r="629" spans="1:31" ht="38.25" hidden="1" outlineLevel="1" collapsed="1" x14ac:dyDescent="0.2">
      <c r="A629" s="25" t="str">
        <f>'Утв. ИП 2014-2019'!A631</f>
        <v>1.1.6.2.123/12</v>
      </c>
      <c r="B629" s="6" t="str">
        <f>'Утв. ИП 2014-2019'!B631</f>
        <v>3.2.130</v>
      </c>
      <c r="C629" s="7" t="str">
        <f>'Утв. ИП 2014-2019'!C631</f>
        <v>Реконструкция ВЛ-0,4 кВ в СТ "Строитель", смонтированной по п. 4.1.73/09 программы перспективного развития, от КТП-413 для электроснабжения садовых домиков в СТ "Строитель"</v>
      </c>
      <c r="D629" s="8"/>
      <c r="E629" s="8" t="str">
        <f>'Утв. ИП 2014-2019'!L631</f>
        <v>0,15 км/ 0 МВА</v>
      </c>
      <c r="F629" s="8"/>
      <c r="G629" s="8"/>
      <c r="H629" s="8"/>
      <c r="I629" s="8"/>
      <c r="J629" s="23" t="str">
        <f>'Утв. ИП 2014-2019'!Q631</f>
        <v>0,15 км/ 0 МВА</v>
      </c>
      <c r="K629" s="170"/>
      <c r="L629" s="23" t="s">
        <v>1423</v>
      </c>
      <c r="M629" s="170"/>
      <c r="N629" s="170"/>
      <c r="O629" s="170"/>
      <c r="P629" s="170"/>
      <c r="Q629" s="23" t="s">
        <v>1423</v>
      </c>
      <c r="R629" s="136"/>
      <c r="S629" s="137"/>
      <c r="T629" s="128">
        <v>0.15</v>
      </c>
      <c r="U629" s="137"/>
      <c r="V629" s="128"/>
      <c r="W629" s="49"/>
      <c r="X629" s="128"/>
      <c r="Y629" s="49"/>
      <c r="Z629" s="128"/>
      <c r="AA629" s="49"/>
      <c r="AB629" s="128"/>
      <c r="AC629" s="49"/>
      <c r="AE629" s="133"/>
    </row>
    <row r="630" spans="1:31" ht="15.75" hidden="1" outlineLevel="2" x14ac:dyDescent="0.2">
      <c r="A630" s="25">
        <f>'Утв. ИП 2014-2019'!A632</f>
        <v>0</v>
      </c>
      <c r="B630" s="6">
        <f>'Утв. ИП 2014-2019'!B632</f>
        <v>0</v>
      </c>
      <c r="C630" s="7" t="str">
        <f>'Утв. ИП 2014-2019'!C632</f>
        <v>реконструкция</v>
      </c>
      <c r="D630" s="8"/>
      <c r="E630" s="8"/>
      <c r="F630" s="8"/>
      <c r="G630" s="8"/>
      <c r="H630" s="8"/>
      <c r="I630" s="8"/>
      <c r="J630" s="23"/>
      <c r="K630" s="170"/>
      <c r="L630" s="170"/>
      <c r="M630" s="170"/>
      <c r="N630" s="170"/>
      <c r="O630" s="170"/>
      <c r="P630" s="170"/>
      <c r="Q630" s="170"/>
      <c r="R630" s="136"/>
      <c r="S630" s="137"/>
      <c r="T630" s="128"/>
      <c r="U630" s="137"/>
      <c r="V630" s="128"/>
      <c r="W630" s="49"/>
      <c r="X630" s="128"/>
      <c r="Y630" s="49"/>
      <c r="Z630" s="128"/>
      <c r="AA630" s="49"/>
      <c r="AB630" s="128"/>
      <c r="AC630" s="49"/>
      <c r="AE630" s="133"/>
    </row>
    <row r="631" spans="1:31" ht="15.75" hidden="1" outlineLevel="2" x14ac:dyDescent="0.2">
      <c r="A631" s="25">
        <f>'Утв. ИП 2014-2019'!A633</f>
        <v>0</v>
      </c>
      <c r="B631" s="6">
        <f>'Утв. ИП 2014-2019'!B633</f>
        <v>0</v>
      </c>
      <c r="C631" s="7" t="str">
        <f>'Утв. ИП 2014-2019'!C633</f>
        <v>строительство</v>
      </c>
      <c r="D631" s="8"/>
      <c r="E631" s="8"/>
      <c r="F631" s="8"/>
      <c r="G631" s="8"/>
      <c r="H631" s="8"/>
      <c r="I631" s="8"/>
      <c r="J631" s="23"/>
      <c r="K631" s="170"/>
      <c r="L631" s="170"/>
      <c r="M631" s="170"/>
      <c r="N631" s="170"/>
      <c r="O631" s="170"/>
      <c r="P631" s="170"/>
      <c r="Q631" s="170"/>
      <c r="R631" s="136"/>
      <c r="S631" s="137"/>
      <c r="T631" s="128"/>
      <c r="U631" s="137"/>
      <c r="V631" s="128"/>
      <c r="W631" s="49"/>
      <c r="X631" s="128"/>
      <c r="Y631" s="49"/>
      <c r="Z631" s="128"/>
      <c r="AA631" s="49"/>
      <c r="AB631" s="128"/>
      <c r="AC631" s="49"/>
      <c r="AE631" s="133"/>
    </row>
    <row r="632" spans="1:31" ht="25.5" hidden="1" outlineLevel="1" collapsed="1" x14ac:dyDescent="0.2">
      <c r="A632" s="25" t="str">
        <f>'Утв. ИП 2014-2019'!A634</f>
        <v>1.1.5.3.1/13</v>
      </c>
      <c r="B632" s="6" t="str">
        <f>'Утв. ИП 2014-2019'!B634</f>
        <v>3.2.131</v>
      </c>
      <c r="C632" s="7" t="str">
        <f>'Утв. ИП 2014-2019'!C634</f>
        <v>Электроснабжение административно-бытового здания по адресу: г. Липецк, ул. Баумана, 299 Е</v>
      </c>
      <c r="D632" s="8"/>
      <c r="E632" s="8" t="str">
        <f>'Утв. ИП 2014-2019'!L634</f>
        <v>0,2 км/ 0,1 МВА</v>
      </c>
      <c r="F632" s="8"/>
      <c r="G632" s="8"/>
      <c r="H632" s="8"/>
      <c r="I632" s="8"/>
      <c r="J632" s="23" t="str">
        <f>'Утв. ИП 2014-2019'!Q634</f>
        <v>0,2 км/ 0,1 МВА</v>
      </c>
      <c r="K632" s="170"/>
      <c r="L632" s="170"/>
      <c r="M632" s="170"/>
      <c r="N632" s="170"/>
      <c r="O632" s="170"/>
      <c r="P632" s="170"/>
      <c r="Q632" s="170"/>
      <c r="R632" s="166"/>
      <c r="S632" s="167"/>
      <c r="T632" s="168"/>
      <c r="U632" s="167"/>
      <c r="V632" s="168"/>
      <c r="W632" s="169"/>
      <c r="X632" s="168"/>
      <c r="Y632" s="169"/>
      <c r="Z632" s="168"/>
      <c r="AA632" s="169"/>
      <c r="AB632" s="168"/>
      <c r="AC632" s="169"/>
      <c r="AE632" s="133"/>
    </row>
    <row r="633" spans="1:31" ht="15.75" hidden="1" outlineLevel="2" x14ac:dyDescent="0.2">
      <c r="A633" s="25">
        <f>'Утв. ИП 2014-2019'!A635</f>
        <v>0</v>
      </c>
      <c r="B633" s="6">
        <f>'Утв. ИП 2014-2019'!B635</f>
        <v>0</v>
      </c>
      <c r="C633" s="7" t="str">
        <f>'Утв. ИП 2014-2019'!C635</f>
        <v>реконструкция</v>
      </c>
      <c r="D633" s="8"/>
      <c r="E633" s="8"/>
      <c r="F633" s="8"/>
      <c r="G633" s="8"/>
      <c r="H633" s="8"/>
      <c r="I633" s="8"/>
      <c r="J633" s="23"/>
      <c r="K633" s="170"/>
      <c r="L633" s="170"/>
      <c r="M633" s="170"/>
      <c r="N633" s="170"/>
      <c r="O633" s="170"/>
      <c r="P633" s="170"/>
      <c r="Q633" s="170"/>
      <c r="R633" s="166"/>
      <c r="S633" s="167"/>
      <c r="T633" s="168"/>
      <c r="U633" s="167"/>
      <c r="V633" s="168"/>
      <c r="W633" s="169"/>
      <c r="X633" s="168"/>
      <c r="Y633" s="169"/>
      <c r="Z633" s="168"/>
      <c r="AA633" s="169"/>
      <c r="AB633" s="168"/>
      <c r="AC633" s="169"/>
      <c r="AE633" s="133"/>
    </row>
    <row r="634" spans="1:31" ht="15.75" hidden="1" outlineLevel="2" x14ac:dyDescent="0.2">
      <c r="A634" s="25">
        <f>'Утв. ИП 2014-2019'!A636</f>
        <v>0</v>
      </c>
      <c r="B634" s="6">
        <f>'Утв. ИП 2014-2019'!B636</f>
        <v>0</v>
      </c>
      <c r="C634" s="7" t="str">
        <f>'Утв. ИП 2014-2019'!C636</f>
        <v>строительство</v>
      </c>
      <c r="D634" s="8"/>
      <c r="E634" s="8"/>
      <c r="F634" s="8"/>
      <c r="G634" s="8"/>
      <c r="H634" s="8"/>
      <c r="I634" s="8"/>
      <c r="J634" s="23"/>
      <c r="K634" s="170"/>
      <c r="L634" s="170"/>
      <c r="M634" s="170"/>
      <c r="N634" s="170"/>
      <c r="O634" s="170"/>
      <c r="P634" s="170"/>
      <c r="Q634" s="170"/>
      <c r="R634" s="166"/>
      <c r="S634" s="167"/>
      <c r="T634" s="168"/>
      <c r="U634" s="167"/>
      <c r="V634" s="168"/>
      <c r="W634" s="169"/>
      <c r="X634" s="168"/>
      <c r="Y634" s="169"/>
      <c r="Z634" s="168"/>
      <c r="AA634" s="169"/>
      <c r="AB634" s="168"/>
      <c r="AC634" s="169"/>
      <c r="AE634" s="133"/>
    </row>
    <row r="635" spans="1:31" ht="25.5" hidden="1" outlineLevel="1" collapsed="1" x14ac:dyDescent="0.2">
      <c r="A635" s="25" t="str">
        <f>'Утв. ИП 2014-2019'!A637</f>
        <v>1.1.5.3.2/13</v>
      </c>
      <c r="B635" s="6" t="str">
        <f>'Утв. ИП 2014-2019'!B637</f>
        <v>3.2.132</v>
      </c>
      <c r="C635" s="7" t="str">
        <f>'Утв. ИП 2014-2019'!C637</f>
        <v>Электроснабжение садового домика по адресу: г. Липецк, СНТ "Горняк", уч. № 550</v>
      </c>
      <c r="D635" s="8"/>
      <c r="E635" s="8" t="str">
        <f>'Утв. ИП 2014-2019'!L637</f>
        <v>1,0 км/ 0,25 МВА</v>
      </c>
      <c r="F635" s="8"/>
      <c r="G635" s="8"/>
      <c r="H635" s="8"/>
      <c r="I635" s="8"/>
      <c r="J635" s="23" t="str">
        <f>'Утв. ИП 2014-2019'!Q637</f>
        <v>1,0 км/ 0,25 МВА</v>
      </c>
      <c r="K635" s="170"/>
      <c r="L635" s="170"/>
      <c r="M635" s="170"/>
      <c r="N635" s="170"/>
      <c r="O635" s="170"/>
      <c r="P635" s="170"/>
      <c r="Q635" s="170"/>
      <c r="R635" s="136"/>
      <c r="S635" s="137"/>
      <c r="T635" s="128"/>
      <c r="U635" s="137"/>
      <c r="V635" s="128"/>
      <c r="W635" s="49"/>
      <c r="X635" s="128"/>
      <c r="Y635" s="49"/>
      <c r="Z635" s="128"/>
      <c r="AA635" s="49"/>
      <c r="AB635" s="128"/>
      <c r="AC635" s="49"/>
      <c r="AE635" s="133"/>
    </row>
    <row r="636" spans="1:31" ht="15.75" hidden="1" outlineLevel="2" x14ac:dyDescent="0.2">
      <c r="A636" s="25">
        <f>'Утв. ИП 2014-2019'!A638</f>
        <v>0</v>
      </c>
      <c r="B636" s="6">
        <f>'Утв. ИП 2014-2019'!B638</f>
        <v>0</v>
      </c>
      <c r="C636" s="7" t="str">
        <f>'Утв. ИП 2014-2019'!C638</f>
        <v>реконструкция</v>
      </c>
      <c r="D636" s="8"/>
      <c r="E636" s="8"/>
      <c r="F636" s="8"/>
      <c r="G636" s="8"/>
      <c r="H636" s="8"/>
      <c r="I636" s="8"/>
      <c r="J636" s="23"/>
      <c r="K636" s="170"/>
      <c r="L636" s="170"/>
      <c r="M636" s="170"/>
      <c r="N636" s="170"/>
      <c r="O636" s="170"/>
      <c r="P636" s="170"/>
      <c r="Q636" s="170"/>
      <c r="R636" s="136"/>
      <c r="S636" s="137"/>
      <c r="T636" s="128"/>
      <c r="U636" s="137"/>
      <c r="V636" s="128"/>
      <c r="W636" s="49"/>
      <c r="X636" s="128"/>
      <c r="Y636" s="49"/>
      <c r="Z636" s="128"/>
      <c r="AA636" s="49"/>
      <c r="AB636" s="128"/>
      <c r="AC636" s="49"/>
      <c r="AE636" s="133"/>
    </row>
    <row r="637" spans="1:31" ht="15.75" hidden="1" outlineLevel="2" x14ac:dyDescent="0.2">
      <c r="A637" s="25">
        <f>'Утв. ИП 2014-2019'!A639</f>
        <v>0</v>
      </c>
      <c r="B637" s="6">
        <f>'Утв. ИП 2014-2019'!B639</f>
        <v>0</v>
      </c>
      <c r="C637" s="7" t="str">
        <f>'Утв. ИП 2014-2019'!C639</f>
        <v>строительство</v>
      </c>
      <c r="D637" s="8"/>
      <c r="E637" s="8"/>
      <c r="F637" s="8"/>
      <c r="G637" s="8"/>
      <c r="H637" s="8"/>
      <c r="I637" s="8"/>
      <c r="J637" s="23"/>
      <c r="K637" s="170"/>
      <c r="L637" s="170"/>
      <c r="M637" s="170"/>
      <c r="N637" s="170"/>
      <c r="O637" s="170"/>
      <c r="P637" s="170"/>
      <c r="Q637" s="170"/>
      <c r="R637" s="136"/>
      <c r="S637" s="137"/>
      <c r="T637" s="128"/>
      <c r="U637" s="137"/>
      <c r="V637" s="128"/>
      <c r="W637" s="49"/>
      <c r="X637" s="128"/>
      <c r="Y637" s="49"/>
      <c r="Z637" s="128"/>
      <c r="AA637" s="49"/>
      <c r="AB637" s="128"/>
      <c r="AC637" s="49"/>
      <c r="AE637" s="133"/>
    </row>
    <row r="638" spans="1:31" ht="38.25" hidden="1" outlineLevel="1" collapsed="1" x14ac:dyDescent="0.2">
      <c r="A638" s="25" t="str">
        <f>'Утв. ИП 2014-2019'!A640</f>
        <v>1.1.5.3.3/13</v>
      </c>
      <c r="B638" s="6" t="str">
        <f>'Утв. ИП 2014-2019'!B640</f>
        <v>3.2.133</v>
      </c>
      <c r="C638" s="7" t="str">
        <f>'Утв. ИП 2014-2019'!C640</f>
        <v>Строительство ВЛ-0,4 кВ от СТП, смонтированной по п. 1.1.6.2.107/12 программы перспективного развития, до садового домика по адресу: г. Липецк, НТС "Металлург-3", участок № 2</v>
      </c>
      <c r="D638" s="8"/>
      <c r="E638" s="8" t="str">
        <f>'Утв. ИП 2014-2019'!L640</f>
        <v>0,25 км/ 0 МВА</v>
      </c>
      <c r="F638" s="8"/>
      <c r="G638" s="8"/>
      <c r="H638" s="8"/>
      <c r="I638" s="8"/>
      <c r="J638" s="23" t="str">
        <f>'Утв. ИП 2014-2019'!Q640</f>
        <v>0,25 км/ 0 МВА</v>
      </c>
      <c r="K638" s="170"/>
      <c r="L638" s="170"/>
      <c r="M638" s="170"/>
      <c r="N638" s="170"/>
      <c r="O638" s="170"/>
      <c r="P638" s="170"/>
      <c r="Q638" s="170"/>
      <c r="R638" s="136"/>
      <c r="S638" s="137"/>
      <c r="T638" s="128"/>
      <c r="U638" s="137"/>
      <c r="V638" s="128"/>
      <c r="W638" s="49"/>
      <c r="X638" s="128"/>
      <c r="Y638" s="49"/>
      <c r="Z638" s="128"/>
      <c r="AA638" s="49"/>
      <c r="AB638" s="128"/>
      <c r="AC638" s="49"/>
      <c r="AE638" s="133"/>
    </row>
    <row r="639" spans="1:31" ht="15.75" hidden="1" outlineLevel="2" x14ac:dyDescent="0.2">
      <c r="A639" s="25">
        <f>'Утв. ИП 2014-2019'!A641</f>
        <v>0</v>
      </c>
      <c r="B639" s="6">
        <f>'Утв. ИП 2014-2019'!B641</f>
        <v>0</v>
      </c>
      <c r="C639" s="7" t="str">
        <f>'Утв. ИП 2014-2019'!C641</f>
        <v>реконструкция</v>
      </c>
      <c r="D639" s="8"/>
      <c r="E639" s="8"/>
      <c r="F639" s="8"/>
      <c r="G639" s="8"/>
      <c r="H639" s="8"/>
      <c r="I639" s="8"/>
      <c r="J639" s="23"/>
      <c r="K639" s="170"/>
      <c r="L639" s="170"/>
      <c r="M639" s="170"/>
      <c r="N639" s="170"/>
      <c r="O639" s="170"/>
      <c r="P639" s="170"/>
      <c r="Q639" s="170"/>
      <c r="R639" s="136"/>
      <c r="S639" s="137"/>
      <c r="T639" s="128"/>
      <c r="U639" s="137"/>
      <c r="V639" s="128"/>
      <c r="W639" s="49"/>
      <c r="X639" s="128"/>
      <c r="Y639" s="49"/>
      <c r="Z639" s="128"/>
      <c r="AA639" s="49"/>
      <c r="AB639" s="128"/>
      <c r="AC639" s="49"/>
      <c r="AE639" s="133"/>
    </row>
    <row r="640" spans="1:31" ht="15.75" hidden="1" outlineLevel="2" x14ac:dyDescent="0.2">
      <c r="A640" s="25">
        <f>'Утв. ИП 2014-2019'!A642</f>
        <v>0</v>
      </c>
      <c r="B640" s="6">
        <f>'Утв. ИП 2014-2019'!B642</f>
        <v>0</v>
      </c>
      <c r="C640" s="7" t="str">
        <f>'Утв. ИП 2014-2019'!C642</f>
        <v>строительство</v>
      </c>
      <c r="D640" s="8"/>
      <c r="E640" s="8"/>
      <c r="F640" s="8"/>
      <c r="G640" s="8"/>
      <c r="H640" s="8"/>
      <c r="I640" s="8"/>
      <c r="J640" s="23"/>
      <c r="K640" s="170"/>
      <c r="L640" s="170"/>
      <c r="M640" s="170"/>
      <c r="N640" s="170"/>
      <c r="O640" s="170"/>
      <c r="P640" s="170"/>
      <c r="Q640" s="170"/>
      <c r="R640" s="136"/>
      <c r="S640" s="137"/>
      <c r="T640" s="128"/>
      <c r="U640" s="137"/>
      <c r="V640" s="128"/>
      <c r="W640" s="49"/>
      <c r="X640" s="128"/>
      <c r="Y640" s="49"/>
      <c r="Z640" s="128"/>
      <c r="AA640" s="49"/>
      <c r="AB640" s="128"/>
      <c r="AC640" s="49"/>
      <c r="AE640" s="133"/>
    </row>
    <row r="641" spans="1:31" ht="38.25" hidden="1" outlineLevel="1" collapsed="1" x14ac:dyDescent="0.2">
      <c r="A641" s="25" t="str">
        <f>'Утв. ИП 2014-2019'!A643</f>
        <v>1.1.5.3.4/13</v>
      </c>
      <c r="B641" s="6" t="str">
        <f>'Утв. ИП 2014-2019'!B643</f>
        <v>3.2.134</v>
      </c>
      <c r="C641" s="7" t="str">
        <f>'Утв. ИП 2014-2019'!C643</f>
        <v>Строительство КВЛ-0,4 кВ от ТП-173 до киоска в остановочном павильоне № К-4951 по адресу: г. Липецк, остановка "Кольцевая", пр. Победы со стороны а/к 1415</v>
      </c>
      <c r="D641" s="8" t="str">
        <f>'Утв. ИП 2014-2019'!K643</f>
        <v>0,3 км/ 0 МВА</v>
      </c>
      <c r="E641" s="8"/>
      <c r="F641" s="8"/>
      <c r="G641" s="8"/>
      <c r="H641" s="8"/>
      <c r="I641" s="8"/>
      <c r="J641" s="23" t="str">
        <f>'Утв. ИП 2014-2019'!Q643</f>
        <v>0,3 км/ 0 МВА</v>
      </c>
      <c r="K641" s="170"/>
      <c r="L641" s="170"/>
      <c r="M641" s="170"/>
      <c r="N641" s="170"/>
      <c r="O641" s="170"/>
      <c r="P641" s="170"/>
      <c r="Q641" s="170"/>
      <c r="R641" s="136"/>
      <c r="S641" s="137"/>
      <c r="T641" s="128"/>
      <c r="U641" s="137"/>
      <c r="V641" s="128"/>
      <c r="W641" s="49"/>
      <c r="X641" s="128"/>
      <c r="Y641" s="49"/>
      <c r="Z641" s="128"/>
      <c r="AA641" s="49"/>
      <c r="AB641" s="128"/>
      <c r="AC641" s="49"/>
      <c r="AE641" s="133"/>
    </row>
    <row r="642" spans="1:31" ht="15.75" hidden="1" outlineLevel="2" x14ac:dyDescent="0.2">
      <c r="A642" s="25">
        <f>'Утв. ИП 2014-2019'!A644</f>
        <v>0</v>
      </c>
      <c r="B642" s="6">
        <f>'Утв. ИП 2014-2019'!B644</f>
        <v>0</v>
      </c>
      <c r="C642" s="7" t="str">
        <f>'Утв. ИП 2014-2019'!C644</f>
        <v>реконструкция</v>
      </c>
      <c r="D642" s="8"/>
      <c r="E642" s="8"/>
      <c r="F642" s="8"/>
      <c r="G642" s="8"/>
      <c r="H642" s="8"/>
      <c r="I642" s="8"/>
      <c r="J642" s="23"/>
      <c r="K642" s="170"/>
      <c r="L642" s="170"/>
      <c r="M642" s="170"/>
      <c r="N642" s="170"/>
      <c r="O642" s="170"/>
      <c r="P642" s="170"/>
      <c r="Q642" s="170"/>
      <c r="R642" s="136"/>
      <c r="S642" s="137"/>
      <c r="T642" s="128"/>
      <c r="U642" s="137"/>
      <c r="V642" s="128"/>
      <c r="W642" s="49"/>
      <c r="X642" s="128"/>
      <c r="Y642" s="49"/>
      <c r="Z642" s="128"/>
      <c r="AA642" s="49"/>
      <c r="AB642" s="128"/>
      <c r="AC642" s="49"/>
      <c r="AE642" s="133"/>
    </row>
    <row r="643" spans="1:31" ht="15.75" hidden="1" outlineLevel="2" x14ac:dyDescent="0.2">
      <c r="A643" s="25">
        <f>'Утв. ИП 2014-2019'!A645</f>
        <v>0</v>
      </c>
      <c r="B643" s="6">
        <f>'Утв. ИП 2014-2019'!B645</f>
        <v>0</v>
      </c>
      <c r="C643" s="7" t="str">
        <f>'Утв. ИП 2014-2019'!C645</f>
        <v>строительство</v>
      </c>
      <c r="D643" s="8"/>
      <c r="E643" s="8"/>
      <c r="F643" s="8"/>
      <c r="G643" s="8"/>
      <c r="H643" s="8"/>
      <c r="I643" s="8"/>
      <c r="J643" s="23"/>
      <c r="K643" s="170"/>
      <c r="L643" s="170"/>
      <c r="M643" s="170"/>
      <c r="N643" s="170"/>
      <c r="O643" s="170"/>
      <c r="P643" s="170"/>
      <c r="Q643" s="170"/>
      <c r="R643" s="136"/>
      <c r="S643" s="137"/>
      <c r="T643" s="128"/>
      <c r="U643" s="137"/>
      <c r="V643" s="128"/>
      <c r="W643" s="49"/>
      <c r="X643" s="128"/>
      <c r="Y643" s="49"/>
      <c r="Z643" s="128"/>
      <c r="AA643" s="49"/>
      <c r="AB643" s="128"/>
      <c r="AC643" s="49"/>
      <c r="AE643" s="133"/>
    </row>
    <row r="644" spans="1:31" ht="51" hidden="1" outlineLevel="1" collapsed="1" x14ac:dyDescent="0.2">
      <c r="A644" s="25" t="str">
        <f>'Утв. ИП 2014-2019'!A646</f>
        <v>1.1.5.3.5/13</v>
      </c>
      <c r="B644" s="6" t="str">
        <f>'Утв. ИП 2014-2019'!B646</f>
        <v>3.2.135</v>
      </c>
      <c r="C644" s="7" t="str">
        <f>'Утв. ИП 2014-2019'!C646</f>
        <v>Монтаж узла учета на опоре ВЛ-0,4 кВ в СНТ "Горняк", смонтированной по п. 4.1.82/09 программы перспективного развития, от ТП-642 для электроснабжения садового домика по адресу: г. Липецк, СНТ "Горняк", уч. № 46</v>
      </c>
      <c r="D644" s="8"/>
      <c r="E644" s="8" t="str">
        <f>'Утв. ИП 2014-2019'!L646</f>
        <v>0,0 км/ 0 МВА</v>
      </c>
      <c r="F644" s="8"/>
      <c r="G644" s="8"/>
      <c r="H644" s="8"/>
      <c r="I644" s="8"/>
      <c r="J644" s="23" t="str">
        <f>'Утв. ИП 2014-2019'!Q646</f>
        <v>0,0 км/ 0 МВА</v>
      </c>
      <c r="K644" s="170"/>
      <c r="L644" s="170"/>
      <c r="M644" s="170"/>
      <c r="N644" s="170"/>
      <c r="O644" s="170"/>
      <c r="P644" s="170"/>
      <c r="Q644" s="170"/>
      <c r="R644" s="136"/>
      <c r="S644" s="137"/>
      <c r="T644" s="128"/>
      <c r="U644" s="137"/>
      <c r="V644" s="128"/>
      <c r="W644" s="49"/>
      <c r="X644" s="128"/>
      <c r="Y644" s="49"/>
      <c r="Z644" s="128"/>
      <c r="AA644" s="49"/>
      <c r="AB644" s="128"/>
      <c r="AC644" s="49"/>
      <c r="AE644" s="133"/>
    </row>
    <row r="645" spans="1:31" ht="15.75" hidden="1" outlineLevel="2" x14ac:dyDescent="0.2">
      <c r="A645" s="25">
        <f>'Утв. ИП 2014-2019'!A647</f>
        <v>0</v>
      </c>
      <c r="B645" s="6">
        <f>'Утв. ИП 2014-2019'!B647</f>
        <v>0</v>
      </c>
      <c r="C645" s="7" t="str">
        <f>'Утв. ИП 2014-2019'!C647</f>
        <v>реконструкция</v>
      </c>
      <c r="D645" s="8"/>
      <c r="E645" s="8"/>
      <c r="F645" s="8"/>
      <c r="G645" s="8"/>
      <c r="H645" s="8"/>
      <c r="I645" s="8"/>
      <c r="J645" s="23"/>
      <c r="K645" s="170"/>
      <c r="L645" s="170"/>
      <c r="M645" s="170"/>
      <c r="N645" s="170"/>
      <c r="O645" s="170"/>
      <c r="P645" s="170"/>
      <c r="Q645" s="170"/>
      <c r="R645" s="136"/>
      <c r="S645" s="137"/>
      <c r="T645" s="128"/>
      <c r="U645" s="137"/>
      <c r="V645" s="128"/>
      <c r="W645" s="49"/>
      <c r="X645" s="128"/>
      <c r="Y645" s="49"/>
      <c r="Z645" s="128"/>
      <c r="AA645" s="49"/>
      <c r="AB645" s="128"/>
      <c r="AC645" s="49"/>
      <c r="AE645" s="133"/>
    </row>
    <row r="646" spans="1:31" ht="15.75" hidden="1" outlineLevel="2" x14ac:dyDescent="0.2">
      <c r="A646" s="25">
        <f>'Утв. ИП 2014-2019'!A648</f>
        <v>0</v>
      </c>
      <c r="B646" s="6">
        <f>'Утв. ИП 2014-2019'!B648</f>
        <v>0</v>
      </c>
      <c r="C646" s="7" t="str">
        <f>'Утв. ИП 2014-2019'!C648</f>
        <v>строительство</v>
      </c>
      <c r="D646" s="8"/>
      <c r="E646" s="8"/>
      <c r="F646" s="8"/>
      <c r="G646" s="8"/>
      <c r="H646" s="8"/>
      <c r="I646" s="8"/>
      <c r="J646" s="23"/>
      <c r="K646" s="170"/>
      <c r="L646" s="170"/>
      <c r="M646" s="170"/>
      <c r="N646" s="170"/>
      <c r="O646" s="170"/>
      <c r="P646" s="170"/>
      <c r="Q646" s="170"/>
      <c r="R646" s="136"/>
      <c r="S646" s="137"/>
      <c r="T646" s="128"/>
      <c r="U646" s="137"/>
      <c r="V646" s="128"/>
      <c r="W646" s="49"/>
      <c r="X646" s="128"/>
      <c r="Y646" s="49"/>
      <c r="Z646" s="128"/>
      <c r="AA646" s="49"/>
      <c r="AB646" s="128"/>
      <c r="AC646" s="49"/>
      <c r="AE646" s="133"/>
    </row>
    <row r="647" spans="1:31" ht="51" hidden="1" outlineLevel="1" collapsed="1" x14ac:dyDescent="0.2">
      <c r="A647" s="25" t="str">
        <f>'Утв. ИП 2014-2019'!A649</f>
        <v>1.1.5.3.6/13</v>
      </c>
      <c r="B647" s="6" t="str">
        <f>'Утв. ИП 2014-2019'!B649</f>
        <v>3.2.136</v>
      </c>
      <c r="C647" s="7" t="str">
        <f>'Утв. ИП 2014-2019'!C649</f>
        <v>Монтаж узла учета на опоре № 6 ВЛ-0,4 кВ в СПО "Металург-1", смонтированной по п. 4.1.24/09 программы перспективного развития, от КТП-92 для электроснабжения садового домика по адресу: г. Липецк, СПО "Металлург-1", зем. уч. № 64</v>
      </c>
      <c r="D647" s="8" t="str">
        <f>'Утв. ИП 2014-2019'!K649</f>
        <v>0,0 км/ 0 МВА</v>
      </c>
      <c r="E647" s="8"/>
      <c r="F647" s="8"/>
      <c r="G647" s="8"/>
      <c r="H647" s="8"/>
      <c r="I647" s="8"/>
      <c r="J647" s="23" t="str">
        <f>'Утв. ИП 2014-2019'!Q649</f>
        <v>0,0 км/ 0 МВА</v>
      </c>
      <c r="K647" s="170"/>
      <c r="L647" s="170"/>
      <c r="M647" s="170"/>
      <c r="N647" s="170"/>
      <c r="O647" s="170"/>
      <c r="P647" s="170"/>
      <c r="Q647" s="170"/>
      <c r="R647" s="136"/>
      <c r="S647" s="137"/>
      <c r="T647" s="128"/>
      <c r="U647" s="137"/>
      <c r="V647" s="128"/>
      <c r="W647" s="49"/>
      <c r="X647" s="128"/>
      <c r="Y647" s="49"/>
      <c r="Z647" s="128"/>
      <c r="AA647" s="49"/>
      <c r="AB647" s="128"/>
      <c r="AC647" s="49"/>
      <c r="AE647" s="133"/>
    </row>
    <row r="648" spans="1:31" ht="15.75" hidden="1" outlineLevel="2" x14ac:dyDescent="0.2">
      <c r="A648" s="25">
        <f>'Утв. ИП 2014-2019'!A650</f>
        <v>0</v>
      </c>
      <c r="B648" s="6">
        <f>'Утв. ИП 2014-2019'!B650</f>
        <v>0</v>
      </c>
      <c r="C648" s="7" t="str">
        <f>'Утв. ИП 2014-2019'!C650</f>
        <v>реконструкция</v>
      </c>
      <c r="D648" s="8"/>
      <c r="E648" s="8"/>
      <c r="F648" s="8"/>
      <c r="G648" s="8"/>
      <c r="H648" s="8"/>
      <c r="I648" s="8"/>
      <c r="J648" s="23"/>
      <c r="K648" s="170"/>
      <c r="L648" s="170"/>
      <c r="M648" s="170"/>
      <c r="N648" s="170"/>
      <c r="O648" s="170"/>
      <c r="P648" s="170"/>
      <c r="Q648" s="170"/>
      <c r="R648" s="136"/>
      <c r="S648" s="137"/>
      <c r="T648" s="128"/>
      <c r="U648" s="137"/>
      <c r="V648" s="128"/>
      <c r="W648" s="49"/>
      <c r="X648" s="128"/>
      <c r="Y648" s="49"/>
      <c r="Z648" s="128"/>
      <c r="AA648" s="49"/>
      <c r="AB648" s="128"/>
      <c r="AC648" s="49"/>
      <c r="AE648" s="133"/>
    </row>
    <row r="649" spans="1:31" ht="15.75" hidden="1" outlineLevel="2" x14ac:dyDescent="0.2">
      <c r="A649" s="25">
        <f>'Утв. ИП 2014-2019'!A651</f>
        <v>0</v>
      </c>
      <c r="B649" s="6">
        <f>'Утв. ИП 2014-2019'!B651</f>
        <v>0</v>
      </c>
      <c r="C649" s="7" t="str">
        <f>'Утв. ИП 2014-2019'!C651</f>
        <v>строительство</v>
      </c>
      <c r="D649" s="8"/>
      <c r="E649" s="8"/>
      <c r="F649" s="8"/>
      <c r="G649" s="8"/>
      <c r="H649" s="8"/>
      <c r="I649" s="8"/>
      <c r="J649" s="23"/>
      <c r="K649" s="170"/>
      <c r="L649" s="170"/>
      <c r="M649" s="170"/>
      <c r="N649" s="170"/>
      <c r="O649" s="170"/>
      <c r="P649" s="170"/>
      <c r="Q649" s="170"/>
      <c r="R649" s="136"/>
      <c r="S649" s="137"/>
      <c r="T649" s="128"/>
      <c r="U649" s="137"/>
      <c r="V649" s="128"/>
      <c r="W649" s="49"/>
      <c r="X649" s="128"/>
      <c r="Y649" s="49"/>
      <c r="Z649" s="128"/>
      <c r="AA649" s="49"/>
      <c r="AB649" s="128"/>
      <c r="AC649" s="49"/>
      <c r="AE649" s="133"/>
    </row>
    <row r="650" spans="1:31" ht="38.25" hidden="1" outlineLevel="1" collapsed="1" x14ac:dyDescent="0.2">
      <c r="A650" s="25" t="str">
        <f>'Утв. ИП 2014-2019'!A652</f>
        <v>1.1.5.3.7/13</v>
      </c>
      <c r="B650" s="6" t="str">
        <f>'Утв. ИП 2014-2019'!B652</f>
        <v>3.2.137</v>
      </c>
      <c r="C650" s="7" t="str">
        <f>'Утв. ИП 2014-2019'!C652</f>
        <v>Монтаж узла учета на опоре № 12 ВЛ-0,4 кВ по ул. Ярославская от ТП-549 для электроснабжения 1/2 доли жилого дома по адресу: г. Липецк, ул. Ярославская, д. 24</v>
      </c>
      <c r="D650" s="8"/>
      <c r="E650" s="8" t="str">
        <f>'Утв. ИП 2014-2019'!L652</f>
        <v>0,0 км/ 0 МВА</v>
      </c>
      <c r="F650" s="8"/>
      <c r="G650" s="8"/>
      <c r="H650" s="8"/>
      <c r="I650" s="8"/>
      <c r="J650" s="23" t="str">
        <f>'Утв. ИП 2014-2019'!Q652</f>
        <v>0,0 км/ 0 МВА</v>
      </c>
      <c r="K650" s="170"/>
      <c r="L650" s="170"/>
      <c r="M650" s="170"/>
      <c r="N650" s="170"/>
      <c r="O650" s="170"/>
      <c r="P650" s="170"/>
      <c r="Q650" s="170"/>
      <c r="R650" s="136"/>
      <c r="S650" s="137"/>
      <c r="T650" s="128"/>
      <c r="U650" s="137"/>
      <c r="V650" s="128"/>
      <c r="W650" s="49"/>
      <c r="X650" s="128"/>
      <c r="Y650" s="49"/>
      <c r="Z650" s="128"/>
      <c r="AA650" s="49"/>
      <c r="AB650" s="128"/>
      <c r="AC650" s="49"/>
      <c r="AE650" s="133"/>
    </row>
    <row r="651" spans="1:31" ht="15.75" hidden="1" outlineLevel="2" x14ac:dyDescent="0.2">
      <c r="A651" s="25">
        <f>'Утв. ИП 2014-2019'!A653</f>
        <v>0</v>
      </c>
      <c r="B651" s="6">
        <f>'Утв. ИП 2014-2019'!B653</f>
        <v>0</v>
      </c>
      <c r="C651" s="7" t="str">
        <f>'Утв. ИП 2014-2019'!C653</f>
        <v>реконструкция</v>
      </c>
      <c r="D651" s="8"/>
      <c r="E651" s="8"/>
      <c r="F651" s="8"/>
      <c r="G651" s="8"/>
      <c r="H651" s="8"/>
      <c r="I651" s="8"/>
      <c r="J651" s="23"/>
      <c r="K651" s="170"/>
      <c r="L651" s="170"/>
      <c r="M651" s="170"/>
      <c r="N651" s="170"/>
      <c r="O651" s="170"/>
      <c r="P651" s="170"/>
      <c r="Q651" s="170"/>
      <c r="R651" s="136"/>
      <c r="S651" s="137"/>
      <c r="T651" s="128"/>
      <c r="U651" s="137"/>
      <c r="V651" s="128"/>
      <c r="W651" s="49"/>
      <c r="X651" s="128"/>
      <c r="Y651" s="49"/>
      <c r="Z651" s="128"/>
      <c r="AA651" s="49"/>
      <c r="AB651" s="128"/>
      <c r="AC651" s="49"/>
      <c r="AE651" s="133"/>
    </row>
    <row r="652" spans="1:31" ht="15.75" hidden="1" outlineLevel="2" x14ac:dyDescent="0.2">
      <c r="A652" s="25">
        <f>'Утв. ИП 2014-2019'!A654</f>
        <v>0</v>
      </c>
      <c r="B652" s="6">
        <f>'Утв. ИП 2014-2019'!B654</f>
        <v>0</v>
      </c>
      <c r="C652" s="7" t="str">
        <f>'Утв. ИП 2014-2019'!C654</f>
        <v>строительство</v>
      </c>
      <c r="D652" s="8"/>
      <c r="E652" s="8"/>
      <c r="F652" s="8"/>
      <c r="G652" s="8"/>
      <c r="H652" s="8"/>
      <c r="I652" s="8"/>
      <c r="J652" s="23"/>
      <c r="K652" s="170"/>
      <c r="L652" s="170"/>
      <c r="M652" s="170"/>
      <c r="N652" s="170"/>
      <c r="O652" s="170"/>
      <c r="P652" s="170"/>
      <c r="Q652" s="170"/>
      <c r="R652" s="136"/>
      <c r="S652" s="137"/>
      <c r="T652" s="128"/>
      <c r="U652" s="137"/>
      <c r="V652" s="128"/>
      <c r="W652" s="49"/>
      <c r="X652" s="128"/>
      <c r="Y652" s="49"/>
      <c r="Z652" s="128"/>
      <c r="AA652" s="49"/>
      <c r="AB652" s="128"/>
      <c r="AC652" s="49"/>
      <c r="AE652" s="133"/>
    </row>
    <row r="653" spans="1:31" ht="38.25" hidden="1" outlineLevel="1" collapsed="1" x14ac:dyDescent="0.2">
      <c r="A653" s="25" t="str">
        <f>'Утв. ИП 2014-2019'!A655</f>
        <v>1.1.5.3.8/13</v>
      </c>
      <c r="B653" s="6" t="str">
        <f>'Утв. ИП 2014-2019'!B655</f>
        <v>3.2.138</v>
      </c>
      <c r="C653" s="7" t="str">
        <f>'Утв. ИП 2014-2019'!C655</f>
        <v>Реконструкция ВЛ-0,4 кВ по ул. Техническая от КТП-611 (инв. № 346328) для электроснабжения жилого дома по адресу: г. Липецк, ул. Техническая, д. № 6 а</v>
      </c>
      <c r="D653" s="8"/>
      <c r="E653" s="8" t="str">
        <f>'Утв. ИП 2014-2019'!L655</f>
        <v>0,1 км/ 0 МВА</v>
      </c>
      <c r="F653" s="8"/>
      <c r="G653" s="8"/>
      <c r="H653" s="8"/>
      <c r="I653" s="8"/>
      <c r="J653" s="23" t="str">
        <f>'Утв. ИП 2014-2019'!Q655</f>
        <v>0,1 км/ 0 МВА</v>
      </c>
      <c r="K653" s="170"/>
      <c r="L653" s="23" t="s">
        <v>1418</v>
      </c>
      <c r="M653" s="170"/>
      <c r="N653" s="170"/>
      <c r="O653" s="170"/>
      <c r="P653" s="170"/>
      <c r="Q653" s="23" t="s">
        <v>1418</v>
      </c>
      <c r="R653" s="136"/>
      <c r="S653" s="137"/>
      <c r="T653" s="128">
        <v>0.1</v>
      </c>
      <c r="U653" s="137"/>
      <c r="V653" s="128"/>
      <c r="W653" s="49"/>
      <c r="X653" s="128"/>
      <c r="Y653" s="49"/>
      <c r="Z653" s="128"/>
      <c r="AA653" s="49"/>
      <c r="AB653" s="128"/>
      <c r="AC653" s="49"/>
      <c r="AE653" s="133"/>
    </row>
    <row r="654" spans="1:31" ht="15.75" hidden="1" outlineLevel="2" x14ac:dyDescent="0.2">
      <c r="A654" s="25">
        <f>'Утв. ИП 2014-2019'!A656</f>
        <v>0</v>
      </c>
      <c r="B654" s="6">
        <f>'Утв. ИП 2014-2019'!B656</f>
        <v>0</v>
      </c>
      <c r="C654" s="7" t="str">
        <f>'Утв. ИП 2014-2019'!C656</f>
        <v>реконструкция</v>
      </c>
      <c r="D654" s="8"/>
      <c r="E654" s="8"/>
      <c r="F654" s="8"/>
      <c r="G654" s="8"/>
      <c r="H654" s="8"/>
      <c r="I654" s="8"/>
      <c r="J654" s="23"/>
      <c r="K654" s="170"/>
      <c r="L654" s="170"/>
      <c r="M654" s="170"/>
      <c r="N654" s="170"/>
      <c r="O654" s="170"/>
      <c r="P654" s="170"/>
      <c r="Q654" s="170"/>
      <c r="R654" s="136"/>
      <c r="S654" s="137"/>
      <c r="T654" s="128"/>
      <c r="U654" s="137"/>
      <c r="V654" s="128"/>
      <c r="W654" s="49"/>
      <c r="X654" s="128"/>
      <c r="Y654" s="49"/>
      <c r="Z654" s="128"/>
      <c r="AA654" s="49"/>
      <c r="AB654" s="128"/>
      <c r="AC654" s="49"/>
      <c r="AE654" s="133"/>
    </row>
    <row r="655" spans="1:31" ht="15.75" hidden="1" outlineLevel="2" x14ac:dyDescent="0.2">
      <c r="A655" s="25">
        <f>'Утв. ИП 2014-2019'!A657</f>
        <v>0</v>
      </c>
      <c r="B655" s="6">
        <f>'Утв. ИП 2014-2019'!B657</f>
        <v>0</v>
      </c>
      <c r="C655" s="7" t="str">
        <f>'Утв. ИП 2014-2019'!C657</f>
        <v>строительство</v>
      </c>
      <c r="D655" s="8"/>
      <c r="E655" s="8"/>
      <c r="F655" s="8"/>
      <c r="G655" s="8"/>
      <c r="H655" s="8"/>
      <c r="I655" s="8"/>
      <c r="J655" s="23"/>
      <c r="K655" s="170"/>
      <c r="L655" s="170"/>
      <c r="M655" s="170"/>
      <c r="N655" s="170"/>
      <c r="O655" s="170"/>
      <c r="P655" s="170"/>
      <c r="Q655" s="170"/>
      <c r="R655" s="136"/>
      <c r="S655" s="137"/>
      <c r="T655" s="128"/>
      <c r="U655" s="137"/>
      <c r="V655" s="128"/>
      <c r="W655" s="49"/>
      <c r="X655" s="128"/>
      <c r="Y655" s="49"/>
      <c r="Z655" s="128"/>
      <c r="AA655" s="49"/>
      <c r="AB655" s="128"/>
      <c r="AC655" s="49"/>
      <c r="AE655" s="133"/>
    </row>
    <row r="656" spans="1:31" ht="51" hidden="1" outlineLevel="1" collapsed="1" x14ac:dyDescent="0.2">
      <c r="A656" s="25" t="str">
        <f>'Утв. ИП 2014-2019'!A658</f>
        <v>1.1.5.3.9/13</v>
      </c>
      <c r="B656" s="6" t="str">
        <f>'Утв. ИП 2014-2019'!B658</f>
        <v>3.2.139</v>
      </c>
      <c r="C656" s="7" t="str">
        <f>'Утв. ИП 2014-2019'!C658</f>
        <v>Реконструкция ВЛ-0,4 кВ в СНТ "Кооператор", смонтированной по п. 1.1.6.3.53/10 программы перспективного развития, от ТП-263 для электроснабжения садовых домиков в СНТ "Кооператор"</v>
      </c>
      <c r="D656" s="8" t="str">
        <f>'Утв. ИП 2014-2019'!K658</f>
        <v>0,3 км/ 0 МВА</v>
      </c>
      <c r="E656" s="8"/>
      <c r="F656" s="8"/>
      <c r="G656" s="8"/>
      <c r="H656" s="8"/>
      <c r="I656" s="8"/>
      <c r="J656" s="23" t="str">
        <f>'Утв. ИП 2014-2019'!Q658</f>
        <v>0,3 км/ 0 МВА</v>
      </c>
      <c r="K656" s="23" t="s">
        <v>1206</v>
      </c>
      <c r="L656" s="170"/>
      <c r="M656" s="170"/>
      <c r="N656" s="170"/>
      <c r="O656" s="170"/>
      <c r="P656" s="170"/>
      <c r="Q656" s="23" t="s">
        <v>1206</v>
      </c>
      <c r="R656" s="136">
        <v>0.3</v>
      </c>
      <c r="S656" s="137"/>
      <c r="T656" s="128"/>
      <c r="U656" s="137"/>
      <c r="V656" s="128"/>
      <c r="W656" s="49"/>
      <c r="X656" s="128"/>
      <c r="Y656" s="49"/>
      <c r="Z656" s="128"/>
      <c r="AA656" s="49"/>
      <c r="AB656" s="128"/>
      <c r="AC656" s="49"/>
      <c r="AE656" s="133"/>
    </row>
    <row r="657" spans="1:31" ht="15.75" hidden="1" outlineLevel="2" x14ac:dyDescent="0.2">
      <c r="A657" s="25">
        <f>'Утв. ИП 2014-2019'!A659</f>
        <v>0</v>
      </c>
      <c r="B657" s="6">
        <f>'Утв. ИП 2014-2019'!B659</f>
        <v>0</v>
      </c>
      <c r="C657" s="7" t="str">
        <f>'Утв. ИП 2014-2019'!C659</f>
        <v>реконструкция</v>
      </c>
      <c r="D657" s="8"/>
      <c r="E657" s="8"/>
      <c r="F657" s="8"/>
      <c r="G657" s="8"/>
      <c r="H657" s="8"/>
      <c r="I657" s="8"/>
      <c r="J657" s="23"/>
      <c r="K657" s="170"/>
      <c r="L657" s="170"/>
      <c r="M657" s="170"/>
      <c r="N657" s="170"/>
      <c r="O657" s="170"/>
      <c r="P657" s="170"/>
      <c r="Q657" s="170"/>
      <c r="R657" s="136"/>
      <c r="S657" s="137"/>
      <c r="T657" s="128"/>
      <c r="U657" s="137"/>
      <c r="V657" s="128"/>
      <c r="W657" s="49"/>
      <c r="X657" s="128"/>
      <c r="Y657" s="49"/>
      <c r="Z657" s="128"/>
      <c r="AA657" s="49"/>
      <c r="AB657" s="128"/>
      <c r="AC657" s="49"/>
      <c r="AE657" s="133"/>
    </row>
    <row r="658" spans="1:31" ht="15.75" hidden="1" outlineLevel="2" x14ac:dyDescent="0.2">
      <c r="A658" s="25">
        <f>'Утв. ИП 2014-2019'!A660</f>
        <v>0</v>
      </c>
      <c r="B658" s="6">
        <f>'Утв. ИП 2014-2019'!B660</f>
        <v>0</v>
      </c>
      <c r="C658" s="7" t="str">
        <f>'Утв. ИП 2014-2019'!C660</f>
        <v>строительство</v>
      </c>
      <c r="D658" s="8"/>
      <c r="E658" s="8"/>
      <c r="F658" s="8"/>
      <c r="G658" s="8"/>
      <c r="H658" s="8"/>
      <c r="I658" s="8"/>
      <c r="J658" s="23"/>
      <c r="K658" s="170"/>
      <c r="L658" s="170"/>
      <c r="M658" s="170"/>
      <c r="N658" s="170"/>
      <c r="O658" s="170"/>
      <c r="P658" s="170"/>
      <c r="Q658" s="170"/>
      <c r="R658" s="136"/>
      <c r="S658" s="137"/>
      <c r="T658" s="128"/>
      <c r="U658" s="137"/>
      <c r="V658" s="128"/>
      <c r="W658" s="49"/>
      <c r="X658" s="128"/>
      <c r="Y658" s="49"/>
      <c r="Z658" s="128"/>
      <c r="AA658" s="49"/>
      <c r="AB658" s="128"/>
      <c r="AC658" s="49"/>
      <c r="AE658" s="133"/>
    </row>
    <row r="659" spans="1:31" ht="25.5" hidden="1" outlineLevel="1" collapsed="1" x14ac:dyDescent="0.2">
      <c r="A659" s="25" t="str">
        <f>'Утв. ИП 2014-2019'!A661</f>
        <v>1.1.5.3.10/13</v>
      </c>
      <c r="B659" s="6" t="str">
        <f>'Утв. ИП 2014-2019'!B661</f>
        <v>3.2.140</v>
      </c>
      <c r="C659" s="7" t="str">
        <f>'Утв. ИП 2014-2019'!C661</f>
        <v>Электроснабжение садового домика по адресу: г. Липецк, СНТ "Горняк", земельный участок № 532 А</v>
      </c>
      <c r="D659" s="8"/>
      <c r="E659" s="8" t="str">
        <f>'Утв. ИП 2014-2019'!L661</f>
        <v>0,1 км/ 0 МВА</v>
      </c>
      <c r="F659" s="8"/>
      <c r="G659" s="8"/>
      <c r="H659" s="8"/>
      <c r="I659" s="8"/>
      <c r="J659" s="23" t="str">
        <f>'Утв. ИП 2014-2019'!Q661</f>
        <v>0,1 км/ 0 МВА</v>
      </c>
      <c r="K659" s="170"/>
      <c r="L659" s="170"/>
      <c r="M659" s="170"/>
      <c r="N659" s="170"/>
      <c r="O659" s="170"/>
      <c r="P659" s="170"/>
      <c r="Q659" s="170"/>
      <c r="R659" s="136"/>
      <c r="S659" s="137"/>
      <c r="T659" s="128"/>
      <c r="U659" s="137"/>
      <c r="V659" s="128"/>
      <c r="W659" s="49"/>
      <c r="X659" s="128"/>
      <c r="Y659" s="49"/>
      <c r="Z659" s="128"/>
      <c r="AA659" s="49"/>
      <c r="AB659" s="128"/>
      <c r="AC659" s="49"/>
      <c r="AE659" s="133"/>
    </row>
    <row r="660" spans="1:31" ht="15.75" hidden="1" outlineLevel="2" x14ac:dyDescent="0.2">
      <c r="A660" s="25">
        <f>'Утв. ИП 2014-2019'!A662</f>
        <v>0</v>
      </c>
      <c r="B660" s="6">
        <f>'Утв. ИП 2014-2019'!B662</f>
        <v>0</v>
      </c>
      <c r="C660" s="7" t="str">
        <f>'Утв. ИП 2014-2019'!C662</f>
        <v>реконструкция</v>
      </c>
      <c r="D660" s="8"/>
      <c r="E660" s="8"/>
      <c r="F660" s="8"/>
      <c r="G660" s="8"/>
      <c r="H660" s="8"/>
      <c r="I660" s="8"/>
      <c r="J660" s="23"/>
      <c r="K660" s="170"/>
      <c r="L660" s="170"/>
      <c r="M660" s="170"/>
      <c r="N660" s="170"/>
      <c r="O660" s="170"/>
      <c r="P660" s="170"/>
      <c r="Q660" s="170"/>
      <c r="R660" s="136"/>
      <c r="S660" s="137"/>
      <c r="T660" s="128"/>
      <c r="U660" s="137"/>
      <c r="V660" s="128"/>
      <c r="W660" s="49"/>
      <c r="X660" s="128"/>
      <c r="Y660" s="49"/>
      <c r="Z660" s="128"/>
      <c r="AA660" s="49"/>
      <c r="AB660" s="128"/>
      <c r="AC660" s="49"/>
      <c r="AE660" s="133"/>
    </row>
    <row r="661" spans="1:31" ht="15.75" hidden="1" outlineLevel="2" x14ac:dyDescent="0.2">
      <c r="A661" s="25">
        <f>'Утв. ИП 2014-2019'!A663</f>
        <v>0</v>
      </c>
      <c r="B661" s="6">
        <f>'Утв. ИП 2014-2019'!B663</f>
        <v>0</v>
      </c>
      <c r="C661" s="7" t="str">
        <f>'Утв. ИП 2014-2019'!C663</f>
        <v>строительство</v>
      </c>
      <c r="D661" s="8"/>
      <c r="E661" s="8"/>
      <c r="F661" s="8"/>
      <c r="G661" s="8"/>
      <c r="H661" s="8"/>
      <c r="I661" s="8"/>
      <c r="J661" s="23"/>
      <c r="K661" s="170"/>
      <c r="L661" s="170"/>
      <c r="M661" s="170"/>
      <c r="N661" s="170"/>
      <c r="O661" s="170"/>
      <c r="P661" s="170"/>
      <c r="Q661" s="170"/>
      <c r="R661" s="136"/>
      <c r="S661" s="137"/>
      <c r="T661" s="128"/>
      <c r="U661" s="137"/>
      <c r="V661" s="128"/>
      <c r="W661" s="49"/>
      <c r="X661" s="128"/>
      <c r="Y661" s="49"/>
      <c r="Z661" s="128"/>
      <c r="AA661" s="49"/>
      <c r="AB661" s="128"/>
      <c r="AC661" s="49"/>
      <c r="AE661" s="133"/>
    </row>
    <row r="662" spans="1:31" ht="25.5" hidden="1" outlineLevel="1" collapsed="1" x14ac:dyDescent="0.2">
      <c r="A662" s="25" t="str">
        <f>'Утв. ИП 2014-2019'!A664</f>
        <v>1.1.5.3.11/13</v>
      </c>
      <c r="B662" s="6" t="str">
        <f>'Утв. ИП 2014-2019'!B664</f>
        <v>3.2.141</v>
      </c>
      <c r="C662" s="7" t="str">
        <f>'Утв. ИП 2014-2019'!C664</f>
        <v>Электроснабжение жилого дома по адресу: г. Липецк, ул. Чаплыгина, д. 1</v>
      </c>
      <c r="D662" s="8"/>
      <c r="E662" s="8" t="str">
        <f>'Утв. ИП 2014-2019'!L664</f>
        <v>0,5 км/ 0 МВА</v>
      </c>
      <c r="F662" s="8"/>
      <c r="G662" s="8"/>
      <c r="H662" s="8"/>
      <c r="I662" s="8"/>
      <c r="J662" s="23" t="str">
        <f>'Утв. ИП 2014-2019'!Q664</f>
        <v>0,5 км/ 0 МВА</v>
      </c>
      <c r="K662" s="170"/>
      <c r="L662" s="170"/>
      <c r="M662" s="170"/>
      <c r="N662" s="170"/>
      <c r="O662" s="170"/>
      <c r="P662" s="170"/>
      <c r="Q662" s="170"/>
      <c r="R662" s="166"/>
      <c r="S662" s="167"/>
      <c r="T662" s="168"/>
      <c r="U662" s="167"/>
      <c r="V662" s="168"/>
      <c r="W662" s="169"/>
      <c r="X662" s="168"/>
      <c r="Y662" s="169"/>
      <c r="Z662" s="168"/>
      <c r="AA662" s="169"/>
      <c r="AB662" s="168"/>
      <c r="AC662" s="169"/>
      <c r="AE662" s="133"/>
    </row>
    <row r="663" spans="1:31" ht="15.75" hidden="1" outlineLevel="2" x14ac:dyDescent="0.2">
      <c r="A663" s="25">
        <f>'Утв. ИП 2014-2019'!A665</f>
        <v>0</v>
      </c>
      <c r="B663" s="6">
        <f>'Утв. ИП 2014-2019'!B665</f>
        <v>0</v>
      </c>
      <c r="C663" s="7" t="str">
        <f>'Утв. ИП 2014-2019'!C665</f>
        <v>реконструкция</v>
      </c>
      <c r="D663" s="8"/>
      <c r="E663" s="8"/>
      <c r="F663" s="8"/>
      <c r="G663" s="8"/>
      <c r="H663" s="8"/>
      <c r="I663" s="8"/>
      <c r="J663" s="23"/>
      <c r="K663" s="170"/>
      <c r="L663" s="170"/>
      <c r="M663" s="170"/>
      <c r="N663" s="170"/>
      <c r="O663" s="170"/>
      <c r="P663" s="170"/>
      <c r="Q663" s="170"/>
      <c r="R663" s="166"/>
      <c r="S663" s="167"/>
      <c r="T663" s="168"/>
      <c r="U663" s="167"/>
      <c r="V663" s="168"/>
      <c r="W663" s="169"/>
      <c r="X663" s="168"/>
      <c r="Y663" s="169"/>
      <c r="Z663" s="168"/>
      <c r="AA663" s="169"/>
      <c r="AB663" s="168"/>
      <c r="AC663" s="169"/>
      <c r="AE663" s="133"/>
    </row>
    <row r="664" spans="1:31" ht="15.75" hidden="1" outlineLevel="2" x14ac:dyDescent="0.2">
      <c r="A664" s="25">
        <f>'Утв. ИП 2014-2019'!A666</f>
        <v>0</v>
      </c>
      <c r="B664" s="6">
        <f>'Утв. ИП 2014-2019'!B666</f>
        <v>0</v>
      </c>
      <c r="C664" s="7" t="str">
        <f>'Утв. ИП 2014-2019'!C666</f>
        <v>строительство</v>
      </c>
      <c r="D664" s="8"/>
      <c r="E664" s="8"/>
      <c r="F664" s="8"/>
      <c r="G664" s="8"/>
      <c r="H664" s="8"/>
      <c r="I664" s="8"/>
      <c r="J664" s="23"/>
      <c r="K664" s="170"/>
      <c r="L664" s="170"/>
      <c r="M664" s="170"/>
      <c r="N664" s="170"/>
      <c r="O664" s="170"/>
      <c r="P664" s="170"/>
      <c r="Q664" s="170"/>
      <c r="R664" s="166"/>
      <c r="S664" s="167"/>
      <c r="T664" s="168"/>
      <c r="U664" s="167"/>
      <c r="V664" s="168"/>
      <c r="W664" s="169"/>
      <c r="X664" s="168"/>
      <c r="Y664" s="169"/>
      <c r="Z664" s="168"/>
      <c r="AA664" s="169"/>
      <c r="AB664" s="168"/>
      <c r="AC664" s="169"/>
      <c r="AE664" s="133"/>
    </row>
    <row r="665" spans="1:31" ht="25.5" hidden="1" outlineLevel="1" collapsed="1" x14ac:dyDescent="0.2">
      <c r="A665" s="25" t="str">
        <f>'Утв. ИП 2014-2019'!A667</f>
        <v>1.1.5.3.12/13</v>
      </c>
      <c r="B665" s="6" t="str">
        <f>'Утв. ИП 2014-2019'!B667</f>
        <v>3.2.142</v>
      </c>
      <c r="C665" s="7" t="str">
        <f>'Утв. ИП 2014-2019'!C667</f>
        <v>Строительство КЛ-0,4 кВ от ТП-220 до гаража по адресу: г. Липецк, ул. Германа Титова, строение 8а/2</v>
      </c>
      <c r="D665" s="8" t="str">
        <f>'Утв. ИП 2014-2019'!K667</f>
        <v>0,06 км/ 0 МВА</v>
      </c>
      <c r="E665" s="8"/>
      <c r="F665" s="8"/>
      <c r="G665" s="8"/>
      <c r="H665" s="8"/>
      <c r="I665" s="8"/>
      <c r="J665" s="23" t="str">
        <f>'Утв. ИП 2014-2019'!Q667</f>
        <v>0,06 км/ 0 МВА</v>
      </c>
      <c r="K665" s="170"/>
      <c r="L665" s="170"/>
      <c r="M665" s="170"/>
      <c r="N665" s="170"/>
      <c r="O665" s="170"/>
      <c r="P665" s="170"/>
      <c r="Q665" s="170"/>
      <c r="R665" s="166"/>
      <c r="S665" s="167"/>
      <c r="T665" s="168"/>
      <c r="U665" s="167"/>
      <c r="V665" s="168"/>
      <c r="W665" s="169"/>
      <c r="X665" s="168"/>
      <c r="Y665" s="169"/>
      <c r="Z665" s="168"/>
      <c r="AA665" s="169"/>
      <c r="AB665" s="168"/>
      <c r="AC665" s="169"/>
      <c r="AE665" s="133"/>
    </row>
    <row r="666" spans="1:31" ht="15.75" hidden="1" outlineLevel="2" x14ac:dyDescent="0.2">
      <c r="A666" s="25">
        <f>'Утв. ИП 2014-2019'!A668</f>
        <v>0</v>
      </c>
      <c r="B666" s="6">
        <f>'Утв. ИП 2014-2019'!B668</f>
        <v>0</v>
      </c>
      <c r="C666" s="7" t="str">
        <f>'Утв. ИП 2014-2019'!C668</f>
        <v>реконструкция</v>
      </c>
      <c r="D666" s="8"/>
      <c r="E666" s="8"/>
      <c r="F666" s="8"/>
      <c r="G666" s="8"/>
      <c r="H666" s="8"/>
      <c r="I666" s="8"/>
      <c r="J666" s="23"/>
      <c r="K666" s="170"/>
      <c r="L666" s="170"/>
      <c r="M666" s="170"/>
      <c r="N666" s="170"/>
      <c r="O666" s="170"/>
      <c r="P666" s="170"/>
      <c r="Q666" s="170"/>
      <c r="R666" s="136"/>
      <c r="S666" s="137"/>
      <c r="T666" s="128"/>
      <c r="U666" s="137"/>
      <c r="V666" s="128"/>
      <c r="W666" s="49"/>
      <c r="X666" s="128"/>
      <c r="Y666" s="49"/>
      <c r="Z666" s="128"/>
      <c r="AA666" s="49"/>
      <c r="AB666" s="128"/>
      <c r="AC666" s="49"/>
      <c r="AE666" s="133"/>
    </row>
    <row r="667" spans="1:31" ht="15.75" hidden="1" outlineLevel="2" x14ac:dyDescent="0.2">
      <c r="A667" s="25">
        <f>'Утв. ИП 2014-2019'!A669</f>
        <v>0</v>
      </c>
      <c r="B667" s="6">
        <f>'Утв. ИП 2014-2019'!B669</f>
        <v>0</v>
      </c>
      <c r="C667" s="7" t="str">
        <f>'Утв. ИП 2014-2019'!C669</f>
        <v>строительство</v>
      </c>
      <c r="D667" s="8"/>
      <c r="E667" s="8"/>
      <c r="F667" s="8"/>
      <c r="G667" s="8"/>
      <c r="H667" s="8"/>
      <c r="I667" s="8"/>
      <c r="J667" s="23"/>
      <c r="K667" s="170"/>
      <c r="L667" s="170"/>
      <c r="M667" s="170"/>
      <c r="N667" s="170"/>
      <c r="O667" s="170"/>
      <c r="P667" s="170"/>
      <c r="Q667" s="170"/>
      <c r="R667" s="136"/>
      <c r="S667" s="137"/>
      <c r="T667" s="128"/>
      <c r="U667" s="137"/>
      <c r="V667" s="128"/>
      <c r="W667" s="49"/>
      <c r="X667" s="128"/>
      <c r="Y667" s="49"/>
      <c r="Z667" s="128"/>
      <c r="AA667" s="49"/>
      <c r="AB667" s="128"/>
      <c r="AC667" s="49"/>
      <c r="AE667" s="133"/>
    </row>
    <row r="668" spans="1:31" ht="15.75" hidden="1" outlineLevel="1" collapsed="1" x14ac:dyDescent="0.2">
      <c r="A668" s="25" t="str">
        <f>'Утв. ИП 2014-2019'!A670</f>
        <v>1.1.5.3.13/13</v>
      </c>
      <c r="B668" s="6" t="str">
        <f>'Утв. ИП 2014-2019'!B670</f>
        <v>3.2.143</v>
      </c>
      <c r="C668" s="7" t="str">
        <f>'Утв. ИП 2014-2019'!C670</f>
        <v>Электроснабжение садовых домиков в СНТ "Кооператор"</v>
      </c>
      <c r="D668" s="8"/>
      <c r="E668" s="8" t="str">
        <f>'Утв. ИП 2014-2019'!L670</f>
        <v>0,2 км/ 0 МВА</v>
      </c>
      <c r="F668" s="8"/>
      <c r="G668" s="8"/>
      <c r="H668" s="8"/>
      <c r="I668" s="8"/>
      <c r="J668" s="23" t="str">
        <f>'Утв. ИП 2014-2019'!Q670</f>
        <v>0,2 км/ 0 МВА</v>
      </c>
      <c r="K668" s="170"/>
      <c r="L668" s="170"/>
      <c r="M668" s="170"/>
      <c r="N668" s="170"/>
      <c r="O668" s="170"/>
      <c r="P668" s="170"/>
      <c r="Q668" s="170"/>
      <c r="R668" s="136"/>
      <c r="S668" s="137"/>
      <c r="T668" s="128"/>
      <c r="U668" s="137"/>
      <c r="V668" s="128"/>
      <c r="W668" s="49"/>
      <c r="X668" s="128"/>
      <c r="Y668" s="49"/>
      <c r="Z668" s="128"/>
      <c r="AA668" s="49"/>
      <c r="AB668" s="128"/>
      <c r="AC668" s="49"/>
      <c r="AE668" s="133"/>
    </row>
    <row r="669" spans="1:31" ht="15.75" hidden="1" outlineLevel="2" x14ac:dyDescent="0.2">
      <c r="A669" s="25">
        <f>'Утв. ИП 2014-2019'!A671</f>
        <v>0</v>
      </c>
      <c r="B669" s="6">
        <f>'Утв. ИП 2014-2019'!B671</f>
        <v>0</v>
      </c>
      <c r="C669" s="7" t="str">
        <f>'Утв. ИП 2014-2019'!C671</f>
        <v>реконструкция</v>
      </c>
      <c r="D669" s="8"/>
      <c r="E669" s="8"/>
      <c r="F669" s="8"/>
      <c r="G669" s="8"/>
      <c r="H669" s="8"/>
      <c r="I669" s="8"/>
      <c r="J669" s="23"/>
      <c r="K669" s="170"/>
      <c r="L669" s="170"/>
      <c r="M669" s="170"/>
      <c r="N669" s="170"/>
      <c r="O669" s="170"/>
      <c r="P669" s="170"/>
      <c r="Q669" s="170"/>
      <c r="R669" s="136"/>
      <c r="S669" s="137"/>
      <c r="T669" s="128"/>
      <c r="U669" s="137"/>
      <c r="V669" s="128"/>
      <c r="W669" s="49"/>
      <c r="X669" s="128"/>
      <c r="Y669" s="49"/>
      <c r="Z669" s="128"/>
      <c r="AA669" s="49"/>
      <c r="AB669" s="128"/>
      <c r="AC669" s="49"/>
      <c r="AE669" s="133"/>
    </row>
    <row r="670" spans="1:31" ht="15.75" hidden="1" outlineLevel="2" x14ac:dyDescent="0.2">
      <c r="A670" s="25">
        <f>'Утв. ИП 2014-2019'!A672</f>
        <v>0</v>
      </c>
      <c r="B670" s="6">
        <f>'Утв. ИП 2014-2019'!B672</f>
        <v>0</v>
      </c>
      <c r="C670" s="7" t="str">
        <f>'Утв. ИП 2014-2019'!C672</f>
        <v>строительство</v>
      </c>
      <c r="D670" s="8"/>
      <c r="E670" s="8"/>
      <c r="F670" s="8"/>
      <c r="G670" s="8"/>
      <c r="H670" s="8"/>
      <c r="I670" s="8"/>
      <c r="J670" s="23"/>
      <c r="K670" s="170"/>
      <c r="L670" s="170"/>
      <c r="M670" s="170"/>
      <c r="N670" s="170"/>
      <c r="O670" s="170"/>
      <c r="P670" s="170"/>
      <c r="Q670" s="170"/>
      <c r="R670" s="136"/>
      <c r="S670" s="137"/>
      <c r="T670" s="128"/>
      <c r="U670" s="137"/>
      <c r="V670" s="128"/>
      <c r="W670" s="49"/>
      <c r="X670" s="128"/>
      <c r="Y670" s="49"/>
      <c r="Z670" s="128"/>
      <c r="AA670" s="49"/>
      <c r="AB670" s="128"/>
      <c r="AC670" s="49"/>
      <c r="AE670" s="133"/>
    </row>
    <row r="671" spans="1:31" ht="15.75" hidden="1" outlineLevel="1" collapsed="1" x14ac:dyDescent="0.2">
      <c r="A671" s="25" t="str">
        <f>'Утв. ИП 2014-2019'!A673</f>
        <v>1.1.5.3.14/13</v>
      </c>
      <c r="B671" s="6" t="str">
        <f>'Утв. ИП 2014-2019'!B673</f>
        <v>3.2.144</v>
      </c>
      <c r="C671" s="7" t="str">
        <f>'Утв. ИП 2014-2019'!C673</f>
        <v>Электроснабжение садовых домиков в СНТ "Сокол-2"</v>
      </c>
      <c r="D671" s="8"/>
      <c r="E671" s="8" t="str">
        <f>'Утв. ИП 2014-2019'!L673</f>
        <v>0,3 км/ 0 МВА</v>
      </c>
      <c r="F671" s="8"/>
      <c r="G671" s="8"/>
      <c r="H671" s="8"/>
      <c r="I671" s="8"/>
      <c r="J671" s="23" t="str">
        <f>'Утв. ИП 2014-2019'!Q673</f>
        <v>0,3 км/ 0 МВА</v>
      </c>
      <c r="K671" s="170"/>
      <c r="L671" s="170"/>
      <c r="M671" s="170"/>
      <c r="N671" s="170"/>
      <c r="O671" s="170"/>
      <c r="P671" s="170"/>
      <c r="Q671" s="170"/>
      <c r="R671" s="136"/>
      <c r="S671" s="137"/>
      <c r="T671" s="128"/>
      <c r="U671" s="137"/>
      <c r="V671" s="128"/>
      <c r="W671" s="49"/>
      <c r="X671" s="128"/>
      <c r="Y671" s="49"/>
      <c r="Z671" s="128"/>
      <c r="AA671" s="49"/>
      <c r="AB671" s="128"/>
      <c r="AC671" s="49"/>
      <c r="AE671" s="133"/>
    </row>
    <row r="672" spans="1:31" ht="15.75" hidden="1" outlineLevel="2" x14ac:dyDescent="0.2">
      <c r="A672" s="25">
        <f>'Утв. ИП 2014-2019'!A674</f>
        <v>0</v>
      </c>
      <c r="B672" s="6">
        <f>'Утв. ИП 2014-2019'!B674</f>
        <v>0</v>
      </c>
      <c r="C672" s="7" t="str">
        <f>'Утв. ИП 2014-2019'!C674</f>
        <v>реконструкция</v>
      </c>
      <c r="D672" s="8"/>
      <c r="E672" s="8"/>
      <c r="F672" s="8"/>
      <c r="G672" s="8"/>
      <c r="H672" s="8"/>
      <c r="I672" s="8"/>
      <c r="J672" s="23"/>
      <c r="K672" s="170"/>
      <c r="L672" s="170"/>
      <c r="M672" s="170"/>
      <c r="N672" s="170"/>
      <c r="O672" s="170"/>
      <c r="P672" s="170"/>
      <c r="Q672" s="170"/>
      <c r="R672" s="136"/>
      <c r="S672" s="137"/>
      <c r="T672" s="128"/>
      <c r="U672" s="137"/>
      <c r="V672" s="128"/>
      <c r="W672" s="49"/>
      <c r="X672" s="128"/>
      <c r="Y672" s="49"/>
      <c r="Z672" s="128"/>
      <c r="AA672" s="49"/>
      <c r="AB672" s="128"/>
      <c r="AC672" s="49"/>
      <c r="AE672" s="133"/>
    </row>
    <row r="673" spans="1:31" ht="15.75" hidden="1" outlineLevel="2" x14ac:dyDescent="0.2">
      <c r="A673" s="25">
        <f>'Утв. ИП 2014-2019'!A675</f>
        <v>0</v>
      </c>
      <c r="B673" s="6">
        <f>'Утв. ИП 2014-2019'!B675</f>
        <v>0</v>
      </c>
      <c r="C673" s="7" t="str">
        <f>'Утв. ИП 2014-2019'!C675</f>
        <v>строительство</v>
      </c>
      <c r="D673" s="8"/>
      <c r="E673" s="8"/>
      <c r="F673" s="8"/>
      <c r="G673" s="8"/>
      <c r="H673" s="8"/>
      <c r="I673" s="8"/>
      <c r="J673" s="23"/>
      <c r="K673" s="170"/>
      <c r="L673" s="170"/>
      <c r="M673" s="170"/>
      <c r="N673" s="170"/>
      <c r="O673" s="170"/>
      <c r="P673" s="170"/>
      <c r="Q673" s="170"/>
      <c r="R673" s="136"/>
      <c r="S673" s="137"/>
      <c r="T673" s="128"/>
      <c r="U673" s="137"/>
      <c r="V673" s="128"/>
      <c r="W673" s="49"/>
      <c r="X673" s="128"/>
      <c r="Y673" s="49"/>
      <c r="Z673" s="128"/>
      <c r="AA673" s="49"/>
      <c r="AB673" s="128"/>
      <c r="AC673" s="49"/>
      <c r="AE673" s="133"/>
    </row>
    <row r="674" spans="1:31" ht="38.25" hidden="1" outlineLevel="1" collapsed="1" x14ac:dyDescent="0.2">
      <c r="A674" s="25" t="str">
        <f>'Утв. ИП 2014-2019'!A676</f>
        <v>1.1.5.3.15/13</v>
      </c>
      <c r="B674" s="6" t="str">
        <f>'Утв. ИП 2014-2019'!B676</f>
        <v>3.2.145</v>
      </c>
      <c r="C674" s="7" t="str">
        <f>'Утв. ИП 2014-2019'!C676</f>
        <v>Реконструкция КЛ-0,4 кВ "ТП-504 - пр. Мира, д. 9" для электроснабжения нежилых помещений по адресу: г. Липецк, пр. Мира, д. 9 (инв. № 344022)</v>
      </c>
      <c r="D674" s="8" t="str">
        <f>'Утв. ИП 2014-2019'!K676</f>
        <v>0,1 км/ 0 МВА</v>
      </c>
      <c r="E674" s="8"/>
      <c r="F674" s="8"/>
      <c r="G674" s="8"/>
      <c r="H674" s="8"/>
      <c r="I674" s="8"/>
      <c r="J674" s="23" t="str">
        <f>'Утв. ИП 2014-2019'!Q676</f>
        <v>0,1 км/ 0 МВА</v>
      </c>
      <c r="K674" s="23" t="s">
        <v>1418</v>
      </c>
      <c r="L674" s="170"/>
      <c r="M674" s="170"/>
      <c r="N674" s="170"/>
      <c r="O674" s="170"/>
      <c r="P674" s="170"/>
      <c r="Q674" s="23" t="s">
        <v>1418</v>
      </c>
      <c r="R674" s="136">
        <v>0.1</v>
      </c>
      <c r="S674" s="137"/>
      <c r="T674" s="128"/>
      <c r="U674" s="137"/>
      <c r="V674" s="128"/>
      <c r="W674" s="49"/>
      <c r="X674" s="128"/>
      <c r="Y674" s="49"/>
      <c r="Z674" s="128"/>
      <c r="AA674" s="49"/>
      <c r="AB674" s="128"/>
      <c r="AC674" s="49"/>
      <c r="AE674" s="133"/>
    </row>
    <row r="675" spans="1:31" ht="15.75" hidden="1" outlineLevel="2" x14ac:dyDescent="0.2">
      <c r="A675" s="25">
        <f>'Утв. ИП 2014-2019'!A677</f>
        <v>0</v>
      </c>
      <c r="B675" s="6">
        <f>'Утв. ИП 2014-2019'!B677</f>
        <v>0</v>
      </c>
      <c r="C675" s="7" t="str">
        <f>'Утв. ИП 2014-2019'!C677</f>
        <v>реконструкция</v>
      </c>
      <c r="D675" s="8"/>
      <c r="E675" s="8"/>
      <c r="F675" s="8"/>
      <c r="G675" s="8"/>
      <c r="H675" s="8"/>
      <c r="I675" s="8"/>
      <c r="J675" s="23"/>
      <c r="K675" s="170"/>
      <c r="L675" s="170"/>
      <c r="M675" s="170"/>
      <c r="N675" s="170"/>
      <c r="O675" s="170"/>
      <c r="P675" s="170"/>
      <c r="Q675" s="170"/>
      <c r="R675" s="136"/>
      <c r="S675" s="137"/>
      <c r="T675" s="128"/>
      <c r="U675" s="137"/>
      <c r="V675" s="128"/>
      <c r="W675" s="49"/>
      <c r="X675" s="128"/>
      <c r="Y675" s="49"/>
      <c r="Z675" s="128"/>
      <c r="AA675" s="49"/>
      <c r="AB675" s="128"/>
      <c r="AC675" s="49"/>
      <c r="AE675" s="133"/>
    </row>
    <row r="676" spans="1:31" ht="15.75" hidden="1" outlineLevel="2" x14ac:dyDescent="0.2">
      <c r="A676" s="25">
        <f>'Утв. ИП 2014-2019'!A678</f>
        <v>0</v>
      </c>
      <c r="B676" s="6">
        <f>'Утв. ИП 2014-2019'!B678</f>
        <v>0</v>
      </c>
      <c r="C676" s="7" t="str">
        <f>'Утв. ИП 2014-2019'!C678</f>
        <v>строительство</v>
      </c>
      <c r="D676" s="8"/>
      <c r="E676" s="8"/>
      <c r="F676" s="8"/>
      <c r="G676" s="8"/>
      <c r="H676" s="8"/>
      <c r="I676" s="8"/>
      <c r="J676" s="23"/>
      <c r="K676" s="170"/>
      <c r="L676" s="170"/>
      <c r="M676" s="170"/>
      <c r="N676" s="170"/>
      <c r="O676" s="170"/>
      <c r="P676" s="170"/>
      <c r="Q676" s="170"/>
      <c r="R676" s="136"/>
      <c r="S676" s="137"/>
      <c r="T676" s="128"/>
      <c r="U676" s="137"/>
      <c r="V676" s="128"/>
      <c r="W676" s="49"/>
      <c r="X676" s="128"/>
      <c r="Y676" s="49"/>
      <c r="Z676" s="128"/>
      <c r="AA676" s="49"/>
      <c r="AB676" s="128"/>
      <c r="AC676" s="49"/>
      <c r="AE676" s="133"/>
    </row>
    <row r="677" spans="1:31" ht="51" hidden="1" outlineLevel="1" collapsed="1" x14ac:dyDescent="0.2">
      <c r="A677" s="25" t="str">
        <f>'Утв. ИП 2014-2019'!A679</f>
        <v>1.1.5.3.16/13</v>
      </c>
      <c r="B677" s="6" t="str">
        <f>'Утв. ИП 2014-2019'!B679</f>
        <v>3.2.146</v>
      </c>
      <c r="C677" s="7" t="str">
        <f>'Утв. ИП 2014-2019'!C679</f>
        <v>Строительство КЛ-0,4 кВ от ТП, смонтированной по п. 1.1.6.1.49/12 ППР, до мини-автозаправочной станции по адресу: г. Липецк, ул. Полиграфическая, в районе пересечения с ул. Л. Кривенкова</v>
      </c>
      <c r="D677" s="8"/>
      <c r="E677" s="8" t="str">
        <f>'Утв. ИП 2014-2019'!L679</f>
        <v>0,05 км/ 0 МВА</v>
      </c>
      <c r="F677" s="8"/>
      <c r="G677" s="8"/>
      <c r="H677" s="8"/>
      <c r="I677" s="8"/>
      <c r="J677" s="23" t="str">
        <f>'Утв. ИП 2014-2019'!Q679</f>
        <v>0,05 км/ 0 МВА</v>
      </c>
      <c r="K677" s="170"/>
      <c r="L677" s="170"/>
      <c r="M677" s="170"/>
      <c r="N677" s="170"/>
      <c r="O677" s="170"/>
      <c r="P677" s="170"/>
      <c r="Q677" s="170"/>
      <c r="R677" s="136"/>
      <c r="S677" s="137"/>
      <c r="T677" s="128"/>
      <c r="U677" s="137"/>
      <c r="V677" s="128"/>
      <c r="W677" s="49"/>
      <c r="X677" s="128"/>
      <c r="Y677" s="49"/>
      <c r="Z677" s="128"/>
      <c r="AA677" s="49"/>
      <c r="AB677" s="128"/>
      <c r="AC677" s="49"/>
      <c r="AE677" s="133"/>
    </row>
    <row r="678" spans="1:31" ht="15.75" hidden="1" outlineLevel="2" x14ac:dyDescent="0.2">
      <c r="A678" s="25">
        <f>'Утв. ИП 2014-2019'!A680</f>
        <v>0</v>
      </c>
      <c r="B678" s="6">
        <f>'Утв. ИП 2014-2019'!B680</f>
        <v>0</v>
      </c>
      <c r="C678" s="7" t="str">
        <f>'Утв. ИП 2014-2019'!C680</f>
        <v>реконструкция</v>
      </c>
      <c r="D678" s="8"/>
      <c r="E678" s="8"/>
      <c r="F678" s="8"/>
      <c r="G678" s="8"/>
      <c r="H678" s="8"/>
      <c r="I678" s="8"/>
      <c r="J678" s="23"/>
      <c r="K678" s="170"/>
      <c r="L678" s="170"/>
      <c r="M678" s="170"/>
      <c r="N678" s="170"/>
      <c r="O678" s="170"/>
      <c r="P678" s="170"/>
      <c r="Q678" s="170"/>
      <c r="R678" s="136"/>
      <c r="S678" s="137"/>
      <c r="T678" s="128"/>
      <c r="U678" s="137"/>
      <c r="V678" s="128"/>
      <c r="W678" s="49"/>
      <c r="X678" s="128"/>
      <c r="Y678" s="49"/>
      <c r="Z678" s="128"/>
      <c r="AA678" s="49"/>
      <c r="AB678" s="128"/>
      <c r="AC678" s="49"/>
      <c r="AE678" s="133"/>
    </row>
    <row r="679" spans="1:31" ht="15.75" hidden="1" outlineLevel="2" x14ac:dyDescent="0.2">
      <c r="A679" s="25">
        <f>'Утв. ИП 2014-2019'!A681</f>
        <v>0</v>
      </c>
      <c r="B679" s="6">
        <f>'Утв. ИП 2014-2019'!B681</f>
        <v>0</v>
      </c>
      <c r="C679" s="7" t="str">
        <f>'Утв. ИП 2014-2019'!C681</f>
        <v>строительство</v>
      </c>
      <c r="D679" s="8"/>
      <c r="E679" s="8"/>
      <c r="F679" s="8"/>
      <c r="G679" s="8"/>
      <c r="H679" s="8"/>
      <c r="I679" s="8"/>
      <c r="J679" s="23"/>
      <c r="K679" s="170"/>
      <c r="L679" s="170"/>
      <c r="M679" s="170"/>
      <c r="N679" s="170"/>
      <c r="O679" s="170"/>
      <c r="P679" s="170"/>
      <c r="Q679" s="170"/>
      <c r="R679" s="136"/>
      <c r="S679" s="137"/>
      <c r="T679" s="128"/>
      <c r="U679" s="137"/>
      <c r="V679" s="128"/>
      <c r="W679" s="49"/>
      <c r="X679" s="128"/>
      <c r="Y679" s="49"/>
      <c r="Z679" s="128"/>
      <c r="AA679" s="49"/>
      <c r="AB679" s="128"/>
      <c r="AC679" s="49"/>
      <c r="AE679" s="133"/>
    </row>
    <row r="680" spans="1:31" ht="38.25" hidden="1" outlineLevel="1" collapsed="1" x14ac:dyDescent="0.2">
      <c r="A680" s="25" t="str">
        <f>'Утв. ИП 2014-2019'!A682</f>
        <v>1.1.5.3.17/13</v>
      </c>
      <c r="B680" s="6" t="str">
        <f>'Утв. ИП 2014-2019'!B682</f>
        <v>3.2.147</v>
      </c>
      <c r="C680" s="7" t="str">
        <f>'Утв. ИП 2014-2019'!C682</f>
        <v>Монтаж узла учета на опоре № 41 ВЛ-0,4 кВ по ул. Бурлакова от ТП-549 для электроснабжения индивидуального жилого дома по адресу: г. Липецк, ул. И.С. Бурлакова, д. 30 в</v>
      </c>
      <c r="D680" s="8"/>
      <c r="E680" s="8" t="str">
        <f>'Утв. ИП 2014-2019'!L682</f>
        <v>0,0 км/ 0 МВА</v>
      </c>
      <c r="F680" s="8"/>
      <c r="G680" s="8"/>
      <c r="H680" s="8"/>
      <c r="I680" s="8"/>
      <c r="J680" s="23" t="str">
        <f>'Утв. ИП 2014-2019'!Q682</f>
        <v>0,0 км/ 0 МВА</v>
      </c>
      <c r="K680" s="170"/>
      <c r="L680" s="170"/>
      <c r="M680" s="170"/>
      <c r="N680" s="170"/>
      <c r="O680" s="170"/>
      <c r="P680" s="170"/>
      <c r="Q680" s="170"/>
      <c r="R680" s="136"/>
      <c r="S680" s="137"/>
      <c r="T680" s="128"/>
      <c r="U680" s="137"/>
      <c r="V680" s="128"/>
      <c r="W680" s="49"/>
      <c r="X680" s="128"/>
      <c r="Y680" s="49"/>
      <c r="Z680" s="128"/>
      <c r="AA680" s="49"/>
      <c r="AB680" s="128"/>
      <c r="AC680" s="49"/>
      <c r="AE680" s="133"/>
    </row>
    <row r="681" spans="1:31" ht="15.75" hidden="1" outlineLevel="2" x14ac:dyDescent="0.2">
      <c r="A681" s="25">
        <f>'Утв. ИП 2014-2019'!A683</f>
        <v>0</v>
      </c>
      <c r="B681" s="6">
        <f>'Утв. ИП 2014-2019'!B683</f>
        <v>0</v>
      </c>
      <c r="C681" s="7" t="str">
        <f>'Утв. ИП 2014-2019'!C683</f>
        <v>реконструкция</v>
      </c>
      <c r="D681" s="8"/>
      <c r="E681" s="8"/>
      <c r="F681" s="8"/>
      <c r="G681" s="8"/>
      <c r="H681" s="8"/>
      <c r="I681" s="8"/>
      <c r="J681" s="23"/>
      <c r="K681" s="170"/>
      <c r="L681" s="170"/>
      <c r="M681" s="170"/>
      <c r="N681" s="170"/>
      <c r="O681" s="170"/>
      <c r="P681" s="170"/>
      <c r="Q681" s="170"/>
      <c r="R681" s="136"/>
      <c r="S681" s="137"/>
      <c r="T681" s="128"/>
      <c r="U681" s="137"/>
      <c r="V681" s="128"/>
      <c r="W681" s="49"/>
      <c r="X681" s="128"/>
      <c r="Y681" s="49"/>
      <c r="Z681" s="128"/>
      <c r="AA681" s="49"/>
      <c r="AB681" s="128"/>
      <c r="AC681" s="49"/>
      <c r="AE681" s="133"/>
    </row>
    <row r="682" spans="1:31" ht="15.75" hidden="1" outlineLevel="2" x14ac:dyDescent="0.2">
      <c r="A682" s="25">
        <f>'Утв. ИП 2014-2019'!A684</f>
        <v>0</v>
      </c>
      <c r="B682" s="6">
        <f>'Утв. ИП 2014-2019'!B684</f>
        <v>0</v>
      </c>
      <c r="C682" s="7" t="str">
        <f>'Утв. ИП 2014-2019'!C684</f>
        <v>строительство</v>
      </c>
      <c r="D682" s="8"/>
      <c r="E682" s="8"/>
      <c r="F682" s="8"/>
      <c r="G682" s="8"/>
      <c r="H682" s="8"/>
      <c r="I682" s="8"/>
      <c r="J682" s="23"/>
      <c r="K682" s="170"/>
      <c r="L682" s="170"/>
      <c r="M682" s="170"/>
      <c r="N682" s="170"/>
      <c r="O682" s="170"/>
      <c r="P682" s="170"/>
      <c r="Q682" s="170"/>
      <c r="R682" s="136"/>
      <c r="S682" s="137"/>
      <c r="T682" s="128"/>
      <c r="U682" s="137"/>
      <c r="V682" s="128"/>
      <c r="W682" s="49"/>
      <c r="X682" s="128"/>
      <c r="Y682" s="49"/>
      <c r="Z682" s="128"/>
      <c r="AA682" s="49"/>
      <c r="AB682" s="128"/>
      <c r="AC682" s="49"/>
      <c r="AE682" s="133"/>
    </row>
    <row r="683" spans="1:31" ht="38.25" hidden="1" outlineLevel="1" collapsed="1" x14ac:dyDescent="0.2">
      <c r="A683" s="25" t="str">
        <f>'Утв. ИП 2014-2019'!A685</f>
        <v>1.1.5.3.18/13</v>
      </c>
      <c r="B683" s="6" t="str">
        <f>'Утв. ИП 2014-2019'!B685</f>
        <v>3.2.148</v>
      </c>
      <c r="C683" s="7" t="str">
        <f>'Утв. ИП 2014-2019'!C685</f>
        <v>Монтаж узла учета в РУ-0,4 кВ ТП-79 для электроснабжения трансформаторной подстанции - 79 (старое здание) по адресу: г. Липецк, проезд Универсальный</v>
      </c>
      <c r="D683" s="8" t="str">
        <f>'Утв. ИП 2014-2019'!K685</f>
        <v>0,0 км/ 0 МВА</v>
      </c>
      <c r="E683" s="8"/>
      <c r="F683" s="8"/>
      <c r="G683" s="8"/>
      <c r="H683" s="8"/>
      <c r="I683" s="8"/>
      <c r="J683" s="23" t="str">
        <f>'Утв. ИП 2014-2019'!Q685</f>
        <v>0,0 км/ 0 МВА</v>
      </c>
      <c r="K683" s="170"/>
      <c r="L683" s="170"/>
      <c r="M683" s="170"/>
      <c r="N683" s="170"/>
      <c r="O683" s="170"/>
      <c r="P683" s="170"/>
      <c r="Q683" s="170"/>
      <c r="R683" s="136"/>
      <c r="S683" s="137"/>
      <c r="T683" s="128"/>
      <c r="U683" s="137"/>
      <c r="V683" s="128"/>
      <c r="W683" s="49"/>
      <c r="X683" s="128"/>
      <c r="Y683" s="49"/>
      <c r="Z683" s="128"/>
      <c r="AA683" s="49"/>
      <c r="AB683" s="128"/>
      <c r="AC683" s="49"/>
      <c r="AE683" s="133"/>
    </row>
    <row r="684" spans="1:31" ht="15.75" hidden="1" outlineLevel="2" x14ac:dyDescent="0.2">
      <c r="A684" s="25">
        <f>'Утв. ИП 2014-2019'!A686</f>
        <v>0</v>
      </c>
      <c r="B684" s="6">
        <f>'Утв. ИП 2014-2019'!B686</f>
        <v>0</v>
      </c>
      <c r="C684" s="7" t="str">
        <f>'Утв. ИП 2014-2019'!C686</f>
        <v>реконструкция</v>
      </c>
      <c r="D684" s="8"/>
      <c r="E684" s="8"/>
      <c r="F684" s="8"/>
      <c r="G684" s="8"/>
      <c r="H684" s="8"/>
      <c r="I684" s="8"/>
      <c r="J684" s="23"/>
      <c r="K684" s="170"/>
      <c r="L684" s="170"/>
      <c r="M684" s="170"/>
      <c r="N684" s="170"/>
      <c r="O684" s="170"/>
      <c r="P684" s="170"/>
      <c r="Q684" s="170"/>
      <c r="R684" s="136"/>
      <c r="S684" s="137"/>
      <c r="T684" s="128"/>
      <c r="U684" s="137"/>
      <c r="V684" s="128"/>
      <c r="W684" s="49"/>
      <c r="X684" s="128"/>
      <c r="Y684" s="49"/>
      <c r="Z684" s="128"/>
      <c r="AA684" s="49"/>
      <c r="AB684" s="128"/>
      <c r="AC684" s="49"/>
      <c r="AE684" s="133"/>
    </row>
    <row r="685" spans="1:31" ht="15.75" hidden="1" outlineLevel="2" x14ac:dyDescent="0.2">
      <c r="A685" s="25">
        <f>'Утв. ИП 2014-2019'!A687</f>
        <v>0</v>
      </c>
      <c r="B685" s="6">
        <f>'Утв. ИП 2014-2019'!B687</f>
        <v>0</v>
      </c>
      <c r="C685" s="7" t="str">
        <f>'Утв. ИП 2014-2019'!C687</f>
        <v>строительство</v>
      </c>
      <c r="D685" s="8"/>
      <c r="E685" s="8"/>
      <c r="F685" s="8"/>
      <c r="G685" s="8"/>
      <c r="H685" s="8"/>
      <c r="I685" s="8"/>
      <c r="J685" s="23"/>
      <c r="K685" s="170"/>
      <c r="L685" s="170"/>
      <c r="M685" s="170"/>
      <c r="N685" s="170"/>
      <c r="O685" s="170"/>
      <c r="P685" s="170"/>
      <c r="Q685" s="170"/>
      <c r="R685" s="136"/>
      <c r="S685" s="137"/>
      <c r="T685" s="128"/>
      <c r="U685" s="137"/>
      <c r="V685" s="128"/>
      <c r="W685" s="49"/>
      <c r="X685" s="128"/>
      <c r="Y685" s="49"/>
      <c r="Z685" s="128"/>
      <c r="AA685" s="49"/>
      <c r="AB685" s="128"/>
      <c r="AC685" s="49"/>
      <c r="AE685" s="133"/>
    </row>
    <row r="686" spans="1:31" ht="38.25" hidden="1" outlineLevel="1" collapsed="1" x14ac:dyDescent="0.2">
      <c r="A686" s="25" t="str">
        <f>'Утв. ИП 2014-2019'!A688</f>
        <v>1.1.5.3.19/13</v>
      </c>
      <c r="B686" s="6" t="str">
        <f>'Утв. ИП 2014-2019'!B688</f>
        <v>3.2.149</v>
      </c>
      <c r="C686" s="7" t="str">
        <f>'Утв. ИП 2014-2019'!C688</f>
        <v>Реконструкция ВЛ-0,4 кВ в СНТ "Металлург-1", смонтированной по п. 1.1.6.2.31/12 ППР, от МТП-953 для электроснабжения садовых домиков в СНТ "Металлург-1"</v>
      </c>
      <c r="D686" s="8"/>
      <c r="E686" s="8" t="str">
        <f>'Утв. ИП 2014-2019'!L688</f>
        <v>0,3 км/ 0 МВА</v>
      </c>
      <c r="F686" s="8"/>
      <c r="G686" s="8"/>
      <c r="H686" s="8"/>
      <c r="I686" s="8"/>
      <c r="J686" s="23" t="str">
        <f>'Утв. ИП 2014-2019'!Q688</f>
        <v>0,3 км/ 0 МВА</v>
      </c>
      <c r="K686" s="170"/>
      <c r="L686" s="23" t="s">
        <v>1206</v>
      </c>
      <c r="M686" s="170"/>
      <c r="N686" s="170"/>
      <c r="O686" s="170"/>
      <c r="P686" s="170"/>
      <c r="Q686" s="23" t="s">
        <v>1206</v>
      </c>
      <c r="R686" s="136"/>
      <c r="S686" s="137"/>
      <c r="T686" s="128">
        <v>0.3</v>
      </c>
      <c r="U686" s="137"/>
      <c r="V686" s="128"/>
      <c r="W686" s="49"/>
      <c r="X686" s="128"/>
      <c r="Y686" s="49"/>
      <c r="Z686" s="128"/>
      <c r="AA686" s="49"/>
      <c r="AB686" s="128"/>
      <c r="AC686" s="49"/>
      <c r="AE686" s="133"/>
    </row>
    <row r="687" spans="1:31" ht="15.75" hidden="1" outlineLevel="2" x14ac:dyDescent="0.2">
      <c r="A687" s="25">
        <f>'Утв. ИП 2014-2019'!A689</f>
        <v>0</v>
      </c>
      <c r="B687" s="6">
        <f>'Утв. ИП 2014-2019'!B689</f>
        <v>0</v>
      </c>
      <c r="C687" s="7" t="str">
        <f>'Утв. ИП 2014-2019'!C689</f>
        <v>реконструкция</v>
      </c>
      <c r="D687" s="8"/>
      <c r="E687" s="8"/>
      <c r="F687" s="8"/>
      <c r="G687" s="8"/>
      <c r="H687" s="8"/>
      <c r="I687" s="8"/>
      <c r="J687" s="23"/>
      <c r="K687" s="170"/>
      <c r="L687" s="170"/>
      <c r="M687" s="170"/>
      <c r="N687" s="170"/>
      <c r="O687" s="170"/>
      <c r="P687" s="170"/>
      <c r="Q687" s="170"/>
      <c r="R687" s="136"/>
      <c r="S687" s="137"/>
      <c r="T687" s="128"/>
      <c r="U687" s="137"/>
      <c r="V687" s="128"/>
      <c r="W687" s="49"/>
      <c r="X687" s="128"/>
      <c r="Y687" s="49"/>
      <c r="Z687" s="128"/>
      <c r="AA687" s="49"/>
      <c r="AB687" s="128"/>
      <c r="AC687" s="49"/>
      <c r="AE687" s="133"/>
    </row>
    <row r="688" spans="1:31" ht="15.75" hidden="1" outlineLevel="2" x14ac:dyDescent="0.2">
      <c r="A688" s="25">
        <f>'Утв. ИП 2014-2019'!A690</f>
        <v>0</v>
      </c>
      <c r="B688" s="6">
        <f>'Утв. ИП 2014-2019'!B690</f>
        <v>0</v>
      </c>
      <c r="C688" s="7" t="str">
        <f>'Утв. ИП 2014-2019'!C690</f>
        <v>строительство</v>
      </c>
      <c r="D688" s="8"/>
      <c r="E688" s="8"/>
      <c r="F688" s="8"/>
      <c r="G688" s="8"/>
      <c r="H688" s="8"/>
      <c r="I688" s="8"/>
      <c r="J688" s="23"/>
      <c r="K688" s="170"/>
      <c r="L688" s="170"/>
      <c r="M688" s="170"/>
      <c r="N688" s="170"/>
      <c r="O688" s="170"/>
      <c r="P688" s="170"/>
      <c r="Q688" s="170"/>
      <c r="R688" s="136"/>
      <c r="S688" s="137"/>
      <c r="T688" s="128"/>
      <c r="U688" s="137"/>
      <c r="V688" s="128"/>
      <c r="W688" s="49"/>
      <c r="X688" s="128"/>
      <c r="Y688" s="49"/>
      <c r="Z688" s="128"/>
      <c r="AA688" s="49"/>
      <c r="AB688" s="128"/>
      <c r="AC688" s="49"/>
      <c r="AE688" s="133"/>
    </row>
    <row r="689" spans="1:31" ht="25.5" hidden="1" outlineLevel="1" collapsed="1" x14ac:dyDescent="0.2">
      <c r="A689" s="25" t="str">
        <f>'Утв. ИП 2014-2019'!A691</f>
        <v>1.1.5.3.20/13</v>
      </c>
      <c r="B689" s="6" t="str">
        <f>'Утв. ИП 2014-2019'!B691</f>
        <v>3.2.150</v>
      </c>
      <c r="C689" s="7" t="str">
        <f>'Утв. ИП 2014-2019'!C691</f>
        <v>Электроснабжение гаража по адресу: г. Липецк, пер. Попова, во дворе д. № 5</v>
      </c>
      <c r="D689" s="8" t="str">
        <f>'Утв. ИП 2014-2019'!K691</f>
        <v>0,05 км/ 0 МВА</v>
      </c>
      <c r="E689" s="8"/>
      <c r="F689" s="8"/>
      <c r="G689" s="8"/>
      <c r="H689" s="8"/>
      <c r="I689" s="8"/>
      <c r="J689" s="23" t="str">
        <f>'Утв. ИП 2014-2019'!Q691</f>
        <v>0,05 км/ 0 МВА</v>
      </c>
      <c r="K689" s="170"/>
      <c r="L689" s="170"/>
      <c r="M689" s="170"/>
      <c r="N689" s="170"/>
      <c r="O689" s="170"/>
      <c r="P689" s="170"/>
      <c r="Q689" s="170"/>
      <c r="R689" s="166"/>
      <c r="S689" s="167"/>
      <c r="T689" s="168"/>
      <c r="U689" s="167"/>
      <c r="V689" s="168"/>
      <c r="W689" s="169"/>
      <c r="X689" s="168"/>
      <c r="Y689" s="169"/>
      <c r="Z689" s="168"/>
      <c r="AA689" s="169"/>
      <c r="AB689" s="168"/>
      <c r="AC689" s="169"/>
      <c r="AE689" s="133"/>
    </row>
    <row r="690" spans="1:31" ht="15.75" hidden="1" outlineLevel="2" x14ac:dyDescent="0.2">
      <c r="A690" s="25">
        <f>'Утв. ИП 2014-2019'!A692</f>
        <v>0</v>
      </c>
      <c r="B690" s="6">
        <f>'Утв. ИП 2014-2019'!B692</f>
        <v>0</v>
      </c>
      <c r="C690" s="7" t="str">
        <f>'Утв. ИП 2014-2019'!C692</f>
        <v>реконструкция</v>
      </c>
      <c r="D690" s="8"/>
      <c r="E690" s="8"/>
      <c r="F690" s="8"/>
      <c r="G690" s="8"/>
      <c r="H690" s="8"/>
      <c r="I690" s="8"/>
      <c r="J690" s="23"/>
      <c r="K690" s="170"/>
      <c r="L690" s="170"/>
      <c r="M690" s="170"/>
      <c r="N690" s="170"/>
      <c r="O690" s="170"/>
      <c r="P690" s="170"/>
      <c r="Q690" s="170"/>
      <c r="R690" s="166"/>
      <c r="S690" s="167"/>
      <c r="T690" s="168"/>
      <c r="U690" s="167"/>
      <c r="V690" s="168"/>
      <c r="W690" s="169"/>
      <c r="X690" s="168"/>
      <c r="Y690" s="169"/>
      <c r="Z690" s="168"/>
      <c r="AA690" s="169"/>
      <c r="AB690" s="168"/>
      <c r="AC690" s="169"/>
      <c r="AE690" s="133"/>
    </row>
    <row r="691" spans="1:31" ht="15.75" hidden="1" outlineLevel="2" x14ac:dyDescent="0.2">
      <c r="A691" s="25">
        <f>'Утв. ИП 2014-2019'!A693</f>
        <v>0</v>
      </c>
      <c r="B691" s="6">
        <f>'Утв. ИП 2014-2019'!B693</f>
        <v>0</v>
      </c>
      <c r="C691" s="7" t="str">
        <f>'Утв. ИП 2014-2019'!C693</f>
        <v>строительство</v>
      </c>
      <c r="D691" s="8"/>
      <c r="E691" s="8"/>
      <c r="F691" s="8"/>
      <c r="G691" s="8"/>
      <c r="H691" s="8"/>
      <c r="I691" s="8"/>
      <c r="J691" s="23"/>
      <c r="K691" s="170"/>
      <c r="L691" s="170"/>
      <c r="M691" s="170"/>
      <c r="N691" s="170"/>
      <c r="O691" s="170"/>
      <c r="P691" s="170"/>
      <c r="Q691" s="170"/>
      <c r="R691" s="166"/>
      <c r="S691" s="167"/>
      <c r="T691" s="168"/>
      <c r="U691" s="167"/>
      <c r="V691" s="168"/>
      <c r="W691" s="169"/>
      <c r="X691" s="168"/>
      <c r="Y691" s="169"/>
      <c r="Z691" s="168"/>
      <c r="AA691" s="169"/>
      <c r="AB691" s="168"/>
      <c r="AC691" s="169"/>
      <c r="AE691" s="133"/>
    </row>
    <row r="692" spans="1:31" ht="51" hidden="1" outlineLevel="1" collapsed="1" x14ac:dyDescent="0.2">
      <c r="A692" s="25" t="str">
        <f>'Утв. ИП 2014-2019'!A694</f>
        <v>1.1.5.3.21/13</v>
      </c>
      <c r="B692" s="6" t="str">
        <f>'Утв. ИП 2014-2019'!B694</f>
        <v>3.2.151</v>
      </c>
      <c r="C692" s="7" t="str">
        <f>'Утв. ИП 2014-2019'!C694</f>
        <v>Монтаж узла учета на опоре ВЛ-0,4 кВ, смонтированной по п. 1.1.6.2.14/12 ППР, от МТП-952 для электроснабжения жилого дома по адресу: г. Липецк, потребительское общество пенсионеров и инвалидов "Сокол-1", зем. уч. № 77</v>
      </c>
      <c r="D692" s="8"/>
      <c r="E692" s="8" t="str">
        <f>'Утв. ИП 2014-2019'!L694</f>
        <v>0,0 км/ 0 МВА</v>
      </c>
      <c r="F692" s="8"/>
      <c r="G692" s="8"/>
      <c r="H692" s="8"/>
      <c r="I692" s="8"/>
      <c r="J692" s="23" t="str">
        <f>'Утв. ИП 2014-2019'!Q694</f>
        <v>0,0 км/ 0 МВА</v>
      </c>
      <c r="K692" s="170"/>
      <c r="L692" s="170"/>
      <c r="M692" s="170"/>
      <c r="N692" s="170"/>
      <c r="O692" s="170"/>
      <c r="P692" s="170"/>
      <c r="Q692" s="170"/>
      <c r="R692" s="136"/>
      <c r="S692" s="137"/>
      <c r="T692" s="128"/>
      <c r="U692" s="137"/>
      <c r="V692" s="128"/>
      <c r="W692" s="49"/>
      <c r="X692" s="128"/>
      <c r="Y692" s="49"/>
      <c r="Z692" s="128"/>
      <c r="AA692" s="49"/>
      <c r="AB692" s="128"/>
      <c r="AC692" s="49"/>
      <c r="AE692" s="133"/>
    </row>
    <row r="693" spans="1:31" ht="15.75" hidden="1" outlineLevel="2" x14ac:dyDescent="0.2">
      <c r="A693" s="25">
        <f>'Утв. ИП 2014-2019'!A695</f>
        <v>0</v>
      </c>
      <c r="B693" s="6">
        <f>'Утв. ИП 2014-2019'!B695</f>
        <v>0</v>
      </c>
      <c r="C693" s="7" t="str">
        <f>'Утв. ИП 2014-2019'!C695</f>
        <v>реконструкция</v>
      </c>
      <c r="D693" s="8"/>
      <c r="E693" s="8"/>
      <c r="F693" s="8"/>
      <c r="G693" s="8"/>
      <c r="H693" s="8"/>
      <c r="I693" s="8"/>
      <c r="J693" s="23"/>
      <c r="K693" s="170"/>
      <c r="L693" s="170"/>
      <c r="M693" s="170"/>
      <c r="N693" s="170"/>
      <c r="O693" s="170"/>
      <c r="P693" s="170"/>
      <c r="Q693" s="170"/>
      <c r="R693" s="136"/>
      <c r="S693" s="137"/>
      <c r="T693" s="128"/>
      <c r="U693" s="137"/>
      <c r="V693" s="128"/>
      <c r="W693" s="49"/>
      <c r="X693" s="128"/>
      <c r="Y693" s="49"/>
      <c r="Z693" s="128"/>
      <c r="AA693" s="49"/>
      <c r="AB693" s="128"/>
      <c r="AC693" s="49"/>
      <c r="AE693" s="133"/>
    </row>
    <row r="694" spans="1:31" ht="15.75" hidden="1" outlineLevel="2" x14ac:dyDescent="0.2">
      <c r="A694" s="25">
        <f>'Утв. ИП 2014-2019'!A696</f>
        <v>0</v>
      </c>
      <c r="B694" s="6">
        <f>'Утв. ИП 2014-2019'!B696</f>
        <v>0</v>
      </c>
      <c r="C694" s="7" t="str">
        <f>'Утв. ИП 2014-2019'!C696</f>
        <v>строительство</v>
      </c>
      <c r="D694" s="8"/>
      <c r="E694" s="8"/>
      <c r="F694" s="8"/>
      <c r="G694" s="8"/>
      <c r="H694" s="8"/>
      <c r="I694" s="8"/>
      <c r="J694" s="23"/>
      <c r="K694" s="170"/>
      <c r="L694" s="170"/>
      <c r="M694" s="170"/>
      <c r="N694" s="170"/>
      <c r="O694" s="170"/>
      <c r="P694" s="170"/>
      <c r="Q694" s="170"/>
      <c r="R694" s="136"/>
      <c r="S694" s="137"/>
      <c r="T694" s="128"/>
      <c r="U694" s="137"/>
      <c r="V694" s="128"/>
      <c r="W694" s="49"/>
      <c r="X694" s="128"/>
      <c r="Y694" s="49"/>
      <c r="Z694" s="128"/>
      <c r="AA694" s="49"/>
      <c r="AB694" s="128"/>
      <c r="AC694" s="49"/>
      <c r="AE694" s="133"/>
    </row>
    <row r="695" spans="1:31" ht="25.5" hidden="1" outlineLevel="1" collapsed="1" x14ac:dyDescent="0.2">
      <c r="A695" s="25" t="str">
        <f>'Утв. ИП 2014-2019'!A697</f>
        <v>1.1.5.3.22/13</v>
      </c>
      <c r="B695" s="6" t="str">
        <f>'Утв. ИП 2014-2019'!B697</f>
        <v>3.2.152</v>
      </c>
      <c r="C695" s="7" t="str">
        <f>'Утв. ИП 2014-2019'!C697</f>
        <v>Электроснабжение гаража по адресу: г. Липецк, ул. Московская, строение 22/1</v>
      </c>
      <c r="D695" s="8"/>
      <c r="E695" s="8" t="str">
        <f>'Утв. ИП 2014-2019'!L697</f>
        <v>0,1 км/ 0 МВА</v>
      </c>
      <c r="F695" s="8"/>
      <c r="G695" s="8"/>
      <c r="H695" s="8"/>
      <c r="I695" s="8"/>
      <c r="J695" s="23" t="str">
        <f>'Утв. ИП 2014-2019'!Q697</f>
        <v>0,1 км/ 0 МВА</v>
      </c>
      <c r="K695" s="170"/>
      <c r="L695" s="170"/>
      <c r="M695" s="170"/>
      <c r="N695" s="170"/>
      <c r="O695" s="170"/>
      <c r="P695" s="170"/>
      <c r="Q695" s="170"/>
      <c r="R695" s="136"/>
      <c r="S695" s="137"/>
      <c r="T695" s="128"/>
      <c r="U695" s="137"/>
      <c r="V695" s="128"/>
      <c r="W695" s="49"/>
      <c r="X695" s="128"/>
      <c r="Y695" s="49"/>
      <c r="Z695" s="128"/>
      <c r="AA695" s="49"/>
      <c r="AB695" s="128"/>
      <c r="AC695" s="49"/>
      <c r="AE695" s="133"/>
    </row>
    <row r="696" spans="1:31" ht="15.75" hidden="1" outlineLevel="2" x14ac:dyDescent="0.2">
      <c r="A696" s="25">
        <f>'Утв. ИП 2014-2019'!A698</f>
        <v>0</v>
      </c>
      <c r="B696" s="6">
        <f>'Утв. ИП 2014-2019'!B698</f>
        <v>0</v>
      </c>
      <c r="C696" s="7" t="str">
        <f>'Утв. ИП 2014-2019'!C698</f>
        <v>реконструкция</v>
      </c>
      <c r="D696" s="8"/>
      <c r="E696" s="8"/>
      <c r="F696" s="8"/>
      <c r="G696" s="8"/>
      <c r="H696" s="8"/>
      <c r="I696" s="8"/>
      <c r="J696" s="23"/>
      <c r="K696" s="170"/>
      <c r="L696" s="170"/>
      <c r="M696" s="170"/>
      <c r="N696" s="170"/>
      <c r="O696" s="170"/>
      <c r="P696" s="170"/>
      <c r="Q696" s="170"/>
      <c r="R696" s="136"/>
      <c r="S696" s="137"/>
      <c r="T696" s="128"/>
      <c r="U696" s="137"/>
      <c r="V696" s="128"/>
      <c r="W696" s="49"/>
      <c r="X696" s="128"/>
      <c r="Y696" s="49"/>
      <c r="Z696" s="128"/>
      <c r="AA696" s="49"/>
      <c r="AB696" s="128"/>
      <c r="AC696" s="49"/>
      <c r="AE696" s="133"/>
    </row>
    <row r="697" spans="1:31" ht="15.75" hidden="1" outlineLevel="2" x14ac:dyDescent="0.2">
      <c r="A697" s="25">
        <f>'Утв. ИП 2014-2019'!A699</f>
        <v>0</v>
      </c>
      <c r="B697" s="6">
        <f>'Утв. ИП 2014-2019'!B699</f>
        <v>0</v>
      </c>
      <c r="C697" s="7" t="str">
        <f>'Утв. ИП 2014-2019'!C699</f>
        <v>строительство</v>
      </c>
      <c r="D697" s="8"/>
      <c r="E697" s="8"/>
      <c r="F697" s="8"/>
      <c r="G697" s="8"/>
      <c r="H697" s="8"/>
      <c r="I697" s="8"/>
      <c r="J697" s="23"/>
      <c r="K697" s="170"/>
      <c r="L697" s="170"/>
      <c r="M697" s="170"/>
      <c r="N697" s="170"/>
      <c r="O697" s="170"/>
      <c r="P697" s="170"/>
      <c r="Q697" s="170"/>
      <c r="R697" s="136"/>
      <c r="S697" s="137"/>
      <c r="T697" s="128"/>
      <c r="U697" s="137"/>
      <c r="V697" s="128"/>
      <c r="W697" s="49"/>
      <c r="X697" s="128"/>
      <c r="Y697" s="49"/>
      <c r="Z697" s="128"/>
      <c r="AA697" s="49"/>
      <c r="AB697" s="128"/>
      <c r="AC697" s="49"/>
      <c r="AE697" s="133"/>
    </row>
    <row r="698" spans="1:31" ht="51" hidden="1" outlineLevel="1" collapsed="1" x14ac:dyDescent="0.2">
      <c r="A698" s="25" t="str">
        <f>'Утв. ИП 2014-2019'!A700</f>
        <v>1.1.5.3.23/13</v>
      </c>
      <c r="B698" s="6" t="str">
        <f>'Утв. ИП 2014-2019'!B700</f>
        <v>3.2.153</v>
      </c>
      <c r="C698" s="7" t="str">
        <f>'Утв. ИП 2014-2019'!C700</f>
        <v>Реконструкция ВЛ-0,4 кВ по ул. Российская, смонтированной по п. 1.1.6.2.6/12 ППР, от КТП-594 для электроснабжения помещения № 4 по адресу: Липецкая область, Грязинский район, в районе водозабора в п. Матырский</v>
      </c>
      <c r="D698" s="8"/>
      <c r="E698" s="8" t="str">
        <f>'Утв. ИП 2014-2019'!L700</f>
        <v>0,05 км/ 0 МВА</v>
      </c>
      <c r="F698" s="8"/>
      <c r="G698" s="8"/>
      <c r="H698" s="8"/>
      <c r="I698" s="8"/>
      <c r="J698" s="23" t="str">
        <f>'Утв. ИП 2014-2019'!Q700</f>
        <v>0,05 км/ 0 МВА</v>
      </c>
      <c r="K698" s="170"/>
      <c r="L698" s="23" t="s">
        <v>942</v>
      </c>
      <c r="M698" s="170"/>
      <c r="N698" s="170"/>
      <c r="O698" s="170"/>
      <c r="P698" s="170"/>
      <c r="Q698" s="23" t="s">
        <v>942</v>
      </c>
      <c r="R698" s="136"/>
      <c r="S698" s="137"/>
      <c r="T698" s="128">
        <v>0.05</v>
      </c>
      <c r="U698" s="137"/>
      <c r="V698" s="128"/>
      <c r="W698" s="49"/>
      <c r="X698" s="128"/>
      <c r="Y698" s="49"/>
      <c r="Z698" s="128"/>
      <c r="AA698" s="49"/>
      <c r="AB698" s="128"/>
      <c r="AC698" s="49"/>
      <c r="AE698" s="133"/>
    </row>
    <row r="699" spans="1:31" ht="15.75" hidden="1" outlineLevel="2" x14ac:dyDescent="0.2">
      <c r="A699" s="25">
        <f>'Утв. ИП 2014-2019'!A701</f>
        <v>0</v>
      </c>
      <c r="B699" s="6">
        <f>'Утв. ИП 2014-2019'!B701</f>
        <v>0</v>
      </c>
      <c r="C699" s="7" t="str">
        <f>'Утв. ИП 2014-2019'!C701</f>
        <v>реконструкция</v>
      </c>
      <c r="D699" s="8"/>
      <c r="E699" s="8"/>
      <c r="F699" s="8"/>
      <c r="G699" s="8"/>
      <c r="H699" s="8"/>
      <c r="I699" s="8"/>
      <c r="J699" s="23"/>
      <c r="K699" s="170"/>
      <c r="L699" s="170"/>
      <c r="M699" s="170"/>
      <c r="N699" s="170"/>
      <c r="O699" s="170"/>
      <c r="P699" s="170"/>
      <c r="Q699" s="170"/>
      <c r="R699" s="136"/>
      <c r="S699" s="137"/>
      <c r="T699" s="128"/>
      <c r="U699" s="137"/>
      <c r="V699" s="128"/>
      <c r="W699" s="49"/>
      <c r="X699" s="128"/>
      <c r="Y699" s="49"/>
      <c r="Z699" s="128"/>
      <c r="AA699" s="49"/>
      <c r="AB699" s="128"/>
      <c r="AC699" s="49"/>
      <c r="AE699" s="133"/>
    </row>
    <row r="700" spans="1:31" ht="15.75" hidden="1" outlineLevel="2" x14ac:dyDescent="0.2">
      <c r="A700" s="25">
        <f>'Утв. ИП 2014-2019'!A702</f>
        <v>0</v>
      </c>
      <c r="B700" s="6">
        <f>'Утв. ИП 2014-2019'!B702</f>
        <v>0</v>
      </c>
      <c r="C700" s="7" t="str">
        <f>'Утв. ИП 2014-2019'!C702</f>
        <v>строительство</v>
      </c>
      <c r="D700" s="8"/>
      <c r="E700" s="8"/>
      <c r="F700" s="8"/>
      <c r="G700" s="8"/>
      <c r="H700" s="8"/>
      <c r="I700" s="8"/>
      <c r="J700" s="23"/>
      <c r="K700" s="170"/>
      <c r="L700" s="170"/>
      <c r="M700" s="170"/>
      <c r="N700" s="170"/>
      <c r="O700" s="170"/>
      <c r="P700" s="170"/>
      <c r="Q700" s="170"/>
      <c r="R700" s="136"/>
      <c r="S700" s="137"/>
      <c r="T700" s="128"/>
      <c r="U700" s="137"/>
      <c r="V700" s="128"/>
      <c r="W700" s="49"/>
      <c r="X700" s="128"/>
      <c r="Y700" s="49"/>
      <c r="Z700" s="128"/>
      <c r="AA700" s="49"/>
      <c r="AB700" s="128"/>
      <c r="AC700" s="49"/>
      <c r="AE700" s="133"/>
    </row>
    <row r="701" spans="1:31" ht="38.25" hidden="1" outlineLevel="1" collapsed="1" x14ac:dyDescent="0.2">
      <c r="A701" s="25" t="str">
        <f>'Утв. ИП 2014-2019'!A703</f>
        <v>1.1.5.3.24/13</v>
      </c>
      <c r="B701" s="6" t="str">
        <f>'Утв. ИП 2014-2019'!B703</f>
        <v>3.2.154</v>
      </c>
      <c r="C701" s="7" t="str">
        <f>'Утв. ИП 2014-2019'!C703</f>
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679</v>
      </c>
      <c r="D701" s="8"/>
      <c r="E701" s="8" t="str">
        <f>'Утв. ИП 2014-2019'!L703</f>
        <v>0,03 км/ 0 МВА</v>
      </c>
      <c r="F701" s="8"/>
      <c r="G701" s="8"/>
      <c r="H701" s="8"/>
      <c r="I701" s="8"/>
      <c r="J701" s="23" t="str">
        <f>'Утв. ИП 2014-2019'!Q703</f>
        <v>0,03 км/ 0 МВА</v>
      </c>
      <c r="K701" s="170"/>
      <c r="L701" s="23" t="s">
        <v>1421</v>
      </c>
      <c r="M701" s="170"/>
      <c r="N701" s="170"/>
      <c r="O701" s="170"/>
      <c r="P701" s="170"/>
      <c r="Q701" s="23" t="s">
        <v>1421</v>
      </c>
      <c r="R701" s="136"/>
      <c r="S701" s="137"/>
      <c r="T701" s="128">
        <v>0.03</v>
      </c>
      <c r="U701" s="137"/>
      <c r="V701" s="128"/>
      <c r="W701" s="49"/>
      <c r="X701" s="128"/>
      <c r="Y701" s="49"/>
      <c r="Z701" s="128"/>
      <c r="AA701" s="49"/>
      <c r="AB701" s="128"/>
      <c r="AC701" s="49"/>
      <c r="AE701" s="133"/>
    </row>
    <row r="702" spans="1:31" ht="15.75" hidden="1" outlineLevel="2" x14ac:dyDescent="0.2">
      <c r="A702" s="25">
        <f>'Утв. ИП 2014-2019'!A704</f>
        <v>0</v>
      </c>
      <c r="B702" s="6">
        <f>'Утв. ИП 2014-2019'!B704</f>
        <v>0</v>
      </c>
      <c r="C702" s="7" t="str">
        <f>'Утв. ИП 2014-2019'!C704</f>
        <v>реконструкция</v>
      </c>
      <c r="D702" s="8"/>
      <c r="E702" s="8"/>
      <c r="F702" s="8"/>
      <c r="G702" s="8"/>
      <c r="H702" s="8"/>
      <c r="I702" s="8"/>
      <c r="J702" s="23"/>
      <c r="K702" s="170"/>
      <c r="L702" s="170"/>
      <c r="M702" s="170"/>
      <c r="N702" s="170"/>
      <c r="O702" s="170"/>
      <c r="P702" s="170"/>
      <c r="Q702" s="170"/>
      <c r="R702" s="136"/>
      <c r="S702" s="137"/>
      <c r="T702" s="128"/>
      <c r="U702" s="137"/>
      <c r="V702" s="128"/>
      <c r="W702" s="49"/>
      <c r="X702" s="128"/>
      <c r="Y702" s="49"/>
      <c r="Z702" s="128"/>
      <c r="AA702" s="49"/>
      <c r="AB702" s="128"/>
      <c r="AC702" s="49"/>
      <c r="AE702" s="133"/>
    </row>
    <row r="703" spans="1:31" ht="15.75" hidden="1" outlineLevel="2" x14ac:dyDescent="0.2">
      <c r="A703" s="25">
        <f>'Утв. ИП 2014-2019'!A705</f>
        <v>0</v>
      </c>
      <c r="B703" s="6">
        <f>'Утв. ИП 2014-2019'!B705</f>
        <v>0</v>
      </c>
      <c r="C703" s="7" t="str">
        <f>'Утв. ИП 2014-2019'!C705</f>
        <v>строительство</v>
      </c>
      <c r="D703" s="8"/>
      <c r="E703" s="8"/>
      <c r="F703" s="8"/>
      <c r="G703" s="8"/>
      <c r="H703" s="8"/>
      <c r="I703" s="8"/>
      <c r="J703" s="23"/>
      <c r="K703" s="170"/>
      <c r="L703" s="170"/>
      <c r="M703" s="170"/>
      <c r="N703" s="170"/>
      <c r="O703" s="170"/>
      <c r="P703" s="170"/>
      <c r="Q703" s="170"/>
      <c r="R703" s="136"/>
      <c r="S703" s="137"/>
      <c r="T703" s="128"/>
      <c r="U703" s="137"/>
      <c r="V703" s="128"/>
      <c r="W703" s="49"/>
      <c r="X703" s="128"/>
      <c r="Y703" s="49"/>
      <c r="Z703" s="128"/>
      <c r="AA703" s="49"/>
      <c r="AB703" s="128"/>
      <c r="AC703" s="49"/>
      <c r="AE703" s="133"/>
    </row>
    <row r="704" spans="1:31" ht="51" hidden="1" outlineLevel="1" collapsed="1" x14ac:dyDescent="0.2">
      <c r="A704" s="25" t="str">
        <f>'Утв. ИП 2014-2019'!A706</f>
        <v>1.1.5.3.25/13</v>
      </c>
      <c r="B704" s="6" t="str">
        <f>'Утв. ИП 2014-2019'!B706</f>
        <v>3.2.155</v>
      </c>
      <c r="C704" s="7" t="str">
        <f>'Утв. ИП 2014-2019'!C706</f>
        <v>Реконструкция ВЛ-0,4 кВ в СНТ "Машиностроитель", смонтированной по п. 1.1.6.2.115/11 ППР, от КТП-620 для электроснабжения садового домика по адресу: г. Липецк, СНТ "Машиностроитель", уч. № 927</v>
      </c>
      <c r="D704" s="8"/>
      <c r="E704" s="8" t="str">
        <f>'Утв. ИП 2014-2019'!L706</f>
        <v>0,15 км/ 0 МВА</v>
      </c>
      <c r="F704" s="8"/>
      <c r="G704" s="8"/>
      <c r="H704" s="8"/>
      <c r="I704" s="8"/>
      <c r="J704" s="23" t="str">
        <f>'Утв. ИП 2014-2019'!Q706</f>
        <v>0,15 км/ 0 МВА</v>
      </c>
      <c r="K704" s="170"/>
      <c r="L704" s="23" t="s">
        <v>1423</v>
      </c>
      <c r="M704" s="170"/>
      <c r="N704" s="170"/>
      <c r="O704" s="170"/>
      <c r="P704" s="170"/>
      <c r="Q704" s="23" t="s">
        <v>1423</v>
      </c>
      <c r="R704" s="136"/>
      <c r="S704" s="137"/>
      <c r="T704" s="128">
        <v>0.15</v>
      </c>
      <c r="U704" s="137"/>
      <c r="V704" s="128"/>
      <c r="W704" s="49"/>
      <c r="X704" s="128"/>
      <c r="Y704" s="49"/>
      <c r="Z704" s="128"/>
      <c r="AA704" s="49"/>
      <c r="AB704" s="128"/>
      <c r="AC704" s="49"/>
      <c r="AE704" s="133"/>
    </row>
    <row r="705" spans="1:31" ht="15.75" hidden="1" outlineLevel="2" x14ac:dyDescent="0.2">
      <c r="A705" s="25">
        <f>'Утв. ИП 2014-2019'!A707</f>
        <v>0</v>
      </c>
      <c r="B705" s="6">
        <f>'Утв. ИП 2014-2019'!B707</f>
        <v>0</v>
      </c>
      <c r="C705" s="7" t="str">
        <f>'Утв. ИП 2014-2019'!C707</f>
        <v>реконструкция</v>
      </c>
      <c r="D705" s="8"/>
      <c r="E705" s="8"/>
      <c r="F705" s="8"/>
      <c r="G705" s="8"/>
      <c r="H705" s="8"/>
      <c r="I705" s="8"/>
      <c r="J705" s="23"/>
      <c r="K705" s="170"/>
      <c r="L705" s="170"/>
      <c r="M705" s="170"/>
      <c r="N705" s="170"/>
      <c r="O705" s="170"/>
      <c r="P705" s="170"/>
      <c r="Q705" s="170"/>
      <c r="R705" s="136"/>
      <c r="S705" s="137"/>
      <c r="T705" s="128"/>
      <c r="U705" s="137"/>
      <c r="V705" s="128"/>
      <c r="W705" s="49"/>
      <c r="X705" s="128"/>
      <c r="Y705" s="49"/>
      <c r="Z705" s="128"/>
      <c r="AA705" s="49"/>
      <c r="AB705" s="128"/>
      <c r="AC705" s="49"/>
      <c r="AE705" s="133"/>
    </row>
    <row r="706" spans="1:31" ht="15.75" hidden="1" outlineLevel="2" x14ac:dyDescent="0.2">
      <c r="A706" s="25">
        <f>'Утв. ИП 2014-2019'!A708</f>
        <v>0</v>
      </c>
      <c r="B706" s="6">
        <f>'Утв. ИП 2014-2019'!B708</f>
        <v>0</v>
      </c>
      <c r="C706" s="7" t="str">
        <f>'Утв. ИП 2014-2019'!C708</f>
        <v>строительство</v>
      </c>
      <c r="D706" s="8"/>
      <c r="E706" s="8"/>
      <c r="F706" s="8"/>
      <c r="G706" s="8"/>
      <c r="H706" s="8"/>
      <c r="I706" s="8"/>
      <c r="J706" s="23"/>
      <c r="K706" s="170"/>
      <c r="L706" s="170"/>
      <c r="M706" s="170"/>
      <c r="N706" s="170"/>
      <c r="O706" s="170"/>
      <c r="P706" s="170"/>
      <c r="Q706" s="170"/>
      <c r="R706" s="136"/>
      <c r="S706" s="137"/>
      <c r="T706" s="128"/>
      <c r="U706" s="137"/>
      <c r="V706" s="128"/>
      <c r="W706" s="49"/>
      <c r="X706" s="128"/>
      <c r="Y706" s="49"/>
      <c r="Z706" s="128"/>
      <c r="AA706" s="49"/>
      <c r="AB706" s="128"/>
      <c r="AC706" s="49"/>
      <c r="AE706" s="133"/>
    </row>
    <row r="707" spans="1:31" ht="25.5" hidden="1" outlineLevel="1" collapsed="1" x14ac:dyDescent="0.2">
      <c r="A707" s="25" t="str">
        <f>'Утв. ИП 2014-2019'!A709</f>
        <v>1.1.5.3.26/13</v>
      </c>
      <c r="B707" s="6" t="str">
        <f>'Утв. ИП 2014-2019'!B709</f>
        <v>3.2.156</v>
      </c>
      <c r="C707" s="7" t="str">
        <f>'Утв. ИП 2014-2019'!C709</f>
        <v>Электроснабжение жилых домов по адресу: г. Липецк, ул. Покровская</v>
      </c>
      <c r="D707" s="8"/>
      <c r="E707" s="8" t="str">
        <f>'Утв. ИП 2014-2019'!L709</f>
        <v>0,9 км/ 0 МВА</v>
      </c>
      <c r="F707" s="8"/>
      <c r="G707" s="8"/>
      <c r="H707" s="8"/>
      <c r="I707" s="8"/>
      <c r="J707" s="23" t="str">
        <f>'Утв. ИП 2014-2019'!Q709</f>
        <v>0,9 км/ 0 МВА</v>
      </c>
      <c r="K707" s="170"/>
      <c r="L707" s="170"/>
      <c r="M707" s="170"/>
      <c r="N707" s="170"/>
      <c r="O707" s="170"/>
      <c r="P707" s="170"/>
      <c r="Q707" s="170"/>
      <c r="R707" s="136"/>
      <c r="S707" s="137"/>
      <c r="T707" s="128"/>
      <c r="U707" s="137"/>
      <c r="V707" s="128"/>
      <c r="W707" s="49"/>
      <c r="X707" s="128"/>
      <c r="Y707" s="49"/>
      <c r="Z707" s="128"/>
      <c r="AA707" s="49"/>
      <c r="AB707" s="128"/>
      <c r="AC707" s="49"/>
      <c r="AE707" s="133"/>
    </row>
    <row r="708" spans="1:31" ht="15.75" hidden="1" outlineLevel="2" x14ac:dyDescent="0.2">
      <c r="A708" s="25">
        <f>'Утв. ИП 2014-2019'!A710</f>
        <v>0</v>
      </c>
      <c r="B708" s="6">
        <f>'Утв. ИП 2014-2019'!B710</f>
        <v>0</v>
      </c>
      <c r="C708" s="7" t="str">
        <f>'Утв. ИП 2014-2019'!C710</f>
        <v>реконструкция</v>
      </c>
      <c r="D708" s="8"/>
      <c r="E708" s="8"/>
      <c r="F708" s="8"/>
      <c r="G708" s="8"/>
      <c r="H708" s="8"/>
      <c r="I708" s="8"/>
      <c r="J708" s="23"/>
      <c r="K708" s="170"/>
      <c r="L708" s="170"/>
      <c r="M708" s="170"/>
      <c r="N708" s="170"/>
      <c r="O708" s="170"/>
      <c r="P708" s="170"/>
      <c r="Q708" s="170"/>
      <c r="R708" s="136"/>
      <c r="S708" s="137"/>
      <c r="T708" s="128"/>
      <c r="U708" s="137"/>
      <c r="V708" s="128"/>
      <c r="W708" s="49"/>
      <c r="X708" s="128"/>
      <c r="Y708" s="49"/>
      <c r="Z708" s="128"/>
      <c r="AA708" s="49"/>
      <c r="AB708" s="128"/>
      <c r="AC708" s="49"/>
      <c r="AE708" s="133"/>
    </row>
    <row r="709" spans="1:31" ht="15.75" hidden="1" outlineLevel="2" x14ac:dyDescent="0.2">
      <c r="A709" s="25">
        <f>'Утв. ИП 2014-2019'!A711</f>
        <v>0</v>
      </c>
      <c r="B709" s="6">
        <f>'Утв. ИП 2014-2019'!B711</f>
        <v>0</v>
      </c>
      <c r="C709" s="7" t="str">
        <f>'Утв. ИП 2014-2019'!C711</f>
        <v>строительство</v>
      </c>
      <c r="D709" s="8"/>
      <c r="E709" s="8"/>
      <c r="F709" s="8"/>
      <c r="G709" s="8"/>
      <c r="H709" s="8"/>
      <c r="I709" s="8"/>
      <c r="J709" s="23"/>
      <c r="K709" s="170"/>
      <c r="L709" s="170"/>
      <c r="M709" s="170"/>
      <c r="N709" s="170"/>
      <c r="O709" s="170"/>
      <c r="P709" s="170"/>
      <c r="Q709" s="170"/>
      <c r="R709" s="136"/>
      <c r="S709" s="137"/>
      <c r="T709" s="128"/>
      <c r="U709" s="137"/>
      <c r="V709" s="128"/>
      <c r="W709" s="49"/>
      <c r="X709" s="128"/>
      <c r="Y709" s="49"/>
      <c r="Z709" s="128"/>
      <c r="AA709" s="49"/>
      <c r="AB709" s="128"/>
      <c r="AC709" s="49"/>
      <c r="AE709" s="133"/>
    </row>
    <row r="710" spans="1:31" ht="51" hidden="1" outlineLevel="1" collapsed="1" x14ac:dyDescent="0.2">
      <c r="A710" s="25" t="str">
        <f>'Утв. ИП 2014-2019'!A712</f>
        <v>1.1.5.3.27/13</v>
      </c>
      <c r="B710" s="6" t="str">
        <f>'Утв. ИП 2014-2019'!B712</f>
        <v>3.2.157</v>
      </c>
      <c r="C710" s="7" t="str">
        <f>'Утв. ИП 2014-2019'!C712</f>
        <v>Реконструкция ВЛ-0,4 кВ в СНТ "Сокол-2", смонтированной по п. 4.1.64/09 ППР, от КТП-429 для электроснабжения стройплощадки садового домика по адресу: г. Липецк, СНТ "Сокол-2", участок № 1196-А</v>
      </c>
      <c r="D710" s="8"/>
      <c r="E710" s="8" t="str">
        <f>'Утв. ИП 2014-2019'!L712</f>
        <v>0,06 км/ 0 МВА</v>
      </c>
      <c r="F710" s="8"/>
      <c r="G710" s="8"/>
      <c r="H710" s="8"/>
      <c r="I710" s="8"/>
      <c r="J710" s="23" t="str">
        <f>'Утв. ИП 2014-2019'!Q712</f>
        <v>0,06 км/ 0 МВА</v>
      </c>
      <c r="K710" s="170"/>
      <c r="L710" s="23" t="s">
        <v>1424</v>
      </c>
      <c r="M710" s="170"/>
      <c r="N710" s="170"/>
      <c r="O710" s="170"/>
      <c r="P710" s="170"/>
      <c r="Q710" s="23" t="s">
        <v>1424</v>
      </c>
      <c r="R710" s="136"/>
      <c r="S710" s="137"/>
      <c r="T710" s="128">
        <v>0.06</v>
      </c>
      <c r="U710" s="137"/>
      <c r="V710" s="128"/>
      <c r="W710" s="49"/>
      <c r="X710" s="128"/>
      <c r="Y710" s="49"/>
      <c r="Z710" s="128"/>
      <c r="AA710" s="49"/>
      <c r="AB710" s="128"/>
      <c r="AC710" s="49"/>
      <c r="AE710" s="133"/>
    </row>
    <row r="711" spans="1:31" ht="15.75" hidden="1" outlineLevel="2" x14ac:dyDescent="0.2">
      <c r="A711" s="25">
        <f>'Утв. ИП 2014-2019'!A713</f>
        <v>0</v>
      </c>
      <c r="B711" s="6">
        <f>'Утв. ИП 2014-2019'!B713</f>
        <v>0</v>
      </c>
      <c r="C711" s="7" t="str">
        <f>'Утв. ИП 2014-2019'!C713</f>
        <v>реконструкция</v>
      </c>
      <c r="D711" s="8"/>
      <c r="E711" s="8"/>
      <c r="F711" s="8"/>
      <c r="G711" s="8"/>
      <c r="H711" s="8"/>
      <c r="I711" s="8"/>
      <c r="J711" s="23"/>
      <c r="K711" s="170"/>
      <c r="L711" s="170"/>
      <c r="M711" s="170"/>
      <c r="N711" s="170"/>
      <c r="O711" s="170"/>
      <c r="P711" s="170"/>
      <c r="Q711" s="170"/>
      <c r="R711" s="136"/>
      <c r="S711" s="137"/>
      <c r="T711" s="128"/>
      <c r="U711" s="137"/>
      <c r="V711" s="128"/>
      <c r="W711" s="49"/>
      <c r="X711" s="128"/>
      <c r="Y711" s="49"/>
      <c r="Z711" s="128"/>
      <c r="AA711" s="49"/>
      <c r="AB711" s="128"/>
      <c r="AC711" s="49"/>
      <c r="AE711" s="133"/>
    </row>
    <row r="712" spans="1:31" ht="15.75" hidden="1" outlineLevel="2" x14ac:dyDescent="0.2">
      <c r="A712" s="25">
        <f>'Утв. ИП 2014-2019'!A714</f>
        <v>0</v>
      </c>
      <c r="B712" s="6">
        <f>'Утв. ИП 2014-2019'!B714</f>
        <v>0</v>
      </c>
      <c r="C712" s="7" t="str">
        <f>'Утв. ИП 2014-2019'!C714</f>
        <v>строительство</v>
      </c>
      <c r="D712" s="8"/>
      <c r="E712" s="8"/>
      <c r="F712" s="8"/>
      <c r="G712" s="8"/>
      <c r="H712" s="8"/>
      <c r="I712" s="8"/>
      <c r="J712" s="23"/>
      <c r="K712" s="170"/>
      <c r="L712" s="170"/>
      <c r="M712" s="170"/>
      <c r="N712" s="170"/>
      <c r="O712" s="170"/>
      <c r="P712" s="170"/>
      <c r="Q712" s="170"/>
      <c r="R712" s="136"/>
      <c r="S712" s="137"/>
      <c r="T712" s="128"/>
      <c r="U712" s="137"/>
      <c r="V712" s="128"/>
      <c r="W712" s="49"/>
      <c r="X712" s="128"/>
      <c r="Y712" s="49"/>
      <c r="Z712" s="128"/>
      <c r="AA712" s="49"/>
      <c r="AB712" s="128"/>
      <c r="AC712" s="49"/>
      <c r="AE712" s="133"/>
    </row>
    <row r="713" spans="1:31" ht="38.25" hidden="1" outlineLevel="1" collapsed="1" x14ac:dyDescent="0.2">
      <c r="A713" s="25" t="str">
        <f>'Утв. ИП 2014-2019'!A715</f>
        <v>1.1.5.3.28/13</v>
      </c>
      <c r="B713" s="6" t="str">
        <f>'Утв. ИП 2014-2019'!B715</f>
        <v>3.2.158</v>
      </c>
      <c r="C713" s="7" t="str">
        <f>'Утв. ИП 2014-2019'!C715</f>
        <v>Реконструкция ВЛ-0,4 кВ в СНТ "Сокол-2", смонтированной по п. 1.1.6.3.46/10 ППР, от ТП-437 для электроснабжения садовых домиков в СНТ "Сокол-2"</v>
      </c>
      <c r="D713" s="8"/>
      <c r="E713" s="8" t="str">
        <f>'Утв. ИП 2014-2019'!L715</f>
        <v>0,5 км/ 0 МВА</v>
      </c>
      <c r="F713" s="8"/>
      <c r="G713" s="8"/>
      <c r="H713" s="8"/>
      <c r="I713" s="8"/>
      <c r="J713" s="23" t="str">
        <f>'Утв. ИП 2014-2019'!Q715</f>
        <v>0,5 км/ 0 МВА</v>
      </c>
      <c r="K713" s="170"/>
      <c r="L713" s="23" t="s">
        <v>1419</v>
      </c>
      <c r="M713" s="170"/>
      <c r="N713" s="170"/>
      <c r="O713" s="170"/>
      <c r="P713" s="170"/>
      <c r="Q713" s="23" t="s">
        <v>1419</v>
      </c>
      <c r="R713" s="136"/>
      <c r="S713" s="137"/>
      <c r="T713" s="128">
        <v>0.5</v>
      </c>
      <c r="U713" s="137"/>
      <c r="V713" s="128"/>
      <c r="W713" s="49"/>
      <c r="X713" s="128"/>
      <c r="Y713" s="49"/>
      <c r="Z713" s="128"/>
      <c r="AA713" s="49"/>
      <c r="AB713" s="128"/>
      <c r="AC713" s="49"/>
      <c r="AE713" s="133"/>
    </row>
    <row r="714" spans="1:31" ht="15.75" hidden="1" outlineLevel="2" x14ac:dyDescent="0.2">
      <c r="A714" s="25">
        <f>'Утв. ИП 2014-2019'!A716</f>
        <v>0</v>
      </c>
      <c r="B714" s="6">
        <f>'Утв. ИП 2014-2019'!B716</f>
        <v>0</v>
      </c>
      <c r="C714" s="7" t="str">
        <f>'Утв. ИП 2014-2019'!C716</f>
        <v>реконструкция</v>
      </c>
      <c r="D714" s="8"/>
      <c r="E714" s="8"/>
      <c r="F714" s="8"/>
      <c r="G714" s="8"/>
      <c r="H714" s="8"/>
      <c r="I714" s="8"/>
      <c r="J714" s="23"/>
      <c r="K714" s="170"/>
      <c r="L714" s="170"/>
      <c r="M714" s="170"/>
      <c r="N714" s="170"/>
      <c r="O714" s="170"/>
      <c r="P714" s="170"/>
      <c r="Q714" s="170"/>
      <c r="R714" s="136"/>
      <c r="S714" s="137"/>
      <c r="T714" s="128"/>
      <c r="U714" s="137"/>
      <c r="V714" s="128"/>
      <c r="W714" s="49"/>
      <c r="X714" s="128"/>
      <c r="Y714" s="49"/>
      <c r="Z714" s="128"/>
      <c r="AA714" s="49"/>
      <c r="AB714" s="128"/>
      <c r="AC714" s="49"/>
      <c r="AE714" s="133"/>
    </row>
    <row r="715" spans="1:31" ht="15.75" hidden="1" outlineLevel="2" x14ac:dyDescent="0.2">
      <c r="A715" s="25">
        <f>'Утв. ИП 2014-2019'!A717</f>
        <v>0</v>
      </c>
      <c r="B715" s="6">
        <f>'Утв. ИП 2014-2019'!B717</f>
        <v>0</v>
      </c>
      <c r="C715" s="7" t="str">
        <f>'Утв. ИП 2014-2019'!C717</f>
        <v>строительство</v>
      </c>
      <c r="D715" s="8"/>
      <c r="E715" s="8"/>
      <c r="F715" s="8"/>
      <c r="G715" s="8"/>
      <c r="H715" s="8"/>
      <c r="I715" s="8"/>
      <c r="J715" s="23"/>
      <c r="K715" s="170"/>
      <c r="L715" s="170"/>
      <c r="M715" s="170"/>
      <c r="N715" s="170"/>
      <c r="O715" s="170"/>
      <c r="P715" s="170"/>
      <c r="Q715" s="170"/>
      <c r="R715" s="136"/>
      <c r="S715" s="137"/>
      <c r="T715" s="128"/>
      <c r="U715" s="137"/>
      <c r="V715" s="128"/>
      <c r="W715" s="49"/>
      <c r="X715" s="128"/>
      <c r="Y715" s="49"/>
      <c r="Z715" s="128"/>
      <c r="AA715" s="49"/>
      <c r="AB715" s="128"/>
      <c r="AC715" s="49"/>
      <c r="AE715" s="133"/>
    </row>
    <row r="716" spans="1:31" ht="38.25" hidden="1" outlineLevel="1" collapsed="1" x14ac:dyDescent="0.2">
      <c r="A716" s="25" t="str">
        <f>'Утв. ИП 2014-2019'!A718</f>
        <v>1.1.5.3.29/13</v>
      </c>
      <c r="B716" s="6" t="str">
        <f>'Утв. ИП 2014-2019'!B718</f>
        <v>3.2.159</v>
      </c>
      <c r="C716" s="7" t="str">
        <f>'Утв. ИП 2014-2019'!C718</f>
        <v>Строительство ВЛ-0,4 кВ от СТП, смонтированной по п. 1.1.6.3.52/10 ППР, для электроснабжения садовых домиков в СНТ "Сокол-2"</v>
      </c>
      <c r="D716" s="8"/>
      <c r="E716" s="8" t="str">
        <f>'Утв. ИП 2014-2019'!L718</f>
        <v>0,3 км/ 0 МВА</v>
      </c>
      <c r="F716" s="8"/>
      <c r="G716" s="8"/>
      <c r="H716" s="8"/>
      <c r="I716" s="8"/>
      <c r="J716" s="23" t="str">
        <f>'Утв. ИП 2014-2019'!Q718</f>
        <v>0,3 км/ 0 МВА</v>
      </c>
      <c r="K716" s="170"/>
      <c r="L716" s="170"/>
      <c r="M716" s="170"/>
      <c r="N716" s="170"/>
      <c r="O716" s="170"/>
      <c r="P716" s="170"/>
      <c r="Q716" s="170"/>
      <c r="R716" s="136"/>
      <c r="S716" s="137"/>
      <c r="T716" s="128"/>
      <c r="U716" s="137"/>
      <c r="V716" s="128"/>
      <c r="W716" s="49"/>
      <c r="X716" s="128"/>
      <c r="Y716" s="49"/>
      <c r="Z716" s="128"/>
      <c r="AA716" s="49"/>
      <c r="AB716" s="128"/>
      <c r="AC716" s="49"/>
      <c r="AE716" s="133"/>
    </row>
    <row r="717" spans="1:31" ht="15.75" hidden="1" outlineLevel="2" x14ac:dyDescent="0.2">
      <c r="A717" s="25">
        <f>'Утв. ИП 2014-2019'!A719</f>
        <v>0</v>
      </c>
      <c r="B717" s="6">
        <f>'Утв. ИП 2014-2019'!B719</f>
        <v>0</v>
      </c>
      <c r="C717" s="7" t="str">
        <f>'Утв. ИП 2014-2019'!C719</f>
        <v>реконструкция</v>
      </c>
      <c r="D717" s="8"/>
      <c r="E717" s="8"/>
      <c r="F717" s="8"/>
      <c r="G717" s="8"/>
      <c r="H717" s="8"/>
      <c r="I717" s="8"/>
      <c r="J717" s="23"/>
      <c r="K717" s="170"/>
      <c r="L717" s="170"/>
      <c r="M717" s="170"/>
      <c r="N717" s="170"/>
      <c r="O717" s="170"/>
      <c r="P717" s="170"/>
      <c r="Q717" s="170"/>
      <c r="R717" s="136"/>
      <c r="S717" s="137"/>
      <c r="T717" s="128"/>
      <c r="U717" s="137"/>
      <c r="V717" s="128"/>
      <c r="W717" s="49"/>
      <c r="X717" s="128"/>
      <c r="Y717" s="49"/>
      <c r="Z717" s="128"/>
      <c r="AA717" s="49"/>
      <c r="AB717" s="128"/>
      <c r="AC717" s="49"/>
      <c r="AE717" s="133"/>
    </row>
    <row r="718" spans="1:31" ht="15.75" hidden="1" outlineLevel="2" x14ac:dyDescent="0.2">
      <c r="A718" s="25">
        <f>'Утв. ИП 2014-2019'!A720</f>
        <v>0</v>
      </c>
      <c r="B718" s="6">
        <f>'Утв. ИП 2014-2019'!B720</f>
        <v>0</v>
      </c>
      <c r="C718" s="7" t="str">
        <f>'Утв. ИП 2014-2019'!C720</f>
        <v>строительство</v>
      </c>
      <c r="D718" s="8"/>
      <c r="E718" s="8"/>
      <c r="F718" s="8"/>
      <c r="G718" s="8"/>
      <c r="H718" s="8"/>
      <c r="I718" s="8"/>
      <c r="J718" s="23"/>
      <c r="K718" s="170"/>
      <c r="L718" s="170"/>
      <c r="M718" s="170"/>
      <c r="N718" s="170"/>
      <c r="O718" s="170"/>
      <c r="P718" s="170"/>
      <c r="Q718" s="170"/>
      <c r="R718" s="136"/>
      <c r="S718" s="137"/>
      <c r="T718" s="128"/>
      <c r="U718" s="137"/>
      <c r="V718" s="128"/>
      <c r="W718" s="49"/>
      <c r="X718" s="128"/>
      <c r="Y718" s="49"/>
      <c r="Z718" s="128"/>
      <c r="AA718" s="49"/>
      <c r="AB718" s="128"/>
      <c r="AC718" s="49"/>
      <c r="AE718" s="133"/>
    </row>
    <row r="719" spans="1:31" ht="51" hidden="1" outlineLevel="1" collapsed="1" x14ac:dyDescent="0.2">
      <c r="A719" s="25" t="str">
        <f>'Утв. ИП 2014-2019'!A721</f>
        <v>1.1.5.3.30/13</v>
      </c>
      <c r="B719" s="6" t="str">
        <f>'Утв. ИП 2014-2019'!B721</f>
        <v>3.2.160</v>
      </c>
      <c r="C719" s="7" t="str">
        <f>'Утв. ИП 2014-2019'!C721</f>
        <v>Реконструкция ВЛ-0,4 кВ в СНТ "Тракторостроитель-2", смонтированной по п. 1.1.6.2.3/11 ППР, от КТП-266 для электроснабжения садового домика по адресу: г. Липецк, СНТ "Тракторостроитель-2", линия 6, участок № 11</v>
      </c>
      <c r="D719" s="8"/>
      <c r="E719" s="8" t="str">
        <f>'Утв. ИП 2014-2019'!L721</f>
        <v>0,1 км/ 0 МВА</v>
      </c>
      <c r="F719" s="8"/>
      <c r="G719" s="8"/>
      <c r="H719" s="8"/>
      <c r="I719" s="8"/>
      <c r="J719" s="23" t="str">
        <f>'Утв. ИП 2014-2019'!Q721</f>
        <v>0,1 км/ 0 МВА</v>
      </c>
      <c r="K719" s="170"/>
      <c r="L719" s="23" t="s">
        <v>1418</v>
      </c>
      <c r="M719" s="170"/>
      <c r="N719" s="170"/>
      <c r="O719" s="170"/>
      <c r="P719" s="170"/>
      <c r="Q719" s="23" t="s">
        <v>1418</v>
      </c>
      <c r="R719" s="136"/>
      <c r="S719" s="137"/>
      <c r="T719" s="128">
        <v>0.1</v>
      </c>
      <c r="U719" s="137"/>
      <c r="V719" s="128"/>
      <c r="W719" s="49"/>
      <c r="X719" s="128"/>
      <c r="Y719" s="49"/>
      <c r="Z719" s="128"/>
      <c r="AA719" s="49"/>
      <c r="AB719" s="128"/>
      <c r="AC719" s="49"/>
      <c r="AE719" s="133"/>
    </row>
    <row r="720" spans="1:31" ht="15.75" hidden="1" outlineLevel="2" x14ac:dyDescent="0.2">
      <c r="A720" s="25">
        <f>'Утв. ИП 2014-2019'!A722</f>
        <v>0</v>
      </c>
      <c r="B720" s="6">
        <f>'Утв. ИП 2014-2019'!B722</f>
        <v>0</v>
      </c>
      <c r="C720" s="7" t="str">
        <f>'Утв. ИП 2014-2019'!C722</f>
        <v>реконструкция</v>
      </c>
      <c r="D720" s="8"/>
      <c r="E720" s="8"/>
      <c r="F720" s="8"/>
      <c r="G720" s="8"/>
      <c r="H720" s="8"/>
      <c r="I720" s="8"/>
      <c r="J720" s="23"/>
      <c r="K720" s="170"/>
      <c r="L720" s="170"/>
      <c r="M720" s="170"/>
      <c r="N720" s="170"/>
      <c r="O720" s="170"/>
      <c r="P720" s="170"/>
      <c r="Q720" s="170"/>
      <c r="R720" s="136"/>
      <c r="S720" s="137"/>
      <c r="T720" s="128"/>
      <c r="U720" s="137"/>
      <c r="V720" s="128"/>
      <c r="W720" s="49"/>
      <c r="X720" s="128"/>
      <c r="Y720" s="49"/>
      <c r="Z720" s="128"/>
      <c r="AA720" s="49"/>
      <c r="AB720" s="128"/>
      <c r="AC720" s="49"/>
      <c r="AE720" s="133"/>
    </row>
    <row r="721" spans="1:31" ht="15.75" hidden="1" outlineLevel="2" x14ac:dyDescent="0.2">
      <c r="A721" s="25">
        <f>'Утв. ИП 2014-2019'!A723</f>
        <v>0</v>
      </c>
      <c r="B721" s="6">
        <f>'Утв. ИП 2014-2019'!B723</f>
        <v>0</v>
      </c>
      <c r="C721" s="7" t="str">
        <f>'Утв. ИП 2014-2019'!C723</f>
        <v>строительство</v>
      </c>
      <c r="D721" s="8"/>
      <c r="E721" s="8"/>
      <c r="F721" s="8"/>
      <c r="G721" s="8"/>
      <c r="H721" s="8"/>
      <c r="I721" s="8"/>
      <c r="J721" s="23"/>
      <c r="K721" s="170"/>
      <c r="L721" s="170"/>
      <c r="M721" s="170"/>
      <c r="N721" s="170"/>
      <c r="O721" s="170"/>
      <c r="P721" s="170"/>
      <c r="Q721" s="170"/>
      <c r="R721" s="136"/>
      <c r="S721" s="137"/>
      <c r="T721" s="128"/>
      <c r="U721" s="137"/>
      <c r="V721" s="128"/>
      <c r="W721" s="49"/>
      <c r="X721" s="128"/>
      <c r="Y721" s="49"/>
      <c r="Z721" s="128"/>
      <c r="AA721" s="49"/>
      <c r="AB721" s="128"/>
      <c r="AC721" s="49"/>
      <c r="AE721" s="133"/>
    </row>
    <row r="722" spans="1:31" ht="51" hidden="1" outlineLevel="1" collapsed="1" x14ac:dyDescent="0.2">
      <c r="A722" s="25" t="str">
        <f>'Утв. ИП 2014-2019'!A724</f>
        <v>1.1.5.3.31/13</v>
      </c>
      <c r="B722" s="6" t="str">
        <f>'Утв. ИП 2014-2019'!B724</f>
        <v>3.2.161</v>
      </c>
      <c r="C722" s="7" t="str">
        <f>'Утв. ИП 2014-2019'!C724</f>
        <v>Реконструкция ВЛ-0,4 кВ по ул. Грушевая, смонтированной по п. 4.1.59/09 ППР, от КТП-641 для электроснабжения индивидуального жилого дома по адресу: г. Липецк, ул. Грушевая, район дома № 51</v>
      </c>
      <c r="D722" s="8"/>
      <c r="E722" s="8" t="str">
        <f>'Утв. ИП 2014-2019'!L724</f>
        <v>0,06 км/ 0 МВА</v>
      </c>
      <c r="F722" s="8"/>
      <c r="G722" s="8"/>
      <c r="H722" s="8"/>
      <c r="I722" s="8"/>
      <c r="J722" s="23" t="str">
        <f>'Утв. ИП 2014-2019'!Q724</f>
        <v>0,06 км/ 0 МВА</v>
      </c>
      <c r="K722" s="170"/>
      <c r="L722" s="23" t="s">
        <v>1424</v>
      </c>
      <c r="M722" s="170"/>
      <c r="N722" s="170"/>
      <c r="O722" s="170"/>
      <c r="P722" s="170"/>
      <c r="Q722" s="23" t="s">
        <v>1424</v>
      </c>
      <c r="R722" s="136"/>
      <c r="S722" s="137"/>
      <c r="T722" s="128">
        <v>0.06</v>
      </c>
      <c r="U722" s="137"/>
      <c r="V722" s="128"/>
      <c r="W722" s="49"/>
      <c r="X722" s="128"/>
      <c r="Y722" s="49"/>
      <c r="Z722" s="128"/>
      <c r="AA722" s="49"/>
      <c r="AB722" s="128"/>
      <c r="AC722" s="49"/>
      <c r="AE722" s="133"/>
    </row>
    <row r="723" spans="1:31" ht="15.75" hidden="1" outlineLevel="2" x14ac:dyDescent="0.2">
      <c r="A723" s="25">
        <f>'Утв. ИП 2014-2019'!A725</f>
        <v>0</v>
      </c>
      <c r="B723" s="6">
        <f>'Утв. ИП 2014-2019'!B725</f>
        <v>0</v>
      </c>
      <c r="C723" s="7" t="str">
        <f>'Утв. ИП 2014-2019'!C725</f>
        <v>реконструкция</v>
      </c>
      <c r="D723" s="8"/>
      <c r="E723" s="8"/>
      <c r="F723" s="8"/>
      <c r="G723" s="8"/>
      <c r="H723" s="8"/>
      <c r="I723" s="8"/>
      <c r="J723" s="23"/>
      <c r="K723" s="170"/>
      <c r="L723" s="170"/>
      <c r="M723" s="170"/>
      <c r="N723" s="170"/>
      <c r="O723" s="170"/>
      <c r="P723" s="170"/>
      <c r="Q723" s="170"/>
      <c r="R723" s="136"/>
      <c r="S723" s="137"/>
      <c r="T723" s="128"/>
      <c r="U723" s="137"/>
      <c r="V723" s="128"/>
      <c r="W723" s="49"/>
      <c r="X723" s="128"/>
      <c r="Y723" s="49"/>
      <c r="Z723" s="128"/>
      <c r="AA723" s="49"/>
      <c r="AB723" s="128"/>
      <c r="AC723" s="49"/>
      <c r="AE723" s="133"/>
    </row>
    <row r="724" spans="1:31" ht="15.75" hidden="1" outlineLevel="2" x14ac:dyDescent="0.2">
      <c r="A724" s="25">
        <f>'Утв. ИП 2014-2019'!A726</f>
        <v>0</v>
      </c>
      <c r="B724" s="6">
        <f>'Утв. ИП 2014-2019'!B726</f>
        <v>0</v>
      </c>
      <c r="C724" s="7" t="str">
        <f>'Утв. ИП 2014-2019'!C726</f>
        <v>строительство</v>
      </c>
      <c r="D724" s="8"/>
      <c r="E724" s="8"/>
      <c r="F724" s="8"/>
      <c r="G724" s="8"/>
      <c r="H724" s="8"/>
      <c r="I724" s="8"/>
      <c r="J724" s="23"/>
      <c r="K724" s="170"/>
      <c r="L724" s="170"/>
      <c r="M724" s="170"/>
      <c r="N724" s="170"/>
      <c r="O724" s="170"/>
      <c r="P724" s="170"/>
      <c r="Q724" s="170"/>
      <c r="R724" s="136"/>
      <c r="S724" s="137"/>
      <c r="T724" s="128"/>
      <c r="U724" s="137"/>
      <c r="V724" s="128"/>
      <c r="W724" s="49"/>
      <c r="X724" s="128"/>
      <c r="Y724" s="49"/>
      <c r="Z724" s="128"/>
      <c r="AA724" s="49"/>
      <c r="AB724" s="128"/>
      <c r="AC724" s="49"/>
      <c r="AE724" s="133"/>
    </row>
    <row r="725" spans="1:31" ht="38.25" hidden="1" outlineLevel="1" collapsed="1" x14ac:dyDescent="0.2">
      <c r="A725" s="25" t="str">
        <f>'Утв. ИП 2014-2019'!A727</f>
        <v>1.1.5.3.32/13</v>
      </c>
      <c r="B725" s="6" t="str">
        <f>'Утв. ИП 2014-2019'!B727</f>
        <v>3.2.162</v>
      </c>
      <c r="C725" s="7" t="str">
        <f>'Утв. ИП 2014-2019'!C727</f>
        <v>Монтаж узла учета на опоре № 22 ВЛ-0,4 кВ по ул. Тургенева от ТП-703 для электроснабжения 1/3 доли жилого дома по адресу: г. Липецк, ул. Тургенева, д. 6</v>
      </c>
      <c r="D725" s="8"/>
      <c r="E725" s="8" t="str">
        <f>'Утв. ИП 2014-2019'!L727</f>
        <v>0,0 км/ 0 МВА</v>
      </c>
      <c r="F725" s="8"/>
      <c r="G725" s="8"/>
      <c r="H725" s="8"/>
      <c r="I725" s="8"/>
      <c r="J725" s="23" t="str">
        <f>'Утв. ИП 2014-2019'!Q727</f>
        <v>0,0 км/ 0 МВА</v>
      </c>
      <c r="K725" s="170"/>
      <c r="L725" s="170"/>
      <c r="M725" s="170"/>
      <c r="N725" s="170"/>
      <c r="O725" s="170"/>
      <c r="P725" s="170"/>
      <c r="Q725" s="170"/>
      <c r="R725" s="136"/>
      <c r="S725" s="137"/>
      <c r="T725" s="128"/>
      <c r="U725" s="137"/>
      <c r="V725" s="128"/>
      <c r="W725" s="49"/>
      <c r="X725" s="128"/>
      <c r="Y725" s="49"/>
      <c r="Z725" s="128"/>
      <c r="AA725" s="49"/>
      <c r="AB725" s="128"/>
      <c r="AC725" s="49"/>
      <c r="AE725" s="133"/>
    </row>
    <row r="726" spans="1:31" ht="15.75" hidden="1" outlineLevel="2" x14ac:dyDescent="0.2">
      <c r="A726" s="25">
        <f>'Утв. ИП 2014-2019'!A728</f>
        <v>0</v>
      </c>
      <c r="B726" s="6">
        <f>'Утв. ИП 2014-2019'!B728</f>
        <v>0</v>
      </c>
      <c r="C726" s="7" t="str">
        <f>'Утв. ИП 2014-2019'!C728</f>
        <v>реконструкция</v>
      </c>
      <c r="D726" s="8"/>
      <c r="E726" s="8"/>
      <c r="F726" s="8"/>
      <c r="G726" s="8"/>
      <c r="H726" s="8"/>
      <c r="I726" s="8"/>
      <c r="J726" s="23"/>
      <c r="K726" s="170"/>
      <c r="L726" s="170"/>
      <c r="M726" s="170"/>
      <c r="N726" s="170"/>
      <c r="O726" s="170"/>
      <c r="P726" s="170"/>
      <c r="Q726" s="170"/>
      <c r="R726" s="136"/>
      <c r="S726" s="137"/>
      <c r="T726" s="128"/>
      <c r="U726" s="137"/>
      <c r="V726" s="128"/>
      <c r="W726" s="49"/>
      <c r="X726" s="128"/>
      <c r="Y726" s="49"/>
      <c r="Z726" s="128"/>
      <c r="AA726" s="49"/>
      <c r="AB726" s="128"/>
      <c r="AC726" s="49"/>
      <c r="AE726" s="133"/>
    </row>
    <row r="727" spans="1:31" ht="15.75" hidden="1" outlineLevel="2" x14ac:dyDescent="0.2">
      <c r="A727" s="25">
        <f>'Утв. ИП 2014-2019'!A729</f>
        <v>0</v>
      </c>
      <c r="B727" s="6">
        <f>'Утв. ИП 2014-2019'!B729</f>
        <v>0</v>
      </c>
      <c r="C727" s="7" t="str">
        <f>'Утв. ИП 2014-2019'!C729</f>
        <v>строительство</v>
      </c>
      <c r="D727" s="8"/>
      <c r="E727" s="8"/>
      <c r="F727" s="8"/>
      <c r="G727" s="8"/>
      <c r="H727" s="8"/>
      <c r="I727" s="8"/>
      <c r="J727" s="23"/>
      <c r="K727" s="170"/>
      <c r="L727" s="170"/>
      <c r="M727" s="170"/>
      <c r="N727" s="170"/>
      <c r="O727" s="170"/>
      <c r="P727" s="170"/>
      <c r="Q727" s="170"/>
      <c r="R727" s="136"/>
      <c r="S727" s="137"/>
      <c r="T727" s="128"/>
      <c r="U727" s="137"/>
      <c r="V727" s="128"/>
      <c r="W727" s="49"/>
      <c r="X727" s="128"/>
      <c r="Y727" s="49"/>
      <c r="Z727" s="128"/>
      <c r="AA727" s="49"/>
      <c r="AB727" s="128"/>
      <c r="AC727" s="49"/>
      <c r="AE727" s="133"/>
    </row>
    <row r="728" spans="1:31" ht="38.25" hidden="1" outlineLevel="1" collapsed="1" x14ac:dyDescent="0.2">
      <c r="A728" s="25" t="str">
        <f>'Утв. ИП 2014-2019'!A730</f>
        <v>1.1.5.3.33/13</v>
      </c>
      <c r="B728" s="6" t="str">
        <f>'Утв. ИП 2014-2019'!B730</f>
        <v>3.2.163</v>
      </c>
      <c r="C728" s="7" t="str">
        <f>'Утв. ИП 2014-2019'!C730</f>
        <v>Монтаж узла учета на опоре № 49 ВЛ-0,4 кВ по ул. Депутатская от ТП-120 для электроснабжения части IV жилого дома по адресу: г. Липецк, ул. Депутатская, д. № 11</v>
      </c>
      <c r="D728" s="8"/>
      <c r="E728" s="8" t="str">
        <f>'Утв. ИП 2014-2019'!L730</f>
        <v>0,0 км/ 0 МВА</v>
      </c>
      <c r="F728" s="8"/>
      <c r="G728" s="8"/>
      <c r="H728" s="8"/>
      <c r="I728" s="8"/>
      <c r="J728" s="23" t="str">
        <f>'Утв. ИП 2014-2019'!Q730</f>
        <v>0,0 км/ 0 МВА</v>
      </c>
      <c r="K728" s="170"/>
      <c r="L728" s="170"/>
      <c r="M728" s="170"/>
      <c r="N728" s="170"/>
      <c r="O728" s="170"/>
      <c r="P728" s="170"/>
      <c r="Q728" s="170"/>
      <c r="R728" s="136"/>
      <c r="S728" s="137"/>
      <c r="T728" s="128"/>
      <c r="U728" s="137"/>
      <c r="V728" s="128"/>
      <c r="W728" s="49"/>
      <c r="X728" s="128"/>
      <c r="Y728" s="49"/>
      <c r="Z728" s="128"/>
      <c r="AA728" s="49"/>
      <c r="AB728" s="128"/>
      <c r="AC728" s="49"/>
      <c r="AE728" s="133"/>
    </row>
    <row r="729" spans="1:31" ht="15.75" hidden="1" outlineLevel="2" x14ac:dyDescent="0.2">
      <c r="A729" s="25">
        <f>'Утв. ИП 2014-2019'!A731</f>
        <v>0</v>
      </c>
      <c r="B729" s="6">
        <f>'Утв. ИП 2014-2019'!B731</f>
        <v>0</v>
      </c>
      <c r="C729" s="7" t="str">
        <f>'Утв. ИП 2014-2019'!C731</f>
        <v>реконструкция</v>
      </c>
      <c r="D729" s="8"/>
      <c r="E729" s="8"/>
      <c r="F729" s="8"/>
      <c r="G729" s="8"/>
      <c r="H729" s="8"/>
      <c r="I729" s="8"/>
      <c r="J729" s="23"/>
      <c r="K729" s="170"/>
      <c r="L729" s="170"/>
      <c r="M729" s="170"/>
      <c r="N729" s="170"/>
      <c r="O729" s="170"/>
      <c r="P729" s="170"/>
      <c r="Q729" s="170"/>
      <c r="R729" s="136"/>
      <c r="S729" s="137"/>
      <c r="T729" s="128"/>
      <c r="U729" s="137"/>
      <c r="V729" s="128"/>
      <c r="W729" s="49"/>
      <c r="X729" s="128"/>
      <c r="Y729" s="49"/>
      <c r="Z729" s="128"/>
      <c r="AA729" s="49"/>
      <c r="AB729" s="128"/>
      <c r="AC729" s="49"/>
      <c r="AE729" s="133"/>
    </row>
    <row r="730" spans="1:31" ht="15.75" hidden="1" outlineLevel="2" x14ac:dyDescent="0.2">
      <c r="A730" s="25">
        <f>'Утв. ИП 2014-2019'!A732</f>
        <v>0</v>
      </c>
      <c r="B730" s="6">
        <f>'Утв. ИП 2014-2019'!B732</f>
        <v>0</v>
      </c>
      <c r="C730" s="7" t="str">
        <f>'Утв. ИП 2014-2019'!C732</f>
        <v>строительство</v>
      </c>
      <c r="D730" s="8"/>
      <c r="E730" s="8"/>
      <c r="F730" s="8"/>
      <c r="G730" s="8"/>
      <c r="H730" s="8"/>
      <c r="I730" s="8"/>
      <c r="J730" s="23"/>
      <c r="K730" s="170"/>
      <c r="L730" s="170"/>
      <c r="M730" s="170"/>
      <c r="N730" s="170"/>
      <c r="O730" s="170"/>
      <c r="P730" s="170"/>
      <c r="Q730" s="170"/>
      <c r="R730" s="136"/>
      <c r="S730" s="137"/>
      <c r="T730" s="128"/>
      <c r="U730" s="137"/>
      <c r="V730" s="128"/>
      <c r="W730" s="49"/>
      <c r="X730" s="128"/>
      <c r="Y730" s="49"/>
      <c r="Z730" s="128"/>
      <c r="AA730" s="49"/>
      <c r="AB730" s="128"/>
      <c r="AC730" s="49"/>
      <c r="AE730" s="133"/>
    </row>
    <row r="731" spans="1:31" ht="51" hidden="1" outlineLevel="1" collapsed="1" x14ac:dyDescent="0.2">
      <c r="A731" s="25" t="str">
        <f>'Утв. ИП 2014-2019'!A733</f>
        <v>1.1.5.3.34/13</v>
      </c>
      <c r="B731" s="6" t="str">
        <f>'Утв. ИП 2014-2019'!B733</f>
        <v>3.2.164</v>
      </c>
      <c r="C731" s="7" t="str">
        <f>'Утв. ИП 2014-2019'!C733</f>
        <v>Монтаж узла учета на опоре ВЛ-0,4 кВ в СНТ "Кооператор", смонтированной по п. 1.1.6.3.53/10 ППР, от ТП-263 для электроснабжения садового домика и гаража по адресу: г. Липецк, СНТ "Кооператор", линия № 7, уч. № 284 а</v>
      </c>
      <c r="D731" s="8"/>
      <c r="E731" s="8" t="str">
        <f>'Утв. ИП 2014-2019'!L733</f>
        <v>0,0 км/ 0 МВА</v>
      </c>
      <c r="F731" s="8"/>
      <c r="G731" s="8"/>
      <c r="H731" s="8"/>
      <c r="I731" s="8"/>
      <c r="J731" s="23" t="str">
        <f>'Утв. ИП 2014-2019'!Q733</f>
        <v>0,0 км/ 0 МВА</v>
      </c>
      <c r="K731" s="170"/>
      <c r="L731" s="170"/>
      <c r="M731" s="170"/>
      <c r="N731" s="170"/>
      <c r="O731" s="170"/>
      <c r="P731" s="170"/>
      <c r="Q731" s="170"/>
      <c r="R731" s="136"/>
      <c r="S731" s="137"/>
      <c r="T731" s="128"/>
      <c r="U731" s="137"/>
      <c r="V731" s="128"/>
      <c r="W731" s="49"/>
      <c r="X731" s="128"/>
      <c r="Y731" s="49"/>
      <c r="Z731" s="128"/>
      <c r="AA731" s="49"/>
      <c r="AB731" s="128"/>
      <c r="AC731" s="49"/>
      <c r="AE731" s="133"/>
    </row>
    <row r="732" spans="1:31" ht="15.75" hidden="1" outlineLevel="2" x14ac:dyDescent="0.2">
      <c r="A732" s="25">
        <f>'Утв. ИП 2014-2019'!A734</f>
        <v>0</v>
      </c>
      <c r="B732" s="6">
        <f>'Утв. ИП 2014-2019'!B734</f>
        <v>0</v>
      </c>
      <c r="C732" s="7" t="str">
        <f>'Утв. ИП 2014-2019'!C734</f>
        <v>реконструкция</v>
      </c>
      <c r="D732" s="8"/>
      <c r="E732" s="8"/>
      <c r="F732" s="8"/>
      <c r="G732" s="8"/>
      <c r="H732" s="8"/>
      <c r="I732" s="8"/>
      <c r="J732" s="23"/>
      <c r="K732" s="170"/>
      <c r="L732" s="170"/>
      <c r="M732" s="170"/>
      <c r="N732" s="170"/>
      <c r="O732" s="170"/>
      <c r="P732" s="170"/>
      <c r="Q732" s="170"/>
      <c r="R732" s="136"/>
      <c r="S732" s="137"/>
      <c r="T732" s="128"/>
      <c r="U732" s="137"/>
      <c r="V732" s="128"/>
      <c r="W732" s="49"/>
      <c r="X732" s="128"/>
      <c r="Y732" s="49"/>
      <c r="Z732" s="128"/>
      <c r="AA732" s="49"/>
      <c r="AB732" s="128"/>
      <c r="AC732" s="49"/>
      <c r="AE732" s="133"/>
    </row>
    <row r="733" spans="1:31" ht="15.75" hidden="1" outlineLevel="2" x14ac:dyDescent="0.2">
      <c r="A733" s="25">
        <f>'Утв. ИП 2014-2019'!A735</f>
        <v>0</v>
      </c>
      <c r="B733" s="6">
        <f>'Утв. ИП 2014-2019'!B735</f>
        <v>0</v>
      </c>
      <c r="C733" s="7" t="str">
        <f>'Утв. ИП 2014-2019'!C735</f>
        <v>строительство</v>
      </c>
      <c r="D733" s="8"/>
      <c r="E733" s="8"/>
      <c r="F733" s="8"/>
      <c r="G733" s="8"/>
      <c r="H733" s="8"/>
      <c r="I733" s="8"/>
      <c r="J733" s="23"/>
      <c r="K733" s="170"/>
      <c r="L733" s="170"/>
      <c r="M733" s="170"/>
      <c r="N733" s="170"/>
      <c r="O733" s="170"/>
      <c r="P733" s="170"/>
      <c r="Q733" s="170"/>
      <c r="R733" s="136"/>
      <c r="S733" s="137"/>
      <c r="T733" s="128"/>
      <c r="U733" s="137"/>
      <c r="V733" s="128"/>
      <c r="W733" s="49"/>
      <c r="X733" s="128"/>
      <c r="Y733" s="49"/>
      <c r="Z733" s="128"/>
      <c r="AA733" s="49"/>
      <c r="AB733" s="128"/>
      <c r="AC733" s="49"/>
      <c r="AE733" s="133"/>
    </row>
    <row r="734" spans="1:31" ht="25.5" hidden="1" outlineLevel="1" collapsed="1" x14ac:dyDescent="0.2">
      <c r="A734" s="25" t="str">
        <f>'Утв. ИП 2014-2019'!A736</f>
        <v>1.1.5.3.36/13</v>
      </c>
      <c r="B734" s="6" t="str">
        <f>'Утв. ИП 2014-2019'!B736</f>
        <v>3.2.165</v>
      </c>
      <c r="C734" s="7" t="str">
        <f>'Утв. ИП 2014-2019'!C736</f>
        <v>Электроснабжение трансформаторной подстанции - 396 по адресу: г. Липецк, ул. Агрономическая у д/сада № 25</v>
      </c>
      <c r="D734" s="8"/>
      <c r="E734" s="8" t="str">
        <f>'Утв. ИП 2014-2019'!L736</f>
        <v>0,1 км/ 0 МВА</v>
      </c>
      <c r="F734" s="8"/>
      <c r="G734" s="8"/>
      <c r="H734" s="8"/>
      <c r="I734" s="8"/>
      <c r="J734" s="23" t="str">
        <f>'Утв. ИП 2014-2019'!Q736</f>
        <v>0,1 км/ 0 МВА</v>
      </c>
      <c r="K734" s="170"/>
      <c r="L734" s="170"/>
      <c r="M734" s="170"/>
      <c r="N734" s="170"/>
      <c r="O734" s="170"/>
      <c r="P734" s="170"/>
      <c r="Q734" s="170"/>
      <c r="R734" s="136"/>
      <c r="S734" s="137"/>
      <c r="T734" s="128"/>
      <c r="U734" s="137"/>
      <c r="V734" s="128"/>
      <c r="W734" s="49"/>
      <c r="X734" s="128"/>
      <c r="Y734" s="49"/>
      <c r="Z734" s="128"/>
      <c r="AA734" s="49"/>
      <c r="AB734" s="128"/>
      <c r="AC734" s="49"/>
      <c r="AE734" s="133"/>
    </row>
    <row r="735" spans="1:31" ht="15.75" hidden="1" outlineLevel="2" x14ac:dyDescent="0.2">
      <c r="A735" s="25">
        <f>'Утв. ИП 2014-2019'!A737</f>
        <v>0</v>
      </c>
      <c r="B735" s="6">
        <f>'Утв. ИП 2014-2019'!B737</f>
        <v>0</v>
      </c>
      <c r="C735" s="7" t="str">
        <f>'Утв. ИП 2014-2019'!C737</f>
        <v>реконструкция</v>
      </c>
      <c r="D735" s="8"/>
      <c r="E735" s="8"/>
      <c r="F735" s="8"/>
      <c r="G735" s="8"/>
      <c r="H735" s="8"/>
      <c r="I735" s="8"/>
      <c r="J735" s="23"/>
      <c r="K735" s="170"/>
      <c r="L735" s="170"/>
      <c r="M735" s="170"/>
      <c r="N735" s="170"/>
      <c r="O735" s="170"/>
      <c r="P735" s="170"/>
      <c r="Q735" s="170"/>
      <c r="R735" s="136"/>
      <c r="S735" s="137"/>
      <c r="T735" s="128"/>
      <c r="U735" s="137"/>
      <c r="V735" s="128"/>
      <c r="W735" s="49"/>
      <c r="X735" s="128"/>
      <c r="Y735" s="49"/>
      <c r="Z735" s="128"/>
      <c r="AA735" s="49"/>
      <c r="AB735" s="128"/>
      <c r="AC735" s="49"/>
      <c r="AE735" s="133"/>
    </row>
    <row r="736" spans="1:31" ht="15.75" hidden="1" outlineLevel="2" x14ac:dyDescent="0.2">
      <c r="A736" s="25">
        <f>'Утв. ИП 2014-2019'!A738</f>
        <v>0</v>
      </c>
      <c r="B736" s="6">
        <f>'Утв. ИП 2014-2019'!B738</f>
        <v>0</v>
      </c>
      <c r="C736" s="7" t="str">
        <f>'Утв. ИП 2014-2019'!C738</f>
        <v>строительство</v>
      </c>
      <c r="D736" s="8"/>
      <c r="E736" s="8"/>
      <c r="F736" s="8"/>
      <c r="G736" s="8"/>
      <c r="H736" s="8"/>
      <c r="I736" s="8"/>
      <c r="J736" s="23"/>
      <c r="K736" s="170"/>
      <c r="L736" s="170"/>
      <c r="M736" s="170"/>
      <c r="N736" s="170"/>
      <c r="O736" s="170"/>
      <c r="P736" s="170"/>
      <c r="Q736" s="170"/>
      <c r="R736" s="136"/>
      <c r="S736" s="137"/>
      <c r="T736" s="128"/>
      <c r="U736" s="137"/>
      <c r="V736" s="128"/>
      <c r="W736" s="49"/>
      <c r="X736" s="128"/>
      <c r="Y736" s="49"/>
      <c r="Z736" s="128"/>
      <c r="AA736" s="49"/>
      <c r="AB736" s="128"/>
      <c r="AC736" s="49"/>
      <c r="AE736" s="133"/>
    </row>
    <row r="737" spans="1:31" ht="38.25" hidden="1" outlineLevel="1" collapsed="1" x14ac:dyDescent="0.2">
      <c r="A737" s="25" t="str">
        <f>'Утв. ИП 2014-2019'!A739</f>
        <v>1.1.5.3.37/13</v>
      </c>
      <c r="B737" s="6" t="str">
        <f>'Утв. ИП 2014-2019'!B739</f>
        <v>3.2.166</v>
      </c>
      <c r="C737" s="7" t="str">
        <f>'Утв. ИП 2014-2019'!C739</f>
        <v>Электроснабжение стройплощадки комплексной коттеджной застройки по адресу: г. Липецк, с. Сселки, расположенный по ул. Ленина (кадастровый № 48:20:0000000:262)</v>
      </c>
      <c r="D737" s="8"/>
      <c r="E737" s="8" t="str">
        <f>'Утв. ИП 2014-2019'!L739</f>
        <v>0,5 км/ 0,25 МВА</v>
      </c>
      <c r="F737" s="8"/>
      <c r="G737" s="8"/>
      <c r="H737" s="8"/>
      <c r="I737" s="8"/>
      <c r="J737" s="23" t="str">
        <f>'Утв. ИП 2014-2019'!Q739</f>
        <v>0,5 км/ 0,25 МВА</v>
      </c>
      <c r="K737" s="170"/>
      <c r="L737" s="170"/>
      <c r="M737" s="170"/>
      <c r="N737" s="170"/>
      <c r="O737" s="170"/>
      <c r="P737" s="170"/>
      <c r="Q737" s="170"/>
      <c r="R737" s="136"/>
      <c r="S737" s="137"/>
      <c r="T737" s="128"/>
      <c r="U737" s="137"/>
      <c r="V737" s="128"/>
      <c r="W737" s="49"/>
      <c r="X737" s="128"/>
      <c r="Y737" s="49"/>
      <c r="Z737" s="128"/>
      <c r="AA737" s="49"/>
      <c r="AB737" s="128"/>
      <c r="AC737" s="49"/>
      <c r="AE737" s="133"/>
    </row>
    <row r="738" spans="1:31" ht="15.75" hidden="1" outlineLevel="2" x14ac:dyDescent="0.2">
      <c r="A738" s="25">
        <f>'Утв. ИП 2014-2019'!A740</f>
        <v>0</v>
      </c>
      <c r="B738" s="6">
        <f>'Утв. ИП 2014-2019'!B740</f>
        <v>0</v>
      </c>
      <c r="C738" s="7" t="str">
        <f>'Утв. ИП 2014-2019'!C740</f>
        <v>реконструкция</v>
      </c>
      <c r="D738" s="8"/>
      <c r="E738" s="8"/>
      <c r="F738" s="8"/>
      <c r="G738" s="8"/>
      <c r="H738" s="8"/>
      <c r="I738" s="8"/>
      <c r="J738" s="23"/>
      <c r="K738" s="170"/>
      <c r="L738" s="170"/>
      <c r="M738" s="170"/>
      <c r="N738" s="170"/>
      <c r="O738" s="170"/>
      <c r="P738" s="170"/>
      <c r="Q738" s="170"/>
      <c r="R738" s="136"/>
      <c r="S738" s="137"/>
      <c r="T738" s="128"/>
      <c r="U738" s="137"/>
      <c r="V738" s="128"/>
      <c r="W738" s="49"/>
      <c r="X738" s="128"/>
      <c r="Y738" s="49"/>
      <c r="Z738" s="128"/>
      <c r="AA738" s="49"/>
      <c r="AB738" s="128"/>
      <c r="AC738" s="49"/>
      <c r="AE738" s="133"/>
    </row>
    <row r="739" spans="1:31" ht="15.75" hidden="1" outlineLevel="2" x14ac:dyDescent="0.2">
      <c r="A739" s="25">
        <f>'Утв. ИП 2014-2019'!A741</f>
        <v>0</v>
      </c>
      <c r="B739" s="6">
        <f>'Утв. ИП 2014-2019'!B741</f>
        <v>0</v>
      </c>
      <c r="C739" s="7" t="str">
        <f>'Утв. ИП 2014-2019'!C741</f>
        <v>строительство</v>
      </c>
      <c r="D739" s="8"/>
      <c r="E739" s="8"/>
      <c r="F739" s="8"/>
      <c r="G739" s="8"/>
      <c r="H739" s="8"/>
      <c r="I739" s="8"/>
      <c r="J739" s="23"/>
      <c r="K739" s="170"/>
      <c r="L739" s="170"/>
      <c r="M739" s="170"/>
      <c r="N739" s="170"/>
      <c r="O739" s="170"/>
      <c r="P739" s="170"/>
      <c r="Q739" s="170"/>
      <c r="R739" s="136"/>
      <c r="S739" s="137"/>
      <c r="T739" s="128"/>
      <c r="U739" s="137"/>
      <c r="V739" s="128"/>
      <c r="W739" s="49"/>
      <c r="X739" s="128"/>
      <c r="Y739" s="49"/>
      <c r="Z739" s="128"/>
      <c r="AA739" s="49"/>
      <c r="AB739" s="128"/>
      <c r="AC739" s="49"/>
      <c r="AE739" s="133"/>
    </row>
    <row r="740" spans="1:31" ht="25.5" hidden="1" outlineLevel="1" collapsed="1" x14ac:dyDescent="0.2">
      <c r="A740" s="25" t="str">
        <f>'Утв. ИП 2014-2019'!A742</f>
        <v>1.1.6.3.13/10</v>
      </c>
      <c r="B740" s="6" t="str">
        <f>'Утв. ИП 2014-2019'!B742</f>
        <v>3.2.167</v>
      </c>
      <c r="C740" s="7" t="str">
        <f>'Утв. ИП 2014-2019'!C742</f>
        <v>Электроснабжение садового домика в с/т "Строитель", зем. уч. № 1941, запитанного от КТП-412; 5 кВт, 220 В, 3 категория</v>
      </c>
      <c r="D740" s="8" t="str">
        <f>'Утв. ИП 2014-2019'!K742</f>
        <v>0,1 км/ 0 МВА</v>
      </c>
      <c r="E740" s="8"/>
      <c r="F740" s="8"/>
      <c r="G740" s="8"/>
      <c r="H740" s="8"/>
      <c r="I740" s="8"/>
      <c r="J740" s="23" t="str">
        <f>'Утв. ИП 2014-2019'!Q742</f>
        <v>0,1 км/ 0 МВА</v>
      </c>
      <c r="K740" s="170"/>
      <c r="L740" s="170"/>
      <c r="M740" s="170"/>
      <c r="N740" s="170"/>
      <c r="O740" s="170"/>
      <c r="P740" s="170"/>
      <c r="Q740" s="170"/>
      <c r="R740" s="136"/>
      <c r="S740" s="137"/>
      <c r="T740" s="128"/>
      <c r="U740" s="137"/>
      <c r="V740" s="128"/>
      <c r="W740" s="49"/>
      <c r="X740" s="128"/>
      <c r="Y740" s="49"/>
      <c r="Z740" s="128"/>
      <c r="AA740" s="49"/>
      <c r="AB740" s="128"/>
      <c r="AC740" s="49"/>
      <c r="AE740" s="133"/>
    </row>
    <row r="741" spans="1:31" ht="15.75" hidden="1" outlineLevel="2" x14ac:dyDescent="0.2">
      <c r="A741" s="25">
        <f>'Утв. ИП 2014-2019'!A743</f>
        <v>0</v>
      </c>
      <c r="B741" s="6">
        <f>'Утв. ИП 2014-2019'!B743</f>
        <v>0</v>
      </c>
      <c r="C741" s="7" t="str">
        <f>'Утв. ИП 2014-2019'!C743</f>
        <v>реконструкция</v>
      </c>
      <c r="D741" s="8"/>
      <c r="E741" s="8"/>
      <c r="F741" s="8"/>
      <c r="G741" s="8"/>
      <c r="H741" s="8"/>
      <c r="I741" s="8"/>
      <c r="J741" s="23"/>
      <c r="K741" s="170"/>
      <c r="L741" s="170"/>
      <c r="M741" s="170"/>
      <c r="N741" s="170"/>
      <c r="O741" s="170"/>
      <c r="P741" s="170"/>
      <c r="Q741" s="170"/>
      <c r="R741" s="136"/>
      <c r="S741" s="137"/>
      <c r="T741" s="128"/>
      <c r="U741" s="137"/>
      <c r="V741" s="128"/>
      <c r="W741" s="49"/>
      <c r="X741" s="128"/>
      <c r="Y741" s="49"/>
      <c r="Z741" s="128"/>
      <c r="AA741" s="49"/>
      <c r="AB741" s="128"/>
      <c r="AC741" s="49"/>
      <c r="AE741" s="133"/>
    </row>
    <row r="742" spans="1:31" ht="15.75" hidden="1" outlineLevel="2" x14ac:dyDescent="0.2">
      <c r="A742" s="25">
        <f>'Утв. ИП 2014-2019'!A744</f>
        <v>0</v>
      </c>
      <c r="B742" s="6">
        <f>'Утв. ИП 2014-2019'!B744</f>
        <v>0</v>
      </c>
      <c r="C742" s="7" t="str">
        <f>'Утв. ИП 2014-2019'!C744</f>
        <v>строительство</v>
      </c>
      <c r="D742" s="8"/>
      <c r="E742" s="8"/>
      <c r="F742" s="8"/>
      <c r="G742" s="8"/>
      <c r="H742" s="8"/>
      <c r="I742" s="8"/>
      <c r="J742" s="23"/>
      <c r="K742" s="170"/>
      <c r="L742" s="170"/>
      <c r="M742" s="170"/>
      <c r="N742" s="170"/>
      <c r="O742" s="170"/>
      <c r="P742" s="170"/>
      <c r="Q742" s="170"/>
      <c r="R742" s="136"/>
      <c r="S742" s="137"/>
      <c r="T742" s="128"/>
      <c r="U742" s="137"/>
      <c r="V742" s="128"/>
      <c r="W742" s="49"/>
      <c r="X742" s="128"/>
      <c r="Y742" s="49"/>
      <c r="Z742" s="128"/>
      <c r="AA742" s="49"/>
      <c r="AB742" s="128"/>
      <c r="AC742" s="49"/>
      <c r="AE742" s="133"/>
    </row>
    <row r="743" spans="1:31" ht="51" hidden="1" outlineLevel="1" collapsed="1" x14ac:dyDescent="0.2">
      <c r="A743" s="25" t="str">
        <f>'Утв. ИП 2014-2019'!A745</f>
        <v>1.1.6.3.27/10</v>
      </c>
      <c r="B743" s="6" t="str">
        <f>'Утв. ИП 2014-2019'!B745</f>
        <v>3.2.168</v>
      </c>
      <c r="C743" s="7" t="str">
        <f>'Утв. ИП 2014-2019'!C745</f>
        <v>Электроснабжение садового домика в СНТ "Монтажник" уч. № 1107, запитанного от вновь смонтированной КТП по инвестиционной программе ОАО "ЛГЭК"; 10 кВт, 380 В, 3 категория</v>
      </c>
      <c r="D743" s="8" t="str">
        <f>'Утв. ИП 2014-2019'!K745</f>
        <v>0,1 км/ 0 МВА</v>
      </c>
      <c r="E743" s="8"/>
      <c r="F743" s="8"/>
      <c r="G743" s="8"/>
      <c r="H743" s="8"/>
      <c r="I743" s="8"/>
      <c r="J743" s="23" t="str">
        <f>'Утв. ИП 2014-2019'!Q745</f>
        <v>0,1 км/ 0 МВА</v>
      </c>
      <c r="K743" s="170"/>
      <c r="L743" s="170"/>
      <c r="M743" s="170"/>
      <c r="N743" s="170"/>
      <c r="O743" s="170"/>
      <c r="P743" s="170"/>
      <c r="Q743" s="170"/>
      <c r="R743" s="136"/>
      <c r="S743" s="137"/>
      <c r="T743" s="128"/>
      <c r="U743" s="137"/>
      <c r="V743" s="128"/>
      <c r="W743" s="49"/>
      <c r="X743" s="128"/>
      <c r="Y743" s="49"/>
      <c r="Z743" s="128"/>
      <c r="AA743" s="49"/>
      <c r="AB743" s="128"/>
      <c r="AC743" s="49"/>
      <c r="AE743" s="133"/>
    </row>
    <row r="744" spans="1:31" ht="15.75" hidden="1" outlineLevel="2" x14ac:dyDescent="0.2">
      <c r="A744" s="25">
        <f>'Утв. ИП 2014-2019'!A746</f>
        <v>0</v>
      </c>
      <c r="B744" s="6">
        <f>'Утв. ИП 2014-2019'!B746</f>
        <v>0</v>
      </c>
      <c r="C744" s="7" t="str">
        <f>'Утв. ИП 2014-2019'!C746</f>
        <v>реконструкция</v>
      </c>
      <c r="D744" s="8"/>
      <c r="E744" s="8"/>
      <c r="F744" s="8"/>
      <c r="G744" s="8"/>
      <c r="H744" s="8"/>
      <c r="I744" s="8"/>
      <c r="J744" s="23"/>
      <c r="K744" s="170"/>
      <c r="L744" s="170"/>
      <c r="M744" s="170"/>
      <c r="N744" s="170"/>
      <c r="O744" s="170"/>
      <c r="P744" s="170"/>
      <c r="Q744" s="170"/>
      <c r="R744" s="136"/>
      <c r="S744" s="137"/>
      <c r="T744" s="128"/>
      <c r="U744" s="137"/>
      <c r="V744" s="128"/>
      <c r="W744" s="49"/>
      <c r="X744" s="128"/>
      <c r="Y744" s="49"/>
      <c r="Z744" s="128"/>
      <c r="AA744" s="49"/>
      <c r="AB744" s="128"/>
      <c r="AC744" s="49"/>
      <c r="AE744" s="133"/>
    </row>
    <row r="745" spans="1:31" ht="15.75" hidden="1" outlineLevel="2" x14ac:dyDescent="0.2">
      <c r="A745" s="25">
        <f>'Утв. ИП 2014-2019'!A747</f>
        <v>0</v>
      </c>
      <c r="B745" s="6">
        <f>'Утв. ИП 2014-2019'!B747</f>
        <v>0</v>
      </c>
      <c r="C745" s="7" t="str">
        <f>'Утв. ИП 2014-2019'!C747</f>
        <v>строительство</v>
      </c>
      <c r="D745" s="8"/>
      <c r="E745" s="8"/>
      <c r="F745" s="8"/>
      <c r="G745" s="8"/>
      <c r="H745" s="8"/>
      <c r="I745" s="8"/>
      <c r="J745" s="23"/>
      <c r="K745" s="170"/>
      <c r="L745" s="170"/>
      <c r="M745" s="170"/>
      <c r="N745" s="170"/>
      <c r="O745" s="170"/>
      <c r="P745" s="170"/>
      <c r="Q745" s="170"/>
      <c r="R745" s="136"/>
      <c r="S745" s="137"/>
      <c r="T745" s="128"/>
      <c r="U745" s="137"/>
      <c r="V745" s="128"/>
      <c r="W745" s="49"/>
      <c r="X745" s="128"/>
      <c r="Y745" s="49"/>
      <c r="Z745" s="128"/>
      <c r="AA745" s="49"/>
      <c r="AB745" s="128"/>
      <c r="AC745" s="49"/>
      <c r="AE745" s="133"/>
    </row>
    <row r="746" spans="1:31" ht="51" hidden="1" outlineLevel="1" collapsed="1" x14ac:dyDescent="0.2">
      <c r="A746" s="25" t="str">
        <f>'Утв. ИП 2014-2019'!A748</f>
        <v>1.1.6.3.28/10</v>
      </c>
      <c r="B746" s="6" t="str">
        <f>'Утв. ИП 2014-2019'!B748</f>
        <v>3.2.169</v>
      </c>
      <c r="C746" s="7" t="str">
        <f>'Утв. ИП 2014-2019'!C748</f>
        <v>Электроснабжение 2/3 доли индивидуального жилого дома по ул. Ореховая, д. 37, запитанного от вновь смонтированной КТП по инвестиционной программе ОАО "ЛГЭК"; 5 кВт, 380 В, 3 категория</v>
      </c>
      <c r="D746" s="8" t="str">
        <f>'Утв. ИП 2014-2019'!K748</f>
        <v>0,05 км/ 0 МВА</v>
      </c>
      <c r="E746" s="8"/>
      <c r="F746" s="8"/>
      <c r="G746" s="8"/>
      <c r="H746" s="8"/>
      <c r="I746" s="8"/>
      <c r="J746" s="23" t="str">
        <f>'Утв. ИП 2014-2019'!Q748</f>
        <v>0,05 км/ 0 МВА</v>
      </c>
      <c r="K746" s="170"/>
      <c r="L746" s="170"/>
      <c r="M746" s="170"/>
      <c r="N746" s="170"/>
      <c r="O746" s="170"/>
      <c r="P746" s="170"/>
      <c r="Q746" s="170"/>
      <c r="R746" s="136"/>
      <c r="S746" s="137"/>
      <c r="T746" s="128"/>
      <c r="U746" s="137"/>
      <c r="V746" s="128"/>
      <c r="W746" s="49"/>
      <c r="X746" s="128"/>
      <c r="Y746" s="49"/>
      <c r="Z746" s="128"/>
      <c r="AA746" s="49"/>
      <c r="AB746" s="128"/>
      <c r="AC746" s="49"/>
      <c r="AE746" s="133"/>
    </row>
    <row r="747" spans="1:31" ht="15.75" hidden="1" outlineLevel="2" x14ac:dyDescent="0.2">
      <c r="A747" s="25">
        <f>'Утв. ИП 2014-2019'!A749</f>
        <v>0</v>
      </c>
      <c r="B747" s="6">
        <f>'Утв. ИП 2014-2019'!B749</f>
        <v>0</v>
      </c>
      <c r="C747" s="7" t="str">
        <f>'Утв. ИП 2014-2019'!C749</f>
        <v>реконструкция</v>
      </c>
      <c r="D747" s="8"/>
      <c r="E747" s="8"/>
      <c r="F747" s="8"/>
      <c r="G747" s="8"/>
      <c r="H747" s="8"/>
      <c r="I747" s="8"/>
      <c r="J747" s="23"/>
      <c r="K747" s="170"/>
      <c r="L747" s="170"/>
      <c r="M747" s="170"/>
      <c r="N747" s="170"/>
      <c r="O747" s="170"/>
      <c r="P747" s="170"/>
      <c r="Q747" s="170"/>
      <c r="R747" s="136"/>
      <c r="S747" s="137"/>
      <c r="T747" s="128"/>
      <c r="U747" s="137"/>
      <c r="V747" s="128"/>
      <c r="W747" s="49"/>
      <c r="X747" s="128"/>
      <c r="Y747" s="49"/>
      <c r="Z747" s="128"/>
      <c r="AA747" s="49"/>
      <c r="AB747" s="128"/>
      <c r="AC747" s="49"/>
      <c r="AE747" s="133"/>
    </row>
    <row r="748" spans="1:31" ht="15.75" hidden="1" outlineLevel="2" x14ac:dyDescent="0.2">
      <c r="A748" s="25">
        <f>'Утв. ИП 2014-2019'!A750</f>
        <v>0</v>
      </c>
      <c r="B748" s="6">
        <f>'Утв. ИП 2014-2019'!B750</f>
        <v>0</v>
      </c>
      <c r="C748" s="7" t="str">
        <f>'Утв. ИП 2014-2019'!C750</f>
        <v>строительство</v>
      </c>
      <c r="D748" s="8"/>
      <c r="E748" s="8"/>
      <c r="F748" s="8"/>
      <c r="G748" s="8"/>
      <c r="H748" s="8"/>
      <c r="I748" s="8"/>
      <c r="J748" s="23"/>
      <c r="K748" s="170"/>
      <c r="L748" s="170"/>
      <c r="M748" s="170"/>
      <c r="N748" s="170"/>
      <c r="O748" s="170"/>
      <c r="P748" s="170"/>
      <c r="Q748" s="170"/>
      <c r="R748" s="136"/>
      <c r="S748" s="137"/>
      <c r="T748" s="128"/>
      <c r="U748" s="137"/>
      <c r="V748" s="128"/>
      <c r="W748" s="49"/>
      <c r="X748" s="128"/>
      <c r="Y748" s="49"/>
      <c r="Z748" s="128"/>
      <c r="AA748" s="49"/>
      <c r="AB748" s="128"/>
      <c r="AC748" s="49"/>
      <c r="AE748" s="133"/>
    </row>
    <row r="749" spans="1:31" ht="76.5" hidden="1" outlineLevel="1" collapsed="1" x14ac:dyDescent="0.2">
      <c r="A749" s="25" t="str">
        <f>'Утв. ИП 2014-2019'!A751</f>
        <v>1.1.6.2.22/11</v>
      </c>
      <c r="B749" s="6" t="str">
        <f>'Утв. ИП 2014-2019'!B751</f>
        <v>3.2.170</v>
      </c>
      <c r="C749" s="7" t="str">
        <f>'Утв. ИП 2014-2019'!C751</f>
        <v xml:space="preserve">Строительство ВЛ-0,4 кВ от проектируемой КТП (код 1.1.6.3.35/10 программы перспективного развития ОАО "ЛГЭК" на 2010 год) в районе ул. Листопадная до потребителей по ул. Провинциальная для объекта технологического присоединения: "Электроснабжение жилых домов по ул. Провинциальная и ул. Кирова" </v>
      </c>
      <c r="D749" s="8" t="str">
        <f>'Утв. ИП 2014-2019'!K751</f>
        <v>0,2 км/ 0 МВА</v>
      </c>
      <c r="E749" s="8"/>
      <c r="F749" s="8"/>
      <c r="G749" s="8"/>
      <c r="H749" s="8"/>
      <c r="I749" s="8"/>
      <c r="J749" s="23" t="str">
        <f>'Утв. ИП 2014-2019'!Q751</f>
        <v>0,2 км/ 0 МВА</v>
      </c>
      <c r="K749" s="170"/>
      <c r="L749" s="170"/>
      <c r="M749" s="170"/>
      <c r="N749" s="170"/>
      <c r="O749" s="170"/>
      <c r="P749" s="170"/>
      <c r="Q749" s="170"/>
      <c r="R749" s="136"/>
      <c r="S749" s="137"/>
      <c r="T749" s="128"/>
      <c r="U749" s="137"/>
      <c r="V749" s="128"/>
      <c r="W749" s="49"/>
      <c r="X749" s="128"/>
      <c r="Y749" s="49"/>
      <c r="Z749" s="128"/>
      <c r="AA749" s="49"/>
      <c r="AB749" s="128"/>
      <c r="AC749" s="49"/>
      <c r="AE749" s="133"/>
    </row>
    <row r="750" spans="1:31" ht="15.75" hidden="1" outlineLevel="2" x14ac:dyDescent="0.2">
      <c r="A750" s="25">
        <f>'Утв. ИП 2014-2019'!A752</f>
        <v>0</v>
      </c>
      <c r="B750" s="6">
        <f>'Утв. ИП 2014-2019'!B752</f>
        <v>0</v>
      </c>
      <c r="C750" s="7" t="str">
        <f>'Утв. ИП 2014-2019'!C752</f>
        <v>реконструкция</v>
      </c>
      <c r="D750" s="8"/>
      <c r="E750" s="8"/>
      <c r="F750" s="8"/>
      <c r="G750" s="8"/>
      <c r="H750" s="8"/>
      <c r="I750" s="8"/>
      <c r="J750" s="23"/>
      <c r="K750" s="170"/>
      <c r="L750" s="170"/>
      <c r="M750" s="170"/>
      <c r="N750" s="170"/>
      <c r="O750" s="170"/>
      <c r="P750" s="170"/>
      <c r="Q750" s="170"/>
      <c r="R750" s="136"/>
      <c r="S750" s="137"/>
      <c r="T750" s="128"/>
      <c r="U750" s="137"/>
      <c r="V750" s="128"/>
      <c r="W750" s="49"/>
      <c r="X750" s="128"/>
      <c r="Y750" s="49"/>
      <c r="Z750" s="128"/>
      <c r="AA750" s="49"/>
      <c r="AB750" s="128"/>
      <c r="AC750" s="49"/>
      <c r="AE750" s="133"/>
    </row>
    <row r="751" spans="1:31" ht="15.75" hidden="1" outlineLevel="2" x14ac:dyDescent="0.2">
      <c r="A751" s="25">
        <f>'Утв. ИП 2014-2019'!A753</f>
        <v>0</v>
      </c>
      <c r="B751" s="6">
        <f>'Утв. ИП 2014-2019'!B753</f>
        <v>0</v>
      </c>
      <c r="C751" s="7" t="str">
        <f>'Утв. ИП 2014-2019'!C753</f>
        <v>строительство</v>
      </c>
      <c r="D751" s="8"/>
      <c r="E751" s="8"/>
      <c r="F751" s="8"/>
      <c r="G751" s="8"/>
      <c r="H751" s="8"/>
      <c r="I751" s="8"/>
      <c r="J751" s="23"/>
      <c r="K751" s="170"/>
      <c r="L751" s="170"/>
      <c r="M751" s="170"/>
      <c r="N751" s="170"/>
      <c r="O751" s="170"/>
      <c r="P751" s="170"/>
      <c r="Q751" s="170"/>
      <c r="R751" s="136"/>
      <c r="S751" s="137"/>
      <c r="T751" s="128"/>
      <c r="U751" s="137"/>
      <c r="V751" s="128"/>
      <c r="W751" s="49"/>
      <c r="X751" s="128"/>
      <c r="Y751" s="49"/>
      <c r="Z751" s="128"/>
      <c r="AA751" s="49"/>
      <c r="AB751" s="128"/>
      <c r="AC751" s="49"/>
      <c r="AE751" s="133"/>
    </row>
    <row r="752" spans="1:31" ht="63.75" hidden="1" outlineLevel="1" collapsed="1" x14ac:dyDescent="0.2">
      <c r="A752" s="25" t="str">
        <f>'Утв. ИП 2014-2019'!A754</f>
        <v>4.1.63/09</v>
      </c>
      <c r="B752" s="6" t="str">
        <f>'Утв. ИП 2014-2019'!B754</f>
        <v>3.2.171</v>
      </c>
      <c r="C752" s="7" t="str">
        <f>'Утв. ИП 2014-2019'!C754</f>
        <v>Строительство ВЛ-0,4 кВ от КТП-854 до уч.4 (по схеме) и д. 32 по ул. Жемчужная для объекта технологического присоединения: "Электроснабжение индивидуальных жилых домов в с. Сселки, запитанных от КТП-854; 15 кВт, 220 В, 3 категория"</v>
      </c>
      <c r="D752" s="8" t="str">
        <f>'Утв. ИП 2014-2019'!K754</f>
        <v>0,3 км/ 0 МВА</v>
      </c>
      <c r="E752" s="8"/>
      <c r="F752" s="8"/>
      <c r="G752" s="8"/>
      <c r="H752" s="8"/>
      <c r="I752" s="8"/>
      <c r="J752" s="23" t="str">
        <f>'Утв. ИП 2014-2019'!Q754</f>
        <v>0,3 км/ 0 МВА</v>
      </c>
      <c r="K752" s="170"/>
      <c r="L752" s="170"/>
      <c r="M752" s="170"/>
      <c r="N752" s="170"/>
      <c r="O752" s="170"/>
      <c r="P752" s="170"/>
      <c r="Q752" s="170"/>
      <c r="R752" s="136"/>
      <c r="S752" s="137"/>
      <c r="T752" s="128"/>
      <c r="U752" s="137"/>
      <c r="V752" s="128"/>
      <c r="W752" s="49"/>
      <c r="X752" s="128"/>
      <c r="Y752" s="49"/>
      <c r="Z752" s="128"/>
      <c r="AA752" s="49"/>
      <c r="AB752" s="128"/>
      <c r="AC752" s="49"/>
      <c r="AE752" s="133"/>
    </row>
    <row r="753" spans="1:31" ht="15.75" hidden="1" outlineLevel="2" x14ac:dyDescent="0.2">
      <c r="A753" s="25">
        <f>'Утв. ИП 2014-2019'!A755</f>
        <v>0</v>
      </c>
      <c r="B753" s="6">
        <f>'Утв. ИП 2014-2019'!B755</f>
        <v>0</v>
      </c>
      <c r="C753" s="7" t="str">
        <f>'Утв. ИП 2014-2019'!C755</f>
        <v>реконструкция</v>
      </c>
      <c r="D753" s="8"/>
      <c r="E753" s="8"/>
      <c r="F753" s="8"/>
      <c r="G753" s="8"/>
      <c r="H753" s="8"/>
      <c r="I753" s="8"/>
      <c r="J753" s="23"/>
      <c r="K753" s="170"/>
      <c r="L753" s="170"/>
      <c r="M753" s="170"/>
      <c r="N753" s="170"/>
      <c r="O753" s="170"/>
      <c r="P753" s="170"/>
      <c r="Q753" s="170"/>
      <c r="R753" s="136"/>
      <c r="S753" s="137"/>
      <c r="T753" s="128"/>
      <c r="U753" s="137"/>
      <c r="V753" s="128"/>
      <c r="W753" s="49"/>
      <c r="X753" s="128"/>
      <c r="Y753" s="49"/>
      <c r="Z753" s="128"/>
      <c r="AA753" s="49"/>
      <c r="AB753" s="128"/>
      <c r="AC753" s="49"/>
      <c r="AE753" s="133"/>
    </row>
    <row r="754" spans="1:31" ht="15.75" hidden="1" outlineLevel="2" x14ac:dyDescent="0.2">
      <c r="A754" s="25">
        <f>'Утв. ИП 2014-2019'!A756</f>
        <v>0</v>
      </c>
      <c r="B754" s="6">
        <f>'Утв. ИП 2014-2019'!B756</f>
        <v>0</v>
      </c>
      <c r="C754" s="7" t="str">
        <f>'Утв. ИП 2014-2019'!C756</f>
        <v>строительство</v>
      </c>
      <c r="D754" s="8"/>
      <c r="E754" s="8"/>
      <c r="F754" s="8"/>
      <c r="G754" s="8"/>
      <c r="H754" s="8"/>
      <c r="I754" s="8"/>
      <c r="J754" s="23"/>
      <c r="K754" s="170"/>
      <c r="L754" s="170"/>
      <c r="M754" s="170"/>
      <c r="N754" s="170"/>
      <c r="O754" s="170"/>
      <c r="P754" s="170"/>
      <c r="Q754" s="170"/>
      <c r="R754" s="136"/>
      <c r="S754" s="137"/>
      <c r="T754" s="128"/>
      <c r="U754" s="137"/>
      <c r="V754" s="128"/>
      <c r="W754" s="49"/>
      <c r="X754" s="128"/>
      <c r="Y754" s="49"/>
      <c r="Z754" s="128"/>
      <c r="AA754" s="49"/>
      <c r="AB754" s="128"/>
      <c r="AC754" s="49"/>
      <c r="AE754" s="133"/>
    </row>
    <row r="755" spans="1:31" ht="38.25" hidden="1" outlineLevel="1" collapsed="1" x14ac:dyDescent="0.2">
      <c r="A755" s="25" t="str">
        <f>'Утв. ИП 2014-2019'!A757</f>
        <v>4.1.64/09</v>
      </c>
      <c r="B755" s="6" t="str">
        <f>'Утв. ИП 2014-2019'!B757</f>
        <v>3.2.172</v>
      </c>
      <c r="C755" s="7" t="str">
        <f>'Утв. ИП 2014-2019'!C757</f>
        <v>Электроснабжение садовых домиков в с/о "Сокол-2" и жилых домов по пер. Космический, запитанных от КТП-429, 114 кВт, 220 В, 3 категория</v>
      </c>
      <c r="D755" s="8" t="str">
        <f>'Утв. ИП 2014-2019'!K757</f>
        <v>0,5 км/ 0 МВА</v>
      </c>
      <c r="E755" s="8"/>
      <c r="F755" s="8"/>
      <c r="G755" s="8"/>
      <c r="H755" s="8"/>
      <c r="I755" s="8"/>
      <c r="J755" s="23" t="str">
        <f>'Утв. ИП 2014-2019'!Q757</f>
        <v>0,5 км/ 0 МВА</v>
      </c>
      <c r="K755" s="170"/>
      <c r="L755" s="170"/>
      <c r="M755" s="170"/>
      <c r="N755" s="170"/>
      <c r="O755" s="170"/>
      <c r="P755" s="170"/>
      <c r="Q755" s="170"/>
      <c r="R755" s="136"/>
      <c r="S755" s="137"/>
      <c r="T755" s="128"/>
      <c r="U755" s="137"/>
      <c r="V755" s="128"/>
      <c r="W755" s="49"/>
      <c r="X755" s="128"/>
      <c r="Y755" s="49"/>
      <c r="Z755" s="128"/>
      <c r="AA755" s="49"/>
      <c r="AB755" s="128"/>
      <c r="AC755" s="49"/>
      <c r="AE755" s="133"/>
    </row>
    <row r="756" spans="1:31" ht="15.75" hidden="1" outlineLevel="2" x14ac:dyDescent="0.2">
      <c r="A756" s="25">
        <f>'Утв. ИП 2014-2019'!A758</f>
        <v>0</v>
      </c>
      <c r="B756" s="6">
        <f>'Утв. ИП 2014-2019'!B758</f>
        <v>0</v>
      </c>
      <c r="C756" s="7" t="str">
        <f>'Утв. ИП 2014-2019'!C758</f>
        <v>реконструкция</v>
      </c>
      <c r="D756" s="8"/>
      <c r="E756" s="8"/>
      <c r="F756" s="8"/>
      <c r="G756" s="8"/>
      <c r="H756" s="8"/>
      <c r="I756" s="8"/>
      <c r="J756" s="23"/>
      <c r="K756" s="170"/>
      <c r="L756" s="170"/>
      <c r="M756" s="170"/>
      <c r="N756" s="170"/>
      <c r="O756" s="170"/>
      <c r="P756" s="170"/>
      <c r="Q756" s="170"/>
      <c r="R756" s="136"/>
      <c r="S756" s="137"/>
      <c r="T756" s="128"/>
      <c r="U756" s="137"/>
      <c r="V756" s="128"/>
      <c r="W756" s="49"/>
      <c r="X756" s="128"/>
      <c r="Y756" s="49"/>
      <c r="Z756" s="128"/>
      <c r="AA756" s="49"/>
      <c r="AB756" s="128"/>
      <c r="AC756" s="49"/>
      <c r="AE756" s="133"/>
    </row>
    <row r="757" spans="1:31" ht="15.75" hidden="1" outlineLevel="2" x14ac:dyDescent="0.2">
      <c r="A757" s="25">
        <f>'Утв. ИП 2014-2019'!A759</f>
        <v>0</v>
      </c>
      <c r="B757" s="6">
        <f>'Утв. ИП 2014-2019'!B759</f>
        <v>0</v>
      </c>
      <c r="C757" s="7" t="str">
        <f>'Утв. ИП 2014-2019'!C759</f>
        <v>строительство</v>
      </c>
      <c r="D757" s="8"/>
      <c r="E757" s="8"/>
      <c r="F757" s="8"/>
      <c r="G757" s="8"/>
      <c r="H757" s="8"/>
      <c r="I757" s="8"/>
      <c r="J757" s="23"/>
      <c r="K757" s="170"/>
      <c r="L757" s="170"/>
      <c r="M757" s="170"/>
      <c r="N757" s="170"/>
      <c r="O757" s="170"/>
      <c r="P757" s="170"/>
      <c r="Q757" s="170"/>
      <c r="R757" s="136"/>
      <c r="S757" s="137"/>
      <c r="T757" s="128"/>
      <c r="U757" s="137"/>
      <c r="V757" s="128"/>
      <c r="W757" s="49"/>
      <c r="X757" s="128"/>
      <c r="Y757" s="49"/>
      <c r="Z757" s="128"/>
      <c r="AA757" s="49"/>
      <c r="AB757" s="128"/>
      <c r="AC757" s="49"/>
      <c r="AE757" s="133"/>
    </row>
    <row r="758" spans="1:31" ht="25.5" hidden="1" outlineLevel="1" collapsed="1" x14ac:dyDescent="0.2">
      <c r="A758" s="25" t="str">
        <f>'Утв. ИП 2014-2019'!A760</f>
        <v>1.1.6.2.12/11</v>
      </c>
      <c r="B758" s="6" t="str">
        <f>'Утв. ИП 2014-2019'!B760</f>
        <v>3.2.173</v>
      </c>
      <c r="C758" s="7" t="str">
        <f>'Утв. ИП 2014-2019'!C760</f>
        <v>Электроснабжение кирпичного садового домика с мансардой в СНТ "Липецкстрой", зем. уч. № 97, 5-ая аллея</v>
      </c>
      <c r="D758" s="8" t="str">
        <f>'Утв. ИП 2014-2019'!K760</f>
        <v>0,3 км/ 0 МВА</v>
      </c>
      <c r="E758" s="8"/>
      <c r="F758" s="8"/>
      <c r="G758" s="8"/>
      <c r="H758" s="8"/>
      <c r="I758" s="8"/>
      <c r="J758" s="23" t="str">
        <f>'Утв. ИП 2014-2019'!Q760</f>
        <v>0,3 км/ 0 МВА</v>
      </c>
      <c r="K758" s="170"/>
      <c r="L758" s="170"/>
      <c r="M758" s="170"/>
      <c r="N758" s="170"/>
      <c r="O758" s="170"/>
      <c r="P758" s="170"/>
      <c r="Q758" s="170"/>
      <c r="R758" s="136"/>
      <c r="S758" s="137"/>
      <c r="T758" s="128"/>
      <c r="U758" s="137"/>
      <c r="V758" s="128"/>
      <c r="W758" s="49"/>
      <c r="X758" s="128"/>
      <c r="Y758" s="49"/>
      <c r="Z758" s="128"/>
      <c r="AA758" s="49"/>
      <c r="AB758" s="128"/>
      <c r="AC758" s="49"/>
      <c r="AE758" s="133"/>
    </row>
    <row r="759" spans="1:31" ht="15.75" hidden="1" outlineLevel="2" x14ac:dyDescent="0.2">
      <c r="A759" s="25">
        <f>'Утв. ИП 2014-2019'!A761</f>
        <v>0</v>
      </c>
      <c r="B759" s="6">
        <f>'Утв. ИП 2014-2019'!B761</f>
        <v>0</v>
      </c>
      <c r="C759" s="7" t="str">
        <f>'Утв. ИП 2014-2019'!C761</f>
        <v>реконструкция</v>
      </c>
      <c r="D759" s="8"/>
      <c r="E759" s="8"/>
      <c r="F759" s="8"/>
      <c r="G759" s="8"/>
      <c r="H759" s="8"/>
      <c r="I759" s="8"/>
      <c r="J759" s="23"/>
      <c r="K759" s="170"/>
      <c r="L759" s="170"/>
      <c r="M759" s="170"/>
      <c r="N759" s="170"/>
      <c r="O759" s="170"/>
      <c r="P759" s="170"/>
      <c r="Q759" s="170"/>
      <c r="R759" s="136"/>
      <c r="S759" s="137"/>
      <c r="T759" s="128"/>
      <c r="U759" s="137"/>
      <c r="V759" s="128"/>
      <c r="W759" s="49"/>
      <c r="X759" s="128"/>
      <c r="Y759" s="49"/>
      <c r="Z759" s="128"/>
      <c r="AA759" s="49"/>
      <c r="AB759" s="128"/>
      <c r="AC759" s="49"/>
      <c r="AE759" s="133"/>
    </row>
    <row r="760" spans="1:31" ht="15.75" hidden="1" outlineLevel="2" x14ac:dyDescent="0.2">
      <c r="A760" s="25">
        <f>'Утв. ИП 2014-2019'!A762</f>
        <v>0</v>
      </c>
      <c r="B760" s="6">
        <f>'Утв. ИП 2014-2019'!B762</f>
        <v>0</v>
      </c>
      <c r="C760" s="7" t="str">
        <f>'Утв. ИП 2014-2019'!C762</f>
        <v>строительство</v>
      </c>
      <c r="D760" s="8"/>
      <c r="E760" s="8"/>
      <c r="F760" s="8"/>
      <c r="G760" s="8"/>
      <c r="H760" s="8"/>
      <c r="I760" s="8"/>
      <c r="J760" s="23"/>
      <c r="K760" s="170"/>
      <c r="L760" s="170"/>
      <c r="M760" s="170"/>
      <c r="N760" s="170"/>
      <c r="O760" s="170"/>
      <c r="P760" s="170"/>
      <c r="Q760" s="170"/>
      <c r="R760" s="136"/>
      <c r="S760" s="137"/>
      <c r="T760" s="128"/>
      <c r="U760" s="137"/>
      <c r="V760" s="128"/>
      <c r="W760" s="49"/>
      <c r="X760" s="128"/>
      <c r="Y760" s="49"/>
      <c r="Z760" s="128"/>
      <c r="AA760" s="49"/>
      <c r="AB760" s="128"/>
      <c r="AC760" s="49"/>
      <c r="AE760" s="133"/>
    </row>
    <row r="761" spans="1:31" ht="25.5" hidden="1" outlineLevel="1" collapsed="1" x14ac:dyDescent="0.2">
      <c r="A761" s="25" t="str">
        <f>'Утв. ИП 2014-2019'!A763</f>
        <v>1.1.5.3.38/13</v>
      </c>
      <c r="B761" s="6" t="str">
        <f>'Утв. ИП 2014-2019'!B763</f>
        <v>3.2.174</v>
      </c>
      <c r="C761" s="7" t="str">
        <f>'Утв. ИП 2014-2019'!C763</f>
        <v>Электроснабжение гаража № 29 по адресу: г. Липецк, 15 микрорайон, строение 34</v>
      </c>
      <c r="D761" s="8"/>
      <c r="E761" s="8" t="str">
        <f>'Утв. ИП 2014-2019'!L763</f>
        <v>0,2 км/ 0 МВА</v>
      </c>
      <c r="F761" s="8"/>
      <c r="G761" s="8"/>
      <c r="H761" s="8"/>
      <c r="I761" s="8"/>
      <c r="J761" s="23" t="str">
        <f>'Утв. ИП 2014-2019'!Q763</f>
        <v>0,2 км/ 0 МВА</v>
      </c>
      <c r="K761" s="170"/>
      <c r="L761" s="170"/>
      <c r="M761" s="170"/>
      <c r="N761" s="170"/>
      <c r="O761" s="170"/>
      <c r="P761" s="170"/>
      <c r="Q761" s="170"/>
      <c r="R761" s="136"/>
      <c r="S761" s="137"/>
      <c r="T761" s="128"/>
      <c r="U761" s="137"/>
      <c r="V761" s="128"/>
      <c r="W761" s="49"/>
      <c r="X761" s="128"/>
      <c r="Y761" s="49"/>
      <c r="Z761" s="128"/>
      <c r="AA761" s="49"/>
      <c r="AB761" s="128"/>
      <c r="AC761" s="49"/>
      <c r="AE761" s="133"/>
    </row>
    <row r="762" spans="1:31" ht="15.75" hidden="1" outlineLevel="2" x14ac:dyDescent="0.2">
      <c r="A762" s="25">
        <f>'Утв. ИП 2014-2019'!A764</f>
        <v>0</v>
      </c>
      <c r="B762" s="6">
        <f>'Утв. ИП 2014-2019'!B764</f>
        <v>0</v>
      </c>
      <c r="C762" s="7" t="str">
        <f>'Утв. ИП 2014-2019'!C764</f>
        <v>реконструкция</v>
      </c>
      <c r="D762" s="8"/>
      <c r="E762" s="8"/>
      <c r="F762" s="8"/>
      <c r="G762" s="8"/>
      <c r="H762" s="8"/>
      <c r="I762" s="8"/>
      <c r="J762" s="23"/>
      <c r="K762" s="170"/>
      <c r="L762" s="170"/>
      <c r="M762" s="170"/>
      <c r="N762" s="170"/>
      <c r="O762" s="170"/>
      <c r="P762" s="170"/>
      <c r="Q762" s="170"/>
      <c r="R762" s="136"/>
      <c r="S762" s="137"/>
      <c r="T762" s="128"/>
      <c r="U762" s="137"/>
      <c r="V762" s="128"/>
      <c r="W762" s="49"/>
      <c r="X762" s="128"/>
      <c r="Y762" s="49"/>
      <c r="Z762" s="128"/>
      <c r="AA762" s="49"/>
      <c r="AB762" s="128"/>
      <c r="AC762" s="49"/>
      <c r="AE762" s="133"/>
    </row>
    <row r="763" spans="1:31" ht="15.75" hidden="1" outlineLevel="2" x14ac:dyDescent="0.2">
      <c r="A763" s="25">
        <f>'Утв. ИП 2014-2019'!A765</f>
        <v>0</v>
      </c>
      <c r="B763" s="6">
        <f>'Утв. ИП 2014-2019'!B765</f>
        <v>0</v>
      </c>
      <c r="C763" s="7" t="str">
        <f>'Утв. ИП 2014-2019'!C765</f>
        <v>строительство</v>
      </c>
      <c r="D763" s="8"/>
      <c r="E763" s="8"/>
      <c r="F763" s="8"/>
      <c r="G763" s="8"/>
      <c r="H763" s="8"/>
      <c r="I763" s="8"/>
      <c r="J763" s="23"/>
      <c r="K763" s="170"/>
      <c r="L763" s="170"/>
      <c r="M763" s="170"/>
      <c r="N763" s="170"/>
      <c r="O763" s="170"/>
      <c r="P763" s="170"/>
      <c r="Q763" s="170"/>
      <c r="R763" s="136"/>
      <c r="S763" s="137"/>
      <c r="T763" s="128"/>
      <c r="U763" s="137"/>
      <c r="V763" s="128"/>
      <c r="W763" s="49"/>
      <c r="X763" s="128"/>
      <c r="Y763" s="49"/>
      <c r="Z763" s="128"/>
      <c r="AA763" s="49"/>
      <c r="AB763" s="128"/>
      <c r="AC763" s="49"/>
      <c r="AE763" s="133"/>
    </row>
    <row r="764" spans="1:31" ht="25.5" hidden="1" outlineLevel="1" collapsed="1" x14ac:dyDescent="0.2">
      <c r="A764" s="25" t="str">
        <f>'Утв. ИП 2014-2019'!A766</f>
        <v>1.1.5.3.39/13</v>
      </c>
      <c r="B764" s="6" t="str">
        <f>'Утв. ИП 2014-2019'!B766</f>
        <v>3.2.175</v>
      </c>
      <c r="C764" s="7" t="str">
        <f>'Утв. ИП 2014-2019'!C766</f>
        <v>Электроснабжение садового домика по адресу: г. Липецк, СНТ "Металлург-1", квартал II, участок № 48</v>
      </c>
      <c r="D764" s="8" t="str">
        <f>'Утв. ИП 2014-2019'!K766</f>
        <v>0,3 км/ 0,4 МВА</v>
      </c>
      <c r="E764" s="8"/>
      <c r="F764" s="8"/>
      <c r="G764" s="8"/>
      <c r="H764" s="8"/>
      <c r="I764" s="8"/>
      <c r="J764" s="23" t="str">
        <f>'Утв. ИП 2014-2019'!Q766</f>
        <v>0,3 км/ 0,4 МВА</v>
      </c>
      <c r="K764" s="170"/>
      <c r="L764" s="170"/>
      <c r="M764" s="170"/>
      <c r="N764" s="170"/>
      <c r="O764" s="170"/>
      <c r="P764" s="170"/>
      <c r="Q764" s="170"/>
      <c r="R764" s="136"/>
      <c r="S764" s="137"/>
      <c r="T764" s="128"/>
      <c r="U764" s="137"/>
      <c r="V764" s="128"/>
      <c r="W764" s="49"/>
      <c r="X764" s="128"/>
      <c r="Y764" s="49"/>
      <c r="Z764" s="128"/>
      <c r="AA764" s="49"/>
      <c r="AB764" s="128"/>
      <c r="AC764" s="49"/>
      <c r="AE764" s="133"/>
    </row>
    <row r="765" spans="1:31" ht="15.75" hidden="1" outlineLevel="2" x14ac:dyDescent="0.2">
      <c r="A765" s="25">
        <f>'Утв. ИП 2014-2019'!A767</f>
        <v>0</v>
      </c>
      <c r="B765" s="6">
        <f>'Утв. ИП 2014-2019'!B767</f>
        <v>0</v>
      </c>
      <c r="C765" s="7" t="str">
        <f>'Утв. ИП 2014-2019'!C767</f>
        <v>реконструкция</v>
      </c>
      <c r="D765" s="8"/>
      <c r="E765" s="8"/>
      <c r="F765" s="8"/>
      <c r="G765" s="8"/>
      <c r="H765" s="8"/>
      <c r="I765" s="8"/>
      <c r="J765" s="23"/>
      <c r="K765" s="170"/>
      <c r="L765" s="170"/>
      <c r="M765" s="170"/>
      <c r="N765" s="170"/>
      <c r="O765" s="170"/>
      <c r="P765" s="170"/>
      <c r="Q765" s="170"/>
      <c r="R765" s="136"/>
      <c r="S765" s="137"/>
      <c r="T765" s="128"/>
      <c r="U765" s="137"/>
      <c r="V765" s="128"/>
      <c r="W765" s="49"/>
      <c r="X765" s="128"/>
      <c r="Y765" s="49"/>
      <c r="Z765" s="128"/>
      <c r="AA765" s="49"/>
      <c r="AB765" s="128"/>
      <c r="AC765" s="49"/>
      <c r="AE765" s="133"/>
    </row>
    <row r="766" spans="1:31" ht="15.75" hidden="1" outlineLevel="2" x14ac:dyDescent="0.2">
      <c r="A766" s="25">
        <f>'Утв. ИП 2014-2019'!A768</f>
        <v>0</v>
      </c>
      <c r="B766" s="6">
        <f>'Утв. ИП 2014-2019'!B768</f>
        <v>0</v>
      </c>
      <c r="C766" s="7" t="str">
        <f>'Утв. ИП 2014-2019'!C768</f>
        <v>строительство</v>
      </c>
      <c r="D766" s="8"/>
      <c r="E766" s="8"/>
      <c r="F766" s="8"/>
      <c r="G766" s="8"/>
      <c r="H766" s="8"/>
      <c r="I766" s="8"/>
      <c r="J766" s="23"/>
      <c r="K766" s="170"/>
      <c r="L766" s="170"/>
      <c r="M766" s="170"/>
      <c r="N766" s="170"/>
      <c r="O766" s="170"/>
      <c r="P766" s="170"/>
      <c r="Q766" s="170"/>
      <c r="R766" s="136"/>
      <c r="S766" s="137"/>
      <c r="T766" s="128"/>
      <c r="U766" s="137"/>
      <c r="V766" s="128"/>
      <c r="W766" s="49"/>
      <c r="X766" s="128"/>
      <c r="Y766" s="49"/>
      <c r="Z766" s="128"/>
      <c r="AA766" s="49"/>
      <c r="AB766" s="128"/>
      <c r="AC766" s="49"/>
      <c r="AE766" s="133"/>
    </row>
    <row r="767" spans="1:31" ht="25.5" hidden="1" outlineLevel="1" collapsed="1" x14ac:dyDescent="0.2">
      <c r="A767" s="25" t="str">
        <f>'Утв. ИП 2014-2019'!A769</f>
        <v>1.1.5.3.40/13</v>
      </c>
      <c r="B767" s="6" t="str">
        <f>'Утв. ИП 2014-2019'!B769</f>
        <v>3.2.176</v>
      </c>
      <c r="C767" s="7" t="str">
        <f>'Утв. ИП 2014-2019'!C769</f>
        <v>Электроснабжение киоска № К-4500 по адресу: г. Липецк, ул. Ленинградская, пос. ЛТЗ, район магазина "Пятерочка"</v>
      </c>
      <c r="D767" s="8" t="str">
        <f>'Утв. ИП 2014-2019'!K769</f>
        <v>0,0 км/ 0 МВА</v>
      </c>
      <c r="E767" s="8"/>
      <c r="F767" s="8"/>
      <c r="G767" s="8"/>
      <c r="H767" s="8"/>
      <c r="I767" s="8"/>
      <c r="J767" s="23" t="str">
        <f>'Утв. ИП 2014-2019'!Q769</f>
        <v>0,0 км/ 0 МВА</v>
      </c>
      <c r="K767" s="170"/>
      <c r="L767" s="170"/>
      <c r="M767" s="170"/>
      <c r="N767" s="170"/>
      <c r="O767" s="170"/>
      <c r="P767" s="170"/>
      <c r="Q767" s="170"/>
      <c r="R767" s="136"/>
      <c r="S767" s="137"/>
      <c r="T767" s="128"/>
      <c r="U767" s="137"/>
      <c r="V767" s="128"/>
      <c r="W767" s="49"/>
      <c r="X767" s="128"/>
      <c r="Y767" s="49"/>
      <c r="Z767" s="128"/>
      <c r="AA767" s="49"/>
      <c r="AB767" s="128"/>
      <c r="AC767" s="49"/>
      <c r="AE767" s="133"/>
    </row>
    <row r="768" spans="1:31" ht="15.75" hidden="1" outlineLevel="2" x14ac:dyDescent="0.2">
      <c r="A768" s="25">
        <f>'Утв. ИП 2014-2019'!A770</f>
        <v>0</v>
      </c>
      <c r="B768" s="6">
        <f>'Утв. ИП 2014-2019'!B770</f>
        <v>0</v>
      </c>
      <c r="C768" s="7" t="str">
        <f>'Утв. ИП 2014-2019'!C770</f>
        <v>реконструкция</v>
      </c>
      <c r="D768" s="8"/>
      <c r="E768" s="8"/>
      <c r="F768" s="8"/>
      <c r="G768" s="8"/>
      <c r="H768" s="8"/>
      <c r="I768" s="8"/>
      <c r="J768" s="23"/>
      <c r="K768" s="170"/>
      <c r="L768" s="170"/>
      <c r="M768" s="170"/>
      <c r="N768" s="170"/>
      <c r="O768" s="170"/>
      <c r="P768" s="170"/>
      <c r="Q768" s="170"/>
      <c r="R768" s="136"/>
      <c r="S768" s="137"/>
      <c r="T768" s="128"/>
      <c r="U768" s="137"/>
      <c r="V768" s="128"/>
      <c r="W768" s="49"/>
      <c r="X768" s="128"/>
      <c r="Y768" s="49"/>
      <c r="Z768" s="128"/>
      <c r="AA768" s="49"/>
      <c r="AB768" s="128"/>
      <c r="AC768" s="49"/>
      <c r="AE768" s="133"/>
    </row>
    <row r="769" spans="1:31" ht="15.75" hidden="1" outlineLevel="2" x14ac:dyDescent="0.2">
      <c r="A769" s="25">
        <f>'Утв. ИП 2014-2019'!A771</f>
        <v>0</v>
      </c>
      <c r="B769" s="6">
        <f>'Утв. ИП 2014-2019'!B771</f>
        <v>0</v>
      </c>
      <c r="C769" s="7" t="str">
        <f>'Утв. ИП 2014-2019'!C771</f>
        <v>строительство</v>
      </c>
      <c r="D769" s="8"/>
      <c r="E769" s="8"/>
      <c r="F769" s="8"/>
      <c r="G769" s="8"/>
      <c r="H769" s="8"/>
      <c r="I769" s="8"/>
      <c r="J769" s="23"/>
      <c r="K769" s="170"/>
      <c r="L769" s="170"/>
      <c r="M769" s="170"/>
      <c r="N769" s="170"/>
      <c r="O769" s="170"/>
      <c r="P769" s="170"/>
      <c r="Q769" s="170"/>
      <c r="R769" s="136"/>
      <c r="S769" s="137"/>
      <c r="T769" s="128"/>
      <c r="U769" s="137"/>
      <c r="V769" s="128"/>
      <c r="W769" s="49"/>
      <c r="X769" s="128"/>
      <c r="Y769" s="49"/>
      <c r="Z769" s="128"/>
      <c r="AA769" s="49"/>
      <c r="AB769" s="128"/>
      <c r="AC769" s="49"/>
      <c r="AE769" s="133"/>
    </row>
    <row r="770" spans="1:31" ht="38.25" hidden="1" outlineLevel="1" collapsed="1" x14ac:dyDescent="0.2">
      <c r="A770" s="25" t="str">
        <f>'Утв. ИП 2014-2019'!A772</f>
        <v>1.1.5.3.44/13</v>
      </c>
      <c r="B770" s="6" t="str">
        <f>'Утв. ИП 2014-2019'!B772</f>
        <v>3.2.177</v>
      </c>
      <c r="C770" s="7" t="str">
        <f>'Утв. ИП 2014-2019'!C772</f>
        <v>Реконструкция ВЛ-0,4 кВ от ТП-379 по ул. Винницкая (инв. № 346034) для электроснабжения кирпичного садового домика по адресу: г. Липецк, СНТ "Металлург-2" ОАО НЛМК, уч. № 1487</v>
      </c>
      <c r="D770" s="8"/>
      <c r="E770" s="8" t="str">
        <f>'Утв. ИП 2014-2019'!L772</f>
        <v>0,1 км/ 0 МВА</v>
      </c>
      <c r="F770" s="8"/>
      <c r="G770" s="8"/>
      <c r="H770" s="8"/>
      <c r="I770" s="8"/>
      <c r="J770" s="23" t="str">
        <f>'Утв. ИП 2014-2019'!Q772</f>
        <v>0,1 км/ 0 МВА</v>
      </c>
      <c r="K770" s="170"/>
      <c r="L770" s="23" t="s">
        <v>1418</v>
      </c>
      <c r="M770" s="170"/>
      <c r="N770" s="170"/>
      <c r="O770" s="170"/>
      <c r="P770" s="170"/>
      <c r="Q770" s="23" t="s">
        <v>1418</v>
      </c>
      <c r="R770" s="136"/>
      <c r="S770" s="137"/>
      <c r="T770" s="128">
        <v>0.1</v>
      </c>
      <c r="U770" s="137"/>
      <c r="V770" s="128"/>
      <c r="W770" s="49"/>
      <c r="X770" s="128"/>
      <c r="Y770" s="49"/>
      <c r="Z770" s="128"/>
      <c r="AA770" s="49"/>
      <c r="AB770" s="128"/>
      <c r="AC770" s="49"/>
      <c r="AE770" s="133"/>
    </row>
    <row r="771" spans="1:31" ht="15.75" hidden="1" outlineLevel="2" x14ac:dyDescent="0.2">
      <c r="A771" s="25">
        <f>'Утв. ИП 2014-2019'!A773</f>
        <v>0</v>
      </c>
      <c r="B771" s="6">
        <f>'Утв. ИП 2014-2019'!B773</f>
        <v>0</v>
      </c>
      <c r="C771" s="7" t="str">
        <f>'Утв. ИП 2014-2019'!C773</f>
        <v>реконструкция</v>
      </c>
      <c r="D771" s="8"/>
      <c r="E771" s="8"/>
      <c r="F771" s="8"/>
      <c r="G771" s="8"/>
      <c r="H771" s="8"/>
      <c r="I771" s="8"/>
      <c r="J771" s="23"/>
      <c r="K771" s="170"/>
      <c r="L771" s="170"/>
      <c r="M771" s="170"/>
      <c r="N771" s="170"/>
      <c r="O771" s="170"/>
      <c r="P771" s="170"/>
      <c r="Q771" s="170"/>
      <c r="R771" s="136"/>
      <c r="S771" s="137"/>
      <c r="T771" s="128"/>
      <c r="U771" s="137"/>
      <c r="V771" s="128"/>
      <c r="W771" s="49"/>
      <c r="X771" s="128"/>
      <c r="Y771" s="49"/>
      <c r="Z771" s="128"/>
      <c r="AA771" s="49"/>
      <c r="AB771" s="128"/>
      <c r="AC771" s="49"/>
      <c r="AE771" s="133"/>
    </row>
    <row r="772" spans="1:31" ht="15.75" hidden="1" outlineLevel="2" x14ac:dyDescent="0.2">
      <c r="A772" s="25">
        <f>'Утв. ИП 2014-2019'!A774</f>
        <v>0</v>
      </c>
      <c r="B772" s="6">
        <f>'Утв. ИП 2014-2019'!B774</f>
        <v>0</v>
      </c>
      <c r="C772" s="7" t="str">
        <f>'Утв. ИП 2014-2019'!C774</f>
        <v>строительство</v>
      </c>
      <c r="D772" s="8"/>
      <c r="E772" s="8"/>
      <c r="F772" s="8"/>
      <c r="G772" s="8"/>
      <c r="H772" s="8"/>
      <c r="I772" s="8"/>
      <c r="J772" s="23"/>
      <c r="K772" s="170"/>
      <c r="L772" s="170"/>
      <c r="M772" s="170"/>
      <c r="N772" s="170"/>
      <c r="O772" s="170"/>
      <c r="P772" s="170"/>
      <c r="Q772" s="170"/>
      <c r="R772" s="136"/>
      <c r="S772" s="137"/>
      <c r="T772" s="128"/>
      <c r="U772" s="137"/>
      <c r="V772" s="128"/>
      <c r="W772" s="49"/>
      <c r="X772" s="128"/>
      <c r="Y772" s="49"/>
      <c r="Z772" s="128"/>
      <c r="AA772" s="49"/>
      <c r="AB772" s="128"/>
      <c r="AC772" s="49"/>
      <c r="AE772" s="133"/>
    </row>
    <row r="773" spans="1:31" ht="51" hidden="1" outlineLevel="1" collapsed="1" x14ac:dyDescent="0.2">
      <c r="A773" s="25" t="str">
        <f>'Утв. ИП 2014-2019'!A775</f>
        <v>1.1.5.3.45/13</v>
      </c>
      <c r="B773" s="6" t="str">
        <f>'Утв. ИП 2014-2019'!B775</f>
        <v>3.2.178</v>
      </c>
      <c r="C773" s="7" t="str">
        <f>'Утв. ИП 2014-2019'!C775</f>
        <v>Строительство КЛ-0,4 кВ от ТП-112 до жилого дома № 63 а по пр. Победы для электроснабжения магазина непродовольственных товаров по адресу: г. Липецк, пр. Победы, д. 63, корп. А, кв. 1</v>
      </c>
      <c r="D773" s="8" t="str">
        <f>'Утв. ИП 2014-2019'!K775</f>
        <v>0,15 км/ 0 МВА</v>
      </c>
      <c r="E773" s="8"/>
      <c r="F773" s="8"/>
      <c r="G773" s="8"/>
      <c r="H773" s="8"/>
      <c r="I773" s="8"/>
      <c r="J773" s="23" t="str">
        <f>'Утв. ИП 2014-2019'!Q775</f>
        <v>0,15 км/ 0 МВА</v>
      </c>
      <c r="K773" s="170"/>
      <c r="L773" s="170"/>
      <c r="M773" s="170"/>
      <c r="N773" s="170"/>
      <c r="O773" s="170"/>
      <c r="P773" s="170"/>
      <c r="Q773" s="170"/>
      <c r="R773" s="136"/>
      <c r="S773" s="137"/>
      <c r="T773" s="128"/>
      <c r="U773" s="137"/>
      <c r="V773" s="128"/>
      <c r="W773" s="49"/>
      <c r="X773" s="128"/>
      <c r="Y773" s="49"/>
      <c r="Z773" s="128"/>
      <c r="AA773" s="49"/>
      <c r="AB773" s="128"/>
      <c r="AC773" s="49"/>
      <c r="AE773" s="133"/>
    </row>
    <row r="774" spans="1:31" ht="15.75" hidden="1" outlineLevel="2" x14ac:dyDescent="0.2">
      <c r="A774" s="25">
        <f>'Утв. ИП 2014-2019'!A776</f>
        <v>0</v>
      </c>
      <c r="B774" s="6">
        <f>'Утв. ИП 2014-2019'!B776</f>
        <v>0</v>
      </c>
      <c r="C774" s="7" t="str">
        <f>'Утв. ИП 2014-2019'!C776</f>
        <v>реконструкция</v>
      </c>
      <c r="D774" s="8"/>
      <c r="E774" s="8"/>
      <c r="F774" s="8"/>
      <c r="G774" s="8"/>
      <c r="H774" s="8"/>
      <c r="I774" s="8"/>
      <c r="J774" s="23"/>
      <c r="K774" s="170"/>
      <c r="L774" s="170"/>
      <c r="M774" s="170"/>
      <c r="N774" s="170"/>
      <c r="O774" s="170"/>
      <c r="P774" s="170"/>
      <c r="Q774" s="170"/>
      <c r="R774" s="136"/>
      <c r="S774" s="137"/>
      <c r="T774" s="128"/>
      <c r="U774" s="137"/>
      <c r="V774" s="128"/>
      <c r="W774" s="49"/>
      <c r="X774" s="128"/>
      <c r="Y774" s="49"/>
      <c r="Z774" s="128"/>
      <c r="AA774" s="49"/>
      <c r="AB774" s="128"/>
      <c r="AC774" s="49"/>
      <c r="AE774" s="133"/>
    </row>
    <row r="775" spans="1:31" ht="15.75" hidden="1" outlineLevel="2" x14ac:dyDescent="0.2">
      <c r="A775" s="25">
        <f>'Утв. ИП 2014-2019'!A777</f>
        <v>0</v>
      </c>
      <c r="B775" s="6">
        <f>'Утв. ИП 2014-2019'!B777</f>
        <v>0</v>
      </c>
      <c r="C775" s="7" t="str">
        <f>'Утв. ИП 2014-2019'!C777</f>
        <v>строительство</v>
      </c>
      <c r="D775" s="8"/>
      <c r="E775" s="8"/>
      <c r="F775" s="8"/>
      <c r="G775" s="8"/>
      <c r="H775" s="8"/>
      <c r="I775" s="8"/>
      <c r="J775" s="23"/>
      <c r="K775" s="170"/>
      <c r="L775" s="170"/>
      <c r="M775" s="170"/>
      <c r="N775" s="170"/>
      <c r="O775" s="170"/>
      <c r="P775" s="170"/>
      <c r="Q775" s="170"/>
      <c r="R775" s="136"/>
      <c r="S775" s="137"/>
      <c r="T775" s="128"/>
      <c r="U775" s="137"/>
      <c r="V775" s="128"/>
      <c r="W775" s="49"/>
      <c r="X775" s="128"/>
      <c r="Y775" s="49"/>
      <c r="Z775" s="128"/>
      <c r="AA775" s="49"/>
      <c r="AB775" s="128"/>
      <c r="AC775" s="49"/>
      <c r="AE775" s="133"/>
    </row>
    <row r="776" spans="1:31" ht="38.25" hidden="1" outlineLevel="1" collapsed="1" x14ac:dyDescent="0.2">
      <c r="A776" s="25" t="str">
        <f>'Утв. ИП 2014-2019'!A778</f>
        <v>1.1.5.3.46/13</v>
      </c>
      <c r="B776" s="6" t="str">
        <f>'Утв. ИП 2014-2019'!B778</f>
        <v>3.2.179</v>
      </c>
      <c r="C776" s="7" t="str">
        <f>'Утв. ИП 2014-2019'!C778</f>
        <v>Реконструкция ВЛ-0,4 кВ в СНТ "Сокол-2", смонтированной по п. 1.1.6.3.57/10 ППР, от ТП-480 для электроснабжения садового домика по адресу: г. Липецк, СНТ "Сокол-2", зем. уч. № 892 а</v>
      </c>
      <c r="D776" s="8"/>
      <c r="E776" s="8" t="str">
        <f>'Утв. ИП 2014-2019'!L778</f>
        <v>0,3 км/ 0 МВА</v>
      </c>
      <c r="F776" s="8"/>
      <c r="G776" s="8"/>
      <c r="H776" s="8"/>
      <c r="I776" s="8"/>
      <c r="J776" s="23" t="str">
        <f>'Утв. ИП 2014-2019'!Q778</f>
        <v>0,3 км/ 0 МВА</v>
      </c>
      <c r="K776" s="170"/>
      <c r="L776" s="23" t="s">
        <v>1206</v>
      </c>
      <c r="M776" s="170"/>
      <c r="N776" s="170"/>
      <c r="O776" s="170"/>
      <c r="P776" s="170"/>
      <c r="Q776" s="23" t="s">
        <v>1206</v>
      </c>
      <c r="R776" s="136"/>
      <c r="S776" s="137"/>
      <c r="T776" s="128">
        <v>0.3</v>
      </c>
      <c r="U776" s="137"/>
      <c r="V776" s="128"/>
      <c r="W776" s="49"/>
      <c r="X776" s="128"/>
      <c r="Y776" s="49"/>
      <c r="Z776" s="128"/>
      <c r="AA776" s="49"/>
      <c r="AB776" s="128"/>
      <c r="AC776" s="49"/>
      <c r="AE776" s="133"/>
    </row>
    <row r="777" spans="1:31" ht="15.75" hidden="1" outlineLevel="2" x14ac:dyDescent="0.2">
      <c r="A777" s="25">
        <f>'Утв. ИП 2014-2019'!A779</f>
        <v>0</v>
      </c>
      <c r="B777" s="6">
        <f>'Утв. ИП 2014-2019'!B779</f>
        <v>0</v>
      </c>
      <c r="C777" s="7" t="str">
        <f>'Утв. ИП 2014-2019'!C779</f>
        <v>реконструкция</v>
      </c>
      <c r="D777" s="8"/>
      <c r="E777" s="8"/>
      <c r="F777" s="8"/>
      <c r="G777" s="8"/>
      <c r="H777" s="8"/>
      <c r="I777" s="8"/>
      <c r="J777" s="23"/>
      <c r="K777" s="170"/>
      <c r="L777" s="170"/>
      <c r="M777" s="170"/>
      <c r="N777" s="170"/>
      <c r="O777" s="170"/>
      <c r="P777" s="170"/>
      <c r="Q777" s="170"/>
      <c r="R777" s="136"/>
      <c r="S777" s="137"/>
      <c r="T777" s="128"/>
      <c r="U777" s="137"/>
      <c r="V777" s="128"/>
      <c r="W777" s="49"/>
      <c r="X777" s="128"/>
      <c r="Y777" s="49"/>
      <c r="Z777" s="128"/>
      <c r="AA777" s="49"/>
      <c r="AB777" s="128"/>
      <c r="AC777" s="49"/>
      <c r="AE777" s="133"/>
    </row>
    <row r="778" spans="1:31" ht="15.75" hidden="1" outlineLevel="2" x14ac:dyDescent="0.2">
      <c r="A778" s="25">
        <f>'Утв. ИП 2014-2019'!A780</f>
        <v>0</v>
      </c>
      <c r="B778" s="6">
        <f>'Утв. ИП 2014-2019'!B780</f>
        <v>0</v>
      </c>
      <c r="C778" s="7" t="str">
        <f>'Утв. ИП 2014-2019'!C780</f>
        <v>строительство</v>
      </c>
      <c r="D778" s="8"/>
      <c r="E778" s="8"/>
      <c r="F778" s="8"/>
      <c r="G778" s="8"/>
      <c r="H778" s="8"/>
      <c r="I778" s="8"/>
      <c r="J778" s="23"/>
      <c r="K778" s="170"/>
      <c r="L778" s="170"/>
      <c r="M778" s="170"/>
      <c r="N778" s="170"/>
      <c r="O778" s="170"/>
      <c r="P778" s="170"/>
      <c r="Q778" s="170"/>
      <c r="R778" s="136"/>
      <c r="S778" s="137"/>
      <c r="T778" s="128"/>
      <c r="U778" s="137"/>
      <c r="V778" s="128"/>
      <c r="W778" s="49"/>
      <c r="X778" s="128"/>
      <c r="Y778" s="49"/>
      <c r="Z778" s="128"/>
      <c r="AA778" s="49"/>
      <c r="AB778" s="128"/>
      <c r="AC778" s="49"/>
      <c r="AE778" s="133"/>
    </row>
    <row r="779" spans="1:31" ht="25.5" hidden="1" outlineLevel="1" collapsed="1" x14ac:dyDescent="0.2">
      <c r="A779" s="25" t="str">
        <f>'Утв. ИП 2014-2019'!A781</f>
        <v>1.1.6.2.11/12</v>
      </c>
      <c r="B779" s="6" t="str">
        <f>'Утв. ИП 2014-2019'!B781</f>
        <v>3.2.180</v>
      </c>
      <c r="C779" s="7" t="str">
        <f>'Утв. ИП 2014-2019'!C781</f>
        <v>Электроснабжение садового дома по адресу: г. Липецк, СПО "Металлург-1", I квартал, зем. уч. № 176</v>
      </c>
      <c r="D779" s="8"/>
      <c r="E779" s="8" t="str">
        <f>'Утв. ИП 2014-2019'!L781</f>
        <v>0,4 км/ 0 МВА</v>
      </c>
      <c r="F779" s="8"/>
      <c r="G779" s="8"/>
      <c r="H779" s="8"/>
      <c r="I779" s="8"/>
      <c r="J779" s="23" t="str">
        <f>'Утв. ИП 2014-2019'!Q781</f>
        <v>0,4 км/ 0 МВА</v>
      </c>
      <c r="K779" s="170"/>
      <c r="L779" s="170"/>
      <c r="M779" s="170"/>
      <c r="N779" s="170"/>
      <c r="O779" s="170"/>
      <c r="P779" s="170"/>
      <c r="Q779" s="170"/>
      <c r="R779" s="136"/>
      <c r="S779" s="137"/>
      <c r="T779" s="128"/>
      <c r="U779" s="137"/>
      <c r="V779" s="128"/>
      <c r="W779" s="49"/>
      <c r="X779" s="128"/>
      <c r="Y779" s="49"/>
      <c r="Z779" s="128"/>
      <c r="AA779" s="49"/>
      <c r="AB779" s="128"/>
      <c r="AC779" s="49"/>
      <c r="AE779" s="133"/>
    </row>
    <row r="780" spans="1:31" ht="15.75" hidden="1" outlineLevel="2" x14ac:dyDescent="0.2">
      <c r="A780" s="25">
        <f>'Утв. ИП 2014-2019'!A782</f>
        <v>0</v>
      </c>
      <c r="B780" s="6">
        <f>'Утв. ИП 2014-2019'!B782</f>
        <v>0</v>
      </c>
      <c r="C780" s="7" t="str">
        <f>'Утв. ИП 2014-2019'!C782</f>
        <v>реконструкция</v>
      </c>
      <c r="D780" s="8"/>
      <c r="E780" s="8"/>
      <c r="F780" s="8"/>
      <c r="G780" s="8"/>
      <c r="H780" s="8"/>
      <c r="I780" s="8"/>
      <c r="J780" s="23"/>
      <c r="K780" s="170"/>
      <c r="L780" s="170"/>
      <c r="M780" s="170"/>
      <c r="N780" s="170"/>
      <c r="O780" s="170"/>
      <c r="P780" s="170"/>
      <c r="Q780" s="170"/>
      <c r="R780" s="136"/>
      <c r="S780" s="137"/>
      <c r="T780" s="128"/>
      <c r="U780" s="137"/>
      <c r="V780" s="128"/>
      <c r="W780" s="49"/>
      <c r="X780" s="128"/>
      <c r="Y780" s="49"/>
      <c r="Z780" s="128"/>
      <c r="AA780" s="49"/>
      <c r="AB780" s="128"/>
      <c r="AC780" s="49"/>
      <c r="AE780" s="133"/>
    </row>
    <row r="781" spans="1:31" ht="15.75" hidden="1" outlineLevel="2" x14ac:dyDescent="0.2">
      <c r="A781" s="25">
        <f>'Утв. ИП 2014-2019'!A783</f>
        <v>0</v>
      </c>
      <c r="B781" s="6">
        <f>'Утв. ИП 2014-2019'!B783</f>
        <v>0</v>
      </c>
      <c r="C781" s="7" t="str">
        <f>'Утв. ИП 2014-2019'!C783</f>
        <v>строительство</v>
      </c>
      <c r="D781" s="8"/>
      <c r="E781" s="8"/>
      <c r="F781" s="8"/>
      <c r="G781" s="8"/>
      <c r="H781" s="8"/>
      <c r="I781" s="8"/>
      <c r="J781" s="23"/>
      <c r="K781" s="170"/>
      <c r="L781" s="170"/>
      <c r="M781" s="170"/>
      <c r="N781" s="170"/>
      <c r="O781" s="170"/>
      <c r="P781" s="170"/>
      <c r="Q781" s="170"/>
      <c r="R781" s="136"/>
      <c r="S781" s="137"/>
      <c r="T781" s="128"/>
      <c r="U781" s="137"/>
      <c r="V781" s="128"/>
      <c r="W781" s="49"/>
      <c r="X781" s="128"/>
      <c r="Y781" s="49"/>
      <c r="Z781" s="128"/>
      <c r="AA781" s="49"/>
      <c r="AB781" s="128"/>
      <c r="AC781" s="49"/>
      <c r="AE781" s="133"/>
    </row>
    <row r="782" spans="1:31" ht="25.5" hidden="1" outlineLevel="1" collapsed="1" x14ac:dyDescent="0.2">
      <c r="A782" s="25" t="str">
        <f>'Утв. ИП 2014-2019'!A784</f>
        <v>1.1.6.2.31/11</v>
      </c>
      <c r="B782" s="6" t="str">
        <f>'Утв. ИП 2014-2019'!B784</f>
        <v>3.2.181</v>
      </c>
      <c r="C782" s="7" t="str">
        <f>'Утв. ИП 2014-2019'!C784</f>
        <v>Электроснабжение здания склада по ул. Краснозаводская, строение 6/1</v>
      </c>
      <c r="D782" s="8" t="str">
        <f>'Утв. ИП 2014-2019'!K784</f>
        <v>0,0 км/ 0 МВА</v>
      </c>
      <c r="E782" s="8"/>
      <c r="F782" s="8"/>
      <c r="G782" s="8"/>
      <c r="H782" s="8"/>
      <c r="I782" s="8"/>
      <c r="J782" s="23" t="str">
        <f>'Утв. ИП 2014-2019'!Q784</f>
        <v>0,0 км/ 0 МВА</v>
      </c>
      <c r="K782" s="170"/>
      <c r="L782" s="170"/>
      <c r="M782" s="170"/>
      <c r="N782" s="170"/>
      <c r="O782" s="170"/>
      <c r="P782" s="170"/>
      <c r="Q782" s="170"/>
      <c r="R782" s="136"/>
      <c r="S782" s="137"/>
      <c r="T782" s="128"/>
      <c r="U782" s="137"/>
      <c r="V782" s="128"/>
      <c r="W782" s="49"/>
      <c r="X782" s="128"/>
      <c r="Y782" s="49"/>
      <c r="Z782" s="128"/>
      <c r="AA782" s="49"/>
      <c r="AB782" s="128"/>
      <c r="AC782" s="49"/>
      <c r="AE782" s="133"/>
    </row>
    <row r="783" spans="1:31" ht="15.75" hidden="1" outlineLevel="2" x14ac:dyDescent="0.2">
      <c r="A783" s="25">
        <f>'Утв. ИП 2014-2019'!A785</f>
        <v>0</v>
      </c>
      <c r="B783" s="6">
        <f>'Утв. ИП 2014-2019'!B785</f>
        <v>0</v>
      </c>
      <c r="C783" s="7" t="str">
        <f>'Утв. ИП 2014-2019'!C785</f>
        <v>реконструкция</v>
      </c>
      <c r="D783" s="8"/>
      <c r="E783" s="8"/>
      <c r="F783" s="8"/>
      <c r="G783" s="8"/>
      <c r="H783" s="8"/>
      <c r="I783" s="8"/>
      <c r="J783" s="23"/>
      <c r="K783" s="170"/>
      <c r="L783" s="170"/>
      <c r="M783" s="170"/>
      <c r="N783" s="170"/>
      <c r="O783" s="170"/>
      <c r="P783" s="170"/>
      <c r="Q783" s="170"/>
      <c r="R783" s="136"/>
      <c r="S783" s="137"/>
      <c r="T783" s="128"/>
      <c r="U783" s="137"/>
      <c r="V783" s="128"/>
      <c r="W783" s="49"/>
      <c r="X783" s="128"/>
      <c r="Y783" s="49"/>
      <c r="Z783" s="128"/>
      <c r="AA783" s="49"/>
      <c r="AB783" s="128"/>
      <c r="AC783" s="49"/>
      <c r="AE783" s="133"/>
    </row>
    <row r="784" spans="1:31" ht="15.75" hidden="1" outlineLevel="2" x14ac:dyDescent="0.2">
      <c r="A784" s="25">
        <f>'Утв. ИП 2014-2019'!A786</f>
        <v>0</v>
      </c>
      <c r="B784" s="6">
        <f>'Утв. ИП 2014-2019'!B786</f>
        <v>0</v>
      </c>
      <c r="C784" s="7" t="str">
        <f>'Утв. ИП 2014-2019'!C786</f>
        <v>строительство</v>
      </c>
      <c r="D784" s="8"/>
      <c r="E784" s="8"/>
      <c r="F784" s="8"/>
      <c r="G784" s="8"/>
      <c r="H784" s="8"/>
      <c r="I784" s="8"/>
      <c r="J784" s="23"/>
      <c r="K784" s="170"/>
      <c r="L784" s="170"/>
      <c r="M784" s="170"/>
      <c r="N784" s="170"/>
      <c r="O784" s="170"/>
      <c r="P784" s="170"/>
      <c r="Q784" s="170"/>
      <c r="R784" s="136"/>
      <c r="S784" s="137"/>
      <c r="T784" s="128"/>
      <c r="U784" s="137"/>
      <c r="V784" s="128"/>
      <c r="W784" s="49"/>
      <c r="X784" s="128"/>
      <c r="Y784" s="49"/>
      <c r="Z784" s="128"/>
      <c r="AA784" s="49"/>
      <c r="AB784" s="128"/>
      <c r="AC784" s="49"/>
      <c r="AE784" s="133"/>
    </row>
    <row r="785" spans="1:31" ht="38.25" hidden="1" outlineLevel="1" collapsed="1" x14ac:dyDescent="0.2">
      <c r="A785" s="25" t="str">
        <f>'Утв. ИП 2014-2019'!A787</f>
        <v>1.1.6.3.31/10</v>
      </c>
      <c r="B785" s="6" t="str">
        <f>'Утв. ИП 2014-2019'!B787</f>
        <v>3.2.182</v>
      </c>
      <c r="C785" s="7" t="str">
        <f>'Утв. ИП 2014-2019'!C787</f>
        <v>Электроснабжение жилых домов по ул. Минская, д. 45, ул. Медицинская, д. 32, д. 30, запитанных от КТП-614; 36 кВт, 380 В, 3 категория</v>
      </c>
      <c r="D785" s="8" t="str">
        <f>'Утв. ИП 2014-2019'!K787</f>
        <v>0,2 км/ 0 МВА</v>
      </c>
      <c r="E785" s="8"/>
      <c r="F785" s="8"/>
      <c r="G785" s="8"/>
      <c r="H785" s="8"/>
      <c r="I785" s="8"/>
      <c r="J785" s="23" t="str">
        <f>'Утв. ИП 2014-2019'!Q787</f>
        <v>0,2 км/ 0 МВА</v>
      </c>
      <c r="K785" s="170"/>
      <c r="L785" s="170"/>
      <c r="M785" s="170"/>
      <c r="N785" s="170"/>
      <c r="O785" s="170"/>
      <c r="P785" s="170"/>
      <c r="Q785" s="170"/>
      <c r="R785" s="136"/>
      <c r="S785" s="137"/>
      <c r="T785" s="128"/>
      <c r="U785" s="137"/>
      <c r="V785" s="128"/>
      <c r="W785" s="49"/>
      <c r="X785" s="128"/>
      <c r="Y785" s="49"/>
      <c r="Z785" s="128"/>
      <c r="AA785" s="49"/>
      <c r="AB785" s="128"/>
      <c r="AC785" s="49"/>
      <c r="AE785" s="133"/>
    </row>
    <row r="786" spans="1:31" ht="15.75" hidden="1" outlineLevel="2" x14ac:dyDescent="0.2">
      <c r="A786" s="25">
        <f>'Утв. ИП 2014-2019'!A788</f>
        <v>0</v>
      </c>
      <c r="B786" s="6">
        <f>'Утв. ИП 2014-2019'!B788</f>
        <v>0</v>
      </c>
      <c r="C786" s="7" t="str">
        <f>'Утв. ИП 2014-2019'!C788</f>
        <v>реконструкция</v>
      </c>
      <c r="D786" s="8"/>
      <c r="E786" s="8"/>
      <c r="F786" s="8"/>
      <c r="G786" s="8"/>
      <c r="H786" s="8"/>
      <c r="I786" s="8"/>
      <c r="J786" s="23"/>
      <c r="K786" s="170"/>
      <c r="L786" s="170"/>
      <c r="M786" s="170"/>
      <c r="N786" s="170"/>
      <c r="O786" s="170"/>
      <c r="P786" s="170"/>
      <c r="Q786" s="170"/>
      <c r="R786" s="136"/>
      <c r="S786" s="137"/>
      <c r="T786" s="128"/>
      <c r="U786" s="137"/>
      <c r="V786" s="128"/>
      <c r="W786" s="49"/>
      <c r="X786" s="128"/>
      <c r="Y786" s="49"/>
      <c r="Z786" s="128"/>
      <c r="AA786" s="49"/>
      <c r="AB786" s="128"/>
      <c r="AC786" s="49"/>
      <c r="AE786" s="133"/>
    </row>
    <row r="787" spans="1:31" ht="15.75" hidden="1" outlineLevel="2" x14ac:dyDescent="0.2">
      <c r="A787" s="25">
        <f>'Утв. ИП 2014-2019'!A789</f>
        <v>0</v>
      </c>
      <c r="B787" s="6">
        <f>'Утв. ИП 2014-2019'!B789</f>
        <v>0</v>
      </c>
      <c r="C787" s="7" t="str">
        <f>'Утв. ИП 2014-2019'!C789</f>
        <v>строительство</v>
      </c>
      <c r="D787" s="8"/>
      <c r="E787" s="8"/>
      <c r="F787" s="8"/>
      <c r="G787" s="8"/>
      <c r="H787" s="8"/>
      <c r="I787" s="8"/>
      <c r="J787" s="23"/>
      <c r="K787" s="170"/>
      <c r="L787" s="170"/>
      <c r="M787" s="170"/>
      <c r="N787" s="170"/>
      <c r="O787" s="170"/>
      <c r="P787" s="170"/>
      <c r="Q787" s="170"/>
      <c r="R787" s="136"/>
      <c r="S787" s="137"/>
      <c r="T787" s="128"/>
      <c r="U787" s="137"/>
      <c r="V787" s="128"/>
      <c r="W787" s="49"/>
      <c r="X787" s="128"/>
      <c r="Y787" s="49"/>
      <c r="Z787" s="128"/>
      <c r="AA787" s="49"/>
      <c r="AB787" s="128"/>
      <c r="AC787" s="49"/>
      <c r="AE787" s="133"/>
    </row>
    <row r="788" spans="1:31" ht="38.25" hidden="1" outlineLevel="1" collapsed="1" x14ac:dyDescent="0.2">
      <c r="A788" s="25" t="str">
        <f>'Утв. ИП 2014-2019'!A790</f>
        <v>1.1.6.2.108/11</v>
      </c>
      <c r="B788" s="6" t="str">
        <f>'Утв. ИП 2014-2019'!B790</f>
        <v>3.2.183</v>
      </c>
      <c r="C788" s="7" t="str">
        <f>'Утв. ИП 2014-2019'!C790</f>
        <v>Реконструкция ВЛ-0,4 кВ "ТП-312 - ДК Рудника" (инв. № 346331) для электроснабжения индивидуального жилого дома по адресу: г. Липецк, ул. Юношеская, № 4 (по схеме)</v>
      </c>
      <c r="D788" s="8" t="str">
        <f>'Утв. ИП 2014-2019'!K790</f>
        <v>0,1 км/ 0 МВА</v>
      </c>
      <c r="E788" s="8"/>
      <c r="F788" s="8"/>
      <c r="G788" s="8"/>
      <c r="H788" s="8"/>
      <c r="I788" s="8"/>
      <c r="J788" s="23" t="str">
        <f>'Утв. ИП 2014-2019'!Q790</f>
        <v>0,1 км/ 0 МВА</v>
      </c>
      <c r="K788" s="23" t="s">
        <v>1418</v>
      </c>
      <c r="L788" s="170"/>
      <c r="M788" s="170"/>
      <c r="N788" s="170"/>
      <c r="O788" s="170"/>
      <c r="P788" s="170"/>
      <c r="Q788" s="23" t="s">
        <v>1418</v>
      </c>
      <c r="R788" s="136">
        <v>0.1</v>
      </c>
      <c r="S788" s="137"/>
      <c r="T788" s="128"/>
      <c r="U788" s="137"/>
      <c r="V788" s="128"/>
      <c r="W788" s="49"/>
      <c r="X788" s="128"/>
      <c r="Y788" s="49"/>
      <c r="Z788" s="128"/>
      <c r="AA788" s="49"/>
      <c r="AB788" s="128"/>
      <c r="AC788" s="49"/>
      <c r="AE788" s="133"/>
    </row>
    <row r="789" spans="1:31" ht="15.75" hidden="1" outlineLevel="2" x14ac:dyDescent="0.2">
      <c r="A789" s="25">
        <f>'Утв. ИП 2014-2019'!A791</f>
        <v>0</v>
      </c>
      <c r="B789" s="6">
        <f>'Утв. ИП 2014-2019'!B791</f>
        <v>0</v>
      </c>
      <c r="C789" s="7" t="str">
        <f>'Утв. ИП 2014-2019'!C791</f>
        <v>реконструкция</v>
      </c>
      <c r="D789" s="8"/>
      <c r="E789" s="8"/>
      <c r="F789" s="8"/>
      <c r="G789" s="8"/>
      <c r="H789" s="8"/>
      <c r="I789" s="8"/>
      <c r="J789" s="23"/>
      <c r="K789" s="170"/>
      <c r="L789" s="170"/>
      <c r="M789" s="170"/>
      <c r="N789" s="170"/>
      <c r="O789" s="170"/>
      <c r="P789" s="170"/>
      <c r="Q789" s="170"/>
      <c r="R789" s="136"/>
      <c r="S789" s="137"/>
      <c r="T789" s="128"/>
      <c r="U789" s="137"/>
      <c r="V789" s="128"/>
      <c r="W789" s="49"/>
      <c r="X789" s="128"/>
      <c r="Y789" s="49"/>
      <c r="Z789" s="128"/>
      <c r="AA789" s="49"/>
      <c r="AB789" s="128"/>
      <c r="AC789" s="49"/>
      <c r="AE789" s="133"/>
    </row>
    <row r="790" spans="1:31" ht="15.75" hidden="1" outlineLevel="2" x14ac:dyDescent="0.2">
      <c r="A790" s="25">
        <f>'Утв. ИП 2014-2019'!A792</f>
        <v>0</v>
      </c>
      <c r="B790" s="6">
        <f>'Утв. ИП 2014-2019'!B792</f>
        <v>0</v>
      </c>
      <c r="C790" s="7" t="str">
        <f>'Утв. ИП 2014-2019'!C792</f>
        <v>строительство</v>
      </c>
      <c r="D790" s="8"/>
      <c r="E790" s="8"/>
      <c r="F790" s="8"/>
      <c r="G790" s="8"/>
      <c r="H790" s="8"/>
      <c r="I790" s="8"/>
      <c r="J790" s="23"/>
      <c r="K790" s="170"/>
      <c r="L790" s="170"/>
      <c r="M790" s="170"/>
      <c r="N790" s="170"/>
      <c r="O790" s="170"/>
      <c r="P790" s="170"/>
      <c r="Q790" s="170"/>
      <c r="R790" s="136"/>
      <c r="S790" s="137"/>
      <c r="T790" s="128"/>
      <c r="U790" s="137"/>
      <c r="V790" s="128"/>
      <c r="W790" s="49"/>
      <c r="X790" s="128"/>
      <c r="Y790" s="49"/>
      <c r="Z790" s="128"/>
      <c r="AA790" s="49"/>
      <c r="AB790" s="128"/>
      <c r="AC790" s="49"/>
      <c r="AE790" s="133"/>
    </row>
    <row r="791" spans="1:31" ht="25.5" hidden="1" outlineLevel="1" collapsed="1" x14ac:dyDescent="0.2">
      <c r="A791" s="25" t="str">
        <f>'Утв. ИП 2014-2019'!A793</f>
        <v>1.1.6.2.109/11</v>
      </c>
      <c r="B791" s="6" t="str">
        <f>'Утв. ИП 2014-2019'!B793</f>
        <v>3.2.184</v>
      </c>
      <c r="C791" s="7" t="str">
        <f>'Утв. ИП 2014-2019'!C793</f>
        <v>Электроснабжение жилого дома по адресу: г. Липецк, ул. Барабанщиков, д. 1</v>
      </c>
      <c r="D791" s="8" t="str">
        <f>'Утв. ИП 2014-2019'!K793</f>
        <v>0,2 км/ 0 МВА</v>
      </c>
      <c r="E791" s="8"/>
      <c r="F791" s="8"/>
      <c r="G791" s="8"/>
      <c r="H791" s="8"/>
      <c r="I791" s="8"/>
      <c r="J791" s="23" t="str">
        <f>'Утв. ИП 2014-2019'!Q793</f>
        <v>0,2 км/ 0 МВА</v>
      </c>
      <c r="K791" s="170"/>
      <c r="L791" s="170"/>
      <c r="M791" s="170"/>
      <c r="N791" s="170"/>
      <c r="O791" s="170"/>
      <c r="P791" s="170"/>
      <c r="Q791" s="170"/>
      <c r="R791" s="166"/>
      <c r="S791" s="167"/>
      <c r="T791" s="168"/>
      <c r="U791" s="167"/>
      <c r="V791" s="168"/>
      <c r="W791" s="169"/>
      <c r="X791" s="168"/>
      <c r="Y791" s="169"/>
      <c r="Z791" s="168"/>
      <c r="AA791" s="169"/>
      <c r="AB791" s="168"/>
      <c r="AC791" s="169"/>
      <c r="AE791" s="133"/>
    </row>
    <row r="792" spans="1:31" ht="15.75" hidden="1" outlineLevel="2" x14ac:dyDescent="0.2">
      <c r="A792" s="25">
        <f>'Утв. ИП 2014-2019'!A794</f>
        <v>0</v>
      </c>
      <c r="B792" s="6">
        <f>'Утв. ИП 2014-2019'!B794</f>
        <v>0</v>
      </c>
      <c r="C792" s="7" t="str">
        <f>'Утв. ИП 2014-2019'!C794</f>
        <v>реконструкция</v>
      </c>
      <c r="D792" s="8"/>
      <c r="E792" s="8"/>
      <c r="F792" s="8"/>
      <c r="G792" s="8"/>
      <c r="H792" s="8"/>
      <c r="I792" s="8"/>
      <c r="J792" s="23"/>
      <c r="K792" s="170"/>
      <c r="L792" s="170"/>
      <c r="M792" s="170"/>
      <c r="N792" s="170"/>
      <c r="O792" s="170"/>
      <c r="P792" s="170"/>
      <c r="Q792" s="170"/>
      <c r="R792" s="166"/>
      <c r="S792" s="167"/>
      <c r="T792" s="168"/>
      <c r="U792" s="167"/>
      <c r="V792" s="168"/>
      <c r="W792" s="169"/>
      <c r="X792" s="168"/>
      <c r="Y792" s="169"/>
      <c r="Z792" s="168"/>
      <c r="AA792" s="169"/>
      <c r="AB792" s="168"/>
      <c r="AC792" s="169"/>
      <c r="AE792" s="133"/>
    </row>
    <row r="793" spans="1:31" ht="15.75" hidden="1" outlineLevel="2" x14ac:dyDescent="0.2">
      <c r="A793" s="25">
        <f>'Утв. ИП 2014-2019'!A795</f>
        <v>0</v>
      </c>
      <c r="B793" s="6">
        <f>'Утв. ИП 2014-2019'!B795</f>
        <v>0</v>
      </c>
      <c r="C793" s="7" t="str">
        <f>'Утв. ИП 2014-2019'!C795</f>
        <v>строительство</v>
      </c>
      <c r="D793" s="8"/>
      <c r="E793" s="8"/>
      <c r="F793" s="8"/>
      <c r="G793" s="8"/>
      <c r="H793" s="8"/>
      <c r="I793" s="8"/>
      <c r="J793" s="23"/>
      <c r="K793" s="170"/>
      <c r="L793" s="170"/>
      <c r="M793" s="170"/>
      <c r="N793" s="170"/>
      <c r="O793" s="170"/>
      <c r="P793" s="170"/>
      <c r="Q793" s="170"/>
      <c r="R793" s="166"/>
      <c r="S793" s="167"/>
      <c r="T793" s="168"/>
      <c r="U793" s="167"/>
      <c r="V793" s="168"/>
      <c r="W793" s="169"/>
      <c r="X793" s="168"/>
      <c r="Y793" s="169"/>
      <c r="Z793" s="168"/>
      <c r="AA793" s="169"/>
      <c r="AB793" s="168"/>
      <c r="AC793" s="169"/>
      <c r="AE793" s="133"/>
    </row>
    <row r="794" spans="1:31" ht="38.25" hidden="1" outlineLevel="1" collapsed="1" x14ac:dyDescent="0.2">
      <c r="A794" s="25" t="str">
        <f>'Утв. ИП 2014-2019'!A796</f>
        <v>1.1.6.2.18/12</v>
      </c>
      <c r="B794" s="6" t="str">
        <f>'Утв. ИП 2014-2019'!B796</f>
        <v>3.2.185</v>
      </c>
      <c r="C794" s="7" t="str">
        <f>'Утв. ИП 2014-2019'!C796</f>
        <v>Электроснабжение кирпичного садового домика по адресу: г. Липецк, потребительское садовое общество пенсионеров и инвалидов "Речное", зем. уч. № 573 по ул. Садовый тупик</v>
      </c>
      <c r="D794" s="8"/>
      <c r="E794" s="8" t="str">
        <f>'Утв. ИП 2014-2019'!L796</f>
        <v>0,3 км/ 0 МВА</v>
      </c>
      <c r="F794" s="8"/>
      <c r="G794" s="8"/>
      <c r="H794" s="8"/>
      <c r="I794" s="8"/>
      <c r="J794" s="23" t="str">
        <f>'Утв. ИП 2014-2019'!Q796</f>
        <v>0,3 км/ 0 МВА</v>
      </c>
      <c r="K794" s="170"/>
      <c r="L794" s="170"/>
      <c r="M794" s="170"/>
      <c r="N794" s="170"/>
      <c r="O794" s="170"/>
      <c r="P794" s="170"/>
      <c r="Q794" s="170"/>
      <c r="R794" s="136"/>
      <c r="S794" s="137"/>
      <c r="T794" s="128"/>
      <c r="U794" s="137"/>
      <c r="V794" s="128"/>
      <c r="W794" s="49"/>
      <c r="X794" s="128"/>
      <c r="Y794" s="49"/>
      <c r="Z794" s="128"/>
      <c r="AA794" s="49"/>
      <c r="AB794" s="128"/>
      <c r="AC794" s="49"/>
      <c r="AE794" s="133"/>
    </row>
    <row r="795" spans="1:31" ht="15.75" hidden="1" outlineLevel="2" x14ac:dyDescent="0.2">
      <c r="A795" s="25">
        <f>'Утв. ИП 2014-2019'!A797</f>
        <v>0</v>
      </c>
      <c r="B795" s="6">
        <f>'Утв. ИП 2014-2019'!B797</f>
        <v>0</v>
      </c>
      <c r="C795" s="7" t="str">
        <f>'Утв. ИП 2014-2019'!C797</f>
        <v>реконструкция</v>
      </c>
      <c r="D795" s="8"/>
      <c r="E795" s="8"/>
      <c r="F795" s="8"/>
      <c r="G795" s="8"/>
      <c r="H795" s="8"/>
      <c r="I795" s="8"/>
      <c r="J795" s="23"/>
      <c r="K795" s="170"/>
      <c r="L795" s="170"/>
      <c r="M795" s="170"/>
      <c r="N795" s="170"/>
      <c r="O795" s="170"/>
      <c r="P795" s="170"/>
      <c r="Q795" s="170"/>
      <c r="R795" s="136"/>
      <c r="S795" s="137"/>
      <c r="T795" s="128"/>
      <c r="U795" s="137"/>
      <c r="V795" s="128"/>
      <c r="W795" s="49"/>
      <c r="X795" s="128"/>
      <c r="Y795" s="49"/>
      <c r="Z795" s="128"/>
      <c r="AA795" s="49"/>
      <c r="AB795" s="128"/>
      <c r="AC795" s="49"/>
      <c r="AE795" s="133"/>
    </row>
    <row r="796" spans="1:31" ht="15.75" hidden="1" outlineLevel="2" x14ac:dyDescent="0.2">
      <c r="A796" s="25">
        <f>'Утв. ИП 2014-2019'!A798</f>
        <v>0</v>
      </c>
      <c r="B796" s="6">
        <f>'Утв. ИП 2014-2019'!B798</f>
        <v>0</v>
      </c>
      <c r="C796" s="7" t="str">
        <f>'Утв. ИП 2014-2019'!C798</f>
        <v>строительство</v>
      </c>
      <c r="D796" s="8"/>
      <c r="E796" s="8"/>
      <c r="F796" s="8"/>
      <c r="G796" s="8"/>
      <c r="H796" s="8"/>
      <c r="I796" s="8"/>
      <c r="J796" s="23"/>
      <c r="K796" s="170"/>
      <c r="L796" s="170"/>
      <c r="M796" s="170"/>
      <c r="N796" s="170"/>
      <c r="O796" s="170"/>
      <c r="P796" s="170"/>
      <c r="Q796" s="170"/>
      <c r="R796" s="136"/>
      <c r="S796" s="137"/>
      <c r="T796" s="128"/>
      <c r="U796" s="137"/>
      <c r="V796" s="128"/>
      <c r="W796" s="49"/>
      <c r="X796" s="128"/>
      <c r="Y796" s="49"/>
      <c r="Z796" s="128"/>
      <c r="AA796" s="49"/>
      <c r="AB796" s="128"/>
      <c r="AC796" s="49"/>
      <c r="AE796" s="133"/>
    </row>
    <row r="797" spans="1:31" ht="76.5" hidden="1" outlineLevel="1" collapsed="1" x14ac:dyDescent="0.2">
      <c r="A797" s="25" t="str">
        <f>'Утв. ИП 2014-2019'!A799</f>
        <v>1.1.6.2.23/11</v>
      </c>
      <c r="B797" s="6" t="str">
        <f>'Утв. ИП 2014-2019'!B799</f>
        <v>3.2.186</v>
      </c>
      <c r="C797" s="7" t="str">
        <f>'Утв. ИП 2014-2019'!C799</f>
        <v>Строительство ВЛ-0,4 кВ от жилого дома № 45 по ул. Московская до светофорного объекта по ул. Московская -пр. Поперечный для объекта технологического присоединения: "Электроснабжение светофорного объекта по ул. Московская -пр. Поперечный, запитанного от ТП-255; 2 кВт, 220 В, 3 категория"</v>
      </c>
      <c r="D797" s="8" t="str">
        <f>'Утв. ИП 2014-2019'!K799</f>
        <v>0,3 км/ 0 МВА</v>
      </c>
      <c r="E797" s="8"/>
      <c r="F797" s="8"/>
      <c r="G797" s="8"/>
      <c r="H797" s="8"/>
      <c r="I797" s="8"/>
      <c r="J797" s="23" t="str">
        <f>'Утв. ИП 2014-2019'!Q799</f>
        <v>0,3 км/ 0 МВА</v>
      </c>
      <c r="K797" s="170"/>
      <c r="L797" s="170"/>
      <c r="M797" s="170"/>
      <c r="N797" s="170"/>
      <c r="O797" s="170"/>
      <c r="P797" s="170"/>
      <c r="Q797" s="170"/>
      <c r="R797" s="136"/>
      <c r="S797" s="137"/>
      <c r="T797" s="128"/>
      <c r="U797" s="137"/>
      <c r="V797" s="128"/>
      <c r="W797" s="49"/>
      <c r="X797" s="128"/>
      <c r="Y797" s="49"/>
      <c r="Z797" s="128"/>
      <c r="AA797" s="49"/>
      <c r="AB797" s="128"/>
      <c r="AC797" s="49"/>
      <c r="AE797" s="133"/>
    </row>
    <row r="798" spans="1:31" ht="15.75" hidden="1" outlineLevel="2" x14ac:dyDescent="0.2">
      <c r="A798" s="25">
        <f>'Утв. ИП 2014-2019'!A800</f>
        <v>0</v>
      </c>
      <c r="B798" s="6">
        <f>'Утв. ИП 2014-2019'!B800</f>
        <v>0</v>
      </c>
      <c r="C798" s="7" t="str">
        <f>'Утв. ИП 2014-2019'!C800</f>
        <v>реконструкция</v>
      </c>
      <c r="D798" s="8"/>
      <c r="E798" s="8"/>
      <c r="F798" s="8"/>
      <c r="G798" s="8"/>
      <c r="H798" s="8"/>
      <c r="I798" s="8"/>
      <c r="J798" s="23"/>
      <c r="K798" s="170"/>
      <c r="L798" s="170"/>
      <c r="M798" s="170"/>
      <c r="N798" s="170"/>
      <c r="O798" s="170"/>
      <c r="P798" s="170"/>
      <c r="Q798" s="170"/>
      <c r="R798" s="136"/>
      <c r="S798" s="137"/>
      <c r="T798" s="128"/>
      <c r="U798" s="137"/>
      <c r="V798" s="128"/>
      <c r="W798" s="49"/>
      <c r="X798" s="128"/>
      <c r="Y798" s="49"/>
      <c r="Z798" s="128"/>
      <c r="AA798" s="49"/>
      <c r="AB798" s="128"/>
      <c r="AC798" s="49"/>
      <c r="AE798" s="133"/>
    </row>
    <row r="799" spans="1:31" ht="15.75" hidden="1" outlineLevel="2" x14ac:dyDescent="0.2">
      <c r="A799" s="25">
        <f>'Утв. ИП 2014-2019'!A801</f>
        <v>0</v>
      </c>
      <c r="B799" s="6">
        <f>'Утв. ИП 2014-2019'!B801</f>
        <v>0</v>
      </c>
      <c r="C799" s="7" t="str">
        <f>'Утв. ИП 2014-2019'!C801</f>
        <v>строительство</v>
      </c>
      <c r="D799" s="8"/>
      <c r="E799" s="8"/>
      <c r="F799" s="8"/>
      <c r="G799" s="8"/>
      <c r="H799" s="8"/>
      <c r="I799" s="8"/>
      <c r="J799" s="23"/>
      <c r="K799" s="170"/>
      <c r="L799" s="170"/>
      <c r="M799" s="170"/>
      <c r="N799" s="170"/>
      <c r="O799" s="170"/>
      <c r="P799" s="170"/>
      <c r="Q799" s="170"/>
      <c r="R799" s="136"/>
      <c r="S799" s="137"/>
      <c r="T799" s="128"/>
      <c r="U799" s="137"/>
      <c r="V799" s="128"/>
      <c r="W799" s="49"/>
      <c r="X799" s="128"/>
      <c r="Y799" s="49"/>
      <c r="Z799" s="128"/>
      <c r="AA799" s="49"/>
      <c r="AB799" s="128"/>
      <c r="AC799" s="49"/>
      <c r="AE799" s="133"/>
    </row>
    <row r="800" spans="1:31" ht="25.5" hidden="1" outlineLevel="1" collapsed="1" x14ac:dyDescent="0.2">
      <c r="A800" s="25" t="str">
        <f>'Утв. ИП 2014-2019'!A802</f>
        <v>1.1.6.2.26/12</v>
      </c>
      <c r="B800" s="6" t="str">
        <f>'Утв. ИП 2014-2019'!B802</f>
        <v>3.2.187</v>
      </c>
      <c r="C800" s="7" t="str">
        <f>'Утв. ИП 2014-2019'!C802</f>
        <v>Электроснабжение садовых домиков по адресу: г. Липецк, с/о "Сокол-2", зем. уч. № 1143, 1138</v>
      </c>
      <c r="D800" s="8" t="str">
        <f>'Утв. ИП 2014-2019'!K802</f>
        <v>0,1 км/ 0 МВА</v>
      </c>
      <c r="E800" s="8"/>
      <c r="F800" s="8"/>
      <c r="G800" s="8"/>
      <c r="H800" s="8"/>
      <c r="I800" s="8"/>
      <c r="J800" s="23" t="str">
        <f>'Утв. ИП 2014-2019'!Q802</f>
        <v>0,1 км/ 0 МВА</v>
      </c>
      <c r="K800" s="170"/>
      <c r="L800" s="170"/>
      <c r="M800" s="170"/>
      <c r="N800" s="170"/>
      <c r="O800" s="170"/>
      <c r="P800" s="170"/>
      <c r="Q800" s="170"/>
      <c r="R800" s="136"/>
      <c r="S800" s="137"/>
      <c r="T800" s="128"/>
      <c r="U800" s="137"/>
      <c r="V800" s="128"/>
      <c r="W800" s="49"/>
      <c r="X800" s="128"/>
      <c r="Y800" s="49"/>
      <c r="Z800" s="128"/>
      <c r="AA800" s="49"/>
      <c r="AB800" s="128"/>
      <c r="AC800" s="49"/>
      <c r="AE800" s="133"/>
    </row>
    <row r="801" spans="1:31" ht="15.75" hidden="1" outlineLevel="2" x14ac:dyDescent="0.2">
      <c r="A801" s="25">
        <f>'Утв. ИП 2014-2019'!A803</f>
        <v>0</v>
      </c>
      <c r="B801" s="6">
        <f>'Утв. ИП 2014-2019'!B803</f>
        <v>0</v>
      </c>
      <c r="C801" s="7" t="str">
        <f>'Утв. ИП 2014-2019'!C803</f>
        <v>реконструкция</v>
      </c>
      <c r="D801" s="8"/>
      <c r="E801" s="8"/>
      <c r="F801" s="8"/>
      <c r="G801" s="8"/>
      <c r="H801" s="8"/>
      <c r="I801" s="8"/>
      <c r="J801" s="23"/>
      <c r="K801" s="170"/>
      <c r="L801" s="170"/>
      <c r="M801" s="170"/>
      <c r="N801" s="170"/>
      <c r="O801" s="170"/>
      <c r="P801" s="170"/>
      <c r="Q801" s="170"/>
      <c r="R801" s="136"/>
      <c r="S801" s="137"/>
      <c r="T801" s="128"/>
      <c r="U801" s="137"/>
      <c r="V801" s="128"/>
      <c r="W801" s="49"/>
      <c r="X801" s="128"/>
      <c r="Y801" s="49"/>
      <c r="Z801" s="128"/>
      <c r="AA801" s="49"/>
      <c r="AB801" s="128"/>
      <c r="AC801" s="49"/>
      <c r="AE801" s="133"/>
    </row>
    <row r="802" spans="1:31" ht="15.75" hidden="1" outlineLevel="2" x14ac:dyDescent="0.2">
      <c r="A802" s="25">
        <f>'Утв. ИП 2014-2019'!A804</f>
        <v>0</v>
      </c>
      <c r="B802" s="6">
        <f>'Утв. ИП 2014-2019'!B804</f>
        <v>0</v>
      </c>
      <c r="C802" s="7" t="str">
        <f>'Утв. ИП 2014-2019'!C804</f>
        <v>строительство</v>
      </c>
      <c r="D802" s="8"/>
      <c r="E802" s="8"/>
      <c r="F802" s="8"/>
      <c r="G802" s="8"/>
      <c r="H802" s="8"/>
      <c r="I802" s="8"/>
      <c r="J802" s="23"/>
      <c r="K802" s="170"/>
      <c r="L802" s="170"/>
      <c r="M802" s="170"/>
      <c r="N802" s="170"/>
      <c r="O802" s="170"/>
      <c r="P802" s="170"/>
      <c r="Q802" s="170"/>
      <c r="R802" s="136"/>
      <c r="S802" s="137"/>
      <c r="T802" s="128"/>
      <c r="U802" s="137"/>
      <c r="V802" s="128"/>
      <c r="W802" s="49"/>
      <c r="X802" s="128"/>
      <c r="Y802" s="49"/>
      <c r="Z802" s="128"/>
      <c r="AA802" s="49"/>
      <c r="AB802" s="128"/>
      <c r="AC802" s="49"/>
      <c r="AE802" s="133"/>
    </row>
    <row r="803" spans="1:31" ht="25.5" hidden="1" outlineLevel="1" collapsed="1" x14ac:dyDescent="0.2">
      <c r="A803" s="25" t="str">
        <f>'Утв. ИП 2014-2019'!A805</f>
        <v>1.1.6.2.27/12</v>
      </c>
      <c r="B803" s="6" t="str">
        <f>'Утв. ИП 2014-2019'!B805</f>
        <v>3.2.188</v>
      </c>
      <c r="C803" s="7" t="str">
        <f>'Утв. ИП 2014-2019'!C805</f>
        <v>Электроснабжение садового домика по адресу: г. Липецк, СНТ "Металлург-1", квартал IIIа, зем. уч. № 2</v>
      </c>
      <c r="D803" s="8" t="str">
        <f>'Утв. ИП 2014-2019'!K805</f>
        <v>0,2 км/ 0 МВА</v>
      </c>
      <c r="E803" s="8"/>
      <c r="F803" s="8"/>
      <c r="G803" s="8"/>
      <c r="H803" s="8"/>
      <c r="I803" s="8"/>
      <c r="J803" s="23" t="str">
        <f>'Утв. ИП 2014-2019'!Q805</f>
        <v>0,2 км/ 0 МВА</v>
      </c>
      <c r="K803" s="170"/>
      <c r="L803" s="170"/>
      <c r="M803" s="170"/>
      <c r="N803" s="170"/>
      <c r="O803" s="170"/>
      <c r="P803" s="170"/>
      <c r="Q803" s="170"/>
      <c r="R803" s="136"/>
      <c r="S803" s="137"/>
      <c r="T803" s="128"/>
      <c r="U803" s="137"/>
      <c r="V803" s="128"/>
      <c r="W803" s="49"/>
      <c r="X803" s="128"/>
      <c r="Y803" s="49"/>
      <c r="Z803" s="128"/>
      <c r="AA803" s="49"/>
      <c r="AB803" s="128"/>
      <c r="AC803" s="49"/>
      <c r="AE803" s="133"/>
    </row>
    <row r="804" spans="1:31" ht="15.75" hidden="1" outlineLevel="2" x14ac:dyDescent="0.2">
      <c r="A804" s="25">
        <f>'Утв. ИП 2014-2019'!A806</f>
        <v>0</v>
      </c>
      <c r="B804" s="6">
        <f>'Утв. ИП 2014-2019'!B806</f>
        <v>0</v>
      </c>
      <c r="C804" s="7" t="str">
        <f>'Утв. ИП 2014-2019'!C806</f>
        <v>реконструкция</v>
      </c>
      <c r="D804" s="8"/>
      <c r="E804" s="8"/>
      <c r="F804" s="8"/>
      <c r="G804" s="8"/>
      <c r="H804" s="8"/>
      <c r="I804" s="8"/>
      <c r="J804" s="23"/>
      <c r="K804" s="170"/>
      <c r="L804" s="170"/>
      <c r="M804" s="170"/>
      <c r="N804" s="170"/>
      <c r="O804" s="170"/>
      <c r="P804" s="170"/>
      <c r="Q804" s="170"/>
      <c r="R804" s="136"/>
      <c r="S804" s="137"/>
      <c r="T804" s="128"/>
      <c r="U804" s="137"/>
      <c r="V804" s="128"/>
      <c r="W804" s="49"/>
      <c r="X804" s="128"/>
      <c r="Y804" s="49"/>
      <c r="Z804" s="128"/>
      <c r="AA804" s="49"/>
      <c r="AB804" s="128"/>
      <c r="AC804" s="49"/>
      <c r="AE804" s="133"/>
    </row>
    <row r="805" spans="1:31" ht="15.75" hidden="1" outlineLevel="2" x14ac:dyDescent="0.2">
      <c r="A805" s="25">
        <f>'Утв. ИП 2014-2019'!A807</f>
        <v>0</v>
      </c>
      <c r="B805" s="6">
        <f>'Утв. ИП 2014-2019'!B807</f>
        <v>0</v>
      </c>
      <c r="C805" s="7" t="str">
        <f>'Утв. ИП 2014-2019'!C807</f>
        <v>строительство</v>
      </c>
      <c r="D805" s="8"/>
      <c r="E805" s="8"/>
      <c r="F805" s="8"/>
      <c r="G805" s="8"/>
      <c r="H805" s="8"/>
      <c r="I805" s="8"/>
      <c r="J805" s="23"/>
      <c r="K805" s="170"/>
      <c r="L805" s="170"/>
      <c r="M805" s="170"/>
      <c r="N805" s="170"/>
      <c r="O805" s="170"/>
      <c r="P805" s="170"/>
      <c r="Q805" s="170"/>
      <c r="R805" s="136"/>
      <c r="S805" s="137"/>
      <c r="T805" s="128"/>
      <c r="U805" s="137"/>
      <c r="V805" s="128"/>
      <c r="W805" s="49"/>
      <c r="X805" s="128"/>
      <c r="Y805" s="49"/>
      <c r="Z805" s="128"/>
      <c r="AA805" s="49"/>
      <c r="AB805" s="128"/>
      <c r="AC805" s="49"/>
      <c r="AE805" s="133"/>
    </row>
    <row r="806" spans="1:31" ht="25.5" hidden="1" outlineLevel="1" collapsed="1" x14ac:dyDescent="0.2">
      <c r="A806" s="25" t="str">
        <f>'Утв. ИП 2014-2019'!A808</f>
        <v>1.1.6.2.30/12</v>
      </c>
      <c r="B806" s="6" t="str">
        <f>'Утв. ИП 2014-2019'!B808</f>
        <v>3.2.189</v>
      </c>
      <c r="C806" s="7" t="str">
        <f>'Утв. ИП 2014-2019'!C808</f>
        <v>Электроснабжение помещения № 15 по адресу: г. Липецк, ул. Космонавтов, д. 43</v>
      </c>
      <c r="D806" s="8" t="str">
        <f>'Утв. ИП 2014-2019'!K808</f>
        <v>0 км/ 0 МВА</v>
      </c>
      <c r="E806" s="8"/>
      <c r="F806" s="8"/>
      <c r="G806" s="8"/>
      <c r="H806" s="8"/>
      <c r="I806" s="8"/>
      <c r="J806" s="23" t="str">
        <f>'Утв. ИП 2014-2019'!Q808</f>
        <v>0 км/ 0 МВА</v>
      </c>
      <c r="K806" s="170"/>
      <c r="L806" s="170"/>
      <c r="M806" s="170"/>
      <c r="N806" s="170"/>
      <c r="O806" s="170"/>
      <c r="P806" s="170"/>
      <c r="Q806" s="170"/>
      <c r="R806" s="136"/>
      <c r="S806" s="137"/>
      <c r="T806" s="128"/>
      <c r="U806" s="137"/>
      <c r="V806" s="128"/>
      <c r="W806" s="49"/>
      <c r="X806" s="128"/>
      <c r="Y806" s="49"/>
      <c r="Z806" s="128"/>
      <c r="AA806" s="49"/>
      <c r="AB806" s="128"/>
      <c r="AC806" s="49"/>
      <c r="AE806" s="133"/>
    </row>
    <row r="807" spans="1:31" ht="15.75" hidden="1" outlineLevel="2" x14ac:dyDescent="0.2">
      <c r="A807" s="25">
        <f>'Утв. ИП 2014-2019'!A809</f>
        <v>0</v>
      </c>
      <c r="B807" s="6">
        <f>'Утв. ИП 2014-2019'!B809</f>
        <v>0</v>
      </c>
      <c r="C807" s="7" t="str">
        <f>'Утв. ИП 2014-2019'!C809</f>
        <v>реконструкция</v>
      </c>
      <c r="D807" s="8"/>
      <c r="E807" s="8"/>
      <c r="F807" s="8"/>
      <c r="G807" s="8"/>
      <c r="H807" s="8"/>
      <c r="I807" s="8"/>
      <c r="J807" s="23"/>
      <c r="K807" s="170"/>
      <c r="L807" s="170"/>
      <c r="M807" s="170"/>
      <c r="N807" s="170"/>
      <c r="O807" s="170"/>
      <c r="P807" s="170"/>
      <c r="Q807" s="170"/>
      <c r="R807" s="136"/>
      <c r="S807" s="137"/>
      <c r="T807" s="128"/>
      <c r="U807" s="137"/>
      <c r="V807" s="128"/>
      <c r="W807" s="49"/>
      <c r="X807" s="128"/>
      <c r="Y807" s="49"/>
      <c r="Z807" s="128"/>
      <c r="AA807" s="49"/>
      <c r="AB807" s="128"/>
      <c r="AC807" s="49"/>
      <c r="AE807" s="133"/>
    </row>
    <row r="808" spans="1:31" ht="15.75" hidden="1" outlineLevel="2" x14ac:dyDescent="0.2">
      <c r="A808" s="25">
        <f>'Утв. ИП 2014-2019'!A810</f>
        <v>0</v>
      </c>
      <c r="B808" s="6">
        <f>'Утв. ИП 2014-2019'!B810</f>
        <v>0</v>
      </c>
      <c r="C808" s="7" t="str">
        <f>'Утв. ИП 2014-2019'!C810</f>
        <v>строительство</v>
      </c>
      <c r="D808" s="8"/>
      <c r="E808" s="8"/>
      <c r="F808" s="8"/>
      <c r="G808" s="8"/>
      <c r="H808" s="8"/>
      <c r="I808" s="8"/>
      <c r="J808" s="23"/>
      <c r="K808" s="170"/>
      <c r="L808" s="170"/>
      <c r="M808" s="170"/>
      <c r="N808" s="170"/>
      <c r="O808" s="170"/>
      <c r="P808" s="170"/>
      <c r="Q808" s="170"/>
      <c r="R808" s="136"/>
      <c r="S808" s="137"/>
      <c r="T808" s="128"/>
      <c r="U808" s="137"/>
      <c r="V808" s="128"/>
      <c r="W808" s="49"/>
      <c r="X808" s="128"/>
      <c r="Y808" s="49"/>
      <c r="Z808" s="128"/>
      <c r="AA808" s="49"/>
      <c r="AB808" s="128"/>
      <c r="AC808" s="49"/>
      <c r="AE808" s="133"/>
    </row>
    <row r="809" spans="1:31" ht="25.5" hidden="1" outlineLevel="1" collapsed="1" x14ac:dyDescent="0.2">
      <c r="A809" s="25" t="str">
        <f>'Утв. ИП 2014-2019'!A811</f>
        <v>1.1.6.2.34/12</v>
      </c>
      <c r="B809" s="6" t="str">
        <f>'Утв. ИП 2014-2019'!B811</f>
        <v>3.2.190</v>
      </c>
      <c r="C809" s="7" t="str">
        <f>'Утв. ИП 2014-2019'!C811</f>
        <v>Электроснабжение садового домика по адресу: г. Липецк, СНТ "Машиностроитель-1", зем. уч. № 777</v>
      </c>
      <c r="D809" s="8"/>
      <c r="E809" s="8" t="str">
        <f>'Утв. ИП 2014-2019'!L811</f>
        <v>0,2 км/ 0 МВА</v>
      </c>
      <c r="F809" s="8"/>
      <c r="G809" s="8"/>
      <c r="H809" s="8"/>
      <c r="I809" s="8"/>
      <c r="J809" s="23" t="str">
        <f>'Утв. ИП 2014-2019'!Q811</f>
        <v>0,2 км/ 0 МВА</v>
      </c>
      <c r="K809" s="170"/>
      <c r="L809" s="170"/>
      <c r="M809" s="170"/>
      <c r="N809" s="170"/>
      <c r="O809" s="170"/>
      <c r="P809" s="170"/>
      <c r="Q809" s="170"/>
      <c r="R809" s="136"/>
      <c r="S809" s="137"/>
      <c r="T809" s="128"/>
      <c r="U809" s="137"/>
      <c r="V809" s="128"/>
      <c r="W809" s="49"/>
      <c r="X809" s="128"/>
      <c r="Y809" s="49"/>
      <c r="Z809" s="128"/>
      <c r="AA809" s="49"/>
      <c r="AB809" s="128"/>
      <c r="AC809" s="49"/>
      <c r="AE809" s="133"/>
    </row>
    <row r="810" spans="1:31" ht="15.75" hidden="1" outlineLevel="2" x14ac:dyDescent="0.2">
      <c r="A810" s="25">
        <f>'Утв. ИП 2014-2019'!A812</f>
        <v>0</v>
      </c>
      <c r="B810" s="6">
        <f>'Утв. ИП 2014-2019'!B812</f>
        <v>0</v>
      </c>
      <c r="C810" s="7" t="str">
        <f>'Утв. ИП 2014-2019'!C812</f>
        <v>реконструкция</v>
      </c>
      <c r="D810" s="8"/>
      <c r="E810" s="8"/>
      <c r="F810" s="8"/>
      <c r="G810" s="8"/>
      <c r="H810" s="8"/>
      <c r="I810" s="8"/>
      <c r="J810" s="23"/>
      <c r="K810" s="170"/>
      <c r="L810" s="170"/>
      <c r="M810" s="170"/>
      <c r="N810" s="170"/>
      <c r="O810" s="170"/>
      <c r="P810" s="170"/>
      <c r="Q810" s="170"/>
      <c r="R810" s="136"/>
      <c r="S810" s="137"/>
      <c r="T810" s="128"/>
      <c r="U810" s="137"/>
      <c r="V810" s="128"/>
      <c r="W810" s="49"/>
      <c r="X810" s="128"/>
      <c r="Y810" s="49"/>
      <c r="Z810" s="128"/>
      <c r="AA810" s="49"/>
      <c r="AB810" s="128"/>
      <c r="AC810" s="49"/>
      <c r="AE810" s="133"/>
    </row>
    <row r="811" spans="1:31" ht="15.75" hidden="1" outlineLevel="2" x14ac:dyDescent="0.2">
      <c r="A811" s="25">
        <f>'Утв. ИП 2014-2019'!A813</f>
        <v>0</v>
      </c>
      <c r="B811" s="6">
        <f>'Утв. ИП 2014-2019'!B813</f>
        <v>0</v>
      </c>
      <c r="C811" s="7" t="str">
        <f>'Утв. ИП 2014-2019'!C813</f>
        <v>строительство</v>
      </c>
      <c r="D811" s="8"/>
      <c r="E811" s="8"/>
      <c r="F811" s="8"/>
      <c r="G811" s="8"/>
      <c r="H811" s="8"/>
      <c r="I811" s="8"/>
      <c r="J811" s="23"/>
      <c r="K811" s="170"/>
      <c r="L811" s="170"/>
      <c r="M811" s="170"/>
      <c r="N811" s="170"/>
      <c r="O811" s="170"/>
      <c r="P811" s="170"/>
      <c r="Q811" s="170"/>
      <c r="R811" s="136"/>
      <c r="S811" s="137"/>
      <c r="T811" s="128"/>
      <c r="U811" s="137"/>
      <c r="V811" s="128"/>
      <c r="W811" s="49"/>
      <c r="X811" s="128"/>
      <c r="Y811" s="49"/>
      <c r="Z811" s="128"/>
      <c r="AA811" s="49"/>
      <c r="AB811" s="128"/>
      <c r="AC811" s="49"/>
      <c r="AE811" s="133"/>
    </row>
    <row r="812" spans="1:31" ht="25.5" hidden="1" outlineLevel="1" collapsed="1" x14ac:dyDescent="0.2">
      <c r="A812" s="25" t="str">
        <f>'Утв. ИП 2014-2019'!A814</f>
        <v>1.1.6.2.35/12</v>
      </c>
      <c r="B812" s="6" t="str">
        <f>'Утв. ИП 2014-2019'!B814</f>
        <v>3.2.191</v>
      </c>
      <c r="C812" s="7" t="str">
        <f>'Утв. ИП 2014-2019'!C814</f>
        <v>Электроснабжение индивидуального жилого дома по адресу: г. Липецк, ул. Ново-Весовая, д. 12 а (почтовый адрес ориентира)</v>
      </c>
      <c r="D812" s="8" t="str">
        <f>'Утв. ИП 2014-2019'!K814</f>
        <v>0,1 км/ 0 МВА</v>
      </c>
      <c r="E812" s="8"/>
      <c r="F812" s="8"/>
      <c r="G812" s="8"/>
      <c r="H812" s="8"/>
      <c r="I812" s="8"/>
      <c r="J812" s="23" t="str">
        <f>'Утв. ИП 2014-2019'!Q814</f>
        <v>0,1 км/ 0 МВА</v>
      </c>
      <c r="K812" s="170"/>
      <c r="L812" s="170"/>
      <c r="M812" s="170"/>
      <c r="N812" s="170"/>
      <c r="O812" s="170"/>
      <c r="P812" s="170"/>
      <c r="Q812" s="170"/>
      <c r="R812" s="166"/>
      <c r="S812" s="167"/>
      <c r="T812" s="168"/>
      <c r="U812" s="167"/>
      <c r="V812" s="168"/>
      <c r="W812" s="169"/>
      <c r="X812" s="168"/>
      <c r="Y812" s="169"/>
      <c r="Z812" s="168"/>
      <c r="AA812" s="169"/>
      <c r="AB812" s="168"/>
      <c r="AC812" s="169"/>
      <c r="AE812" s="133"/>
    </row>
    <row r="813" spans="1:31" ht="15.75" hidden="1" outlineLevel="2" x14ac:dyDescent="0.2">
      <c r="A813" s="25">
        <f>'Утв. ИП 2014-2019'!A815</f>
        <v>0</v>
      </c>
      <c r="B813" s="6">
        <f>'Утв. ИП 2014-2019'!B815</f>
        <v>0</v>
      </c>
      <c r="C813" s="7" t="str">
        <f>'Утв. ИП 2014-2019'!C815</f>
        <v>реконструкция</v>
      </c>
      <c r="D813" s="8"/>
      <c r="E813" s="8"/>
      <c r="F813" s="8"/>
      <c r="G813" s="8"/>
      <c r="H813" s="8"/>
      <c r="I813" s="8"/>
      <c r="J813" s="23"/>
      <c r="K813" s="170"/>
      <c r="L813" s="170"/>
      <c r="M813" s="170"/>
      <c r="N813" s="170"/>
      <c r="O813" s="170"/>
      <c r="P813" s="170"/>
      <c r="Q813" s="170"/>
      <c r="R813" s="166"/>
      <c r="S813" s="167"/>
      <c r="T813" s="168"/>
      <c r="U813" s="167"/>
      <c r="V813" s="168"/>
      <c r="W813" s="169"/>
      <c r="X813" s="168"/>
      <c r="Y813" s="169"/>
      <c r="Z813" s="168"/>
      <c r="AA813" s="169"/>
      <c r="AB813" s="168"/>
      <c r="AC813" s="169"/>
      <c r="AE813" s="133"/>
    </row>
    <row r="814" spans="1:31" ht="15.75" hidden="1" outlineLevel="2" x14ac:dyDescent="0.2">
      <c r="A814" s="25">
        <f>'Утв. ИП 2014-2019'!A816</f>
        <v>0</v>
      </c>
      <c r="B814" s="6">
        <f>'Утв. ИП 2014-2019'!B816</f>
        <v>0</v>
      </c>
      <c r="C814" s="7" t="str">
        <f>'Утв. ИП 2014-2019'!C816</f>
        <v>строительство</v>
      </c>
      <c r="D814" s="8"/>
      <c r="E814" s="8"/>
      <c r="F814" s="8"/>
      <c r="G814" s="8"/>
      <c r="H814" s="8"/>
      <c r="I814" s="8"/>
      <c r="J814" s="23"/>
      <c r="K814" s="170"/>
      <c r="L814" s="170"/>
      <c r="M814" s="170"/>
      <c r="N814" s="170"/>
      <c r="O814" s="170"/>
      <c r="P814" s="170"/>
      <c r="Q814" s="170"/>
      <c r="R814" s="166"/>
      <c r="S814" s="167"/>
      <c r="T814" s="168"/>
      <c r="U814" s="167"/>
      <c r="V814" s="168"/>
      <c r="W814" s="169"/>
      <c r="X814" s="168"/>
      <c r="Y814" s="169"/>
      <c r="Z814" s="168"/>
      <c r="AA814" s="169"/>
      <c r="AB814" s="168"/>
      <c r="AC814" s="169"/>
      <c r="AE814" s="133"/>
    </row>
    <row r="815" spans="1:31" ht="38.25" hidden="1" outlineLevel="1" collapsed="1" x14ac:dyDescent="0.2">
      <c r="A815" s="25" t="str">
        <f>'Утв. ИП 2014-2019'!A817</f>
        <v>1.1.6.2.37/11</v>
      </c>
      <c r="B815" s="6" t="str">
        <f>'Утв. ИП 2014-2019'!B817</f>
        <v>3.2.192</v>
      </c>
      <c r="C815" s="7" t="str">
        <f>'Утв. ИП 2014-2019'!C817</f>
        <v xml:space="preserve">Строительство КЛ-0,4 кВ от вновь смонтированной ТП до здания трансформаторной подстанции № 528 по адресу: г. Липецк, пр. Осенний, у дома № 6 </v>
      </c>
      <c r="D815" s="8"/>
      <c r="E815" s="8" t="str">
        <f>'Утв. ИП 2014-2019'!L817</f>
        <v>0,05 км/ 0 МВА</v>
      </c>
      <c r="F815" s="8"/>
      <c r="G815" s="8"/>
      <c r="H815" s="8"/>
      <c r="I815" s="8"/>
      <c r="J815" s="23" t="str">
        <f>'Утв. ИП 2014-2019'!Q817</f>
        <v>0,05 км/ 0 МВА</v>
      </c>
      <c r="K815" s="170"/>
      <c r="L815" s="170"/>
      <c r="M815" s="170"/>
      <c r="N815" s="170"/>
      <c r="O815" s="170"/>
      <c r="P815" s="170"/>
      <c r="Q815" s="170"/>
      <c r="R815" s="136"/>
      <c r="S815" s="137"/>
      <c r="T815" s="128"/>
      <c r="U815" s="137"/>
      <c r="V815" s="128"/>
      <c r="W815" s="49"/>
      <c r="X815" s="128"/>
      <c r="Y815" s="49"/>
      <c r="Z815" s="128"/>
      <c r="AA815" s="49"/>
      <c r="AB815" s="128"/>
      <c r="AC815" s="49"/>
      <c r="AE815" s="133"/>
    </row>
    <row r="816" spans="1:31" ht="15.75" hidden="1" outlineLevel="2" x14ac:dyDescent="0.2">
      <c r="A816" s="25">
        <f>'Утв. ИП 2014-2019'!A818</f>
        <v>0</v>
      </c>
      <c r="B816" s="6">
        <f>'Утв. ИП 2014-2019'!B818</f>
        <v>0</v>
      </c>
      <c r="C816" s="7" t="str">
        <f>'Утв. ИП 2014-2019'!C818</f>
        <v>реконструкция</v>
      </c>
      <c r="D816" s="8"/>
      <c r="E816" s="8"/>
      <c r="F816" s="8"/>
      <c r="G816" s="8"/>
      <c r="H816" s="8"/>
      <c r="I816" s="8"/>
      <c r="J816" s="23"/>
      <c r="K816" s="170"/>
      <c r="L816" s="170"/>
      <c r="M816" s="170"/>
      <c r="N816" s="170"/>
      <c r="O816" s="170"/>
      <c r="P816" s="170"/>
      <c r="Q816" s="170"/>
      <c r="R816" s="136"/>
      <c r="S816" s="137"/>
      <c r="T816" s="128"/>
      <c r="U816" s="137"/>
      <c r="V816" s="128"/>
      <c r="W816" s="49"/>
      <c r="X816" s="128"/>
      <c r="Y816" s="49"/>
      <c r="Z816" s="128"/>
      <c r="AA816" s="49"/>
      <c r="AB816" s="128"/>
      <c r="AC816" s="49"/>
      <c r="AE816" s="133"/>
    </row>
    <row r="817" spans="1:31" ht="15.75" hidden="1" outlineLevel="2" x14ac:dyDescent="0.2">
      <c r="A817" s="25">
        <f>'Утв. ИП 2014-2019'!A819</f>
        <v>0</v>
      </c>
      <c r="B817" s="6">
        <f>'Утв. ИП 2014-2019'!B819</f>
        <v>0</v>
      </c>
      <c r="C817" s="7" t="str">
        <f>'Утв. ИП 2014-2019'!C819</f>
        <v>строительство</v>
      </c>
      <c r="D817" s="8"/>
      <c r="E817" s="8"/>
      <c r="F817" s="8"/>
      <c r="G817" s="8"/>
      <c r="H817" s="8"/>
      <c r="I817" s="8"/>
      <c r="J817" s="23"/>
      <c r="K817" s="170"/>
      <c r="L817" s="170"/>
      <c r="M817" s="170"/>
      <c r="N817" s="170"/>
      <c r="O817" s="170"/>
      <c r="P817" s="170"/>
      <c r="Q817" s="170"/>
      <c r="R817" s="136"/>
      <c r="S817" s="137"/>
      <c r="T817" s="128"/>
      <c r="U817" s="137"/>
      <c r="V817" s="128"/>
      <c r="W817" s="49"/>
      <c r="X817" s="128"/>
      <c r="Y817" s="49"/>
      <c r="Z817" s="128"/>
      <c r="AA817" s="49"/>
      <c r="AB817" s="128"/>
      <c r="AC817" s="49"/>
      <c r="AE817" s="133"/>
    </row>
    <row r="818" spans="1:31" ht="25.5" hidden="1" outlineLevel="1" collapsed="1" x14ac:dyDescent="0.2">
      <c r="A818" s="25" t="str">
        <f>'Утв. ИП 2014-2019'!A820</f>
        <v>1.1.6.2.7/12</v>
      </c>
      <c r="B818" s="6" t="str">
        <f>'Утв. ИП 2014-2019'!B820</f>
        <v>3.2.193</v>
      </c>
      <c r="C818" s="7" t="str">
        <f>'Утв. ИП 2014-2019'!C820</f>
        <v>Электроснабжение жилого дома по адресу: г. Липецк, ул. Свободный Сокол, д. 75</v>
      </c>
      <c r="D818" s="8" t="str">
        <f>'Утв. ИП 2014-2019'!K820</f>
        <v>0,2 км/ 0 МВА</v>
      </c>
      <c r="E818" s="8"/>
      <c r="F818" s="8"/>
      <c r="G818" s="8"/>
      <c r="H818" s="8"/>
      <c r="I818" s="8"/>
      <c r="J818" s="23" t="str">
        <f>'Утв. ИП 2014-2019'!Q820</f>
        <v>0,2 км/ 0 МВА</v>
      </c>
      <c r="K818" s="170"/>
      <c r="L818" s="170"/>
      <c r="M818" s="170"/>
      <c r="N818" s="170"/>
      <c r="O818" s="170"/>
      <c r="P818" s="170"/>
      <c r="Q818" s="170"/>
      <c r="R818" s="166"/>
      <c r="S818" s="167"/>
      <c r="T818" s="168"/>
      <c r="U818" s="167"/>
      <c r="V818" s="168"/>
      <c r="W818" s="169"/>
      <c r="X818" s="168"/>
      <c r="Y818" s="169"/>
      <c r="Z818" s="168"/>
      <c r="AA818" s="169"/>
      <c r="AB818" s="168"/>
      <c r="AC818" s="169"/>
      <c r="AE818" s="133"/>
    </row>
    <row r="819" spans="1:31" ht="15.75" hidden="1" outlineLevel="2" x14ac:dyDescent="0.2">
      <c r="A819" s="25">
        <f>'Утв. ИП 2014-2019'!A821</f>
        <v>0</v>
      </c>
      <c r="B819" s="6">
        <f>'Утв. ИП 2014-2019'!B821</f>
        <v>0</v>
      </c>
      <c r="C819" s="7" t="str">
        <f>'Утв. ИП 2014-2019'!C821</f>
        <v>реконструкция</v>
      </c>
      <c r="D819" s="8"/>
      <c r="E819" s="8"/>
      <c r="F819" s="8"/>
      <c r="G819" s="8"/>
      <c r="H819" s="8"/>
      <c r="I819" s="8"/>
      <c r="J819" s="23"/>
      <c r="K819" s="170"/>
      <c r="L819" s="170"/>
      <c r="M819" s="170"/>
      <c r="N819" s="170"/>
      <c r="O819" s="170"/>
      <c r="P819" s="170"/>
      <c r="Q819" s="170"/>
      <c r="R819" s="166"/>
      <c r="S819" s="167"/>
      <c r="T819" s="168"/>
      <c r="U819" s="167"/>
      <c r="V819" s="168"/>
      <c r="W819" s="169"/>
      <c r="X819" s="168"/>
      <c r="Y819" s="169"/>
      <c r="Z819" s="168"/>
      <c r="AA819" s="169"/>
      <c r="AB819" s="168"/>
      <c r="AC819" s="169"/>
      <c r="AE819" s="133"/>
    </row>
    <row r="820" spans="1:31" ht="15.75" hidden="1" outlineLevel="2" x14ac:dyDescent="0.2">
      <c r="A820" s="25">
        <f>'Утв. ИП 2014-2019'!A822</f>
        <v>0</v>
      </c>
      <c r="B820" s="6">
        <f>'Утв. ИП 2014-2019'!B822</f>
        <v>0</v>
      </c>
      <c r="C820" s="7" t="str">
        <f>'Утв. ИП 2014-2019'!C822</f>
        <v>строительство</v>
      </c>
      <c r="D820" s="8"/>
      <c r="E820" s="8"/>
      <c r="F820" s="8"/>
      <c r="G820" s="8"/>
      <c r="H820" s="8"/>
      <c r="I820" s="8"/>
      <c r="J820" s="23"/>
      <c r="K820" s="170"/>
      <c r="L820" s="170"/>
      <c r="M820" s="170"/>
      <c r="N820" s="170"/>
      <c r="O820" s="170"/>
      <c r="P820" s="170"/>
      <c r="Q820" s="170"/>
      <c r="R820" s="166"/>
      <c r="S820" s="167"/>
      <c r="T820" s="168"/>
      <c r="U820" s="167"/>
      <c r="V820" s="168"/>
      <c r="W820" s="169"/>
      <c r="X820" s="168"/>
      <c r="Y820" s="169"/>
      <c r="Z820" s="168"/>
      <c r="AA820" s="169"/>
      <c r="AB820" s="168"/>
      <c r="AC820" s="169"/>
      <c r="AE820" s="133"/>
    </row>
    <row r="821" spans="1:31" ht="51" hidden="1" outlineLevel="1" collapsed="1" x14ac:dyDescent="0.2">
      <c r="A821" s="25" t="str">
        <f>'Утв. ИП 2014-2019'!A823</f>
        <v>1.1.6.2.77/12</v>
      </c>
      <c r="B821" s="6" t="str">
        <f>'Утв. ИП 2014-2019'!B823</f>
        <v>3.2.194</v>
      </c>
      <c r="C821" s="7" t="str">
        <f>'Утв. ИП 2014-2019'!C823</f>
        <v>Реконструкция ВЛ-0,4 кВ, смонтированной по п. 1.1.6.2.24/11 программы перспективного развития, от КТП-478 для электроснабжения индивидуального жилого дома по адресу: г. Липецк, с. Сселки, ул. Сокольская, участок № 1 "б" (по схеме).</v>
      </c>
      <c r="D821" s="8"/>
      <c r="E821" s="8" t="str">
        <f>'Утв. ИП 2014-2019'!L823</f>
        <v>0,1 км/ 0 МВА</v>
      </c>
      <c r="F821" s="8"/>
      <c r="G821" s="8"/>
      <c r="H821" s="8"/>
      <c r="I821" s="8"/>
      <c r="J821" s="23" t="str">
        <f>'Утв. ИП 2014-2019'!Q823</f>
        <v>0,1 км/ 0 МВА</v>
      </c>
      <c r="K821" s="170"/>
      <c r="L821" s="23" t="s">
        <v>1418</v>
      </c>
      <c r="M821" s="170"/>
      <c r="N821" s="170"/>
      <c r="O821" s="170"/>
      <c r="P821" s="170"/>
      <c r="Q821" s="23" t="s">
        <v>1418</v>
      </c>
      <c r="R821" s="136"/>
      <c r="S821" s="137"/>
      <c r="T821" s="128">
        <v>0.1</v>
      </c>
      <c r="U821" s="137"/>
      <c r="V821" s="128"/>
      <c r="W821" s="49"/>
      <c r="X821" s="128"/>
      <c r="Y821" s="49"/>
      <c r="Z821" s="128"/>
      <c r="AA821" s="49"/>
      <c r="AB821" s="128"/>
      <c r="AC821" s="49"/>
      <c r="AE821" s="133"/>
    </row>
    <row r="822" spans="1:31" ht="15.75" hidden="1" outlineLevel="2" x14ac:dyDescent="0.2">
      <c r="A822" s="25">
        <f>'Утв. ИП 2014-2019'!A824</f>
        <v>0</v>
      </c>
      <c r="B822" s="6">
        <f>'Утв. ИП 2014-2019'!B824</f>
        <v>0</v>
      </c>
      <c r="C822" s="7" t="str">
        <f>'Утв. ИП 2014-2019'!C824</f>
        <v>реконструкция</v>
      </c>
      <c r="D822" s="8"/>
      <c r="E822" s="8"/>
      <c r="F822" s="8"/>
      <c r="G822" s="8"/>
      <c r="H822" s="8"/>
      <c r="I822" s="8"/>
      <c r="J822" s="23"/>
      <c r="K822" s="170"/>
      <c r="L822" s="170"/>
      <c r="M822" s="170"/>
      <c r="N822" s="170"/>
      <c r="O822" s="170"/>
      <c r="P822" s="170"/>
      <c r="Q822" s="170"/>
      <c r="R822" s="136"/>
      <c r="S822" s="137"/>
      <c r="T822" s="128"/>
      <c r="U822" s="137"/>
      <c r="V822" s="128"/>
      <c r="W822" s="49"/>
      <c r="X822" s="128"/>
      <c r="Y822" s="49"/>
      <c r="Z822" s="128"/>
      <c r="AA822" s="49"/>
      <c r="AB822" s="128"/>
      <c r="AC822" s="49"/>
      <c r="AE822" s="133"/>
    </row>
    <row r="823" spans="1:31" ht="15.75" hidden="1" outlineLevel="2" x14ac:dyDescent="0.2">
      <c r="A823" s="25">
        <f>'Утв. ИП 2014-2019'!A825</f>
        <v>0</v>
      </c>
      <c r="B823" s="6">
        <f>'Утв. ИП 2014-2019'!B825</f>
        <v>0</v>
      </c>
      <c r="C823" s="7" t="str">
        <f>'Утв. ИП 2014-2019'!C825</f>
        <v>строительство</v>
      </c>
      <c r="D823" s="8"/>
      <c r="E823" s="8"/>
      <c r="F823" s="8"/>
      <c r="G823" s="8"/>
      <c r="H823" s="8"/>
      <c r="I823" s="8"/>
      <c r="J823" s="23"/>
      <c r="K823" s="170"/>
      <c r="L823" s="170"/>
      <c r="M823" s="170"/>
      <c r="N823" s="170"/>
      <c r="O823" s="170"/>
      <c r="P823" s="170"/>
      <c r="Q823" s="170"/>
      <c r="R823" s="136"/>
      <c r="S823" s="137"/>
      <c r="T823" s="128"/>
      <c r="U823" s="137"/>
      <c r="V823" s="128"/>
      <c r="W823" s="49"/>
      <c r="X823" s="128"/>
      <c r="Y823" s="49"/>
      <c r="Z823" s="128"/>
      <c r="AA823" s="49"/>
      <c r="AB823" s="128"/>
      <c r="AC823" s="49"/>
      <c r="AE823" s="133"/>
    </row>
    <row r="824" spans="1:31" ht="38.25" hidden="1" outlineLevel="1" collapsed="1" x14ac:dyDescent="0.2">
      <c r="A824" s="25" t="str">
        <f>'Утв. ИП 2014-2019'!A826</f>
        <v>4.1.68/09</v>
      </c>
      <c r="B824" s="6" t="str">
        <f>'Утв. ИП 2014-2019'!B826</f>
        <v>3.2.195</v>
      </c>
      <c r="C824" s="7" t="str">
        <f>'Утв. ИП 2014-2019'!C826</f>
        <v>Электроснабжение садового домика в СНТ "Машиностроитель", уч. № 808, запитанного от КТП-620; 5 кВт, 220 В, 3 категория</v>
      </c>
      <c r="D824" s="8" t="str">
        <f>'Утв. ИП 2014-2019'!K826</f>
        <v>0,2 км/ 0 МВА</v>
      </c>
      <c r="E824" s="8"/>
      <c r="F824" s="8"/>
      <c r="G824" s="8"/>
      <c r="H824" s="8"/>
      <c r="I824" s="8"/>
      <c r="J824" s="23" t="str">
        <f>'Утв. ИП 2014-2019'!Q826</f>
        <v>0,2 км/ 0 МВА</v>
      </c>
      <c r="K824" s="170"/>
      <c r="L824" s="170"/>
      <c r="M824" s="170"/>
      <c r="N824" s="170"/>
      <c r="O824" s="170"/>
      <c r="P824" s="170"/>
      <c r="Q824" s="170"/>
      <c r="R824" s="136"/>
      <c r="S824" s="137"/>
      <c r="T824" s="128"/>
      <c r="U824" s="137"/>
      <c r="V824" s="128"/>
      <c r="W824" s="49"/>
      <c r="X824" s="128"/>
      <c r="Y824" s="49"/>
      <c r="Z824" s="128"/>
      <c r="AA824" s="49"/>
      <c r="AB824" s="128"/>
      <c r="AC824" s="49"/>
      <c r="AE824" s="133"/>
    </row>
    <row r="825" spans="1:31" ht="15.75" hidden="1" outlineLevel="2" x14ac:dyDescent="0.2">
      <c r="A825" s="25">
        <f>'Утв. ИП 2014-2019'!A827</f>
        <v>0</v>
      </c>
      <c r="B825" s="6">
        <f>'Утв. ИП 2014-2019'!B827</f>
        <v>0</v>
      </c>
      <c r="C825" s="7" t="str">
        <f>'Утв. ИП 2014-2019'!C827</f>
        <v>реконструкция</v>
      </c>
      <c r="D825" s="8"/>
      <c r="E825" s="8"/>
      <c r="F825" s="8"/>
      <c r="G825" s="8"/>
      <c r="H825" s="8"/>
      <c r="I825" s="8"/>
      <c r="J825" s="23"/>
      <c r="K825" s="170"/>
      <c r="L825" s="170"/>
      <c r="M825" s="170"/>
      <c r="N825" s="170"/>
      <c r="O825" s="170"/>
      <c r="P825" s="170"/>
      <c r="Q825" s="170"/>
      <c r="R825" s="136"/>
      <c r="S825" s="137"/>
      <c r="T825" s="128"/>
      <c r="U825" s="137"/>
      <c r="V825" s="128"/>
      <c r="W825" s="49"/>
      <c r="X825" s="128"/>
      <c r="Y825" s="49"/>
      <c r="Z825" s="128"/>
      <c r="AA825" s="49"/>
      <c r="AB825" s="128"/>
      <c r="AC825" s="49"/>
      <c r="AE825" s="133"/>
    </row>
    <row r="826" spans="1:31" ht="15.75" hidden="1" outlineLevel="2" x14ac:dyDescent="0.2">
      <c r="A826" s="25">
        <f>'Утв. ИП 2014-2019'!A828</f>
        <v>0</v>
      </c>
      <c r="B826" s="6">
        <f>'Утв. ИП 2014-2019'!B828</f>
        <v>0</v>
      </c>
      <c r="C826" s="7" t="str">
        <f>'Утв. ИП 2014-2019'!C828</f>
        <v>строительство</v>
      </c>
      <c r="D826" s="8"/>
      <c r="E826" s="8"/>
      <c r="F826" s="8"/>
      <c r="G826" s="8"/>
      <c r="H826" s="8"/>
      <c r="I826" s="8"/>
      <c r="J826" s="23"/>
      <c r="K826" s="170"/>
      <c r="L826" s="170"/>
      <c r="M826" s="170"/>
      <c r="N826" s="170"/>
      <c r="O826" s="170"/>
      <c r="P826" s="170"/>
      <c r="Q826" s="170"/>
      <c r="R826" s="136"/>
      <c r="S826" s="137"/>
      <c r="T826" s="128"/>
      <c r="U826" s="137"/>
      <c r="V826" s="128"/>
      <c r="W826" s="49"/>
      <c r="X826" s="128"/>
      <c r="Y826" s="49"/>
      <c r="Z826" s="128"/>
      <c r="AA826" s="49"/>
      <c r="AB826" s="128"/>
      <c r="AC826" s="49"/>
      <c r="AE826" s="133"/>
    </row>
    <row r="827" spans="1:31" ht="38.25" hidden="1" outlineLevel="1" collapsed="1" x14ac:dyDescent="0.2">
      <c r="A827" s="25" t="str">
        <f>'Утв. ИП 2014-2019'!A829</f>
        <v>4.1.73/09</v>
      </c>
      <c r="B827" s="6" t="str">
        <f>'Утв. ИП 2014-2019'!B829</f>
        <v>3.2.196</v>
      </c>
      <c r="C827" s="7" t="str">
        <f>'Утв. ИП 2014-2019'!C829</f>
        <v>Электроснабжение стройплощадки садового домика в с/т "Строитель", уч. № 683, запитанной от КТП-413; 10 кВт, 380 В, 3 категория</v>
      </c>
      <c r="D827" s="8" t="str">
        <f>'Утв. ИП 2014-2019'!K829</f>
        <v>0,1 км/ 0 МВА</v>
      </c>
      <c r="E827" s="8"/>
      <c r="F827" s="8"/>
      <c r="G827" s="8"/>
      <c r="H827" s="8"/>
      <c r="I827" s="8"/>
      <c r="J827" s="23" t="str">
        <f>'Утв. ИП 2014-2019'!Q829</f>
        <v>0,1 км/ 0 МВА</v>
      </c>
      <c r="K827" s="170"/>
      <c r="L827" s="170"/>
      <c r="M827" s="170"/>
      <c r="N827" s="170"/>
      <c r="O827" s="170"/>
      <c r="P827" s="170"/>
      <c r="Q827" s="170"/>
      <c r="R827" s="136"/>
      <c r="S827" s="137"/>
      <c r="T827" s="128"/>
      <c r="U827" s="137"/>
      <c r="V827" s="128"/>
      <c r="W827" s="49"/>
      <c r="X827" s="128"/>
      <c r="Y827" s="49"/>
      <c r="Z827" s="128"/>
      <c r="AA827" s="49"/>
      <c r="AB827" s="128"/>
      <c r="AC827" s="49"/>
      <c r="AE827" s="133"/>
    </row>
    <row r="828" spans="1:31" ht="15.75" hidden="1" outlineLevel="2" x14ac:dyDescent="0.2">
      <c r="A828" s="25">
        <f>'Утв. ИП 2014-2019'!A830</f>
        <v>0</v>
      </c>
      <c r="B828" s="6">
        <f>'Утв. ИП 2014-2019'!B830</f>
        <v>0</v>
      </c>
      <c r="C828" s="7" t="str">
        <f>'Утв. ИП 2014-2019'!C830</f>
        <v>реконструкция</v>
      </c>
      <c r="D828" s="8"/>
      <c r="E828" s="8"/>
      <c r="F828" s="8"/>
      <c r="G828" s="8"/>
      <c r="H828" s="8"/>
      <c r="I828" s="8"/>
      <c r="J828" s="23"/>
      <c r="K828" s="170"/>
      <c r="L828" s="170"/>
      <c r="M828" s="170"/>
      <c r="N828" s="170"/>
      <c r="O828" s="170"/>
      <c r="P828" s="170"/>
      <c r="Q828" s="170"/>
      <c r="R828" s="136"/>
      <c r="S828" s="137"/>
      <c r="T828" s="128"/>
      <c r="U828" s="137"/>
      <c r="V828" s="128"/>
      <c r="W828" s="49"/>
      <c r="X828" s="128"/>
      <c r="Y828" s="49"/>
      <c r="Z828" s="128"/>
      <c r="AA828" s="49"/>
      <c r="AB828" s="128"/>
      <c r="AC828" s="49"/>
      <c r="AE828" s="133"/>
    </row>
    <row r="829" spans="1:31" ht="15.75" hidden="1" outlineLevel="2" x14ac:dyDescent="0.2">
      <c r="A829" s="25">
        <f>'Утв. ИП 2014-2019'!A831</f>
        <v>0</v>
      </c>
      <c r="B829" s="6">
        <f>'Утв. ИП 2014-2019'!B831</f>
        <v>0</v>
      </c>
      <c r="C829" s="7" t="str">
        <f>'Утв. ИП 2014-2019'!C831</f>
        <v>строительство</v>
      </c>
      <c r="D829" s="8"/>
      <c r="E829" s="8"/>
      <c r="F829" s="8"/>
      <c r="G829" s="8"/>
      <c r="H829" s="8"/>
      <c r="I829" s="8"/>
      <c r="J829" s="23"/>
      <c r="K829" s="170"/>
      <c r="L829" s="170"/>
      <c r="M829" s="170"/>
      <c r="N829" s="170"/>
      <c r="O829" s="170"/>
      <c r="P829" s="170"/>
      <c r="Q829" s="170"/>
      <c r="R829" s="136"/>
      <c r="S829" s="137"/>
      <c r="T829" s="128"/>
      <c r="U829" s="137"/>
      <c r="V829" s="128"/>
      <c r="W829" s="49"/>
      <c r="X829" s="128"/>
      <c r="Y829" s="49"/>
      <c r="Z829" s="128"/>
      <c r="AA829" s="49"/>
      <c r="AB829" s="128"/>
      <c r="AC829" s="49"/>
      <c r="AE829" s="133"/>
    </row>
    <row r="830" spans="1:31" ht="38.25" hidden="1" outlineLevel="1" collapsed="1" x14ac:dyDescent="0.2">
      <c r="A830" s="25" t="str">
        <f>'Утв. ИП 2014-2019'!A832</f>
        <v>1.1.6.3.1/10</v>
      </c>
      <c r="B830" s="6" t="str">
        <f>'Утв. ИП 2014-2019'!B832</f>
        <v>3.2.197</v>
      </c>
      <c r="C830" s="7" t="str">
        <f>'Утв. ИП 2014-2019'!C832</f>
        <v>Электроснабжение индивидуальных жилых домов по ул. Еловая и садовых домиков в с/о "Сокол-2", запитанных от ТП-437; 97 кВт, 220 В, 3 категория</v>
      </c>
      <c r="D830" s="8" t="str">
        <f>'Утв. ИП 2014-2019'!K832</f>
        <v>0,5 км/ 0 МВА</v>
      </c>
      <c r="E830" s="8"/>
      <c r="F830" s="8"/>
      <c r="G830" s="8"/>
      <c r="H830" s="8"/>
      <c r="I830" s="8"/>
      <c r="J830" s="23" t="str">
        <f>'Утв. ИП 2014-2019'!Q832</f>
        <v>0,5 км/ 0 МВА</v>
      </c>
      <c r="K830" s="170"/>
      <c r="L830" s="170"/>
      <c r="M830" s="170"/>
      <c r="N830" s="170"/>
      <c r="O830" s="170"/>
      <c r="P830" s="170"/>
      <c r="Q830" s="170"/>
      <c r="R830" s="136"/>
      <c r="S830" s="137"/>
      <c r="T830" s="128"/>
      <c r="U830" s="137"/>
      <c r="V830" s="128"/>
      <c r="W830" s="49"/>
      <c r="X830" s="128"/>
      <c r="Y830" s="49"/>
      <c r="Z830" s="128"/>
      <c r="AA830" s="49"/>
      <c r="AB830" s="128"/>
      <c r="AC830" s="49"/>
      <c r="AE830" s="133"/>
    </row>
    <row r="831" spans="1:31" ht="15.75" hidden="1" outlineLevel="2" x14ac:dyDescent="0.2">
      <c r="A831" s="25">
        <f>'Утв. ИП 2014-2019'!A833</f>
        <v>0</v>
      </c>
      <c r="B831" s="6">
        <f>'Утв. ИП 2014-2019'!B833</f>
        <v>0</v>
      </c>
      <c r="C831" s="7" t="str">
        <f>'Утв. ИП 2014-2019'!C833</f>
        <v>реконструкция</v>
      </c>
      <c r="D831" s="8"/>
      <c r="E831" s="8"/>
      <c r="F831" s="8"/>
      <c r="G831" s="8"/>
      <c r="H831" s="8"/>
      <c r="I831" s="8"/>
      <c r="J831" s="23"/>
      <c r="K831" s="170"/>
      <c r="L831" s="170"/>
      <c r="M831" s="170"/>
      <c r="N831" s="170"/>
      <c r="O831" s="170"/>
      <c r="P831" s="170"/>
      <c r="Q831" s="170"/>
      <c r="R831" s="136"/>
      <c r="S831" s="137"/>
      <c r="T831" s="128"/>
      <c r="U831" s="137"/>
      <c r="V831" s="128"/>
      <c r="W831" s="49"/>
      <c r="X831" s="128"/>
      <c r="Y831" s="49"/>
      <c r="Z831" s="128"/>
      <c r="AA831" s="49"/>
      <c r="AB831" s="128"/>
      <c r="AC831" s="49"/>
      <c r="AE831" s="133"/>
    </row>
    <row r="832" spans="1:31" ht="15.75" hidden="1" outlineLevel="2" x14ac:dyDescent="0.2">
      <c r="A832" s="25">
        <f>'Утв. ИП 2014-2019'!A834</f>
        <v>0</v>
      </c>
      <c r="B832" s="6">
        <f>'Утв. ИП 2014-2019'!B834</f>
        <v>0</v>
      </c>
      <c r="C832" s="7" t="str">
        <f>'Утв. ИП 2014-2019'!C834</f>
        <v>строительство</v>
      </c>
      <c r="D832" s="8"/>
      <c r="E832" s="8"/>
      <c r="F832" s="8"/>
      <c r="G832" s="8"/>
      <c r="H832" s="8"/>
      <c r="I832" s="8"/>
      <c r="J832" s="23"/>
      <c r="K832" s="170"/>
      <c r="L832" s="170"/>
      <c r="M832" s="170"/>
      <c r="N832" s="170"/>
      <c r="O832" s="170"/>
      <c r="P832" s="170"/>
      <c r="Q832" s="170"/>
      <c r="R832" s="136"/>
      <c r="S832" s="137"/>
      <c r="T832" s="128"/>
      <c r="U832" s="137"/>
      <c r="V832" s="128"/>
      <c r="W832" s="49"/>
      <c r="X832" s="128"/>
      <c r="Y832" s="49"/>
      <c r="Z832" s="128"/>
      <c r="AA832" s="49"/>
      <c r="AB832" s="128"/>
      <c r="AC832" s="49"/>
      <c r="AE832" s="133"/>
    </row>
    <row r="833" spans="1:31" ht="25.5" hidden="1" outlineLevel="1" collapsed="1" x14ac:dyDescent="0.2">
      <c r="A833" s="25" t="str">
        <f>'Утв. ИП 2014-2019'!A835</f>
        <v>1.1.6.3.2/10</v>
      </c>
      <c r="B833" s="6" t="str">
        <f>'Утв. ИП 2014-2019'!B835</f>
        <v>3.2.198</v>
      </c>
      <c r="C833" s="7" t="str">
        <f>'Утв. ИП 2014-2019'!C835</f>
        <v>Электроснабжение жилых домов по ул. Ушинского, запитанных от ТП-400; 25 кВт, 380 В, 3 категория</v>
      </c>
      <c r="D833" s="8" t="str">
        <f>'Утв. ИП 2014-2019'!K835</f>
        <v>0,4 км/ 0 МВА</v>
      </c>
      <c r="E833" s="8"/>
      <c r="F833" s="8"/>
      <c r="G833" s="8"/>
      <c r="H833" s="8"/>
      <c r="I833" s="8"/>
      <c r="J833" s="23" t="str">
        <f>'Утв. ИП 2014-2019'!Q835</f>
        <v>0,4 км/ 0 МВА</v>
      </c>
      <c r="K833" s="170"/>
      <c r="L833" s="170"/>
      <c r="M833" s="170"/>
      <c r="N833" s="170"/>
      <c r="O833" s="170"/>
      <c r="P833" s="170"/>
      <c r="Q833" s="170"/>
      <c r="R833" s="166"/>
      <c r="S833" s="167"/>
      <c r="T833" s="168"/>
      <c r="U833" s="167"/>
      <c r="V833" s="168"/>
      <c r="W833" s="169"/>
      <c r="X833" s="168"/>
      <c r="Y833" s="169"/>
      <c r="Z833" s="168"/>
      <c r="AA833" s="169"/>
      <c r="AB833" s="168"/>
      <c r="AC833" s="169"/>
      <c r="AE833" s="133"/>
    </row>
    <row r="834" spans="1:31" ht="15.75" hidden="1" outlineLevel="2" x14ac:dyDescent="0.2">
      <c r="A834" s="25">
        <f>'Утв. ИП 2014-2019'!A836</f>
        <v>0</v>
      </c>
      <c r="B834" s="6">
        <f>'Утв. ИП 2014-2019'!B836</f>
        <v>0</v>
      </c>
      <c r="C834" s="7" t="str">
        <f>'Утв. ИП 2014-2019'!C836</f>
        <v>реконструкция</v>
      </c>
      <c r="D834" s="8"/>
      <c r="E834" s="8"/>
      <c r="F834" s="8"/>
      <c r="G834" s="8"/>
      <c r="H834" s="8"/>
      <c r="I834" s="8"/>
      <c r="J834" s="23"/>
      <c r="K834" s="170"/>
      <c r="L834" s="170"/>
      <c r="M834" s="170"/>
      <c r="N834" s="170"/>
      <c r="O834" s="170"/>
      <c r="P834" s="170"/>
      <c r="Q834" s="170"/>
      <c r="R834" s="166"/>
      <c r="S834" s="167"/>
      <c r="T834" s="168"/>
      <c r="U834" s="167"/>
      <c r="V834" s="168"/>
      <c r="W834" s="169"/>
      <c r="X834" s="168"/>
      <c r="Y834" s="169"/>
      <c r="Z834" s="168"/>
      <c r="AA834" s="169"/>
      <c r="AB834" s="168"/>
      <c r="AC834" s="169"/>
      <c r="AE834" s="133"/>
    </row>
    <row r="835" spans="1:31" ht="15.75" hidden="1" outlineLevel="2" x14ac:dyDescent="0.2">
      <c r="A835" s="25">
        <f>'Утв. ИП 2014-2019'!A837</f>
        <v>0</v>
      </c>
      <c r="B835" s="6">
        <f>'Утв. ИП 2014-2019'!B837</f>
        <v>0</v>
      </c>
      <c r="C835" s="7" t="str">
        <f>'Утв. ИП 2014-2019'!C837</f>
        <v>строительство</v>
      </c>
      <c r="D835" s="8"/>
      <c r="E835" s="8"/>
      <c r="F835" s="8"/>
      <c r="G835" s="8"/>
      <c r="H835" s="8"/>
      <c r="I835" s="8"/>
      <c r="J835" s="23"/>
      <c r="K835" s="170"/>
      <c r="L835" s="170"/>
      <c r="M835" s="170"/>
      <c r="N835" s="170"/>
      <c r="O835" s="170"/>
      <c r="P835" s="170"/>
      <c r="Q835" s="170"/>
      <c r="R835" s="166"/>
      <c r="S835" s="167"/>
      <c r="T835" s="168"/>
      <c r="U835" s="167"/>
      <c r="V835" s="168"/>
      <c r="W835" s="169"/>
      <c r="X835" s="168"/>
      <c r="Y835" s="169"/>
      <c r="Z835" s="168"/>
      <c r="AA835" s="169"/>
      <c r="AB835" s="168"/>
      <c r="AC835" s="169"/>
      <c r="AE835" s="133"/>
    </row>
    <row r="836" spans="1:31" ht="51" hidden="1" outlineLevel="1" collapsed="1" x14ac:dyDescent="0.2">
      <c r="A836" s="25" t="str">
        <f>'Утв. ИП 2014-2019'!A838</f>
        <v>1.1.6.3.24/10</v>
      </c>
      <c r="B836" s="6" t="str">
        <f>'Утв. ИП 2014-2019'!B838</f>
        <v>3.2.199</v>
      </c>
      <c r="C836" s="7" t="str">
        <f>'Утв. ИП 2014-2019'!C838</f>
        <v>Строительство КВЛ-0,4 кВ от РП-36 до терминала по оплате услуг ЖКХ, сотовой связи, коммерческого телевидения, Интернета по адресу: г. Липецк, пр. 60 лет СССР, район остановки "Октябрьский рынок"</v>
      </c>
      <c r="D836" s="8" t="str">
        <f>'Утв. ИП 2014-2019'!K838</f>
        <v>0,1 км/ 0 МВА</v>
      </c>
      <c r="E836" s="8"/>
      <c r="F836" s="8"/>
      <c r="G836" s="8"/>
      <c r="H836" s="8"/>
      <c r="I836" s="8"/>
      <c r="J836" s="23" t="str">
        <f>'Утв. ИП 2014-2019'!Q838</f>
        <v>0,1 км/ 0 МВА</v>
      </c>
      <c r="K836" s="170"/>
      <c r="L836" s="170"/>
      <c r="M836" s="170"/>
      <c r="N836" s="170"/>
      <c r="O836" s="170"/>
      <c r="P836" s="170"/>
      <c r="Q836" s="170"/>
      <c r="R836" s="136"/>
      <c r="S836" s="137"/>
      <c r="T836" s="128"/>
      <c r="U836" s="137"/>
      <c r="V836" s="128"/>
      <c r="W836" s="49"/>
      <c r="X836" s="128"/>
      <c r="Y836" s="49"/>
      <c r="Z836" s="128"/>
      <c r="AA836" s="49"/>
      <c r="AB836" s="128"/>
      <c r="AC836" s="49"/>
      <c r="AE836" s="133"/>
    </row>
    <row r="837" spans="1:31" ht="15.75" hidden="1" outlineLevel="2" x14ac:dyDescent="0.2">
      <c r="A837" s="25">
        <f>'Утв. ИП 2014-2019'!A839</f>
        <v>0</v>
      </c>
      <c r="B837" s="6">
        <f>'Утв. ИП 2014-2019'!B839</f>
        <v>0</v>
      </c>
      <c r="C837" s="7" t="str">
        <f>'Утв. ИП 2014-2019'!C839</f>
        <v>реконструкция</v>
      </c>
      <c r="D837" s="8"/>
      <c r="E837" s="8"/>
      <c r="F837" s="8"/>
      <c r="G837" s="8"/>
      <c r="H837" s="8"/>
      <c r="I837" s="8"/>
      <c r="J837" s="23"/>
      <c r="K837" s="170"/>
      <c r="L837" s="170"/>
      <c r="M837" s="170"/>
      <c r="N837" s="170"/>
      <c r="O837" s="170"/>
      <c r="P837" s="170"/>
      <c r="Q837" s="170"/>
      <c r="R837" s="136"/>
      <c r="S837" s="137"/>
      <c r="T837" s="128"/>
      <c r="U837" s="137"/>
      <c r="V837" s="128"/>
      <c r="W837" s="49"/>
      <c r="X837" s="128"/>
      <c r="Y837" s="49"/>
      <c r="Z837" s="128"/>
      <c r="AA837" s="49"/>
      <c r="AB837" s="128"/>
      <c r="AC837" s="49"/>
      <c r="AE837" s="133"/>
    </row>
    <row r="838" spans="1:31" ht="15.75" hidden="1" outlineLevel="2" x14ac:dyDescent="0.2">
      <c r="A838" s="25">
        <f>'Утв. ИП 2014-2019'!A840</f>
        <v>0</v>
      </c>
      <c r="B838" s="6">
        <f>'Утв. ИП 2014-2019'!B840</f>
        <v>0</v>
      </c>
      <c r="C838" s="7" t="str">
        <f>'Утв. ИП 2014-2019'!C840</f>
        <v>строительство</v>
      </c>
      <c r="D838" s="8"/>
      <c r="E838" s="8"/>
      <c r="F838" s="8"/>
      <c r="G838" s="8"/>
      <c r="H838" s="8"/>
      <c r="I838" s="8"/>
      <c r="J838" s="23"/>
      <c r="K838" s="170"/>
      <c r="L838" s="170"/>
      <c r="M838" s="170"/>
      <c r="N838" s="170"/>
      <c r="O838" s="170"/>
      <c r="P838" s="170"/>
      <c r="Q838" s="170"/>
      <c r="R838" s="136"/>
      <c r="S838" s="137"/>
      <c r="T838" s="128"/>
      <c r="U838" s="137"/>
      <c r="V838" s="128"/>
      <c r="W838" s="49"/>
      <c r="X838" s="128"/>
      <c r="Y838" s="49"/>
      <c r="Z838" s="128"/>
      <c r="AA838" s="49"/>
      <c r="AB838" s="128"/>
      <c r="AC838" s="49"/>
      <c r="AE838" s="133"/>
    </row>
    <row r="839" spans="1:31" ht="25.5" hidden="1" outlineLevel="1" collapsed="1" x14ac:dyDescent="0.2">
      <c r="A839" s="25" t="str">
        <f>'Утв. ИП 2014-2019'!A841</f>
        <v>1.1.6.3.29/10</v>
      </c>
      <c r="B839" s="6" t="str">
        <f>'Утв. ИП 2014-2019'!B841</f>
        <v>3.2.200</v>
      </c>
      <c r="C839" s="7" t="str">
        <f>'Утв. ИП 2014-2019'!C841</f>
        <v>Электроснабжение парикмахерской по ул. Гагарина, д. 65, кв. 20, запитанной от ТП-212; 15 кВт, 380 В, 3 категория</v>
      </c>
      <c r="D839" s="8" t="str">
        <f>'Утв. ИП 2014-2019'!K841</f>
        <v>0,1 км/ 0 МВА</v>
      </c>
      <c r="E839" s="8"/>
      <c r="F839" s="8"/>
      <c r="G839" s="8"/>
      <c r="H839" s="8"/>
      <c r="I839" s="8"/>
      <c r="J839" s="23" t="str">
        <f>'Утв. ИП 2014-2019'!Q841</f>
        <v>0,1 км/ 0 МВА</v>
      </c>
      <c r="K839" s="170"/>
      <c r="L839" s="170"/>
      <c r="M839" s="170"/>
      <c r="N839" s="170"/>
      <c r="O839" s="170"/>
      <c r="P839" s="170"/>
      <c r="Q839" s="170"/>
      <c r="R839" s="166"/>
      <c r="S839" s="167"/>
      <c r="T839" s="168"/>
      <c r="U839" s="167"/>
      <c r="V839" s="168"/>
      <c r="W839" s="169"/>
      <c r="X839" s="168"/>
      <c r="Y839" s="169"/>
      <c r="Z839" s="168"/>
      <c r="AA839" s="169"/>
      <c r="AB839" s="168"/>
      <c r="AC839" s="169"/>
      <c r="AE839" s="133"/>
    </row>
    <row r="840" spans="1:31" ht="15.75" hidden="1" outlineLevel="2" x14ac:dyDescent="0.2">
      <c r="A840" s="25">
        <f>'Утв. ИП 2014-2019'!A842</f>
        <v>0</v>
      </c>
      <c r="B840" s="6">
        <f>'Утв. ИП 2014-2019'!B842</f>
        <v>0</v>
      </c>
      <c r="C840" s="7" t="str">
        <f>'Утв. ИП 2014-2019'!C842</f>
        <v>реконструкция</v>
      </c>
      <c r="D840" s="8"/>
      <c r="E840" s="8"/>
      <c r="F840" s="8"/>
      <c r="G840" s="8"/>
      <c r="H840" s="8"/>
      <c r="I840" s="8"/>
      <c r="J840" s="23"/>
      <c r="K840" s="170"/>
      <c r="L840" s="170"/>
      <c r="M840" s="170"/>
      <c r="N840" s="170"/>
      <c r="O840" s="170"/>
      <c r="P840" s="170"/>
      <c r="Q840" s="170"/>
      <c r="R840" s="166"/>
      <c r="S840" s="167"/>
      <c r="T840" s="168"/>
      <c r="U840" s="167"/>
      <c r="V840" s="168"/>
      <c r="W840" s="169"/>
      <c r="X840" s="168"/>
      <c r="Y840" s="169"/>
      <c r="Z840" s="168"/>
      <c r="AA840" s="169"/>
      <c r="AB840" s="168"/>
      <c r="AC840" s="169"/>
      <c r="AE840" s="133"/>
    </row>
    <row r="841" spans="1:31" ht="15.75" hidden="1" outlineLevel="2" x14ac:dyDescent="0.2">
      <c r="A841" s="25">
        <f>'Утв. ИП 2014-2019'!A843</f>
        <v>0</v>
      </c>
      <c r="B841" s="6">
        <f>'Утв. ИП 2014-2019'!B843</f>
        <v>0</v>
      </c>
      <c r="C841" s="7" t="str">
        <f>'Утв. ИП 2014-2019'!C843</f>
        <v>строительство</v>
      </c>
      <c r="D841" s="8"/>
      <c r="E841" s="8"/>
      <c r="F841" s="8"/>
      <c r="G841" s="8"/>
      <c r="H841" s="8"/>
      <c r="I841" s="8"/>
      <c r="J841" s="23"/>
      <c r="K841" s="170"/>
      <c r="L841" s="170"/>
      <c r="M841" s="170"/>
      <c r="N841" s="170"/>
      <c r="O841" s="170"/>
      <c r="P841" s="170"/>
      <c r="Q841" s="170"/>
      <c r="R841" s="166"/>
      <c r="S841" s="167"/>
      <c r="T841" s="168"/>
      <c r="U841" s="167"/>
      <c r="V841" s="168"/>
      <c r="W841" s="169"/>
      <c r="X841" s="168"/>
      <c r="Y841" s="169"/>
      <c r="Z841" s="168"/>
      <c r="AA841" s="169"/>
      <c r="AB841" s="168"/>
      <c r="AC841" s="169"/>
      <c r="AE841" s="133"/>
    </row>
    <row r="842" spans="1:31" ht="51" hidden="1" outlineLevel="1" collapsed="1" x14ac:dyDescent="0.2">
      <c r="A842" s="25" t="str">
        <f>'Утв. ИП 2014-2019'!A844</f>
        <v>1.1.6.3.39/10</v>
      </c>
      <c r="B842" s="6" t="str">
        <f>'Утв. ИП 2014-2019'!B844</f>
        <v>3.2.201</v>
      </c>
      <c r="C842" s="7" t="str">
        <f>'Утв. ИП 2014-2019'!C844</f>
        <v>Электроснабжение садового домика в СНТ "Монтажник" уч. № 1051, запитанного от вновь смонтированной КТП по инвестиционной программе ОАО "ЛГЭК"; 15 кВт, 380 В, 3 категория</v>
      </c>
      <c r="D842" s="8" t="str">
        <f>'Утв. ИП 2014-2019'!K844</f>
        <v>0,1 км/ 0 МВА</v>
      </c>
      <c r="E842" s="8"/>
      <c r="F842" s="8"/>
      <c r="G842" s="8"/>
      <c r="H842" s="8"/>
      <c r="I842" s="8"/>
      <c r="J842" s="23" t="str">
        <f>'Утв. ИП 2014-2019'!Q844</f>
        <v>0,1 км/ 0 МВА</v>
      </c>
      <c r="K842" s="170"/>
      <c r="L842" s="170"/>
      <c r="M842" s="170"/>
      <c r="N842" s="170"/>
      <c r="O842" s="170"/>
      <c r="P842" s="170"/>
      <c r="Q842" s="170"/>
      <c r="R842" s="136"/>
      <c r="S842" s="137"/>
      <c r="T842" s="128"/>
      <c r="U842" s="137"/>
      <c r="V842" s="128"/>
      <c r="W842" s="49"/>
      <c r="X842" s="128"/>
      <c r="Y842" s="49"/>
      <c r="Z842" s="128"/>
      <c r="AA842" s="49"/>
      <c r="AB842" s="128"/>
      <c r="AC842" s="49"/>
      <c r="AE842" s="133"/>
    </row>
    <row r="843" spans="1:31" ht="15.75" hidden="1" outlineLevel="2" x14ac:dyDescent="0.2">
      <c r="A843" s="25">
        <f>'Утв. ИП 2014-2019'!A845</f>
        <v>0</v>
      </c>
      <c r="B843" s="6">
        <f>'Утв. ИП 2014-2019'!B845</f>
        <v>0</v>
      </c>
      <c r="C843" s="7" t="str">
        <f>'Утв. ИП 2014-2019'!C845</f>
        <v>реконструкция</v>
      </c>
      <c r="D843" s="8"/>
      <c r="E843" s="8"/>
      <c r="F843" s="8"/>
      <c r="G843" s="8"/>
      <c r="H843" s="8"/>
      <c r="I843" s="8"/>
      <c r="J843" s="23"/>
      <c r="K843" s="170"/>
      <c r="L843" s="170"/>
      <c r="M843" s="170"/>
      <c r="N843" s="170"/>
      <c r="O843" s="170"/>
      <c r="P843" s="170"/>
      <c r="Q843" s="170"/>
      <c r="R843" s="136"/>
      <c r="S843" s="137"/>
      <c r="T843" s="128"/>
      <c r="U843" s="137"/>
      <c r="V843" s="128"/>
      <c r="W843" s="49"/>
      <c r="X843" s="128"/>
      <c r="Y843" s="49"/>
      <c r="Z843" s="128"/>
      <c r="AA843" s="49"/>
      <c r="AB843" s="128"/>
      <c r="AC843" s="49"/>
      <c r="AE843" s="133"/>
    </row>
    <row r="844" spans="1:31" ht="15.75" hidden="1" outlineLevel="2" x14ac:dyDescent="0.2">
      <c r="A844" s="25">
        <f>'Утв. ИП 2014-2019'!A846</f>
        <v>0</v>
      </c>
      <c r="B844" s="6">
        <f>'Утв. ИП 2014-2019'!B846</f>
        <v>0</v>
      </c>
      <c r="C844" s="7" t="str">
        <f>'Утв. ИП 2014-2019'!C846</f>
        <v>строительство</v>
      </c>
      <c r="D844" s="8"/>
      <c r="E844" s="8"/>
      <c r="F844" s="8"/>
      <c r="G844" s="8"/>
      <c r="H844" s="8"/>
      <c r="I844" s="8"/>
      <c r="J844" s="23"/>
      <c r="K844" s="170"/>
      <c r="L844" s="170"/>
      <c r="M844" s="170"/>
      <c r="N844" s="170"/>
      <c r="O844" s="170"/>
      <c r="P844" s="170"/>
      <c r="Q844" s="170"/>
      <c r="R844" s="136"/>
      <c r="S844" s="137"/>
      <c r="T844" s="128"/>
      <c r="U844" s="137"/>
      <c r="V844" s="128"/>
      <c r="W844" s="49"/>
      <c r="X844" s="128"/>
      <c r="Y844" s="49"/>
      <c r="Z844" s="128"/>
      <c r="AA844" s="49"/>
      <c r="AB844" s="128"/>
      <c r="AC844" s="49"/>
      <c r="AE844" s="133"/>
    </row>
    <row r="845" spans="1:31" ht="38.25" hidden="1" outlineLevel="1" collapsed="1" x14ac:dyDescent="0.2">
      <c r="A845" s="25" t="str">
        <f>'Утв. ИП 2014-2019'!A847</f>
        <v>1.1.6.3.46/10</v>
      </c>
      <c r="B845" s="6" t="str">
        <f>'Утв. ИП 2014-2019'!B847</f>
        <v>3.2.202</v>
      </c>
      <c r="C845" s="7" t="str">
        <f>'Утв. ИП 2014-2019'!C847</f>
        <v>Строительство ВЛ-0,4 кВ от ближайшей опоры ВЛ-0,4 кВ, смонтированной по п. 1.1.6.3.1.1/10, до земельного участка № 648 в с/о "Сокол-2"</v>
      </c>
      <c r="D845" s="8" t="str">
        <f>'Утв. ИП 2014-2019'!K847</f>
        <v>0,2 км/ 0 МВА</v>
      </c>
      <c r="E845" s="8"/>
      <c r="F845" s="8"/>
      <c r="G845" s="8"/>
      <c r="H845" s="8"/>
      <c r="I845" s="8"/>
      <c r="J845" s="23" t="str">
        <f>'Утв. ИП 2014-2019'!Q847</f>
        <v>0,2 км/ 0 МВА</v>
      </c>
      <c r="K845" s="170"/>
      <c r="L845" s="170"/>
      <c r="M845" s="170"/>
      <c r="N845" s="170"/>
      <c r="O845" s="170"/>
      <c r="P845" s="170"/>
      <c r="Q845" s="170"/>
      <c r="R845" s="136"/>
      <c r="S845" s="137"/>
      <c r="T845" s="128"/>
      <c r="U845" s="137"/>
      <c r="V845" s="128"/>
      <c r="W845" s="49"/>
      <c r="X845" s="128"/>
      <c r="Y845" s="49"/>
      <c r="Z845" s="128"/>
      <c r="AA845" s="49"/>
      <c r="AB845" s="128"/>
      <c r="AC845" s="49"/>
      <c r="AE845" s="133"/>
    </row>
    <row r="846" spans="1:31" ht="15.75" hidden="1" outlineLevel="2" x14ac:dyDescent="0.2">
      <c r="A846" s="25">
        <f>'Утв. ИП 2014-2019'!A848</f>
        <v>0</v>
      </c>
      <c r="B846" s="6">
        <f>'Утв. ИП 2014-2019'!B848</f>
        <v>0</v>
      </c>
      <c r="C846" s="7" t="str">
        <f>'Утв. ИП 2014-2019'!C848</f>
        <v>реконструкция</v>
      </c>
      <c r="D846" s="8"/>
      <c r="E846" s="8"/>
      <c r="F846" s="8"/>
      <c r="G846" s="8"/>
      <c r="H846" s="8"/>
      <c r="I846" s="8"/>
      <c r="J846" s="23"/>
      <c r="K846" s="170"/>
      <c r="L846" s="170"/>
      <c r="M846" s="170"/>
      <c r="N846" s="170"/>
      <c r="O846" s="170"/>
      <c r="P846" s="170"/>
      <c r="Q846" s="170"/>
      <c r="R846" s="136"/>
      <c r="S846" s="137"/>
      <c r="T846" s="128"/>
      <c r="U846" s="137"/>
      <c r="V846" s="128"/>
      <c r="W846" s="49"/>
      <c r="X846" s="128"/>
      <c r="Y846" s="49"/>
      <c r="Z846" s="128"/>
      <c r="AA846" s="49"/>
      <c r="AB846" s="128"/>
      <c r="AC846" s="49"/>
      <c r="AE846" s="133"/>
    </row>
    <row r="847" spans="1:31" ht="15.75" hidden="1" outlineLevel="2" x14ac:dyDescent="0.2">
      <c r="A847" s="25">
        <f>'Утв. ИП 2014-2019'!A849</f>
        <v>0</v>
      </c>
      <c r="B847" s="6">
        <f>'Утв. ИП 2014-2019'!B849</f>
        <v>0</v>
      </c>
      <c r="C847" s="7" t="str">
        <f>'Утв. ИП 2014-2019'!C849</f>
        <v>строительство</v>
      </c>
      <c r="D847" s="8"/>
      <c r="E847" s="8"/>
      <c r="F847" s="8"/>
      <c r="G847" s="8"/>
      <c r="H847" s="8"/>
      <c r="I847" s="8"/>
      <c r="J847" s="23"/>
      <c r="K847" s="170"/>
      <c r="L847" s="170"/>
      <c r="M847" s="170"/>
      <c r="N847" s="170"/>
      <c r="O847" s="170"/>
      <c r="P847" s="170"/>
      <c r="Q847" s="170"/>
      <c r="R847" s="136"/>
      <c r="S847" s="137"/>
      <c r="T847" s="128"/>
      <c r="U847" s="137"/>
      <c r="V847" s="128"/>
      <c r="W847" s="49"/>
      <c r="X847" s="128"/>
      <c r="Y847" s="49"/>
      <c r="Z847" s="128"/>
      <c r="AA847" s="49"/>
      <c r="AB847" s="128"/>
      <c r="AC847" s="49"/>
      <c r="AE847" s="133"/>
    </row>
    <row r="848" spans="1:31" ht="38.25" hidden="1" outlineLevel="1" collapsed="1" x14ac:dyDescent="0.2">
      <c r="A848" s="25" t="str">
        <f>'Утв. ИП 2014-2019'!A850</f>
        <v>1.1.6.3.55/10</v>
      </c>
      <c r="B848" s="6" t="str">
        <f>'Утв. ИП 2014-2019'!B850</f>
        <v>3.2.203</v>
      </c>
      <c r="C848" s="7" t="str">
        <f>'Утв. ИП 2014-2019'!C850</f>
        <v>Электроснабжение индивидуального жилого дома усадебного типа с хозяйственными постройками по ул. Свердлова, № 3 (по схеме), запитанного от КТП-465; 5 кВт, 220 В, 3 категория</v>
      </c>
      <c r="D848" s="8" t="str">
        <f>'Утв. ИП 2014-2019'!K850</f>
        <v>0,1 км/ 0 МВА</v>
      </c>
      <c r="E848" s="8"/>
      <c r="F848" s="8"/>
      <c r="G848" s="8"/>
      <c r="H848" s="8"/>
      <c r="I848" s="8"/>
      <c r="J848" s="23" t="str">
        <f>'Утв. ИП 2014-2019'!Q850</f>
        <v>0,1 км/ 0 МВА</v>
      </c>
      <c r="K848" s="170"/>
      <c r="L848" s="170"/>
      <c r="M848" s="170"/>
      <c r="N848" s="170"/>
      <c r="O848" s="170"/>
      <c r="P848" s="170"/>
      <c r="Q848" s="170"/>
      <c r="R848" s="166"/>
      <c r="S848" s="167"/>
      <c r="T848" s="168"/>
      <c r="U848" s="167"/>
      <c r="V848" s="168"/>
      <c r="W848" s="169"/>
      <c r="X848" s="168"/>
      <c r="Y848" s="169"/>
      <c r="Z848" s="168"/>
      <c r="AA848" s="169"/>
      <c r="AB848" s="168"/>
      <c r="AC848" s="169"/>
      <c r="AE848" s="133"/>
    </row>
    <row r="849" spans="1:31" ht="15.75" hidden="1" outlineLevel="2" x14ac:dyDescent="0.2">
      <c r="A849" s="25">
        <f>'Утв. ИП 2014-2019'!A851</f>
        <v>0</v>
      </c>
      <c r="B849" s="6">
        <f>'Утв. ИП 2014-2019'!B851</f>
        <v>0</v>
      </c>
      <c r="C849" s="7" t="str">
        <f>'Утв. ИП 2014-2019'!C851</f>
        <v>реконструкция</v>
      </c>
      <c r="D849" s="8"/>
      <c r="E849" s="8"/>
      <c r="F849" s="8"/>
      <c r="G849" s="8"/>
      <c r="H849" s="8"/>
      <c r="I849" s="8"/>
      <c r="J849" s="23"/>
      <c r="K849" s="170"/>
      <c r="L849" s="170"/>
      <c r="M849" s="170"/>
      <c r="N849" s="170"/>
      <c r="O849" s="170"/>
      <c r="P849" s="170"/>
      <c r="Q849" s="170"/>
      <c r="R849" s="166"/>
      <c r="S849" s="167"/>
      <c r="T849" s="168"/>
      <c r="U849" s="167"/>
      <c r="V849" s="168"/>
      <c r="W849" s="169"/>
      <c r="X849" s="168"/>
      <c r="Y849" s="169"/>
      <c r="Z849" s="168"/>
      <c r="AA849" s="169"/>
      <c r="AB849" s="168"/>
      <c r="AC849" s="169"/>
      <c r="AE849" s="133"/>
    </row>
    <row r="850" spans="1:31" ht="15.75" hidden="1" outlineLevel="2" x14ac:dyDescent="0.2">
      <c r="A850" s="25">
        <f>'Утв. ИП 2014-2019'!A852</f>
        <v>0</v>
      </c>
      <c r="B850" s="6">
        <f>'Утв. ИП 2014-2019'!B852</f>
        <v>0</v>
      </c>
      <c r="C850" s="7" t="str">
        <f>'Утв. ИП 2014-2019'!C852</f>
        <v>строительство</v>
      </c>
      <c r="D850" s="8"/>
      <c r="E850" s="8"/>
      <c r="F850" s="8"/>
      <c r="G850" s="8"/>
      <c r="H850" s="8"/>
      <c r="I850" s="8"/>
      <c r="J850" s="23"/>
      <c r="K850" s="170"/>
      <c r="L850" s="170"/>
      <c r="M850" s="170"/>
      <c r="N850" s="170"/>
      <c r="O850" s="170"/>
      <c r="P850" s="170"/>
      <c r="Q850" s="170"/>
      <c r="R850" s="166"/>
      <c r="S850" s="167"/>
      <c r="T850" s="168"/>
      <c r="U850" s="167"/>
      <c r="V850" s="168"/>
      <c r="W850" s="169"/>
      <c r="X850" s="168"/>
      <c r="Y850" s="169"/>
      <c r="Z850" s="168"/>
      <c r="AA850" s="169"/>
      <c r="AB850" s="168"/>
      <c r="AC850" s="169"/>
      <c r="AE850" s="133"/>
    </row>
    <row r="851" spans="1:31" ht="51" hidden="1" outlineLevel="1" collapsed="1" x14ac:dyDescent="0.2">
      <c r="A851" s="25" t="str">
        <f>'Утв. ИП 2014-2019'!A853</f>
        <v>1.1.6.3.61/10</v>
      </c>
      <c r="B851" s="6" t="str">
        <f>'Утв. ИП 2014-2019'!B853</f>
        <v>3.2.204</v>
      </c>
      <c r="C851" s="7" t="str">
        <f>'Утв. ИП 2014-2019'!C853</f>
        <v>Строительство КЛ-0,4 кВ от ТП-41 до нежилого помещения № 2 дома № 65 по ул. Плеханова для объекта технологического присоединения: "Электроснабжение нежилого помещения № 2 по ул. Плеханова, д. 65"</v>
      </c>
      <c r="D851" s="8" t="str">
        <f>'Утв. ИП 2014-2019'!K853</f>
        <v>0,1 км/ 0 МВА</v>
      </c>
      <c r="E851" s="8"/>
      <c r="F851" s="8"/>
      <c r="G851" s="8"/>
      <c r="H851" s="8"/>
      <c r="I851" s="8"/>
      <c r="J851" s="23" t="str">
        <f>'Утв. ИП 2014-2019'!Q853</f>
        <v>0,1 км/ 0 МВА</v>
      </c>
      <c r="K851" s="170"/>
      <c r="L851" s="170"/>
      <c r="M851" s="170"/>
      <c r="N851" s="170"/>
      <c r="O851" s="170"/>
      <c r="P851" s="170"/>
      <c r="Q851" s="170"/>
      <c r="R851" s="136"/>
      <c r="S851" s="137"/>
      <c r="T851" s="128"/>
      <c r="U851" s="137"/>
      <c r="V851" s="128"/>
      <c r="W851" s="49"/>
      <c r="X851" s="128"/>
      <c r="Y851" s="49"/>
      <c r="Z851" s="128"/>
      <c r="AA851" s="49"/>
      <c r="AB851" s="128"/>
      <c r="AC851" s="49"/>
      <c r="AE851" s="133"/>
    </row>
    <row r="852" spans="1:31" ht="15.75" hidden="1" outlineLevel="2" x14ac:dyDescent="0.2">
      <c r="A852" s="25">
        <f>'Утв. ИП 2014-2019'!A854</f>
        <v>0</v>
      </c>
      <c r="B852" s="6">
        <f>'Утв. ИП 2014-2019'!B854</f>
        <v>0</v>
      </c>
      <c r="C852" s="7" t="str">
        <f>'Утв. ИП 2014-2019'!C854</f>
        <v>реконструкция</v>
      </c>
      <c r="D852" s="8"/>
      <c r="E852" s="8"/>
      <c r="F852" s="8"/>
      <c r="G852" s="8"/>
      <c r="H852" s="8"/>
      <c r="I852" s="8"/>
      <c r="J852" s="23"/>
      <c r="K852" s="170"/>
      <c r="L852" s="170"/>
      <c r="M852" s="170"/>
      <c r="N852" s="170"/>
      <c r="O852" s="170"/>
      <c r="P852" s="170"/>
      <c r="Q852" s="170"/>
      <c r="R852" s="136"/>
      <c r="S852" s="137"/>
      <c r="T852" s="128"/>
      <c r="U852" s="137"/>
      <c r="V852" s="128"/>
      <c r="W852" s="49"/>
      <c r="X852" s="128"/>
      <c r="Y852" s="49"/>
      <c r="Z852" s="128"/>
      <c r="AA852" s="49"/>
      <c r="AB852" s="128"/>
      <c r="AC852" s="49"/>
      <c r="AE852" s="133"/>
    </row>
    <row r="853" spans="1:31" ht="15.75" hidden="1" outlineLevel="2" x14ac:dyDescent="0.2">
      <c r="A853" s="25">
        <f>'Утв. ИП 2014-2019'!A855</f>
        <v>0</v>
      </c>
      <c r="B853" s="6">
        <f>'Утв. ИП 2014-2019'!B855</f>
        <v>0</v>
      </c>
      <c r="C853" s="7" t="str">
        <f>'Утв. ИП 2014-2019'!C855</f>
        <v>строительство</v>
      </c>
      <c r="D853" s="8"/>
      <c r="E853" s="8"/>
      <c r="F853" s="8"/>
      <c r="G853" s="8"/>
      <c r="H853" s="8"/>
      <c r="I853" s="8"/>
      <c r="J853" s="23"/>
      <c r="K853" s="170"/>
      <c r="L853" s="170"/>
      <c r="M853" s="170"/>
      <c r="N853" s="170"/>
      <c r="O853" s="170"/>
      <c r="P853" s="170"/>
      <c r="Q853" s="170"/>
      <c r="R853" s="136"/>
      <c r="S853" s="137"/>
      <c r="T853" s="128"/>
      <c r="U853" s="137"/>
      <c r="V853" s="128"/>
      <c r="W853" s="49"/>
      <c r="X853" s="128"/>
      <c r="Y853" s="49"/>
      <c r="Z853" s="128"/>
      <c r="AA853" s="49"/>
      <c r="AB853" s="128"/>
      <c r="AC853" s="49"/>
      <c r="AE853" s="133"/>
    </row>
    <row r="854" spans="1:31" ht="38.25" hidden="1" outlineLevel="1" collapsed="1" x14ac:dyDescent="0.2">
      <c r="A854" s="25" t="str">
        <f>'Утв. ИП 2014-2019'!A856</f>
        <v>1.1.5.3.42/13</v>
      </c>
      <c r="B854" s="6" t="str">
        <f>'Утв. ИП 2014-2019'!B856</f>
        <v>3.2.205</v>
      </c>
      <c r="C854" s="7" t="str">
        <f>'Утв. ИП 2014-2019'!C856</f>
        <v>Реконструкция ВЛ-0,4 кВ, смонтированной по п. 1.1.6.3.13/10 ППР, от КТП-412 для электроснабжения жилого дома по адресу: г. Липецк, ул. Римского-Корсакова, д. 22</v>
      </c>
      <c r="D854" s="8"/>
      <c r="E854" s="8" t="str">
        <f>'Утв. ИП 2014-2019'!L856</f>
        <v>0,1 км/ 0 МВА</v>
      </c>
      <c r="F854" s="8"/>
      <c r="G854" s="8"/>
      <c r="H854" s="8"/>
      <c r="I854" s="8"/>
      <c r="J854" s="23" t="str">
        <f>'Утв. ИП 2014-2019'!Q856</f>
        <v>0,1 км/ 0 МВА</v>
      </c>
      <c r="K854" s="170"/>
      <c r="L854" s="23" t="s">
        <v>1418</v>
      </c>
      <c r="M854" s="170"/>
      <c r="N854" s="170"/>
      <c r="O854" s="170"/>
      <c r="P854" s="170"/>
      <c r="Q854" s="23" t="s">
        <v>1418</v>
      </c>
      <c r="R854" s="136"/>
      <c r="S854" s="137"/>
      <c r="T854" s="128">
        <v>0.1</v>
      </c>
      <c r="U854" s="137"/>
      <c r="V854" s="128"/>
      <c r="W854" s="49"/>
      <c r="X854" s="128"/>
      <c r="Y854" s="49"/>
      <c r="Z854" s="128"/>
      <c r="AA854" s="49"/>
      <c r="AB854" s="128"/>
      <c r="AC854" s="49"/>
      <c r="AE854" s="133"/>
    </row>
    <row r="855" spans="1:31" ht="15.75" hidden="1" outlineLevel="2" x14ac:dyDescent="0.2">
      <c r="A855" s="25">
        <f>'Утв. ИП 2014-2019'!A857</f>
        <v>0</v>
      </c>
      <c r="B855" s="6">
        <f>'Утв. ИП 2014-2019'!B857</f>
        <v>0</v>
      </c>
      <c r="C855" s="7" t="str">
        <f>'Утв. ИП 2014-2019'!C857</f>
        <v>реконструкция</v>
      </c>
      <c r="D855" s="8"/>
      <c r="E855" s="8"/>
      <c r="F855" s="8"/>
      <c r="G855" s="8"/>
      <c r="H855" s="8"/>
      <c r="I855" s="8"/>
      <c r="J855" s="23"/>
      <c r="K855" s="170"/>
      <c r="L855" s="170"/>
      <c r="M855" s="170"/>
      <c r="N855" s="170"/>
      <c r="O855" s="170"/>
      <c r="P855" s="170"/>
      <c r="Q855" s="170"/>
      <c r="R855" s="136"/>
      <c r="S855" s="137"/>
      <c r="T855" s="128"/>
      <c r="U855" s="137"/>
      <c r="V855" s="128"/>
      <c r="W855" s="49"/>
      <c r="X855" s="128"/>
      <c r="Y855" s="49"/>
      <c r="Z855" s="128"/>
      <c r="AA855" s="49"/>
      <c r="AB855" s="128"/>
      <c r="AC855" s="49"/>
      <c r="AE855" s="133"/>
    </row>
    <row r="856" spans="1:31" ht="15.75" hidden="1" outlineLevel="2" x14ac:dyDescent="0.2">
      <c r="A856" s="25">
        <f>'Утв. ИП 2014-2019'!A858</f>
        <v>0</v>
      </c>
      <c r="B856" s="6">
        <f>'Утв. ИП 2014-2019'!B858</f>
        <v>0</v>
      </c>
      <c r="C856" s="7" t="str">
        <f>'Утв. ИП 2014-2019'!C858</f>
        <v>строительство</v>
      </c>
      <c r="D856" s="8"/>
      <c r="E856" s="8"/>
      <c r="F856" s="8"/>
      <c r="G856" s="8"/>
      <c r="H856" s="8"/>
      <c r="I856" s="8"/>
      <c r="J856" s="23"/>
      <c r="K856" s="170"/>
      <c r="L856" s="170"/>
      <c r="M856" s="170"/>
      <c r="N856" s="170"/>
      <c r="O856" s="170"/>
      <c r="P856" s="170"/>
      <c r="Q856" s="170"/>
      <c r="R856" s="136"/>
      <c r="S856" s="137"/>
      <c r="T856" s="128"/>
      <c r="U856" s="137"/>
      <c r="V856" s="128"/>
      <c r="W856" s="49"/>
      <c r="X856" s="128"/>
      <c r="Y856" s="49"/>
      <c r="Z856" s="128"/>
      <c r="AA856" s="49"/>
      <c r="AB856" s="128"/>
      <c r="AC856" s="49"/>
      <c r="AE856" s="133"/>
    </row>
    <row r="857" spans="1:31" ht="25.5" hidden="1" outlineLevel="1" collapsed="1" x14ac:dyDescent="0.2">
      <c r="A857" s="25" t="str">
        <f>'Утв. ИП 2014-2019'!A859</f>
        <v>1.1.5.3.47/13</v>
      </c>
      <c r="B857" s="6" t="str">
        <f>'Утв. ИП 2014-2019'!B859</f>
        <v>3.2.206</v>
      </c>
      <c r="C857" s="7" t="str">
        <f>'Утв. ИП 2014-2019'!C859</f>
        <v>Электроснабжение садовых домиков в СНТ "Машиностроитель"</v>
      </c>
      <c r="D857" s="8"/>
      <c r="E857" s="8" t="str">
        <f>'Утв. ИП 2014-2019'!L859</f>
        <v>0,3 км/ 0 МВА</v>
      </c>
      <c r="F857" s="8"/>
      <c r="G857" s="8"/>
      <c r="H857" s="8"/>
      <c r="I857" s="8"/>
      <c r="J857" s="23" t="str">
        <f>'Утв. ИП 2014-2019'!Q859</f>
        <v>0,3 км/ 0 МВА</v>
      </c>
      <c r="K857" s="170"/>
      <c r="L857" s="170"/>
      <c r="M857" s="170"/>
      <c r="N857" s="170"/>
      <c r="O857" s="170"/>
      <c r="P857" s="170"/>
      <c r="Q857" s="170"/>
      <c r="R857" s="136"/>
      <c r="S857" s="137"/>
      <c r="T857" s="128"/>
      <c r="U857" s="137"/>
      <c r="V857" s="128"/>
      <c r="W857" s="49"/>
      <c r="X857" s="128"/>
      <c r="Y857" s="49"/>
      <c r="Z857" s="128"/>
      <c r="AA857" s="49"/>
      <c r="AB857" s="128"/>
      <c r="AC857" s="49"/>
      <c r="AE857" s="133"/>
    </row>
    <row r="858" spans="1:31" ht="15.75" hidden="1" outlineLevel="2" x14ac:dyDescent="0.2">
      <c r="A858" s="25">
        <f>'Утв. ИП 2014-2019'!A860</f>
        <v>0</v>
      </c>
      <c r="B858" s="6">
        <f>'Утв. ИП 2014-2019'!B860</f>
        <v>0</v>
      </c>
      <c r="C858" s="7" t="str">
        <f>'Утв. ИП 2014-2019'!C860</f>
        <v>реконструкция</v>
      </c>
      <c r="D858" s="8"/>
      <c r="E858" s="8"/>
      <c r="F858" s="8"/>
      <c r="G858" s="8"/>
      <c r="H858" s="8"/>
      <c r="I858" s="8"/>
      <c r="J858" s="23"/>
      <c r="K858" s="170"/>
      <c r="L858" s="170"/>
      <c r="M858" s="170"/>
      <c r="N858" s="170"/>
      <c r="O858" s="170"/>
      <c r="P858" s="170"/>
      <c r="Q858" s="170"/>
      <c r="R858" s="136"/>
      <c r="S858" s="137"/>
      <c r="T858" s="128"/>
      <c r="U858" s="137"/>
      <c r="V858" s="128"/>
      <c r="W858" s="49"/>
      <c r="X858" s="128"/>
      <c r="Y858" s="49"/>
      <c r="Z858" s="128"/>
      <c r="AA858" s="49"/>
      <c r="AB858" s="128"/>
      <c r="AC858" s="49"/>
      <c r="AE858" s="133"/>
    </row>
    <row r="859" spans="1:31" ht="15.75" hidden="1" outlineLevel="2" x14ac:dyDescent="0.2">
      <c r="A859" s="25">
        <f>'Утв. ИП 2014-2019'!A861</f>
        <v>0</v>
      </c>
      <c r="B859" s="6">
        <f>'Утв. ИП 2014-2019'!B861</f>
        <v>0</v>
      </c>
      <c r="C859" s="7" t="str">
        <f>'Утв. ИП 2014-2019'!C861</f>
        <v>строительство</v>
      </c>
      <c r="D859" s="8"/>
      <c r="E859" s="8"/>
      <c r="F859" s="8"/>
      <c r="G859" s="8"/>
      <c r="H859" s="8"/>
      <c r="I859" s="8"/>
      <c r="J859" s="23"/>
      <c r="K859" s="170"/>
      <c r="L859" s="170"/>
      <c r="M859" s="170"/>
      <c r="N859" s="170"/>
      <c r="O859" s="170"/>
      <c r="P859" s="170"/>
      <c r="Q859" s="170"/>
      <c r="R859" s="136"/>
      <c r="S859" s="137"/>
      <c r="T859" s="128"/>
      <c r="U859" s="137"/>
      <c r="V859" s="128"/>
      <c r="W859" s="49"/>
      <c r="X859" s="128"/>
      <c r="Y859" s="49"/>
      <c r="Z859" s="128"/>
      <c r="AA859" s="49"/>
      <c r="AB859" s="128"/>
      <c r="AC859" s="49"/>
      <c r="AE859" s="133"/>
    </row>
    <row r="860" spans="1:31" ht="25.5" hidden="1" outlineLevel="1" collapsed="1" x14ac:dyDescent="0.2">
      <c r="A860" s="25" t="str">
        <f>'Утв. ИП 2014-2019'!A862</f>
        <v>1.1.5.3.48/13</v>
      </c>
      <c r="B860" s="6" t="str">
        <f>'Утв. ИП 2014-2019'!B862</f>
        <v>3.2.207</v>
      </c>
      <c r="C860" s="7" t="str">
        <f>'Утв. ИП 2014-2019'!C862</f>
        <v>Электроснабжение жилого дома по адресу: г. Липецк, ул. Передельческая, д. 20</v>
      </c>
      <c r="D860" s="8"/>
      <c r="E860" s="8" t="str">
        <f>'Утв. ИП 2014-2019'!L862</f>
        <v>0,5 км/ 0 МВА</v>
      </c>
      <c r="F860" s="8"/>
      <c r="G860" s="8"/>
      <c r="H860" s="8"/>
      <c r="I860" s="8"/>
      <c r="J860" s="23" t="str">
        <f>'Утв. ИП 2014-2019'!Q862</f>
        <v>0,5 км/ 0 МВА</v>
      </c>
      <c r="K860" s="170"/>
      <c r="L860" s="170"/>
      <c r="M860" s="170"/>
      <c r="N860" s="170"/>
      <c r="O860" s="170"/>
      <c r="P860" s="170"/>
      <c r="Q860" s="170"/>
      <c r="R860" s="136"/>
      <c r="S860" s="137"/>
      <c r="T860" s="128"/>
      <c r="U860" s="137"/>
      <c r="V860" s="128"/>
      <c r="W860" s="49"/>
      <c r="X860" s="128"/>
      <c r="Y860" s="49"/>
      <c r="Z860" s="128"/>
      <c r="AA860" s="49"/>
      <c r="AB860" s="128"/>
      <c r="AC860" s="49"/>
      <c r="AE860" s="133"/>
    </row>
    <row r="861" spans="1:31" ht="15.75" hidden="1" outlineLevel="2" x14ac:dyDescent="0.2">
      <c r="A861" s="25">
        <f>'Утв. ИП 2014-2019'!A863</f>
        <v>0</v>
      </c>
      <c r="B861" s="6">
        <f>'Утв. ИП 2014-2019'!B863</f>
        <v>0</v>
      </c>
      <c r="C861" s="7" t="str">
        <f>'Утв. ИП 2014-2019'!C863</f>
        <v>реконструкция</v>
      </c>
      <c r="D861" s="8"/>
      <c r="E861" s="8"/>
      <c r="F861" s="8"/>
      <c r="G861" s="8"/>
      <c r="H861" s="8"/>
      <c r="I861" s="8"/>
      <c r="J861" s="23"/>
      <c r="K861" s="170"/>
      <c r="L861" s="170"/>
      <c r="M861" s="170"/>
      <c r="N861" s="170"/>
      <c r="O861" s="170"/>
      <c r="P861" s="170"/>
      <c r="Q861" s="170"/>
      <c r="R861" s="136"/>
      <c r="S861" s="137"/>
      <c r="T861" s="128"/>
      <c r="U861" s="137"/>
      <c r="V861" s="128"/>
      <c r="W861" s="49"/>
      <c r="X861" s="128"/>
      <c r="Y861" s="49"/>
      <c r="Z861" s="128"/>
      <c r="AA861" s="49"/>
      <c r="AB861" s="128"/>
      <c r="AC861" s="49"/>
      <c r="AE861" s="133"/>
    </row>
    <row r="862" spans="1:31" ht="15.75" hidden="1" outlineLevel="2" x14ac:dyDescent="0.2">
      <c r="A862" s="25">
        <f>'Утв. ИП 2014-2019'!A864</f>
        <v>0</v>
      </c>
      <c r="B862" s="6">
        <f>'Утв. ИП 2014-2019'!B864</f>
        <v>0</v>
      </c>
      <c r="C862" s="7" t="str">
        <f>'Утв. ИП 2014-2019'!C864</f>
        <v>строительство</v>
      </c>
      <c r="D862" s="8"/>
      <c r="E862" s="8"/>
      <c r="F862" s="8"/>
      <c r="G862" s="8"/>
      <c r="H862" s="8"/>
      <c r="I862" s="8"/>
      <c r="J862" s="23"/>
      <c r="K862" s="170"/>
      <c r="L862" s="170"/>
      <c r="M862" s="170"/>
      <c r="N862" s="170"/>
      <c r="O862" s="170"/>
      <c r="P862" s="170"/>
      <c r="Q862" s="170"/>
      <c r="R862" s="136"/>
      <c r="S862" s="137"/>
      <c r="T862" s="128"/>
      <c r="U862" s="137"/>
      <c r="V862" s="128"/>
      <c r="W862" s="49"/>
      <c r="X862" s="128"/>
      <c r="Y862" s="49"/>
      <c r="Z862" s="128"/>
      <c r="AA862" s="49"/>
      <c r="AB862" s="128"/>
      <c r="AC862" s="49"/>
      <c r="AE862" s="133"/>
    </row>
    <row r="863" spans="1:31" ht="25.5" hidden="1" outlineLevel="1" collapsed="1" x14ac:dyDescent="0.2">
      <c r="A863" s="25" t="str">
        <f>'Утв. ИП 2014-2019'!A865</f>
        <v>1.1.5.3.49/13</v>
      </c>
      <c r="B863" s="6" t="str">
        <f>'Утв. ИП 2014-2019'!B865</f>
        <v>3.2.208</v>
      </c>
      <c r="C863" s="7" t="str">
        <f>'Утв. ИП 2014-2019'!C865</f>
        <v>Электроснабжение кирпичного гаража № 2415 с погребом по адресу: г. Липецк, район овощной базы по проезд Базовый</v>
      </c>
      <c r="D863" s="8" t="str">
        <f>'Утв. ИП 2014-2019'!K865</f>
        <v>0,1 км/ 0 МВА</v>
      </c>
      <c r="E863" s="8"/>
      <c r="F863" s="8"/>
      <c r="G863" s="8"/>
      <c r="H863" s="8"/>
      <c r="I863" s="8"/>
      <c r="J863" s="23" t="str">
        <f>'Утв. ИП 2014-2019'!Q865</f>
        <v>0,1 км/ 0 МВА</v>
      </c>
      <c r="K863" s="170"/>
      <c r="L863" s="170"/>
      <c r="M863" s="170"/>
      <c r="N863" s="170"/>
      <c r="O863" s="170"/>
      <c r="P863" s="170"/>
      <c r="Q863" s="170"/>
      <c r="R863" s="166"/>
      <c r="S863" s="167"/>
      <c r="T863" s="168"/>
      <c r="U863" s="167"/>
      <c r="V863" s="168"/>
      <c r="W863" s="169"/>
      <c r="X863" s="168"/>
      <c r="Y863" s="169"/>
      <c r="Z863" s="168"/>
      <c r="AA863" s="169"/>
      <c r="AB863" s="168"/>
      <c r="AC863" s="169"/>
      <c r="AE863" s="133"/>
    </row>
    <row r="864" spans="1:31" ht="15.75" hidden="1" outlineLevel="2" x14ac:dyDescent="0.2">
      <c r="A864" s="25">
        <f>'Утв. ИП 2014-2019'!A866</f>
        <v>0</v>
      </c>
      <c r="B864" s="6">
        <f>'Утв. ИП 2014-2019'!B866</f>
        <v>0</v>
      </c>
      <c r="C864" s="7" t="str">
        <f>'Утв. ИП 2014-2019'!C866</f>
        <v>реконструкция</v>
      </c>
      <c r="D864" s="8"/>
      <c r="E864" s="8"/>
      <c r="F864" s="8"/>
      <c r="G864" s="8"/>
      <c r="H864" s="8"/>
      <c r="I864" s="8"/>
      <c r="J864" s="23"/>
      <c r="K864" s="170"/>
      <c r="L864" s="170"/>
      <c r="M864" s="170"/>
      <c r="N864" s="170"/>
      <c r="O864" s="170"/>
      <c r="P864" s="170"/>
      <c r="Q864" s="170"/>
      <c r="R864" s="166"/>
      <c r="S864" s="167"/>
      <c r="T864" s="168"/>
      <c r="U864" s="167"/>
      <c r="V864" s="168"/>
      <c r="W864" s="169"/>
      <c r="X864" s="168"/>
      <c r="Y864" s="169"/>
      <c r="Z864" s="168"/>
      <c r="AA864" s="169"/>
      <c r="AB864" s="168"/>
      <c r="AC864" s="169"/>
      <c r="AE864" s="133"/>
    </row>
    <row r="865" spans="1:31" ht="15.75" hidden="1" outlineLevel="2" x14ac:dyDescent="0.2">
      <c r="A865" s="25">
        <f>'Утв. ИП 2014-2019'!A867</f>
        <v>0</v>
      </c>
      <c r="B865" s="6">
        <f>'Утв. ИП 2014-2019'!B867</f>
        <v>0</v>
      </c>
      <c r="C865" s="7" t="str">
        <f>'Утв. ИП 2014-2019'!C867</f>
        <v>строительство</v>
      </c>
      <c r="D865" s="8"/>
      <c r="E865" s="8"/>
      <c r="F865" s="8"/>
      <c r="G865" s="8"/>
      <c r="H865" s="8"/>
      <c r="I865" s="8"/>
      <c r="J865" s="23"/>
      <c r="K865" s="170"/>
      <c r="L865" s="170"/>
      <c r="M865" s="170"/>
      <c r="N865" s="170"/>
      <c r="O865" s="170"/>
      <c r="P865" s="170"/>
      <c r="Q865" s="170"/>
      <c r="R865" s="166"/>
      <c r="S865" s="167"/>
      <c r="T865" s="168"/>
      <c r="U865" s="167"/>
      <c r="V865" s="168"/>
      <c r="W865" s="169"/>
      <c r="X865" s="168"/>
      <c r="Y865" s="169"/>
      <c r="Z865" s="168"/>
      <c r="AA865" s="169"/>
      <c r="AB865" s="168"/>
      <c r="AC865" s="169"/>
      <c r="AE865" s="133"/>
    </row>
    <row r="866" spans="1:31" ht="38.25" hidden="1" outlineLevel="1" collapsed="1" x14ac:dyDescent="0.2">
      <c r="A866" s="25" t="str">
        <f>'Утв. ИП 2014-2019'!A868</f>
        <v>1.1.5.3.50/13</v>
      </c>
      <c r="B866" s="6" t="str">
        <f>'Утв. ИП 2014-2019'!B868</f>
        <v>3.2.209</v>
      </c>
      <c r="C866" s="7" t="str">
        <f>'Утв. ИП 2014-2019'!C868</f>
        <v>Реконструкция ВЛ-0,4 кВ от КТП, смонтированных по п. 1.1.6.2.2/11 ППР, для электроснабжения садового домика по адресу: г. Липецк, СНП "Спутник", I массив, участок № 188</v>
      </c>
      <c r="D866" s="8" t="str">
        <f>'Утв. ИП 2014-2019'!K868</f>
        <v>0,1 км/ 0 МВА</v>
      </c>
      <c r="E866" s="8"/>
      <c r="F866" s="8"/>
      <c r="G866" s="8"/>
      <c r="H866" s="8"/>
      <c r="I866" s="8"/>
      <c r="J866" s="23" t="str">
        <f>'Утв. ИП 2014-2019'!Q868</f>
        <v>0,1 км/ 0 МВА</v>
      </c>
      <c r="K866" s="23" t="s">
        <v>1418</v>
      </c>
      <c r="L866" s="170"/>
      <c r="M866" s="170"/>
      <c r="N866" s="170"/>
      <c r="O866" s="170"/>
      <c r="P866" s="170"/>
      <c r="Q866" s="23" t="s">
        <v>1418</v>
      </c>
      <c r="R866" s="136">
        <v>0.1</v>
      </c>
      <c r="S866" s="137"/>
      <c r="T866" s="128"/>
      <c r="U866" s="137"/>
      <c r="V866" s="128"/>
      <c r="W866" s="49"/>
      <c r="X866" s="128"/>
      <c r="Y866" s="49"/>
      <c r="Z866" s="128"/>
      <c r="AA866" s="49"/>
      <c r="AB866" s="128"/>
      <c r="AC866" s="49"/>
      <c r="AE866" s="133"/>
    </row>
    <row r="867" spans="1:31" ht="15.75" hidden="1" outlineLevel="2" x14ac:dyDescent="0.2">
      <c r="A867" s="25">
        <f>'Утв. ИП 2014-2019'!A869</f>
        <v>0</v>
      </c>
      <c r="B867" s="6">
        <f>'Утв. ИП 2014-2019'!B869</f>
        <v>0</v>
      </c>
      <c r="C867" s="7" t="str">
        <f>'Утв. ИП 2014-2019'!C869</f>
        <v>реконструкция</v>
      </c>
      <c r="D867" s="8"/>
      <c r="E867" s="8"/>
      <c r="F867" s="8"/>
      <c r="G867" s="8"/>
      <c r="H867" s="8"/>
      <c r="I867" s="8"/>
      <c r="J867" s="23"/>
      <c r="K867" s="170"/>
      <c r="L867" s="170"/>
      <c r="M867" s="170"/>
      <c r="N867" s="170"/>
      <c r="O867" s="170"/>
      <c r="P867" s="170"/>
      <c r="Q867" s="170"/>
      <c r="R867" s="136"/>
      <c r="S867" s="137"/>
      <c r="T867" s="128"/>
      <c r="U867" s="137"/>
      <c r="V867" s="128"/>
      <c r="W867" s="49"/>
      <c r="X867" s="128"/>
      <c r="Y867" s="49"/>
      <c r="Z867" s="128"/>
      <c r="AA867" s="49"/>
      <c r="AB867" s="128"/>
      <c r="AC867" s="49"/>
      <c r="AE867" s="133"/>
    </row>
    <row r="868" spans="1:31" ht="15.75" hidden="1" outlineLevel="2" x14ac:dyDescent="0.2">
      <c r="A868" s="25">
        <f>'Утв. ИП 2014-2019'!A870</f>
        <v>0</v>
      </c>
      <c r="B868" s="6">
        <f>'Утв. ИП 2014-2019'!B870</f>
        <v>0</v>
      </c>
      <c r="C868" s="7" t="str">
        <f>'Утв. ИП 2014-2019'!C870</f>
        <v>строительство</v>
      </c>
      <c r="D868" s="8"/>
      <c r="E868" s="8"/>
      <c r="F868" s="8"/>
      <c r="G868" s="8"/>
      <c r="H868" s="8"/>
      <c r="I868" s="8"/>
      <c r="J868" s="23"/>
      <c r="K868" s="170"/>
      <c r="L868" s="170"/>
      <c r="M868" s="170"/>
      <c r="N868" s="170"/>
      <c r="O868" s="170"/>
      <c r="P868" s="170"/>
      <c r="Q868" s="170"/>
      <c r="R868" s="136"/>
      <c r="S868" s="137"/>
      <c r="T868" s="128"/>
      <c r="U868" s="137"/>
      <c r="V868" s="128"/>
      <c r="W868" s="49"/>
      <c r="X868" s="128"/>
      <c r="Y868" s="49"/>
      <c r="Z868" s="128"/>
      <c r="AA868" s="49"/>
      <c r="AB868" s="128"/>
      <c r="AC868" s="49"/>
      <c r="AE868" s="133"/>
    </row>
    <row r="869" spans="1:31" ht="51" hidden="1" outlineLevel="1" collapsed="1" x14ac:dyDescent="0.2">
      <c r="A869" s="25" t="str">
        <f>'Утв. ИП 2014-2019'!A871</f>
        <v>1.1.5.3.51/13</v>
      </c>
      <c r="B869" s="6" t="str">
        <f>'Утв. ИП 2014-2019'!B871</f>
        <v>3.2.210</v>
      </c>
      <c r="C869" s="7" t="str">
        <f>'Утв. ИП 2014-2019'!C871</f>
        <v>Строительство КЛ-0,4 кВ от ТП-76 до жилого дома № 104 по ул. Гагарина для электроснабжения магазина непродовольственных товаров по адресу: г. Липецк, ул. Гагарина, д. 104, кв. 12</v>
      </c>
      <c r="D869" s="8" t="str">
        <f>'Утв. ИП 2014-2019'!K871</f>
        <v>0,15 км/ 0 МВА</v>
      </c>
      <c r="E869" s="8"/>
      <c r="F869" s="8"/>
      <c r="G869" s="8"/>
      <c r="H869" s="8"/>
      <c r="I869" s="8"/>
      <c r="J869" s="23" t="str">
        <f>'Утв. ИП 2014-2019'!Q871</f>
        <v>0,15 км/ 0 МВА</v>
      </c>
      <c r="K869" s="170"/>
      <c r="L869" s="170"/>
      <c r="M869" s="170"/>
      <c r="N869" s="170"/>
      <c r="O869" s="170"/>
      <c r="P869" s="170"/>
      <c r="Q869" s="170"/>
      <c r="R869" s="136"/>
      <c r="S869" s="137"/>
      <c r="T869" s="128"/>
      <c r="U869" s="137"/>
      <c r="V869" s="128"/>
      <c r="W869" s="49"/>
      <c r="X869" s="128"/>
      <c r="Y869" s="49"/>
      <c r="Z869" s="128"/>
      <c r="AA869" s="49"/>
      <c r="AB869" s="128"/>
      <c r="AC869" s="49"/>
      <c r="AE869" s="133"/>
    </row>
    <row r="870" spans="1:31" ht="15.75" hidden="1" outlineLevel="2" x14ac:dyDescent="0.2">
      <c r="A870" s="25">
        <f>'Утв. ИП 2014-2019'!A872</f>
        <v>0</v>
      </c>
      <c r="B870" s="6">
        <f>'Утв. ИП 2014-2019'!B872</f>
        <v>0</v>
      </c>
      <c r="C870" s="7" t="str">
        <f>'Утв. ИП 2014-2019'!C872</f>
        <v>реконструкция</v>
      </c>
      <c r="D870" s="8"/>
      <c r="E870" s="8"/>
      <c r="F870" s="8"/>
      <c r="G870" s="8"/>
      <c r="H870" s="8"/>
      <c r="I870" s="8"/>
      <c r="J870" s="23"/>
      <c r="K870" s="170"/>
      <c r="L870" s="170"/>
      <c r="M870" s="170"/>
      <c r="N870" s="170"/>
      <c r="O870" s="170"/>
      <c r="P870" s="170"/>
      <c r="Q870" s="170"/>
      <c r="R870" s="136"/>
      <c r="S870" s="137"/>
      <c r="T870" s="128"/>
      <c r="U870" s="137"/>
      <c r="V870" s="128"/>
      <c r="W870" s="49"/>
      <c r="X870" s="128"/>
      <c r="Y870" s="49"/>
      <c r="Z870" s="128"/>
      <c r="AA870" s="49"/>
      <c r="AB870" s="128"/>
      <c r="AC870" s="49"/>
      <c r="AE870" s="133"/>
    </row>
    <row r="871" spans="1:31" ht="15.75" hidden="1" outlineLevel="2" x14ac:dyDescent="0.2">
      <c r="A871" s="25">
        <f>'Утв. ИП 2014-2019'!A873</f>
        <v>0</v>
      </c>
      <c r="B871" s="6">
        <f>'Утв. ИП 2014-2019'!B873</f>
        <v>0</v>
      </c>
      <c r="C871" s="7" t="str">
        <f>'Утв. ИП 2014-2019'!C873</f>
        <v>строительство</v>
      </c>
      <c r="D871" s="8"/>
      <c r="E871" s="8"/>
      <c r="F871" s="8"/>
      <c r="G871" s="8"/>
      <c r="H871" s="8"/>
      <c r="I871" s="8"/>
      <c r="J871" s="23"/>
      <c r="K871" s="170"/>
      <c r="L871" s="170"/>
      <c r="M871" s="170"/>
      <c r="N871" s="170"/>
      <c r="O871" s="170"/>
      <c r="P871" s="170"/>
      <c r="Q871" s="170"/>
      <c r="R871" s="136"/>
      <c r="S871" s="137"/>
      <c r="T871" s="128"/>
      <c r="U871" s="137"/>
      <c r="V871" s="128"/>
      <c r="W871" s="49"/>
      <c r="X871" s="128"/>
      <c r="Y871" s="49"/>
      <c r="Z871" s="128"/>
      <c r="AA871" s="49"/>
      <c r="AB871" s="128"/>
      <c r="AC871" s="49"/>
      <c r="AE871" s="133"/>
    </row>
    <row r="872" spans="1:31" ht="51" hidden="1" outlineLevel="1" collapsed="1" x14ac:dyDescent="0.2">
      <c r="A872" s="25" t="str">
        <f>'Утв. ИП 2014-2019'!A874</f>
        <v>1.1.5.3.52/13</v>
      </c>
      <c r="B872" s="6" t="str">
        <f>'Утв. ИП 2014-2019'!B874</f>
        <v>3.2.211</v>
      </c>
      <c r="C872" s="7" t="str">
        <f>'Утв. ИП 2014-2019'!C874</f>
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699 а</v>
      </c>
      <c r="D872" s="8"/>
      <c r="E872" s="8" t="str">
        <f>'Утв. ИП 2014-2019'!L874</f>
        <v>0,12 км/ 0 МВА</v>
      </c>
      <c r="F872" s="8"/>
      <c r="G872" s="8"/>
      <c r="H872" s="8"/>
      <c r="I872" s="8"/>
      <c r="J872" s="23" t="str">
        <f>'Утв. ИП 2014-2019'!Q874</f>
        <v>0,12 км/ 0 МВА</v>
      </c>
      <c r="K872" s="170"/>
      <c r="L872" s="23" t="s">
        <v>1201</v>
      </c>
      <c r="M872" s="170"/>
      <c r="N872" s="170"/>
      <c r="O872" s="170"/>
      <c r="P872" s="170"/>
      <c r="Q872" s="23" t="s">
        <v>1201</v>
      </c>
      <c r="R872" s="136"/>
      <c r="S872" s="137"/>
      <c r="T872" s="128">
        <v>0.12</v>
      </c>
      <c r="U872" s="137"/>
      <c r="V872" s="128"/>
      <c r="W872" s="49"/>
      <c r="X872" s="128"/>
      <c r="Y872" s="49"/>
      <c r="Z872" s="128"/>
      <c r="AA872" s="49"/>
      <c r="AB872" s="128"/>
      <c r="AC872" s="49"/>
      <c r="AE872" s="133"/>
    </row>
    <row r="873" spans="1:31" ht="15.75" hidden="1" outlineLevel="2" x14ac:dyDescent="0.2">
      <c r="A873" s="25">
        <f>'Утв. ИП 2014-2019'!A875</f>
        <v>0</v>
      </c>
      <c r="B873" s="6">
        <f>'Утв. ИП 2014-2019'!B875</f>
        <v>0</v>
      </c>
      <c r="C873" s="7" t="str">
        <f>'Утв. ИП 2014-2019'!C875</f>
        <v>реконструкция</v>
      </c>
      <c r="D873" s="8"/>
      <c r="E873" s="8"/>
      <c r="F873" s="8"/>
      <c r="G873" s="8"/>
      <c r="H873" s="8"/>
      <c r="I873" s="8"/>
      <c r="J873" s="23"/>
      <c r="K873" s="170"/>
      <c r="L873" s="170"/>
      <c r="M873" s="170"/>
      <c r="N873" s="170"/>
      <c r="O873" s="170"/>
      <c r="P873" s="170"/>
      <c r="Q873" s="170"/>
      <c r="R873" s="136"/>
      <c r="S873" s="137"/>
      <c r="T873" s="128"/>
      <c r="U873" s="137"/>
      <c r="V873" s="128"/>
      <c r="W873" s="49"/>
      <c r="X873" s="128"/>
      <c r="Y873" s="49"/>
      <c r="Z873" s="128"/>
      <c r="AA873" s="49"/>
      <c r="AB873" s="128"/>
      <c r="AC873" s="49"/>
      <c r="AE873" s="133"/>
    </row>
    <row r="874" spans="1:31" ht="15.75" hidden="1" outlineLevel="2" x14ac:dyDescent="0.2">
      <c r="A874" s="25">
        <f>'Утв. ИП 2014-2019'!A876</f>
        <v>0</v>
      </c>
      <c r="B874" s="6">
        <f>'Утв. ИП 2014-2019'!B876</f>
        <v>0</v>
      </c>
      <c r="C874" s="7" t="str">
        <f>'Утв. ИП 2014-2019'!C876</f>
        <v>строительство</v>
      </c>
      <c r="D874" s="8"/>
      <c r="E874" s="8"/>
      <c r="F874" s="8"/>
      <c r="G874" s="8"/>
      <c r="H874" s="8"/>
      <c r="I874" s="8"/>
      <c r="J874" s="23"/>
      <c r="K874" s="170"/>
      <c r="L874" s="170"/>
      <c r="M874" s="170"/>
      <c r="N874" s="170"/>
      <c r="O874" s="170"/>
      <c r="P874" s="170"/>
      <c r="Q874" s="170"/>
      <c r="R874" s="136"/>
      <c r="S874" s="137"/>
      <c r="T874" s="128"/>
      <c r="U874" s="137"/>
      <c r="V874" s="128"/>
      <c r="W874" s="49"/>
      <c r="X874" s="128"/>
      <c r="Y874" s="49"/>
      <c r="Z874" s="128"/>
      <c r="AA874" s="49"/>
      <c r="AB874" s="128"/>
      <c r="AC874" s="49"/>
      <c r="AE874" s="133"/>
    </row>
    <row r="875" spans="1:31" ht="63.75" hidden="1" outlineLevel="1" collapsed="1" x14ac:dyDescent="0.2">
      <c r="A875" s="25" t="str">
        <f>'Утв. ИП 2014-2019'!A877</f>
        <v>1.1.5.3.53/13</v>
      </c>
      <c r="B875" s="6" t="str">
        <f>'Утв. ИП 2014-2019'!B877</f>
        <v>3.2.212</v>
      </c>
      <c r="C875" s="7" t="str">
        <f>'Утв. ИП 2014-2019'!C877</f>
        <v>Монтаж узла учета на опоре ВЛ-0,4 кВ в СНТ "Горняк", смонтированной по п. 1.1.6.3.45/10 ППР, от ТП-642 для электроснабжения садового домика по адресу: г. Липецк, СНТ "Горняк", зем. уч. № 12 а (кадастровый номер 48:20:011102:1683)</v>
      </c>
      <c r="D875" s="8"/>
      <c r="E875" s="8" t="str">
        <f>'Утв. ИП 2014-2019'!L877</f>
        <v>0,0 км/ 0 МВА</v>
      </c>
      <c r="F875" s="8"/>
      <c r="G875" s="8"/>
      <c r="H875" s="8"/>
      <c r="I875" s="8"/>
      <c r="J875" s="23" t="str">
        <f>'Утв. ИП 2014-2019'!Q877</f>
        <v>0,0 км/ 0 МВА</v>
      </c>
      <c r="K875" s="170"/>
      <c r="L875" s="170"/>
      <c r="M875" s="170"/>
      <c r="N875" s="170"/>
      <c r="O875" s="170"/>
      <c r="P875" s="170"/>
      <c r="Q875" s="170"/>
      <c r="R875" s="136"/>
      <c r="S875" s="137"/>
      <c r="T875" s="128"/>
      <c r="U875" s="137"/>
      <c r="V875" s="128"/>
      <c r="W875" s="49"/>
      <c r="X875" s="128"/>
      <c r="Y875" s="49"/>
      <c r="Z875" s="128"/>
      <c r="AA875" s="49"/>
      <c r="AB875" s="128"/>
      <c r="AC875" s="49"/>
      <c r="AE875" s="133"/>
    </row>
    <row r="876" spans="1:31" ht="15.75" hidden="1" outlineLevel="2" x14ac:dyDescent="0.2">
      <c r="A876" s="25">
        <f>'Утв. ИП 2014-2019'!A878</f>
        <v>0</v>
      </c>
      <c r="B876" s="6">
        <f>'Утв. ИП 2014-2019'!B878</f>
        <v>0</v>
      </c>
      <c r="C876" s="7" t="str">
        <f>'Утв. ИП 2014-2019'!C878</f>
        <v>реконструкция</v>
      </c>
      <c r="D876" s="8"/>
      <c r="E876" s="8"/>
      <c r="F876" s="8"/>
      <c r="G876" s="8"/>
      <c r="H876" s="8"/>
      <c r="I876" s="8"/>
      <c r="J876" s="23"/>
      <c r="K876" s="170"/>
      <c r="L876" s="170"/>
      <c r="M876" s="170"/>
      <c r="N876" s="170"/>
      <c r="O876" s="170"/>
      <c r="P876" s="170"/>
      <c r="Q876" s="170"/>
      <c r="R876" s="136"/>
      <c r="S876" s="137"/>
      <c r="T876" s="128"/>
      <c r="U876" s="137"/>
      <c r="V876" s="128"/>
      <c r="W876" s="49"/>
      <c r="X876" s="128"/>
      <c r="Y876" s="49"/>
      <c r="Z876" s="128"/>
      <c r="AA876" s="49"/>
      <c r="AB876" s="128"/>
      <c r="AC876" s="49"/>
      <c r="AE876" s="133"/>
    </row>
    <row r="877" spans="1:31" ht="15.75" hidden="1" outlineLevel="2" x14ac:dyDescent="0.2">
      <c r="A877" s="25">
        <f>'Утв. ИП 2014-2019'!A879</f>
        <v>0</v>
      </c>
      <c r="B877" s="6">
        <f>'Утв. ИП 2014-2019'!B879</f>
        <v>0</v>
      </c>
      <c r="C877" s="7" t="str">
        <f>'Утв. ИП 2014-2019'!C879</f>
        <v>строительство</v>
      </c>
      <c r="D877" s="8"/>
      <c r="E877" s="8"/>
      <c r="F877" s="8"/>
      <c r="G877" s="8"/>
      <c r="H877" s="8"/>
      <c r="I877" s="8"/>
      <c r="J877" s="23"/>
      <c r="K877" s="170"/>
      <c r="L877" s="170"/>
      <c r="M877" s="170"/>
      <c r="N877" s="170"/>
      <c r="O877" s="170"/>
      <c r="P877" s="170"/>
      <c r="Q877" s="170"/>
      <c r="R877" s="136"/>
      <c r="S877" s="137"/>
      <c r="T877" s="128"/>
      <c r="U877" s="137"/>
      <c r="V877" s="128"/>
      <c r="W877" s="49"/>
      <c r="X877" s="128"/>
      <c r="Y877" s="49"/>
      <c r="Z877" s="128"/>
      <c r="AA877" s="49"/>
      <c r="AB877" s="128"/>
      <c r="AC877" s="49"/>
      <c r="AE877" s="133"/>
    </row>
    <row r="878" spans="1:31" ht="25.5" hidden="1" outlineLevel="1" collapsed="1" x14ac:dyDescent="0.2">
      <c r="A878" s="25" t="str">
        <f>'Утв. ИП 2014-2019'!A880</f>
        <v>1.1.5.3.54/13</v>
      </c>
      <c r="B878" s="6" t="str">
        <f>'Утв. ИП 2014-2019'!B880</f>
        <v>3.2.213</v>
      </c>
      <c r="C878" s="7" t="str">
        <f>'Утв. ИП 2014-2019'!C880</f>
        <v>Электроснабжение жилого дома по адресу: г. Липецк, ул. Череповецкая, д. 4</v>
      </c>
      <c r="D878" s="8"/>
      <c r="E878" s="8" t="str">
        <f>'Утв. ИП 2014-2019'!L880</f>
        <v>0,5 км/ 0 МВА</v>
      </c>
      <c r="F878" s="8"/>
      <c r="G878" s="8"/>
      <c r="H878" s="8"/>
      <c r="I878" s="8"/>
      <c r="J878" s="23" t="str">
        <f>'Утв. ИП 2014-2019'!Q880</f>
        <v>0,5 км/ 0 МВА</v>
      </c>
      <c r="K878" s="170"/>
      <c r="L878" s="170"/>
      <c r="M878" s="170"/>
      <c r="N878" s="170"/>
      <c r="O878" s="170"/>
      <c r="P878" s="170"/>
      <c r="Q878" s="170"/>
      <c r="R878" s="166"/>
      <c r="S878" s="167"/>
      <c r="T878" s="168"/>
      <c r="U878" s="167"/>
      <c r="V878" s="168"/>
      <c r="W878" s="169"/>
      <c r="X878" s="168"/>
      <c r="Y878" s="169"/>
      <c r="Z878" s="168"/>
      <c r="AA878" s="169"/>
      <c r="AB878" s="168"/>
      <c r="AC878" s="169"/>
      <c r="AE878" s="133"/>
    </row>
    <row r="879" spans="1:31" ht="15.75" hidden="1" outlineLevel="2" x14ac:dyDescent="0.2">
      <c r="A879" s="25">
        <f>'Утв. ИП 2014-2019'!A881</f>
        <v>0</v>
      </c>
      <c r="B879" s="6">
        <f>'Утв. ИП 2014-2019'!B881</f>
        <v>0</v>
      </c>
      <c r="C879" s="7" t="str">
        <f>'Утв. ИП 2014-2019'!C881</f>
        <v>реконструкция</v>
      </c>
      <c r="D879" s="8"/>
      <c r="E879" s="8"/>
      <c r="F879" s="8"/>
      <c r="G879" s="8"/>
      <c r="H879" s="8"/>
      <c r="I879" s="8"/>
      <c r="J879" s="23"/>
      <c r="K879" s="170"/>
      <c r="L879" s="170"/>
      <c r="M879" s="170"/>
      <c r="N879" s="170"/>
      <c r="O879" s="170"/>
      <c r="P879" s="170"/>
      <c r="Q879" s="170"/>
      <c r="R879" s="166"/>
      <c r="S879" s="167"/>
      <c r="T879" s="168"/>
      <c r="U879" s="167"/>
      <c r="V879" s="168"/>
      <c r="W879" s="169"/>
      <c r="X879" s="168"/>
      <c r="Y879" s="169"/>
      <c r="Z879" s="168"/>
      <c r="AA879" s="169"/>
      <c r="AB879" s="168"/>
      <c r="AC879" s="169"/>
      <c r="AE879" s="133"/>
    </row>
    <row r="880" spans="1:31" ht="15.75" hidden="1" outlineLevel="2" x14ac:dyDescent="0.2">
      <c r="A880" s="25">
        <f>'Утв. ИП 2014-2019'!A882</f>
        <v>0</v>
      </c>
      <c r="B880" s="6">
        <f>'Утв. ИП 2014-2019'!B882</f>
        <v>0</v>
      </c>
      <c r="C880" s="7" t="str">
        <f>'Утв. ИП 2014-2019'!C882</f>
        <v>строительство</v>
      </c>
      <c r="D880" s="8"/>
      <c r="E880" s="8"/>
      <c r="F880" s="8"/>
      <c r="G880" s="8"/>
      <c r="H880" s="8"/>
      <c r="I880" s="8"/>
      <c r="J880" s="23"/>
      <c r="K880" s="170"/>
      <c r="L880" s="170"/>
      <c r="M880" s="170"/>
      <c r="N880" s="170"/>
      <c r="O880" s="170"/>
      <c r="P880" s="170"/>
      <c r="Q880" s="170"/>
      <c r="R880" s="166"/>
      <c r="S880" s="167"/>
      <c r="T880" s="168"/>
      <c r="U880" s="167"/>
      <c r="V880" s="168"/>
      <c r="W880" s="169"/>
      <c r="X880" s="168"/>
      <c r="Y880" s="169"/>
      <c r="Z880" s="168"/>
      <c r="AA880" s="169"/>
      <c r="AB880" s="168"/>
      <c r="AC880" s="169"/>
      <c r="AE880" s="133"/>
    </row>
    <row r="881" spans="1:31" ht="63.75" hidden="1" outlineLevel="1" collapsed="1" x14ac:dyDescent="0.2">
      <c r="A881" s="25" t="str">
        <f>'Утв. ИП 2014-2019'!A883</f>
        <v>1.1.5.3.55/13</v>
      </c>
      <c r="B881" s="6" t="str">
        <f>'Утв. ИП 2014-2019'!B883</f>
        <v>3.2.214</v>
      </c>
      <c r="C881" s="7" t="str">
        <f>'Утв. ИП 2014-2019'!C883</f>
        <v>Монтаж узла учета на опоре № 91 ВЛ-0,4 кВ по ул. З. Космодемьянской от КТП-544 для электроснабжения индивидуального жилого дома по адресу: г. Липецк, ул. Боровая (на месте снесенного жилого дома № 15 по ул. Боровой)</v>
      </c>
      <c r="D881" s="8"/>
      <c r="E881" s="8" t="str">
        <f>'Утв. ИП 2014-2019'!L883</f>
        <v>0,0 км/ 0 МВА</v>
      </c>
      <c r="F881" s="8"/>
      <c r="G881" s="8"/>
      <c r="H881" s="8"/>
      <c r="I881" s="8"/>
      <c r="J881" s="23" t="str">
        <f>'Утв. ИП 2014-2019'!Q883</f>
        <v>0,0 км/ 0 МВА</v>
      </c>
      <c r="K881" s="170"/>
      <c r="L881" s="170"/>
      <c r="M881" s="170"/>
      <c r="N881" s="170"/>
      <c r="O881" s="170"/>
      <c r="P881" s="170"/>
      <c r="Q881" s="170"/>
      <c r="R881" s="136"/>
      <c r="S881" s="137"/>
      <c r="T881" s="128"/>
      <c r="U881" s="137"/>
      <c r="V881" s="128"/>
      <c r="W881" s="49"/>
      <c r="X881" s="128"/>
      <c r="Y881" s="49"/>
      <c r="Z881" s="128"/>
      <c r="AA881" s="49"/>
      <c r="AB881" s="128"/>
      <c r="AC881" s="49"/>
      <c r="AE881" s="133"/>
    </row>
    <row r="882" spans="1:31" ht="15.75" hidden="1" outlineLevel="2" x14ac:dyDescent="0.2">
      <c r="A882" s="25">
        <f>'Утв. ИП 2014-2019'!A884</f>
        <v>0</v>
      </c>
      <c r="B882" s="6">
        <f>'Утв. ИП 2014-2019'!B884</f>
        <v>0</v>
      </c>
      <c r="C882" s="7" t="str">
        <f>'Утв. ИП 2014-2019'!C884</f>
        <v>реконструкция</v>
      </c>
      <c r="D882" s="8"/>
      <c r="E882" s="8"/>
      <c r="F882" s="8"/>
      <c r="G882" s="8"/>
      <c r="H882" s="8"/>
      <c r="I882" s="8"/>
      <c r="J882" s="23"/>
      <c r="K882" s="170"/>
      <c r="L882" s="170"/>
      <c r="M882" s="170"/>
      <c r="N882" s="170"/>
      <c r="O882" s="170"/>
      <c r="P882" s="170"/>
      <c r="Q882" s="170"/>
      <c r="R882" s="136"/>
      <c r="S882" s="137"/>
      <c r="T882" s="128"/>
      <c r="U882" s="137"/>
      <c r="V882" s="128"/>
      <c r="W882" s="49"/>
      <c r="X882" s="128"/>
      <c r="Y882" s="49"/>
      <c r="Z882" s="128"/>
      <c r="AA882" s="49"/>
      <c r="AB882" s="128"/>
      <c r="AC882" s="49"/>
      <c r="AE882" s="133"/>
    </row>
    <row r="883" spans="1:31" ht="15.75" hidden="1" outlineLevel="2" x14ac:dyDescent="0.2">
      <c r="A883" s="25">
        <f>'Утв. ИП 2014-2019'!A885</f>
        <v>0</v>
      </c>
      <c r="B883" s="6">
        <f>'Утв. ИП 2014-2019'!B885</f>
        <v>0</v>
      </c>
      <c r="C883" s="7" t="str">
        <f>'Утв. ИП 2014-2019'!C885</f>
        <v>строительство</v>
      </c>
      <c r="D883" s="8"/>
      <c r="E883" s="8"/>
      <c r="F883" s="8"/>
      <c r="G883" s="8"/>
      <c r="H883" s="8"/>
      <c r="I883" s="8"/>
      <c r="J883" s="23"/>
      <c r="K883" s="170"/>
      <c r="L883" s="170"/>
      <c r="M883" s="170"/>
      <c r="N883" s="170"/>
      <c r="O883" s="170"/>
      <c r="P883" s="170"/>
      <c r="Q883" s="170"/>
      <c r="R883" s="136"/>
      <c r="S883" s="137"/>
      <c r="T883" s="128"/>
      <c r="U883" s="137"/>
      <c r="V883" s="128"/>
      <c r="W883" s="49"/>
      <c r="X883" s="128"/>
      <c r="Y883" s="49"/>
      <c r="Z883" s="128"/>
      <c r="AA883" s="49"/>
      <c r="AB883" s="128"/>
      <c r="AC883" s="49"/>
      <c r="AE883" s="133"/>
    </row>
    <row r="884" spans="1:31" ht="51" hidden="1" outlineLevel="1" collapsed="1" x14ac:dyDescent="0.2">
      <c r="A884" s="25" t="str">
        <f>'Утв. ИП 2014-2019'!A886</f>
        <v>1.1.5.3.64/13</v>
      </c>
      <c r="B884" s="6" t="str">
        <f>'Утв. ИП 2014-2019'!B886</f>
        <v>3.2.215</v>
      </c>
      <c r="C884" s="7" t="str">
        <f>'Утв. ИП 2014-2019'!C886</f>
        <v>Реконструкция оборудования в РУ-0,4 кВ КТП-347 (инв. № 400613) для электроснабжения павильона № П-5197 по адресу: г. Липецк, район Косыревского кладбища, кадастровый № 48:20:0210509:24</v>
      </c>
      <c r="D884" s="8"/>
      <c r="E884" s="8" t="str">
        <f>'Утв. ИП 2014-2019'!L886</f>
        <v>0,0 км/ 0 МВА</v>
      </c>
      <c r="F884" s="8"/>
      <c r="G884" s="8"/>
      <c r="H884" s="8"/>
      <c r="I884" s="8"/>
      <c r="J884" s="23" t="str">
        <f>'Утв. ИП 2014-2019'!Q886</f>
        <v>0,0 км/ 0 МВА</v>
      </c>
      <c r="K884" s="170"/>
      <c r="L884" s="170"/>
      <c r="M884" s="170"/>
      <c r="N884" s="170"/>
      <c r="O884" s="170"/>
      <c r="P884" s="170"/>
      <c r="Q884" s="170"/>
      <c r="R884" s="136"/>
      <c r="S884" s="137"/>
      <c r="T884" s="128"/>
      <c r="U884" s="137"/>
      <c r="V884" s="128"/>
      <c r="W884" s="49"/>
      <c r="X884" s="128"/>
      <c r="Y884" s="49"/>
      <c r="Z884" s="128"/>
      <c r="AA884" s="49"/>
      <c r="AB884" s="128"/>
      <c r="AC884" s="49"/>
      <c r="AE884" s="133"/>
    </row>
    <row r="885" spans="1:31" ht="15.75" hidden="1" outlineLevel="2" x14ac:dyDescent="0.2">
      <c r="A885" s="25">
        <f>'Утв. ИП 2014-2019'!A887</f>
        <v>0</v>
      </c>
      <c r="B885" s="6">
        <f>'Утв. ИП 2014-2019'!B887</f>
        <v>0</v>
      </c>
      <c r="C885" s="7" t="str">
        <f>'Утв. ИП 2014-2019'!C887</f>
        <v>реконструкция</v>
      </c>
      <c r="D885" s="8"/>
      <c r="E885" s="8"/>
      <c r="F885" s="8"/>
      <c r="G885" s="8"/>
      <c r="H885" s="8"/>
      <c r="I885" s="8"/>
      <c r="J885" s="23"/>
      <c r="K885" s="170"/>
      <c r="L885" s="170"/>
      <c r="M885" s="170"/>
      <c r="N885" s="170"/>
      <c r="O885" s="170"/>
      <c r="P885" s="170"/>
      <c r="Q885" s="170"/>
      <c r="R885" s="136"/>
      <c r="S885" s="137"/>
      <c r="T885" s="128"/>
      <c r="U885" s="137"/>
      <c r="V885" s="128"/>
      <c r="W885" s="49"/>
      <c r="X885" s="128"/>
      <c r="Y885" s="49"/>
      <c r="Z885" s="128"/>
      <c r="AA885" s="49"/>
      <c r="AB885" s="128"/>
      <c r="AC885" s="49"/>
      <c r="AE885" s="133"/>
    </row>
    <row r="886" spans="1:31" ht="15.75" hidden="1" outlineLevel="2" x14ac:dyDescent="0.2">
      <c r="A886" s="25">
        <f>'Утв. ИП 2014-2019'!A888</f>
        <v>0</v>
      </c>
      <c r="B886" s="6">
        <f>'Утв. ИП 2014-2019'!B888</f>
        <v>0</v>
      </c>
      <c r="C886" s="7" t="str">
        <f>'Утв. ИП 2014-2019'!C888</f>
        <v>строительство</v>
      </c>
      <c r="D886" s="8"/>
      <c r="E886" s="8"/>
      <c r="F886" s="8"/>
      <c r="G886" s="8"/>
      <c r="H886" s="8"/>
      <c r="I886" s="8"/>
      <c r="J886" s="23"/>
      <c r="K886" s="170"/>
      <c r="L886" s="170"/>
      <c r="M886" s="170"/>
      <c r="N886" s="170"/>
      <c r="O886" s="170"/>
      <c r="P886" s="170"/>
      <c r="Q886" s="170"/>
      <c r="R886" s="136"/>
      <c r="S886" s="137"/>
      <c r="T886" s="128"/>
      <c r="U886" s="137"/>
      <c r="V886" s="128"/>
      <c r="W886" s="49"/>
      <c r="X886" s="128"/>
      <c r="Y886" s="49"/>
      <c r="Z886" s="128"/>
      <c r="AA886" s="49"/>
      <c r="AB886" s="128"/>
      <c r="AC886" s="49"/>
      <c r="AE886" s="133"/>
    </row>
    <row r="887" spans="1:31" ht="38.25" hidden="1" outlineLevel="1" collapsed="1" x14ac:dyDescent="0.2">
      <c r="A887" s="25" t="str">
        <f>'Утв. ИП 2014-2019'!A889</f>
        <v>1.1.5.3.65/13</v>
      </c>
      <c r="B887" s="6" t="str">
        <f>'Утв. ИП 2014-2019'!B889</f>
        <v>3.2.216</v>
      </c>
      <c r="C887" s="7" t="str">
        <f>'Утв. ИП 2014-2019'!C889</f>
        <v>Монтаж узла учета на ближайшей опоре ВЛ-0,4 кВ по ул. Баумана от ТП-480 для электроснабжения блочного гаража по адресу: г. Липецк, район ул. Баумана, у д. № 333/14</v>
      </c>
      <c r="D887" s="8"/>
      <c r="E887" s="8" t="str">
        <f>'Утв. ИП 2014-2019'!L889</f>
        <v>0,0 км/ 0 МВА</v>
      </c>
      <c r="F887" s="8"/>
      <c r="G887" s="8"/>
      <c r="H887" s="8"/>
      <c r="I887" s="8"/>
      <c r="J887" s="23" t="str">
        <f>'Утв. ИП 2014-2019'!Q889</f>
        <v>0,0 км/ 0 МВА</v>
      </c>
      <c r="K887" s="170"/>
      <c r="L887" s="170"/>
      <c r="M887" s="170"/>
      <c r="N887" s="170"/>
      <c r="O887" s="170"/>
      <c r="P887" s="170"/>
      <c r="Q887" s="170"/>
      <c r="R887" s="136"/>
      <c r="S887" s="137"/>
      <c r="T887" s="128"/>
      <c r="U887" s="137"/>
      <c r="V887" s="128"/>
      <c r="W887" s="49"/>
      <c r="X887" s="128"/>
      <c r="Y887" s="49"/>
      <c r="Z887" s="128"/>
      <c r="AA887" s="49"/>
      <c r="AB887" s="128"/>
      <c r="AC887" s="49"/>
      <c r="AE887" s="133"/>
    </row>
    <row r="888" spans="1:31" ht="15.75" hidden="1" outlineLevel="2" x14ac:dyDescent="0.2">
      <c r="A888" s="25">
        <f>'Утв. ИП 2014-2019'!A890</f>
        <v>0</v>
      </c>
      <c r="B888" s="6">
        <f>'Утв. ИП 2014-2019'!B890</f>
        <v>0</v>
      </c>
      <c r="C888" s="7" t="str">
        <f>'Утв. ИП 2014-2019'!C890</f>
        <v>реконструкция</v>
      </c>
      <c r="D888" s="8"/>
      <c r="E888" s="8"/>
      <c r="F888" s="8"/>
      <c r="G888" s="8"/>
      <c r="H888" s="8"/>
      <c r="I888" s="8"/>
      <c r="J888" s="23"/>
      <c r="K888" s="170"/>
      <c r="L888" s="170"/>
      <c r="M888" s="170"/>
      <c r="N888" s="170"/>
      <c r="O888" s="170"/>
      <c r="P888" s="170"/>
      <c r="Q888" s="170"/>
      <c r="R888" s="136"/>
      <c r="S888" s="137"/>
      <c r="T888" s="128"/>
      <c r="U888" s="137"/>
      <c r="V888" s="128"/>
      <c r="W888" s="49"/>
      <c r="X888" s="128"/>
      <c r="Y888" s="49"/>
      <c r="Z888" s="128"/>
      <c r="AA888" s="49"/>
      <c r="AB888" s="128"/>
      <c r="AC888" s="49"/>
      <c r="AE888" s="133"/>
    </row>
    <row r="889" spans="1:31" ht="15.75" hidden="1" outlineLevel="2" x14ac:dyDescent="0.2">
      <c r="A889" s="25">
        <f>'Утв. ИП 2014-2019'!A891</f>
        <v>0</v>
      </c>
      <c r="B889" s="6">
        <f>'Утв. ИП 2014-2019'!B891</f>
        <v>0</v>
      </c>
      <c r="C889" s="7" t="str">
        <f>'Утв. ИП 2014-2019'!C891</f>
        <v>строительство</v>
      </c>
      <c r="D889" s="8"/>
      <c r="E889" s="8"/>
      <c r="F889" s="8"/>
      <c r="G889" s="8"/>
      <c r="H889" s="8"/>
      <c r="I889" s="8"/>
      <c r="J889" s="23"/>
      <c r="K889" s="170"/>
      <c r="L889" s="170"/>
      <c r="M889" s="170"/>
      <c r="N889" s="170"/>
      <c r="O889" s="170"/>
      <c r="P889" s="170"/>
      <c r="Q889" s="170"/>
      <c r="R889" s="136"/>
      <c r="S889" s="137"/>
      <c r="T889" s="128"/>
      <c r="U889" s="137"/>
      <c r="V889" s="128"/>
      <c r="W889" s="49"/>
      <c r="X889" s="128"/>
      <c r="Y889" s="49"/>
      <c r="Z889" s="128"/>
      <c r="AA889" s="49"/>
      <c r="AB889" s="128"/>
      <c r="AC889" s="49"/>
      <c r="AE889" s="133"/>
    </row>
    <row r="890" spans="1:31" ht="38.25" hidden="1" outlineLevel="1" collapsed="1" x14ac:dyDescent="0.2">
      <c r="A890" s="25" t="str">
        <f>'Утв. ИП 2014-2019'!A892</f>
        <v>1.1.5.3.66/13</v>
      </c>
      <c r="B890" s="6" t="str">
        <f>'Утв. ИП 2014-2019'!B892</f>
        <v>3.2.217</v>
      </c>
      <c r="C890" s="7" t="str">
        <f>'Утв. ИП 2014-2019'!C892</f>
        <v>Монтаж узла учета на опоре № 13 ВЛ-0,4 кВ по ул. Поселковая от КТП-615 для электроснабжения жилого дома по адресу: г. Липецк, ул. Поселковая, д. 28 в (по схеме № 3)</v>
      </c>
      <c r="D890" s="8" t="str">
        <f>'Утв. ИП 2014-2019'!K892</f>
        <v>0,0 км/ 0 МВА</v>
      </c>
      <c r="E890" s="8"/>
      <c r="F890" s="8"/>
      <c r="G890" s="8"/>
      <c r="H890" s="8"/>
      <c r="I890" s="8"/>
      <c r="J890" s="23" t="str">
        <f>'Утв. ИП 2014-2019'!Q892</f>
        <v>0,0 км/ 0 МВА</v>
      </c>
      <c r="K890" s="170"/>
      <c r="L890" s="170"/>
      <c r="M890" s="170"/>
      <c r="N890" s="170"/>
      <c r="O890" s="170"/>
      <c r="P890" s="170"/>
      <c r="Q890" s="170"/>
      <c r="R890" s="136"/>
      <c r="S890" s="137"/>
      <c r="T890" s="128"/>
      <c r="U890" s="137"/>
      <c r="V890" s="128"/>
      <c r="W890" s="49"/>
      <c r="X890" s="128"/>
      <c r="Y890" s="49"/>
      <c r="Z890" s="128"/>
      <c r="AA890" s="49"/>
      <c r="AB890" s="128"/>
      <c r="AC890" s="49"/>
      <c r="AE890" s="133"/>
    </row>
    <row r="891" spans="1:31" ht="15.75" hidden="1" outlineLevel="2" x14ac:dyDescent="0.2">
      <c r="A891" s="25">
        <f>'Утв. ИП 2014-2019'!A893</f>
        <v>0</v>
      </c>
      <c r="B891" s="6">
        <f>'Утв. ИП 2014-2019'!B893</f>
        <v>0</v>
      </c>
      <c r="C891" s="7" t="str">
        <f>'Утв. ИП 2014-2019'!C893</f>
        <v>реконструкция</v>
      </c>
      <c r="D891" s="8"/>
      <c r="E891" s="8"/>
      <c r="F891" s="8"/>
      <c r="G891" s="8"/>
      <c r="H891" s="8"/>
      <c r="I891" s="8"/>
      <c r="J891" s="23"/>
      <c r="K891" s="170"/>
      <c r="L891" s="170"/>
      <c r="M891" s="170"/>
      <c r="N891" s="170"/>
      <c r="O891" s="170"/>
      <c r="P891" s="170"/>
      <c r="Q891" s="170"/>
      <c r="R891" s="136"/>
      <c r="S891" s="137"/>
      <c r="T891" s="128"/>
      <c r="U891" s="137"/>
      <c r="V891" s="128"/>
      <c r="W891" s="49"/>
      <c r="X891" s="128"/>
      <c r="Y891" s="49"/>
      <c r="Z891" s="128"/>
      <c r="AA891" s="49"/>
      <c r="AB891" s="128"/>
      <c r="AC891" s="49"/>
      <c r="AE891" s="133"/>
    </row>
    <row r="892" spans="1:31" ht="15.75" hidden="1" outlineLevel="2" x14ac:dyDescent="0.2">
      <c r="A892" s="25">
        <f>'Утв. ИП 2014-2019'!A894</f>
        <v>0</v>
      </c>
      <c r="B892" s="6">
        <f>'Утв. ИП 2014-2019'!B894</f>
        <v>0</v>
      </c>
      <c r="C892" s="7" t="str">
        <f>'Утв. ИП 2014-2019'!C894</f>
        <v>строительство</v>
      </c>
      <c r="D892" s="8"/>
      <c r="E892" s="8"/>
      <c r="F892" s="8"/>
      <c r="G892" s="8"/>
      <c r="H892" s="8"/>
      <c r="I892" s="8"/>
      <c r="J892" s="23"/>
      <c r="K892" s="170"/>
      <c r="L892" s="170"/>
      <c r="M892" s="170"/>
      <c r="N892" s="170"/>
      <c r="O892" s="170"/>
      <c r="P892" s="170"/>
      <c r="Q892" s="170"/>
      <c r="R892" s="136"/>
      <c r="S892" s="137"/>
      <c r="T892" s="128"/>
      <c r="U892" s="137"/>
      <c r="V892" s="128"/>
      <c r="W892" s="49"/>
      <c r="X892" s="128"/>
      <c r="Y892" s="49"/>
      <c r="Z892" s="128"/>
      <c r="AA892" s="49"/>
      <c r="AB892" s="128"/>
      <c r="AC892" s="49"/>
      <c r="AE892" s="133"/>
    </row>
    <row r="893" spans="1:31" ht="25.5" hidden="1" outlineLevel="1" collapsed="1" x14ac:dyDescent="0.2">
      <c r="A893" s="25" t="str">
        <f>'Утв. ИП 2014-2019'!A895</f>
        <v>1.1.5.3.67/13</v>
      </c>
      <c r="B893" s="6" t="str">
        <f>'Утв. ИП 2014-2019'!B895</f>
        <v>3.2.218</v>
      </c>
      <c r="C893" s="7" t="str">
        <f>'Утв. ИП 2014-2019'!C895</f>
        <v>Электроснабжение нежилого помещения № 1 по адресу: г. Липецк, пр. Шишкина, д. № 1 А</v>
      </c>
      <c r="D893" s="8"/>
      <c r="E893" s="8" t="str">
        <f>'Утв. ИП 2014-2019'!L895</f>
        <v>0,1 км/ 0 МВА</v>
      </c>
      <c r="F893" s="8"/>
      <c r="G893" s="8"/>
      <c r="H893" s="8"/>
      <c r="I893" s="8"/>
      <c r="J893" s="23" t="str">
        <f>'Утв. ИП 2014-2019'!Q895</f>
        <v>0,1 км/ 0 МВА</v>
      </c>
      <c r="K893" s="170"/>
      <c r="L893" s="170"/>
      <c r="M893" s="170"/>
      <c r="N893" s="170"/>
      <c r="O893" s="170"/>
      <c r="P893" s="170"/>
      <c r="Q893" s="170"/>
      <c r="R893" s="136"/>
      <c r="S893" s="137"/>
      <c r="T893" s="128"/>
      <c r="U893" s="137"/>
      <c r="V893" s="128"/>
      <c r="W893" s="49"/>
      <c r="X893" s="128"/>
      <c r="Y893" s="49"/>
      <c r="Z893" s="128"/>
      <c r="AA893" s="49"/>
      <c r="AB893" s="128"/>
      <c r="AC893" s="49"/>
      <c r="AE893" s="133"/>
    </row>
    <row r="894" spans="1:31" ht="15.75" hidden="1" outlineLevel="2" x14ac:dyDescent="0.2">
      <c r="A894" s="25">
        <f>'Утв. ИП 2014-2019'!A896</f>
        <v>0</v>
      </c>
      <c r="B894" s="6">
        <f>'Утв. ИП 2014-2019'!B896</f>
        <v>0</v>
      </c>
      <c r="C894" s="7" t="str">
        <f>'Утв. ИП 2014-2019'!C896</f>
        <v>реконструкция</v>
      </c>
      <c r="D894" s="8"/>
      <c r="E894" s="8"/>
      <c r="F894" s="8"/>
      <c r="G894" s="8"/>
      <c r="H894" s="8"/>
      <c r="I894" s="8"/>
      <c r="J894" s="23"/>
      <c r="K894" s="170"/>
      <c r="L894" s="170"/>
      <c r="M894" s="170"/>
      <c r="N894" s="170"/>
      <c r="O894" s="170"/>
      <c r="P894" s="170"/>
      <c r="Q894" s="170"/>
      <c r="R894" s="136"/>
      <c r="S894" s="137"/>
      <c r="T894" s="128"/>
      <c r="U894" s="137"/>
      <c r="V894" s="128"/>
      <c r="W894" s="49"/>
      <c r="X894" s="128"/>
      <c r="Y894" s="49"/>
      <c r="Z894" s="128"/>
      <c r="AA894" s="49"/>
      <c r="AB894" s="128"/>
      <c r="AC894" s="49"/>
      <c r="AE894" s="133"/>
    </row>
    <row r="895" spans="1:31" ht="15.75" hidden="1" outlineLevel="2" x14ac:dyDescent="0.2">
      <c r="A895" s="25">
        <f>'Утв. ИП 2014-2019'!A897</f>
        <v>0</v>
      </c>
      <c r="B895" s="6">
        <f>'Утв. ИП 2014-2019'!B897</f>
        <v>0</v>
      </c>
      <c r="C895" s="7" t="str">
        <f>'Утв. ИП 2014-2019'!C897</f>
        <v>строительство</v>
      </c>
      <c r="D895" s="8"/>
      <c r="E895" s="8"/>
      <c r="F895" s="8"/>
      <c r="G895" s="8"/>
      <c r="H895" s="8"/>
      <c r="I895" s="8"/>
      <c r="J895" s="23"/>
      <c r="K895" s="170"/>
      <c r="L895" s="170"/>
      <c r="M895" s="170"/>
      <c r="N895" s="170"/>
      <c r="O895" s="170"/>
      <c r="P895" s="170"/>
      <c r="Q895" s="170"/>
      <c r="R895" s="136"/>
      <c r="S895" s="137"/>
      <c r="T895" s="128"/>
      <c r="U895" s="137"/>
      <c r="V895" s="128"/>
      <c r="W895" s="49"/>
      <c r="X895" s="128"/>
      <c r="Y895" s="49"/>
      <c r="Z895" s="128"/>
      <c r="AA895" s="49"/>
      <c r="AB895" s="128"/>
      <c r="AC895" s="49"/>
      <c r="AE895" s="133"/>
    </row>
    <row r="896" spans="1:31" ht="51" hidden="1" outlineLevel="1" collapsed="1" x14ac:dyDescent="0.2">
      <c r="A896" s="25" t="str">
        <f>'Утв. ИП 2014-2019'!A898</f>
        <v>1.1.5.3.68/13</v>
      </c>
      <c r="B896" s="6" t="str">
        <f>'Утв. ИП 2014-2019'!B898</f>
        <v>3.2.219</v>
      </c>
      <c r="C896" s="7" t="str">
        <f>'Утв. ИП 2014-2019'!C898</f>
        <v>Монтаж узла учета на опоре № 18 ВЛ-0,4 кВ по ул. Неделина, смонтированной по п. 1.1.6.2.4/12 ППР, от ТП-339 для электроснабжения помещения № 2 (гараж № 3) по адресу: г. Липецк, ул. Неделина, д. 1 "б"</v>
      </c>
      <c r="D896" s="8"/>
      <c r="E896" s="8" t="str">
        <f>'Утв. ИП 2014-2019'!L898</f>
        <v>0,0 км/ 0 МВА</v>
      </c>
      <c r="F896" s="8"/>
      <c r="G896" s="8"/>
      <c r="H896" s="8"/>
      <c r="I896" s="8"/>
      <c r="J896" s="23" t="str">
        <f>'Утв. ИП 2014-2019'!Q898</f>
        <v>0,0 км/ 0 МВА</v>
      </c>
      <c r="K896" s="170"/>
      <c r="L896" s="170"/>
      <c r="M896" s="170"/>
      <c r="N896" s="170"/>
      <c r="O896" s="170"/>
      <c r="P896" s="170"/>
      <c r="Q896" s="170"/>
      <c r="R896" s="136"/>
      <c r="S896" s="137"/>
      <c r="T896" s="128"/>
      <c r="U896" s="137"/>
      <c r="V896" s="128"/>
      <c r="W896" s="49"/>
      <c r="X896" s="128"/>
      <c r="Y896" s="49"/>
      <c r="Z896" s="128"/>
      <c r="AA896" s="49"/>
      <c r="AB896" s="128"/>
      <c r="AC896" s="49"/>
      <c r="AE896" s="133"/>
    </row>
    <row r="897" spans="1:31" ht="15.75" hidden="1" outlineLevel="2" x14ac:dyDescent="0.2">
      <c r="A897" s="25">
        <f>'Утв. ИП 2014-2019'!A899</f>
        <v>0</v>
      </c>
      <c r="B897" s="6">
        <f>'Утв. ИП 2014-2019'!B899</f>
        <v>0</v>
      </c>
      <c r="C897" s="7" t="str">
        <f>'Утв. ИП 2014-2019'!C899</f>
        <v>реконструкция</v>
      </c>
      <c r="D897" s="8"/>
      <c r="E897" s="8"/>
      <c r="F897" s="8"/>
      <c r="G897" s="8"/>
      <c r="H897" s="8"/>
      <c r="I897" s="8"/>
      <c r="J897" s="23"/>
      <c r="K897" s="170"/>
      <c r="L897" s="170"/>
      <c r="M897" s="170"/>
      <c r="N897" s="170"/>
      <c r="O897" s="170"/>
      <c r="P897" s="170"/>
      <c r="Q897" s="170"/>
      <c r="R897" s="136"/>
      <c r="S897" s="137"/>
      <c r="T897" s="128"/>
      <c r="U897" s="137"/>
      <c r="V897" s="128"/>
      <c r="W897" s="49"/>
      <c r="X897" s="128"/>
      <c r="Y897" s="49"/>
      <c r="Z897" s="128"/>
      <c r="AA897" s="49"/>
      <c r="AB897" s="128"/>
      <c r="AC897" s="49"/>
      <c r="AE897" s="133"/>
    </row>
    <row r="898" spans="1:31" ht="15.75" hidden="1" outlineLevel="2" x14ac:dyDescent="0.2">
      <c r="A898" s="25">
        <f>'Утв. ИП 2014-2019'!A900</f>
        <v>0</v>
      </c>
      <c r="B898" s="6">
        <f>'Утв. ИП 2014-2019'!B900</f>
        <v>0</v>
      </c>
      <c r="C898" s="7" t="str">
        <f>'Утв. ИП 2014-2019'!C900</f>
        <v>строительство</v>
      </c>
      <c r="D898" s="8"/>
      <c r="E898" s="8"/>
      <c r="F898" s="8"/>
      <c r="G898" s="8"/>
      <c r="H898" s="8"/>
      <c r="I898" s="8"/>
      <c r="J898" s="23"/>
      <c r="K898" s="170"/>
      <c r="L898" s="170"/>
      <c r="M898" s="170"/>
      <c r="N898" s="170"/>
      <c r="O898" s="170"/>
      <c r="P898" s="170"/>
      <c r="Q898" s="170"/>
      <c r="R898" s="136"/>
      <c r="S898" s="137"/>
      <c r="T898" s="128"/>
      <c r="U898" s="137"/>
      <c r="V898" s="128"/>
      <c r="W898" s="49"/>
      <c r="X898" s="128"/>
      <c r="Y898" s="49"/>
      <c r="Z898" s="128"/>
      <c r="AA898" s="49"/>
      <c r="AB898" s="128"/>
      <c r="AC898" s="49"/>
      <c r="AE898" s="133"/>
    </row>
    <row r="899" spans="1:31" ht="51" hidden="1" outlineLevel="1" collapsed="1" x14ac:dyDescent="0.2">
      <c r="A899" s="25" t="str">
        <f>'Утв. ИП 2014-2019'!A901</f>
        <v>1.1.5.3.69/13</v>
      </c>
      <c r="B899" s="6" t="str">
        <f>'Утв. ИП 2014-2019'!B901</f>
        <v>3.2.220</v>
      </c>
      <c r="C899" s="7" t="str">
        <f>'Утв. ИП 2014-2019'!C901</f>
        <v>Реконструкция ВЛ-0,4 кВ по ул. Асфальтная от КТП-547 (инв. № 345989) для электроснабжения киоска по адресу: г. Липецк, ул. Асфальтная в районе остановки "Станция Казинка", кадастровый № 48:20:0038502:125</v>
      </c>
      <c r="D899" s="8"/>
      <c r="E899" s="8" t="str">
        <f>'Утв. ИП 2014-2019'!L901</f>
        <v>0,7 км/ 0 МВА</v>
      </c>
      <c r="F899" s="8"/>
      <c r="G899" s="8"/>
      <c r="H899" s="8"/>
      <c r="I899" s="8"/>
      <c r="J899" s="23" t="str">
        <f>'Утв. ИП 2014-2019'!Q901</f>
        <v>0,7 км/ 0 МВА</v>
      </c>
      <c r="K899" s="170"/>
      <c r="L899" s="23" t="s">
        <v>138</v>
      </c>
      <c r="M899" s="170"/>
      <c r="N899" s="170"/>
      <c r="O899" s="170"/>
      <c r="P899" s="170"/>
      <c r="Q899" s="23" t="s">
        <v>138</v>
      </c>
      <c r="R899" s="136"/>
      <c r="S899" s="137"/>
      <c r="T899" s="128">
        <v>0.7</v>
      </c>
      <c r="U899" s="137"/>
      <c r="V899" s="128"/>
      <c r="W899" s="49"/>
      <c r="X899" s="128"/>
      <c r="Y899" s="49"/>
      <c r="Z899" s="128"/>
      <c r="AA899" s="49"/>
      <c r="AB899" s="128"/>
      <c r="AC899" s="49"/>
      <c r="AE899" s="133"/>
    </row>
    <row r="900" spans="1:31" ht="15.75" hidden="1" outlineLevel="2" x14ac:dyDescent="0.2">
      <c r="A900" s="25">
        <f>'Утв. ИП 2014-2019'!A902</f>
        <v>0</v>
      </c>
      <c r="B900" s="6">
        <f>'Утв. ИП 2014-2019'!B902</f>
        <v>0</v>
      </c>
      <c r="C900" s="7" t="str">
        <f>'Утв. ИП 2014-2019'!C902</f>
        <v>реконструкция</v>
      </c>
      <c r="D900" s="8"/>
      <c r="E900" s="8"/>
      <c r="F900" s="8"/>
      <c r="G900" s="8"/>
      <c r="H900" s="8"/>
      <c r="I900" s="8"/>
      <c r="J900" s="23"/>
      <c r="K900" s="170"/>
      <c r="L900" s="170"/>
      <c r="M900" s="170"/>
      <c r="N900" s="170"/>
      <c r="O900" s="170"/>
      <c r="P900" s="170"/>
      <c r="Q900" s="170"/>
      <c r="R900" s="136"/>
      <c r="S900" s="137"/>
      <c r="T900" s="128"/>
      <c r="U900" s="137"/>
      <c r="V900" s="128"/>
      <c r="W900" s="49"/>
      <c r="X900" s="128"/>
      <c r="Y900" s="49"/>
      <c r="Z900" s="128"/>
      <c r="AA900" s="49"/>
      <c r="AB900" s="128"/>
      <c r="AC900" s="49"/>
      <c r="AE900" s="133"/>
    </row>
    <row r="901" spans="1:31" ht="15.75" hidden="1" outlineLevel="2" x14ac:dyDescent="0.2">
      <c r="A901" s="25">
        <f>'Утв. ИП 2014-2019'!A903</f>
        <v>0</v>
      </c>
      <c r="B901" s="6">
        <f>'Утв. ИП 2014-2019'!B903</f>
        <v>0</v>
      </c>
      <c r="C901" s="7" t="str">
        <f>'Утв. ИП 2014-2019'!C903</f>
        <v>строительство</v>
      </c>
      <c r="D901" s="8"/>
      <c r="E901" s="8"/>
      <c r="F901" s="8"/>
      <c r="G901" s="8"/>
      <c r="H901" s="8"/>
      <c r="I901" s="8"/>
      <c r="J901" s="23"/>
      <c r="K901" s="170"/>
      <c r="L901" s="170"/>
      <c r="M901" s="170"/>
      <c r="N901" s="170"/>
      <c r="O901" s="170"/>
      <c r="P901" s="170"/>
      <c r="Q901" s="170"/>
      <c r="R901" s="136"/>
      <c r="S901" s="137"/>
      <c r="T901" s="128"/>
      <c r="U901" s="137"/>
      <c r="V901" s="128"/>
      <c r="W901" s="49"/>
      <c r="X901" s="128"/>
      <c r="Y901" s="49"/>
      <c r="Z901" s="128"/>
      <c r="AA901" s="49"/>
      <c r="AB901" s="128"/>
      <c r="AC901" s="49"/>
      <c r="AE901" s="133"/>
    </row>
    <row r="902" spans="1:31" ht="25.5" hidden="1" outlineLevel="1" collapsed="1" x14ac:dyDescent="0.2">
      <c r="A902" s="25" t="str">
        <f>'Утв. ИП 2014-2019'!A904</f>
        <v>1.1.5.3.70/13</v>
      </c>
      <c r="B902" s="6" t="str">
        <f>'Утв. ИП 2014-2019'!B904</f>
        <v>3.2.221</v>
      </c>
      <c r="C902" s="7" t="str">
        <f>'Утв. ИП 2014-2019'!C904</f>
        <v>Электроснабжение помещений по адресу: г. Липецк, ул. Коммунальная, д. № 9</v>
      </c>
      <c r="D902" s="8"/>
      <c r="E902" s="8" t="str">
        <f>'Утв. ИП 2014-2019'!L904</f>
        <v>0,0 км/ 0 МВА</v>
      </c>
      <c r="F902" s="8"/>
      <c r="G902" s="8"/>
      <c r="H902" s="8"/>
      <c r="I902" s="8"/>
      <c r="J902" s="23" t="str">
        <f>'Утв. ИП 2014-2019'!Q904</f>
        <v>0,0 км/ 0 МВА</v>
      </c>
      <c r="K902" s="170"/>
      <c r="L902" s="170"/>
      <c r="M902" s="170"/>
      <c r="N902" s="170"/>
      <c r="O902" s="170"/>
      <c r="P902" s="170"/>
      <c r="Q902" s="170"/>
      <c r="R902" s="166"/>
      <c r="S902" s="167"/>
      <c r="T902" s="168"/>
      <c r="U902" s="167"/>
      <c r="V902" s="168"/>
      <c r="W902" s="169"/>
      <c r="X902" s="168"/>
      <c r="Y902" s="169"/>
      <c r="Z902" s="168"/>
      <c r="AA902" s="169"/>
      <c r="AB902" s="168"/>
      <c r="AC902" s="169"/>
      <c r="AE902" s="133"/>
    </row>
    <row r="903" spans="1:31" ht="15.75" hidden="1" outlineLevel="2" x14ac:dyDescent="0.2">
      <c r="A903" s="25">
        <f>'Утв. ИП 2014-2019'!A905</f>
        <v>0</v>
      </c>
      <c r="B903" s="6">
        <f>'Утв. ИП 2014-2019'!B905</f>
        <v>0</v>
      </c>
      <c r="C903" s="7" t="str">
        <f>'Утв. ИП 2014-2019'!C905</f>
        <v>реконструкция</v>
      </c>
      <c r="D903" s="8"/>
      <c r="E903" s="8"/>
      <c r="F903" s="8"/>
      <c r="G903" s="8"/>
      <c r="H903" s="8"/>
      <c r="I903" s="8"/>
      <c r="J903" s="23"/>
      <c r="K903" s="170"/>
      <c r="L903" s="170"/>
      <c r="M903" s="170"/>
      <c r="N903" s="170"/>
      <c r="O903" s="170"/>
      <c r="P903" s="170"/>
      <c r="Q903" s="170"/>
      <c r="R903" s="166"/>
      <c r="S903" s="167"/>
      <c r="T903" s="168"/>
      <c r="U903" s="167"/>
      <c r="V903" s="168"/>
      <c r="W903" s="169"/>
      <c r="X903" s="168"/>
      <c r="Y903" s="169"/>
      <c r="Z903" s="168"/>
      <c r="AA903" s="169"/>
      <c r="AB903" s="168"/>
      <c r="AC903" s="169"/>
      <c r="AE903" s="133"/>
    </row>
    <row r="904" spans="1:31" ht="15.75" hidden="1" outlineLevel="2" x14ac:dyDescent="0.2">
      <c r="A904" s="25">
        <f>'Утв. ИП 2014-2019'!A906</f>
        <v>0</v>
      </c>
      <c r="B904" s="6">
        <f>'Утв. ИП 2014-2019'!B906</f>
        <v>0</v>
      </c>
      <c r="C904" s="7" t="str">
        <f>'Утв. ИП 2014-2019'!C906</f>
        <v>строительство</v>
      </c>
      <c r="D904" s="8"/>
      <c r="E904" s="8"/>
      <c r="F904" s="8"/>
      <c r="G904" s="8"/>
      <c r="H904" s="8"/>
      <c r="I904" s="8"/>
      <c r="J904" s="23"/>
      <c r="K904" s="170"/>
      <c r="L904" s="170"/>
      <c r="M904" s="170"/>
      <c r="N904" s="170"/>
      <c r="O904" s="170"/>
      <c r="P904" s="170"/>
      <c r="Q904" s="170"/>
      <c r="R904" s="166"/>
      <c r="S904" s="167"/>
      <c r="T904" s="168"/>
      <c r="U904" s="167"/>
      <c r="V904" s="168"/>
      <c r="W904" s="169"/>
      <c r="X904" s="168"/>
      <c r="Y904" s="169"/>
      <c r="Z904" s="168"/>
      <c r="AA904" s="169"/>
      <c r="AB904" s="168"/>
      <c r="AC904" s="169"/>
      <c r="AE904" s="133"/>
    </row>
    <row r="905" spans="1:31" ht="38.25" hidden="1" outlineLevel="1" collapsed="1" x14ac:dyDescent="0.2">
      <c r="A905" s="25" t="str">
        <f>'Утв. ИП 2014-2019'!A907</f>
        <v>1.1.5.3.71/13</v>
      </c>
      <c r="B905" s="6" t="str">
        <f>'Утв. ИП 2014-2019'!B907</f>
        <v>3.2.222</v>
      </c>
      <c r="C905" s="7" t="str">
        <f>'Утв. ИП 2014-2019'!C907</f>
        <v>Монтаж узла учета на ближайшей опоре ВЛ-0,4 кВ по пер. Космический от КТП-429 для электроснабжения садового домика по адресу: г. Липецк, СНТ "Сокол-2", участок № 1136 а</v>
      </c>
      <c r="D905" s="8"/>
      <c r="E905" s="8" t="str">
        <f>'Утв. ИП 2014-2019'!L907</f>
        <v>0,0 км/ 0 МВА</v>
      </c>
      <c r="F905" s="8"/>
      <c r="G905" s="8"/>
      <c r="H905" s="8"/>
      <c r="I905" s="8"/>
      <c r="J905" s="23" t="str">
        <f>'Утв. ИП 2014-2019'!Q907</f>
        <v>0,0 км/ 0 МВА</v>
      </c>
      <c r="K905" s="170"/>
      <c r="L905" s="170"/>
      <c r="M905" s="170"/>
      <c r="N905" s="170"/>
      <c r="O905" s="170"/>
      <c r="P905" s="170"/>
      <c r="Q905" s="170"/>
      <c r="R905" s="136"/>
      <c r="S905" s="137"/>
      <c r="T905" s="128"/>
      <c r="U905" s="137"/>
      <c r="V905" s="128"/>
      <c r="W905" s="49"/>
      <c r="X905" s="128"/>
      <c r="Y905" s="49"/>
      <c r="Z905" s="128"/>
      <c r="AA905" s="49"/>
      <c r="AB905" s="128"/>
      <c r="AC905" s="49"/>
      <c r="AE905" s="133"/>
    </row>
    <row r="906" spans="1:31" ht="15.75" hidden="1" outlineLevel="2" x14ac:dyDescent="0.2">
      <c r="A906" s="25">
        <f>'Утв. ИП 2014-2019'!A908</f>
        <v>0</v>
      </c>
      <c r="B906" s="6">
        <f>'Утв. ИП 2014-2019'!B908</f>
        <v>0</v>
      </c>
      <c r="C906" s="7" t="str">
        <f>'Утв. ИП 2014-2019'!C908</f>
        <v>реконструкция</v>
      </c>
      <c r="D906" s="8"/>
      <c r="E906" s="8"/>
      <c r="F906" s="8"/>
      <c r="G906" s="8"/>
      <c r="H906" s="8"/>
      <c r="I906" s="8"/>
      <c r="J906" s="23"/>
      <c r="K906" s="170"/>
      <c r="L906" s="170"/>
      <c r="M906" s="170"/>
      <c r="N906" s="170"/>
      <c r="O906" s="170"/>
      <c r="P906" s="170"/>
      <c r="Q906" s="170"/>
      <c r="R906" s="136"/>
      <c r="S906" s="137"/>
      <c r="T906" s="128"/>
      <c r="U906" s="137"/>
      <c r="V906" s="128"/>
      <c r="W906" s="49"/>
      <c r="X906" s="128"/>
      <c r="Y906" s="49"/>
      <c r="Z906" s="128"/>
      <c r="AA906" s="49"/>
      <c r="AB906" s="128"/>
      <c r="AC906" s="49"/>
      <c r="AE906" s="133"/>
    </row>
    <row r="907" spans="1:31" ht="15.75" hidden="1" outlineLevel="2" x14ac:dyDescent="0.2">
      <c r="A907" s="25">
        <f>'Утв. ИП 2014-2019'!A909</f>
        <v>0</v>
      </c>
      <c r="B907" s="6">
        <f>'Утв. ИП 2014-2019'!B909</f>
        <v>0</v>
      </c>
      <c r="C907" s="7" t="str">
        <f>'Утв. ИП 2014-2019'!C909</f>
        <v>строительство</v>
      </c>
      <c r="D907" s="8"/>
      <c r="E907" s="8"/>
      <c r="F907" s="8"/>
      <c r="G907" s="8"/>
      <c r="H907" s="8"/>
      <c r="I907" s="8"/>
      <c r="J907" s="23"/>
      <c r="K907" s="170"/>
      <c r="L907" s="170"/>
      <c r="M907" s="170"/>
      <c r="N907" s="170"/>
      <c r="O907" s="170"/>
      <c r="P907" s="170"/>
      <c r="Q907" s="170"/>
      <c r="R907" s="136"/>
      <c r="S907" s="137"/>
      <c r="T907" s="128"/>
      <c r="U907" s="137"/>
      <c r="V907" s="128"/>
      <c r="W907" s="49"/>
      <c r="X907" s="128"/>
      <c r="Y907" s="49"/>
      <c r="Z907" s="128"/>
      <c r="AA907" s="49"/>
      <c r="AB907" s="128"/>
      <c r="AC907" s="49"/>
      <c r="AE907" s="133"/>
    </row>
    <row r="908" spans="1:31" ht="38.25" hidden="1" outlineLevel="1" collapsed="1" x14ac:dyDescent="0.2">
      <c r="A908" s="25" t="str">
        <f>'Утв. ИП 2014-2019'!A910</f>
        <v>1.1.5.3.72/13</v>
      </c>
      <c r="B908" s="6" t="str">
        <f>'Утв. ИП 2014-2019'!B910</f>
        <v>3.2.223</v>
      </c>
      <c r="C908" s="7" t="str">
        <f>'Утв. ИП 2014-2019'!C910</f>
        <v>Монтаж узла учета на опоре № 29 ВЛ-0,4 кВ по ул. Бригадная от КТП-560 для электроснабжения жилого дома с пристройками по адресу: г. Липецк, ул. Бригадная, д. 19</v>
      </c>
      <c r="D908" s="8"/>
      <c r="E908" s="8" t="str">
        <f>'Утв. ИП 2014-2019'!L910</f>
        <v>0,0 км/ 0 МВА</v>
      </c>
      <c r="F908" s="8"/>
      <c r="G908" s="8"/>
      <c r="H908" s="8"/>
      <c r="I908" s="8"/>
      <c r="J908" s="23" t="str">
        <f>'Утв. ИП 2014-2019'!Q910</f>
        <v>0,0 км/ 0 МВА</v>
      </c>
      <c r="K908" s="170"/>
      <c r="L908" s="170"/>
      <c r="M908" s="170"/>
      <c r="N908" s="170"/>
      <c r="O908" s="170"/>
      <c r="P908" s="170"/>
      <c r="Q908" s="170"/>
      <c r="R908" s="136"/>
      <c r="S908" s="137"/>
      <c r="T908" s="128"/>
      <c r="U908" s="137"/>
      <c r="V908" s="128"/>
      <c r="W908" s="49"/>
      <c r="X908" s="128"/>
      <c r="Y908" s="49"/>
      <c r="Z908" s="128"/>
      <c r="AA908" s="49"/>
      <c r="AB908" s="128"/>
      <c r="AC908" s="49"/>
      <c r="AE908" s="133"/>
    </row>
    <row r="909" spans="1:31" ht="15.75" hidden="1" outlineLevel="2" x14ac:dyDescent="0.2">
      <c r="A909" s="25">
        <f>'Утв. ИП 2014-2019'!A911</f>
        <v>0</v>
      </c>
      <c r="B909" s="6">
        <f>'Утв. ИП 2014-2019'!B911</f>
        <v>0</v>
      </c>
      <c r="C909" s="7" t="str">
        <f>'Утв. ИП 2014-2019'!C911</f>
        <v>реконструкция</v>
      </c>
      <c r="D909" s="8"/>
      <c r="E909" s="8"/>
      <c r="F909" s="8"/>
      <c r="G909" s="8"/>
      <c r="H909" s="8"/>
      <c r="I909" s="8"/>
      <c r="J909" s="23"/>
      <c r="K909" s="170"/>
      <c r="L909" s="170"/>
      <c r="M909" s="170"/>
      <c r="N909" s="170"/>
      <c r="O909" s="170"/>
      <c r="P909" s="170"/>
      <c r="Q909" s="170"/>
      <c r="R909" s="136"/>
      <c r="S909" s="137"/>
      <c r="T909" s="128"/>
      <c r="U909" s="137"/>
      <c r="V909" s="128"/>
      <c r="W909" s="49"/>
      <c r="X909" s="128"/>
      <c r="Y909" s="49"/>
      <c r="Z909" s="128"/>
      <c r="AA909" s="49"/>
      <c r="AB909" s="128"/>
      <c r="AC909" s="49"/>
      <c r="AE909" s="133"/>
    </row>
    <row r="910" spans="1:31" ht="15.75" hidden="1" outlineLevel="2" x14ac:dyDescent="0.2">
      <c r="A910" s="25">
        <f>'Утв. ИП 2014-2019'!A912</f>
        <v>0</v>
      </c>
      <c r="B910" s="6">
        <f>'Утв. ИП 2014-2019'!B912</f>
        <v>0</v>
      </c>
      <c r="C910" s="7" t="str">
        <f>'Утв. ИП 2014-2019'!C912</f>
        <v>строительство</v>
      </c>
      <c r="D910" s="8"/>
      <c r="E910" s="8"/>
      <c r="F910" s="8"/>
      <c r="G910" s="8"/>
      <c r="H910" s="8"/>
      <c r="I910" s="8"/>
      <c r="J910" s="23"/>
      <c r="K910" s="170"/>
      <c r="L910" s="170"/>
      <c r="M910" s="170"/>
      <c r="N910" s="170"/>
      <c r="O910" s="170"/>
      <c r="P910" s="170"/>
      <c r="Q910" s="170"/>
      <c r="R910" s="136"/>
      <c r="S910" s="137"/>
      <c r="T910" s="128"/>
      <c r="U910" s="137"/>
      <c r="V910" s="128"/>
      <c r="W910" s="49"/>
      <c r="X910" s="128"/>
      <c r="Y910" s="49"/>
      <c r="Z910" s="128"/>
      <c r="AA910" s="49"/>
      <c r="AB910" s="128"/>
      <c r="AC910" s="49"/>
      <c r="AE910" s="133"/>
    </row>
    <row r="911" spans="1:31" ht="25.5" hidden="1" outlineLevel="1" collapsed="1" x14ac:dyDescent="0.2">
      <c r="A911" s="25" t="str">
        <f>'Утв. ИП 2014-2019'!A913</f>
        <v>1.1.5.3.73/13</v>
      </c>
      <c r="B911" s="6" t="str">
        <f>'Утв. ИП 2014-2019'!B913</f>
        <v>3.2.224</v>
      </c>
      <c r="C911" s="7" t="str">
        <f>'Утв. ИП 2014-2019'!C913</f>
        <v>Электроснабжение садовых домиков в СНТ "Металлург-2" (МТП № 2)</v>
      </c>
      <c r="D911" s="8"/>
      <c r="E911" s="8" t="str">
        <f>'Утв. ИП 2014-2019'!L913</f>
        <v>2,0 км/ 0,25 МВА</v>
      </c>
      <c r="F911" s="8"/>
      <c r="G911" s="8"/>
      <c r="H911" s="8"/>
      <c r="I911" s="8"/>
      <c r="J911" s="23" t="str">
        <f>'Утв. ИП 2014-2019'!Q913</f>
        <v>2,0 км/ 0,25 МВА</v>
      </c>
      <c r="K911" s="170"/>
      <c r="L911" s="170"/>
      <c r="M911" s="170"/>
      <c r="N911" s="170"/>
      <c r="O911" s="170"/>
      <c r="P911" s="170"/>
      <c r="Q911" s="170"/>
      <c r="R911" s="136"/>
      <c r="S911" s="137"/>
      <c r="T911" s="128"/>
      <c r="U911" s="137"/>
      <c r="V911" s="128"/>
      <c r="W911" s="49"/>
      <c r="X911" s="128"/>
      <c r="Y911" s="49"/>
      <c r="Z911" s="128"/>
      <c r="AA911" s="49"/>
      <c r="AB911" s="128"/>
      <c r="AC911" s="49"/>
      <c r="AE911" s="133"/>
    </row>
    <row r="912" spans="1:31" ht="15.75" hidden="1" outlineLevel="2" x14ac:dyDescent="0.2">
      <c r="A912" s="25">
        <f>'Утв. ИП 2014-2019'!A914</f>
        <v>0</v>
      </c>
      <c r="B912" s="6">
        <f>'Утв. ИП 2014-2019'!B914</f>
        <v>0</v>
      </c>
      <c r="C912" s="7" t="str">
        <f>'Утв. ИП 2014-2019'!C914</f>
        <v>реконструкция</v>
      </c>
      <c r="D912" s="8"/>
      <c r="E912" s="8"/>
      <c r="F912" s="8"/>
      <c r="G912" s="8"/>
      <c r="H912" s="8"/>
      <c r="I912" s="8"/>
      <c r="J912" s="23"/>
      <c r="K912" s="170"/>
      <c r="L912" s="170"/>
      <c r="M912" s="170"/>
      <c r="N912" s="170"/>
      <c r="O912" s="170"/>
      <c r="P912" s="170"/>
      <c r="Q912" s="170"/>
      <c r="R912" s="136"/>
      <c r="S912" s="137"/>
      <c r="T912" s="128"/>
      <c r="U912" s="137"/>
      <c r="V912" s="128"/>
      <c r="W912" s="49"/>
      <c r="X912" s="128"/>
      <c r="Y912" s="49"/>
      <c r="Z912" s="128"/>
      <c r="AA912" s="49"/>
      <c r="AB912" s="128"/>
      <c r="AC912" s="49"/>
      <c r="AE912" s="133"/>
    </row>
    <row r="913" spans="1:31" ht="15.75" hidden="1" outlineLevel="2" x14ac:dyDescent="0.2">
      <c r="A913" s="25">
        <f>'Утв. ИП 2014-2019'!A915</f>
        <v>0</v>
      </c>
      <c r="B913" s="6">
        <f>'Утв. ИП 2014-2019'!B915</f>
        <v>0</v>
      </c>
      <c r="C913" s="7" t="str">
        <f>'Утв. ИП 2014-2019'!C915</f>
        <v>строительство</v>
      </c>
      <c r="D913" s="8"/>
      <c r="E913" s="8"/>
      <c r="F913" s="8"/>
      <c r="G913" s="8"/>
      <c r="H913" s="8"/>
      <c r="I913" s="8"/>
      <c r="J913" s="23"/>
      <c r="K913" s="170"/>
      <c r="L913" s="170"/>
      <c r="M913" s="170"/>
      <c r="N913" s="170"/>
      <c r="O913" s="170"/>
      <c r="P913" s="170"/>
      <c r="Q913" s="170"/>
      <c r="R913" s="136"/>
      <c r="S913" s="137"/>
      <c r="T913" s="128"/>
      <c r="U913" s="137"/>
      <c r="V913" s="128"/>
      <c r="W913" s="49"/>
      <c r="X913" s="128"/>
      <c r="Y913" s="49"/>
      <c r="Z913" s="128"/>
      <c r="AA913" s="49"/>
      <c r="AB913" s="128"/>
      <c r="AC913" s="49"/>
      <c r="AE913" s="133"/>
    </row>
    <row r="914" spans="1:31" ht="25.5" hidden="1" outlineLevel="1" collapsed="1" x14ac:dyDescent="0.2">
      <c r="A914" s="25" t="str">
        <f>'Утв. ИП 2014-2019'!A916</f>
        <v>1.1.5.3.74/13</v>
      </c>
      <c r="B914" s="6" t="str">
        <f>'Утв. ИП 2014-2019'!B916</f>
        <v>3.2.225</v>
      </c>
      <c r="C914" s="7" t="str">
        <f>'Утв. ИП 2014-2019'!C916</f>
        <v>Электроснабжение административного здания по адресу: г. Липецк, пр-т Мира, 35 А</v>
      </c>
      <c r="D914" s="8"/>
      <c r="E914" s="8" t="str">
        <f>'Утв. ИП 2014-2019'!L916</f>
        <v>0,5 км/ 0 МВА</v>
      </c>
      <c r="F914" s="8"/>
      <c r="G914" s="8"/>
      <c r="H914" s="8"/>
      <c r="I914" s="8"/>
      <c r="J914" s="23" t="str">
        <f>'Утв. ИП 2014-2019'!Q916</f>
        <v>0,5 км/ 0 МВА</v>
      </c>
      <c r="K914" s="170"/>
      <c r="L914" s="170"/>
      <c r="M914" s="170"/>
      <c r="N914" s="170"/>
      <c r="O914" s="170"/>
      <c r="P914" s="170"/>
      <c r="Q914" s="170"/>
      <c r="R914" s="166"/>
      <c r="S914" s="167"/>
      <c r="T914" s="168"/>
      <c r="U914" s="167"/>
      <c r="V914" s="168"/>
      <c r="W914" s="169"/>
      <c r="X914" s="168"/>
      <c r="Y914" s="169"/>
      <c r="Z914" s="168"/>
      <c r="AA914" s="169"/>
      <c r="AB914" s="168"/>
      <c r="AC914" s="169"/>
      <c r="AE914" s="133"/>
    </row>
    <row r="915" spans="1:31" ht="15.75" hidden="1" outlineLevel="2" x14ac:dyDescent="0.2">
      <c r="A915" s="25">
        <f>'Утв. ИП 2014-2019'!A917</f>
        <v>0</v>
      </c>
      <c r="B915" s="6">
        <f>'Утв. ИП 2014-2019'!B917</f>
        <v>0</v>
      </c>
      <c r="C915" s="7" t="str">
        <f>'Утв. ИП 2014-2019'!C917</f>
        <v>реконструкция</v>
      </c>
      <c r="D915" s="8"/>
      <c r="E915" s="8"/>
      <c r="F915" s="8"/>
      <c r="G915" s="8"/>
      <c r="H915" s="8"/>
      <c r="I915" s="8"/>
      <c r="J915" s="23"/>
      <c r="K915" s="170"/>
      <c r="L915" s="170"/>
      <c r="M915" s="170"/>
      <c r="N915" s="170"/>
      <c r="O915" s="170"/>
      <c r="P915" s="170"/>
      <c r="Q915" s="170"/>
      <c r="R915" s="166"/>
      <c r="S915" s="167"/>
      <c r="T915" s="168"/>
      <c r="U915" s="167"/>
      <c r="V915" s="168"/>
      <c r="W915" s="169"/>
      <c r="X915" s="168"/>
      <c r="Y915" s="169"/>
      <c r="Z915" s="168"/>
      <c r="AA915" s="169"/>
      <c r="AB915" s="168"/>
      <c r="AC915" s="169"/>
      <c r="AE915" s="133"/>
    </row>
    <row r="916" spans="1:31" ht="15.75" hidden="1" outlineLevel="2" x14ac:dyDescent="0.2">
      <c r="A916" s="25">
        <f>'Утв. ИП 2014-2019'!A918</f>
        <v>0</v>
      </c>
      <c r="B916" s="6">
        <f>'Утв. ИП 2014-2019'!B918</f>
        <v>0</v>
      </c>
      <c r="C916" s="7" t="str">
        <f>'Утв. ИП 2014-2019'!C918</f>
        <v>строительство</v>
      </c>
      <c r="D916" s="8"/>
      <c r="E916" s="8"/>
      <c r="F916" s="8"/>
      <c r="G916" s="8"/>
      <c r="H916" s="8"/>
      <c r="I916" s="8"/>
      <c r="J916" s="23"/>
      <c r="K916" s="170"/>
      <c r="L916" s="170"/>
      <c r="M916" s="170"/>
      <c r="N916" s="170"/>
      <c r="O916" s="170"/>
      <c r="P916" s="170"/>
      <c r="Q916" s="170"/>
      <c r="R916" s="166"/>
      <c r="S916" s="167"/>
      <c r="T916" s="168"/>
      <c r="U916" s="167"/>
      <c r="V916" s="168"/>
      <c r="W916" s="169"/>
      <c r="X916" s="168"/>
      <c r="Y916" s="169"/>
      <c r="Z916" s="168"/>
      <c r="AA916" s="169"/>
      <c r="AB916" s="168"/>
      <c r="AC916" s="169"/>
      <c r="AE916" s="133"/>
    </row>
    <row r="917" spans="1:31" ht="25.5" hidden="1" outlineLevel="1" collapsed="1" x14ac:dyDescent="0.2">
      <c r="A917" s="25" t="str">
        <f>'Утв. ИП 2014-2019'!A919</f>
        <v>1.1.5.3.75/13</v>
      </c>
      <c r="B917" s="6" t="str">
        <f>'Утв. ИП 2014-2019'!B919</f>
        <v>3.2.226</v>
      </c>
      <c r="C917" s="7" t="str">
        <f>'Утв. ИП 2014-2019'!C919</f>
        <v>Электроснабжение блочного гаража № 1 по адресу: г. Липецк, ул. Ворошилова, около дома № 11 в блоке гаражей (лит. Г)</v>
      </c>
      <c r="D917" s="8"/>
      <c r="E917" s="8" t="str">
        <f>'Утв. ИП 2014-2019'!L919</f>
        <v>0,2 км/ 0 МВА</v>
      </c>
      <c r="F917" s="8"/>
      <c r="G917" s="8"/>
      <c r="H917" s="8"/>
      <c r="I917" s="8"/>
      <c r="J917" s="23" t="str">
        <f>'Утв. ИП 2014-2019'!Q919</f>
        <v>0,2 км/ 0 МВА</v>
      </c>
      <c r="K917" s="170"/>
      <c r="L917" s="170"/>
      <c r="M917" s="170"/>
      <c r="N917" s="170"/>
      <c r="O917" s="170"/>
      <c r="P917" s="170"/>
      <c r="Q917" s="170"/>
      <c r="R917" s="166"/>
      <c r="S917" s="167"/>
      <c r="T917" s="168"/>
      <c r="U917" s="167"/>
      <c r="V917" s="168"/>
      <c r="W917" s="169"/>
      <c r="X917" s="168"/>
      <c r="Y917" s="169"/>
      <c r="Z917" s="168"/>
      <c r="AA917" s="169"/>
      <c r="AB917" s="168"/>
      <c r="AC917" s="169"/>
      <c r="AE917" s="133"/>
    </row>
    <row r="918" spans="1:31" ht="15.75" hidden="1" outlineLevel="2" x14ac:dyDescent="0.2">
      <c r="A918" s="25">
        <f>'Утв. ИП 2014-2019'!A920</f>
        <v>0</v>
      </c>
      <c r="B918" s="6">
        <f>'Утв. ИП 2014-2019'!B920</f>
        <v>0</v>
      </c>
      <c r="C918" s="7" t="str">
        <f>'Утв. ИП 2014-2019'!C920</f>
        <v>реконструкция</v>
      </c>
      <c r="D918" s="8"/>
      <c r="E918" s="8"/>
      <c r="F918" s="8"/>
      <c r="G918" s="8"/>
      <c r="H918" s="8"/>
      <c r="I918" s="8"/>
      <c r="J918" s="23"/>
      <c r="K918" s="170"/>
      <c r="L918" s="170"/>
      <c r="M918" s="170"/>
      <c r="N918" s="170"/>
      <c r="O918" s="170"/>
      <c r="P918" s="170"/>
      <c r="Q918" s="170"/>
      <c r="R918" s="166"/>
      <c r="S918" s="167"/>
      <c r="T918" s="168"/>
      <c r="U918" s="167"/>
      <c r="V918" s="168"/>
      <c r="W918" s="169"/>
      <c r="X918" s="168"/>
      <c r="Y918" s="169"/>
      <c r="Z918" s="168"/>
      <c r="AA918" s="169"/>
      <c r="AB918" s="168"/>
      <c r="AC918" s="169"/>
      <c r="AE918" s="133"/>
    </row>
    <row r="919" spans="1:31" ht="15.75" hidden="1" outlineLevel="2" x14ac:dyDescent="0.2">
      <c r="A919" s="25">
        <f>'Утв. ИП 2014-2019'!A921</f>
        <v>0</v>
      </c>
      <c r="B919" s="6">
        <f>'Утв. ИП 2014-2019'!B921</f>
        <v>0</v>
      </c>
      <c r="C919" s="7" t="str">
        <f>'Утв. ИП 2014-2019'!C921</f>
        <v>строительство</v>
      </c>
      <c r="D919" s="8"/>
      <c r="E919" s="8"/>
      <c r="F919" s="8"/>
      <c r="G919" s="8"/>
      <c r="H919" s="8"/>
      <c r="I919" s="8"/>
      <c r="J919" s="23"/>
      <c r="K919" s="170"/>
      <c r="L919" s="170"/>
      <c r="M919" s="170"/>
      <c r="N919" s="170"/>
      <c r="O919" s="170"/>
      <c r="P919" s="170"/>
      <c r="Q919" s="170"/>
      <c r="R919" s="166"/>
      <c r="S919" s="167"/>
      <c r="T919" s="168"/>
      <c r="U919" s="167"/>
      <c r="V919" s="168"/>
      <c r="W919" s="169"/>
      <c r="X919" s="168"/>
      <c r="Y919" s="169"/>
      <c r="Z919" s="168"/>
      <c r="AA919" s="169"/>
      <c r="AB919" s="168"/>
      <c r="AC919" s="169"/>
      <c r="AE919" s="133"/>
    </row>
    <row r="920" spans="1:31" ht="25.5" hidden="1" outlineLevel="1" collapsed="1" x14ac:dyDescent="0.2">
      <c r="A920" s="25" t="str">
        <f>'Утв. ИП 2014-2019'!A922</f>
        <v>1.1.5.3.76/13</v>
      </c>
      <c r="B920" s="6" t="str">
        <f>'Утв. ИП 2014-2019'!B922</f>
        <v>3.2.227</v>
      </c>
      <c r="C920" s="7" t="str">
        <f>'Утв. ИП 2014-2019'!C922</f>
        <v>Электроснабжение жилого дома по адресу: г. Липецк, ул. Уральская, д. 7</v>
      </c>
      <c r="D920" s="8"/>
      <c r="E920" s="8" t="str">
        <f>'Утв. ИП 2014-2019'!L922</f>
        <v>0,2 км/ 0 МВА</v>
      </c>
      <c r="F920" s="8"/>
      <c r="G920" s="8"/>
      <c r="H920" s="8"/>
      <c r="I920" s="8"/>
      <c r="J920" s="23" t="str">
        <f>'Утв. ИП 2014-2019'!Q922</f>
        <v>0,2 км/ 0 МВА</v>
      </c>
      <c r="K920" s="170"/>
      <c r="L920" s="170"/>
      <c r="M920" s="170"/>
      <c r="N920" s="170"/>
      <c r="O920" s="170"/>
      <c r="P920" s="170"/>
      <c r="Q920" s="170"/>
      <c r="R920" s="136"/>
      <c r="S920" s="137"/>
      <c r="T920" s="128"/>
      <c r="U920" s="137"/>
      <c r="V920" s="128"/>
      <c r="W920" s="49"/>
      <c r="X920" s="128"/>
      <c r="Y920" s="49"/>
      <c r="Z920" s="128"/>
      <c r="AA920" s="49"/>
      <c r="AB920" s="128"/>
      <c r="AC920" s="49"/>
      <c r="AE920" s="133"/>
    </row>
    <row r="921" spans="1:31" ht="15.75" hidden="1" outlineLevel="2" x14ac:dyDescent="0.2">
      <c r="A921" s="25">
        <f>'Утв. ИП 2014-2019'!A923</f>
        <v>0</v>
      </c>
      <c r="B921" s="6">
        <f>'Утв. ИП 2014-2019'!B923</f>
        <v>0</v>
      </c>
      <c r="C921" s="7" t="str">
        <f>'Утв. ИП 2014-2019'!C923</f>
        <v>реконструкция</v>
      </c>
      <c r="D921" s="8"/>
      <c r="E921" s="8"/>
      <c r="F921" s="8"/>
      <c r="G921" s="8"/>
      <c r="H921" s="8"/>
      <c r="I921" s="8"/>
      <c r="J921" s="23"/>
      <c r="K921" s="170"/>
      <c r="L921" s="170"/>
      <c r="M921" s="170"/>
      <c r="N921" s="170"/>
      <c r="O921" s="170"/>
      <c r="P921" s="170"/>
      <c r="Q921" s="170"/>
      <c r="R921" s="136"/>
      <c r="S921" s="137"/>
      <c r="T921" s="128"/>
      <c r="U921" s="137"/>
      <c r="V921" s="128"/>
      <c r="W921" s="49"/>
      <c r="X921" s="128"/>
      <c r="Y921" s="49"/>
      <c r="Z921" s="128"/>
      <c r="AA921" s="49"/>
      <c r="AB921" s="128"/>
      <c r="AC921" s="49"/>
      <c r="AE921" s="133"/>
    </row>
    <row r="922" spans="1:31" ht="15.75" hidden="1" outlineLevel="2" x14ac:dyDescent="0.2">
      <c r="A922" s="25">
        <f>'Утв. ИП 2014-2019'!A924</f>
        <v>0</v>
      </c>
      <c r="B922" s="6">
        <f>'Утв. ИП 2014-2019'!B924</f>
        <v>0</v>
      </c>
      <c r="C922" s="7" t="str">
        <f>'Утв. ИП 2014-2019'!C924</f>
        <v>строительство</v>
      </c>
      <c r="D922" s="8"/>
      <c r="E922" s="8"/>
      <c r="F922" s="8"/>
      <c r="G922" s="8"/>
      <c r="H922" s="8"/>
      <c r="I922" s="8"/>
      <c r="J922" s="23"/>
      <c r="K922" s="170"/>
      <c r="L922" s="170"/>
      <c r="M922" s="170"/>
      <c r="N922" s="170"/>
      <c r="O922" s="170"/>
      <c r="P922" s="170"/>
      <c r="Q922" s="170"/>
      <c r="R922" s="136"/>
      <c r="S922" s="137"/>
      <c r="T922" s="128"/>
      <c r="U922" s="137"/>
      <c r="V922" s="128"/>
      <c r="W922" s="49"/>
      <c r="X922" s="128"/>
      <c r="Y922" s="49"/>
      <c r="Z922" s="128"/>
      <c r="AA922" s="49"/>
      <c r="AB922" s="128"/>
      <c r="AC922" s="49"/>
      <c r="AE922" s="133"/>
    </row>
    <row r="923" spans="1:31" ht="76.5" hidden="1" outlineLevel="1" collapsed="1" x14ac:dyDescent="0.2">
      <c r="A923" s="25" t="str">
        <f>'Утв. ИП 2014-2019'!A925</f>
        <v>1.1.5.3.77/13</v>
      </c>
      <c r="B923" s="6" t="str">
        <f>'Утв. ИП 2014-2019'!B925</f>
        <v>3.2.228</v>
      </c>
      <c r="C923" s="7" t="str">
        <f>'Утв. ИП 2014-2019'!C925</f>
        <v>Реконструкция ВЛ-0,4 кВ "ТП-312 - ДК Рудника" (инв. № 346331) от опоры № 2 ВЛ-0,4 кВ, смонтированной по п. 1.1.6.2.108/11 ППР, от ТП-312 для электроснабжения индивидуального жилого дома усадебного типа с хозяйственными постройками по адресу: г. Липецк, ул. Юношеская, № 4 (по схеме)</v>
      </c>
      <c r="D923" s="8"/>
      <c r="E923" s="8" t="str">
        <f>'Утв. ИП 2014-2019'!L925</f>
        <v>0,3 км/ 0 МВА</v>
      </c>
      <c r="F923" s="8"/>
      <c r="G923" s="8"/>
      <c r="H923" s="8"/>
      <c r="I923" s="8"/>
      <c r="J923" s="23" t="str">
        <f>'Утв. ИП 2014-2019'!Q925</f>
        <v>0,3 км/ 0 МВА</v>
      </c>
      <c r="K923" s="170"/>
      <c r="L923" s="23" t="s">
        <v>1206</v>
      </c>
      <c r="M923" s="170"/>
      <c r="N923" s="170"/>
      <c r="O923" s="170"/>
      <c r="P923" s="170"/>
      <c r="Q923" s="23" t="s">
        <v>1206</v>
      </c>
      <c r="R923" s="136"/>
      <c r="S923" s="137"/>
      <c r="T923" s="128">
        <v>0.3</v>
      </c>
      <c r="U923" s="137"/>
      <c r="V923" s="128"/>
      <c r="W923" s="49"/>
      <c r="X923" s="128"/>
      <c r="Y923" s="49"/>
      <c r="Z923" s="128"/>
      <c r="AA923" s="49"/>
      <c r="AB923" s="128"/>
      <c r="AC923" s="49"/>
      <c r="AE923" s="133"/>
    </row>
    <row r="924" spans="1:31" ht="15.75" hidden="1" outlineLevel="2" x14ac:dyDescent="0.2">
      <c r="A924" s="25">
        <f>'Утв. ИП 2014-2019'!A926</f>
        <v>0</v>
      </c>
      <c r="B924" s="6">
        <f>'Утв. ИП 2014-2019'!B926</f>
        <v>0</v>
      </c>
      <c r="C924" s="7" t="str">
        <f>'Утв. ИП 2014-2019'!C926</f>
        <v>реконструкция</v>
      </c>
      <c r="D924" s="8"/>
      <c r="E924" s="8"/>
      <c r="F924" s="8"/>
      <c r="G924" s="8"/>
      <c r="H924" s="8"/>
      <c r="I924" s="8"/>
      <c r="J924" s="23"/>
      <c r="K924" s="170"/>
      <c r="L924" s="170"/>
      <c r="M924" s="170"/>
      <c r="N924" s="170"/>
      <c r="O924" s="170"/>
      <c r="P924" s="170"/>
      <c r="Q924" s="170"/>
      <c r="R924" s="136"/>
      <c r="S924" s="137"/>
      <c r="T924" s="128"/>
      <c r="U924" s="137"/>
      <c r="V924" s="128"/>
      <c r="W924" s="49"/>
      <c r="X924" s="128"/>
      <c r="Y924" s="49"/>
      <c r="Z924" s="128"/>
      <c r="AA924" s="49"/>
      <c r="AB924" s="128"/>
      <c r="AC924" s="49"/>
      <c r="AE924" s="133"/>
    </row>
    <row r="925" spans="1:31" ht="15.75" hidden="1" outlineLevel="2" x14ac:dyDescent="0.2">
      <c r="A925" s="25">
        <f>'Утв. ИП 2014-2019'!A927</f>
        <v>0</v>
      </c>
      <c r="B925" s="6">
        <f>'Утв. ИП 2014-2019'!B927</f>
        <v>0</v>
      </c>
      <c r="C925" s="7" t="str">
        <f>'Утв. ИП 2014-2019'!C927</f>
        <v>строительство</v>
      </c>
      <c r="D925" s="8"/>
      <c r="E925" s="8"/>
      <c r="F925" s="8"/>
      <c r="G925" s="8"/>
      <c r="H925" s="8"/>
      <c r="I925" s="8"/>
      <c r="J925" s="23"/>
      <c r="K925" s="170"/>
      <c r="L925" s="170"/>
      <c r="M925" s="170"/>
      <c r="N925" s="170"/>
      <c r="O925" s="170"/>
      <c r="P925" s="170"/>
      <c r="Q925" s="170"/>
      <c r="R925" s="136"/>
      <c r="S925" s="137"/>
      <c r="T925" s="128"/>
      <c r="U925" s="137"/>
      <c r="V925" s="128"/>
      <c r="W925" s="49"/>
      <c r="X925" s="128"/>
      <c r="Y925" s="49"/>
      <c r="Z925" s="128"/>
      <c r="AA925" s="49"/>
      <c r="AB925" s="128"/>
      <c r="AC925" s="49"/>
      <c r="AE925" s="133"/>
    </row>
    <row r="926" spans="1:31" ht="51" hidden="1" outlineLevel="1" collapsed="1" x14ac:dyDescent="0.2">
      <c r="A926" s="25" t="str">
        <f>'Утв. ИП 2014-2019'!A928</f>
        <v>1.1.5.3.78/13</v>
      </c>
      <c r="B926" s="6" t="str">
        <f>'Утв. ИП 2014-2019'!B928</f>
        <v>3.2.229</v>
      </c>
      <c r="C926" s="7" t="str">
        <f>'Утв. ИП 2014-2019'!C928</f>
        <v>Монтаж узла учета на ближайшей опоре № 3 ВЛ-0,4 кВ в ЛСПО "Металлург-1" от МТП-953 для электроснабжения садового домика по адресу: г. Липецк, ЛСПО "Металлург-1", квартал Iа, зем. уч. № 42</v>
      </c>
      <c r="D926" s="8"/>
      <c r="E926" s="8" t="str">
        <f>'Утв. ИП 2014-2019'!L928</f>
        <v>0,0 км/ 0 МВА</v>
      </c>
      <c r="F926" s="8"/>
      <c r="G926" s="8"/>
      <c r="H926" s="8"/>
      <c r="I926" s="8"/>
      <c r="J926" s="23" t="str">
        <f>'Утв. ИП 2014-2019'!Q928</f>
        <v>0,0 км/ 0 МВА</v>
      </c>
      <c r="K926" s="170"/>
      <c r="L926" s="170"/>
      <c r="M926" s="170"/>
      <c r="N926" s="170"/>
      <c r="O926" s="170"/>
      <c r="P926" s="170"/>
      <c r="Q926" s="170"/>
      <c r="R926" s="136"/>
      <c r="S926" s="137"/>
      <c r="T926" s="128"/>
      <c r="U926" s="137"/>
      <c r="V926" s="128"/>
      <c r="W926" s="49"/>
      <c r="X926" s="128"/>
      <c r="Y926" s="49"/>
      <c r="Z926" s="128"/>
      <c r="AA926" s="49"/>
      <c r="AB926" s="128"/>
      <c r="AC926" s="49"/>
      <c r="AE926" s="133"/>
    </row>
    <row r="927" spans="1:31" ht="15.75" hidden="1" outlineLevel="2" x14ac:dyDescent="0.2">
      <c r="A927" s="25">
        <f>'Утв. ИП 2014-2019'!A929</f>
        <v>0</v>
      </c>
      <c r="B927" s="6">
        <f>'Утв. ИП 2014-2019'!B929</f>
        <v>0</v>
      </c>
      <c r="C927" s="7" t="str">
        <f>'Утв. ИП 2014-2019'!C929</f>
        <v>реконструкция</v>
      </c>
      <c r="D927" s="8"/>
      <c r="E927" s="8"/>
      <c r="F927" s="8"/>
      <c r="G927" s="8"/>
      <c r="H927" s="8"/>
      <c r="I927" s="8"/>
      <c r="J927" s="23"/>
      <c r="K927" s="170"/>
      <c r="L927" s="170"/>
      <c r="M927" s="170"/>
      <c r="N927" s="170"/>
      <c r="O927" s="170"/>
      <c r="P927" s="170"/>
      <c r="Q927" s="170"/>
      <c r="R927" s="136"/>
      <c r="S927" s="137"/>
      <c r="T927" s="128"/>
      <c r="U927" s="137"/>
      <c r="V927" s="128"/>
      <c r="W927" s="49"/>
      <c r="X927" s="128"/>
      <c r="Y927" s="49"/>
      <c r="Z927" s="128"/>
      <c r="AA927" s="49"/>
      <c r="AB927" s="128"/>
      <c r="AC927" s="49"/>
      <c r="AE927" s="133"/>
    </row>
    <row r="928" spans="1:31" ht="15.75" hidden="1" outlineLevel="2" x14ac:dyDescent="0.2">
      <c r="A928" s="25">
        <f>'Утв. ИП 2014-2019'!A930</f>
        <v>0</v>
      </c>
      <c r="B928" s="6">
        <f>'Утв. ИП 2014-2019'!B930</f>
        <v>0</v>
      </c>
      <c r="C928" s="7" t="str">
        <f>'Утв. ИП 2014-2019'!C930</f>
        <v>строительство</v>
      </c>
      <c r="D928" s="8"/>
      <c r="E928" s="8"/>
      <c r="F928" s="8"/>
      <c r="G928" s="8"/>
      <c r="H928" s="8"/>
      <c r="I928" s="8"/>
      <c r="J928" s="23"/>
      <c r="K928" s="170"/>
      <c r="L928" s="170"/>
      <c r="M928" s="170"/>
      <c r="N928" s="170"/>
      <c r="O928" s="170"/>
      <c r="P928" s="170"/>
      <c r="Q928" s="170"/>
      <c r="R928" s="136"/>
      <c r="S928" s="137"/>
      <c r="T928" s="128"/>
      <c r="U928" s="137"/>
      <c r="V928" s="128"/>
      <c r="W928" s="49"/>
      <c r="X928" s="128"/>
      <c r="Y928" s="49"/>
      <c r="Z928" s="128"/>
      <c r="AA928" s="49"/>
      <c r="AB928" s="128"/>
      <c r="AC928" s="49"/>
      <c r="AE928" s="133"/>
    </row>
    <row r="929" spans="1:31" ht="51" hidden="1" outlineLevel="1" collapsed="1" x14ac:dyDescent="0.2">
      <c r="A929" s="25" t="str">
        <f>'Утв. ИП 2014-2019'!A931</f>
        <v>1.1.5.3.79/13</v>
      </c>
      <c r="B929" s="6" t="str">
        <f>'Утв. ИП 2014-2019'!B931</f>
        <v>3.2.230</v>
      </c>
      <c r="C929" s="7" t="str">
        <f>'Утв. ИП 2014-2019'!C931</f>
        <v>Монтаж узла учета на ближайшей опоре ВЛ-0,4 кВ по ул. Винницкая от ТП-379 для электроснабжения садового домика по адресу: г. Липецк, СНТ "Металлург-2", земельный участок № 1490</v>
      </c>
      <c r="D929" s="8" t="str">
        <f>'Утв. ИП 2014-2019'!K931</f>
        <v>0,0 км/ 0 МВА</v>
      </c>
      <c r="E929" s="8"/>
      <c r="F929" s="8"/>
      <c r="G929" s="8"/>
      <c r="H929" s="8"/>
      <c r="I929" s="8"/>
      <c r="J929" s="23" t="str">
        <f>'Утв. ИП 2014-2019'!Q931</f>
        <v>0,0 км/ 0 МВА</v>
      </c>
      <c r="K929" s="170"/>
      <c r="L929" s="170"/>
      <c r="M929" s="170"/>
      <c r="N929" s="170"/>
      <c r="O929" s="170"/>
      <c r="P929" s="170"/>
      <c r="Q929" s="170"/>
      <c r="R929" s="136"/>
      <c r="S929" s="137"/>
      <c r="T929" s="128"/>
      <c r="U929" s="137"/>
      <c r="V929" s="128"/>
      <c r="W929" s="49"/>
      <c r="X929" s="128"/>
      <c r="Y929" s="49"/>
      <c r="Z929" s="128"/>
      <c r="AA929" s="49"/>
      <c r="AB929" s="128"/>
      <c r="AC929" s="49"/>
      <c r="AE929" s="133"/>
    </row>
    <row r="930" spans="1:31" ht="15.75" hidden="1" outlineLevel="2" x14ac:dyDescent="0.2">
      <c r="A930" s="25">
        <f>'Утв. ИП 2014-2019'!A932</f>
        <v>0</v>
      </c>
      <c r="B930" s="6">
        <f>'Утв. ИП 2014-2019'!B932</f>
        <v>0</v>
      </c>
      <c r="C930" s="7" t="str">
        <f>'Утв. ИП 2014-2019'!C932</f>
        <v>реконструкция</v>
      </c>
      <c r="D930" s="8"/>
      <c r="E930" s="8"/>
      <c r="F930" s="8"/>
      <c r="G930" s="8"/>
      <c r="H930" s="8"/>
      <c r="I930" s="8"/>
      <c r="J930" s="23"/>
      <c r="K930" s="170"/>
      <c r="L930" s="170"/>
      <c r="M930" s="170"/>
      <c r="N930" s="170"/>
      <c r="O930" s="170"/>
      <c r="P930" s="170"/>
      <c r="Q930" s="170"/>
      <c r="R930" s="136"/>
      <c r="S930" s="137"/>
      <c r="T930" s="128"/>
      <c r="U930" s="137"/>
      <c r="V930" s="128"/>
      <c r="W930" s="49"/>
      <c r="X930" s="128"/>
      <c r="Y930" s="49"/>
      <c r="Z930" s="128"/>
      <c r="AA930" s="49"/>
      <c r="AB930" s="128"/>
      <c r="AC930" s="49"/>
      <c r="AE930" s="133"/>
    </row>
    <row r="931" spans="1:31" ht="15.75" hidden="1" outlineLevel="2" x14ac:dyDescent="0.2">
      <c r="A931" s="25">
        <f>'Утв. ИП 2014-2019'!A933</f>
        <v>0</v>
      </c>
      <c r="B931" s="6">
        <f>'Утв. ИП 2014-2019'!B933</f>
        <v>0</v>
      </c>
      <c r="C931" s="7" t="str">
        <f>'Утв. ИП 2014-2019'!C933</f>
        <v>строительство</v>
      </c>
      <c r="D931" s="8"/>
      <c r="E931" s="8"/>
      <c r="F931" s="8"/>
      <c r="G931" s="8"/>
      <c r="H931" s="8"/>
      <c r="I931" s="8"/>
      <c r="J931" s="23"/>
      <c r="K931" s="170"/>
      <c r="L931" s="170"/>
      <c r="M931" s="170"/>
      <c r="N931" s="170"/>
      <c r="O931" s="170"/>
      <c r="P931" s="170"/>
      <c r="Q931" s="170"/>
      <c r="R931" s="136"/>
      <c r="S931" s="137"/>
      <c r="T931" s="128"/>
      <c r="U931" s="137"/>
      <c r="V931" s="128"/>
      <c r="W931" s="49"/>
      <c r="X931" s="128"/>
      <c r="Y931" s="49"/>
      <c r="Z931" s="128"/>
      <c r="AA931" s="49"/>
      <c r="AB931" s="128"/>
      <c r="AC931" s="49"/>
      <c r="AE931" s="133"/>
    </row>
    <row r="932" spans="1:31" ht="51" hidden="1" outlineLevel="1" collapsed="1" x14ac:dyDescent="0.2">
      <c r="A932" s="25" t="str">
        <f>'Утв. ИП 2014-2019'!A934</f>
        <v>1.1.5.3.80/13</v>
      </c>
      <c r="B932" s="6" t="str">
        <f>'Утв. ИП 2014-2019'!B934</f>
        <v>3.2.231</v>
      </c>
      <c r="C932" s="7" t="str">
        <f>'Утв. ИП 2014-2019'!C934</f>
        <v>Монтаж узла учета на ближайшей опоре ВЛ-0,4 кВ по ул. Винницкая от ТП-379 для электроснабжения садового домика по адресу: г. Липецк, СНТ "Металлург-2" ОАО "НЛМК", земельный участок № 1491</v>
      </c>
      <c r="D932" s="8" t="str">
        <f>'Утв. ИП 2014-2019'!K934</f>
        <v>0,0 км/ 0 МВА</v>
      </c>
      <c r="E932" s="8"/>
      <c r="F932" s="8"/>
      <c r="G932" s="8"/>
      <c r="H932" s="8"/>
      <c r="I932" s="8"/>
      <c r="J932" s="23" t="str">
        <f>'Утв. ИП 2014-2019'!Q934</f>
        <v>0,0 км/ 0 МВА</v>
      </c>
      <c r="K932" s="170"/>
      <c r="L932" s="170"/>
      <c r="M932" s="170"/>
      <c r="N932" s="170"/>
      <c r="O932" s="170"/>
      <c r="P932" s="170"/>
      <c r="Q932" s="170"/>
      <c r="R932" s="136"/>
      <c r="S932" s="137"/>
      <c r="T932" s="128"/>
      <c r="U932" s="137"/>
      <c r="V932" s="128"/>
      <c r="W932" s="49"/>
      <c r="X932" s="128"/>
      <c r="Y932" s="49"/>
      <c r="Z932" s="128"/>
      <c r="AA932" s="49"/>
      <c r="AB932" s="128"/>
      <c r="AC932" s="49"/>
      <c r="AE932" s="133"/>
    </row>
    <row r="933" spans="1:31" ht="15.75" hidden="1" outlineLevel="2" x14ac:dyDescent="0.2">
      <c r="A933" s="25">
        <f>'Утв. ИП 2014-2019'!A935</f>
        <v>0</v>
      </c>
      <c r="B933" s="6">
        <f>'Утв. ИП 2014-2019'!B935</f>
        <v>0</v>
      </c>
      <c r="C933" s="7" t="str">
        <f>'Утв. ИП 2014-2019'!C935</f>
        <v>реконструкция</v>
      </c>
      <c r="D933" s="8"/>
      <c r="E933" s="8"/>
      <c r="F933" s="8"/>
      <c r="G933" s="8"/>
      <c r="H933" s="8"/>
      <c r="I933" s="8"/>
      <c r="J933" s="23"/>
      <c r="K933" s="170"/>
      <c r="L933" s="170"/>
      <c r="M933" s="170"/>
      <c r="N933" s="170"/>
      <c r="O933" s="170"/>
      <c r="P933" s="170"/>
      <c r="Q933" s="170"/>
      <c r="R933" s="136"/>
      <c r="S933" s="137"/>
      <c r="T933" s="128"/>
      <c r="U933" s="137"/>
      <c r="V933" s="128"/>
      <c r="W933" s="49"/>
      <c r="X933" s="128"/>
      <c r="Y933" s="49"/>
      <c r="Z933" s="128"/>
      <c r="AA933" s="49"/>
      <c r="AB933" s="128"/>
      <c r="AC933" s="49"/>
      <c r="AE933" s="133"/>
    </row>
    <row r="934" spans="1:31" ht="15.75" hidden="1" outlineLevel="2" x14ac:dyDescent="0.2">
      <c r="A934" s="25">
        <f>'Утв. ИП 2014-2019'!A936</f>
        <v>0</v>
      </c>
      <c r="B934" s="6">
        <f>'Утв. ИП 2014-2019'!B936</f>
        <v>0</v>
      </c>
      <c r="C934" s="7" t="str">
        <f>'Утв. ИП 2014-2019'!C936</f>
        <v>строительство</v>
      </c>
      <c r="D934" s="8"/>
      <c r="E934" s="8"/>
      <c r="F934" s="8"/>
      <c r="G934" s="8"/>
      <c r="H934" s="8"/>
      <c r="I934" s="8"/>
      <c r="J934" s="23"/>
      <c r="K934" s="170"/>
      <c r="L934" s="170"/>
      <c r="M934" s="170"/>
      <c r="N934" s="170"/>
      <c r="O934" s="170"/>
      <c r="P934" s="170"/>
      <c r="Q934" s="170"/>
      <c r="R934" s="136"/>
      <c r="S934" s="137"/>
      <c r="T934" s="128"/>
      <c r="U934" s="137"/>
      <c r="V934" s="128"/>
      <c r="W934" s="49"/>
      <c r="X934" s="128"/>
      <c r="Y934" s="49"/>
      <c r="Z934" s="128"/>
      <c r="AA934" s="49"/>
      <c r="AB934" s="128"/>
      <c r="AC934" s="49"/>
      <c r="AE934" s="133"/>
    </row>
    <row r="935" spans="1:31" ht="38.25" hidden="1" outlineLevel="1" collapsed="1" x14ac:dyDescent="0.2">
      <c r="A935" s="25" t="str">
        <f>'Утв. ИП 2014-2019'!A937</f>
        <v>1.1.5.3.81/13</v>
      </c>
      <c r="B935" s="6" t="str">
        <f>'Утв. ИП 2014-2019'!B937</f>
        <v>3.2.232</v>
      </c>
      <c r="C935" s="7" t="str">
        <f>'Утв. ИП 2014-2019'!C937</f>
        <v>Реконструкция ВЛ-0,4 кВ от КТП, смонтированных по п. 1.1.6.2.2/11 ППР, для электроснабжения садового домика по адресу: г. Липецк, СНП "Спутник", массив I, участок № 326</v>
      </c>
      <c r="D935" s="8"/>
      <c r="E935" s="8" t="str">
        <f>'Утв. ИП 2014-2019'!L937</f>
        <v>0,1 км/ 0 МВА</v>
      </c>
      <c r="F935" s="8"/>
      <c r="G935" s="8"/>
      <c r="H935" s="8"/>
      <c r="I935" s="8"/>
      <c r="J935" s="23" t="str">
        <f>'Утв. ИП 2014-2019'!Q937</f>
        <v>0,1 км/ 0 МВА</v>
      </c>
      <c r="K935" s="170"/>
      <c r="L935" s="23" t="s">
        <v>1418</v>
      </c>
      <c r="M935" s="170"/>
      <c r="N935" s="170"/>
      <c r="O935" s="170"/>
      <c r="P935" s="170"/>
      <c r="Q935" s="23" t="s">
        <v>1418</v>
      </c>
      <c r="R935" s="136"/>
      <c r="S935" s="137"/>
      <c r="T935" s="128">
        <v>0.1</v>
      </c>
      <c r="U935" s="137"/>
      <c r="V935" s="128"/>
      <c r="W935" s="49"/>
      <c r="X935" s="128"/>
      <c r="Y935" s="49"/>
      <c r="Z935" s="128"/>
      <c r="AA935" s="49"/>
      <c r="AB935" s="128"/>
      <c r="AC935" s="49"/>
      <c r="AE935" s="133"/>
    </row>
    <row r="936" spans="1:31" ht="15.75" hidden="1" outlineLevel="2" x14ac:dyDescent="0.2">
      <c r="A936" s="25">
        <f>'Утв. ИП 2014-2019'!A938</f>
        <v>0</v>
      </c>
      <c r="B936" s="6">
        <f>'Утв. ИП 2014-2019'!B938</f>
        <v>0</v>
      </c>
      <c r="C936" s="7" t="str">
        <f>'Утв. ИП 2014-2019'!C938</f>
        <v>реконструкция</v>
      </c>
      <c r="D936" s="8"/>
      <c r="E936" s="8"/>
      <c r="F936" s="8"/>
      <c r="G936" s="8"/>
      <c r="H936" s="8"/>
      <c r="I936" s="8"/>
      <c r="J936" s="23"/>
      <c r="K936" s="170"/>
      <c r="L936" s="170"/>
      <c r="M936" s="170"/>
      <c r="N936" s="170"/>
      <c r="O936" s="170"/>
      <c r="P936" s="170"/>
      <c r="Q936" s="170"/>
      <c r="R936" s="136"/>
      <c r="S936" s="137"/>
      <c r="T936" s="128"/>
      <c r="U936" s="137"/>
      <c r="V936" s="128"/>
      <c r="W936" s="49"/>
      <c r="X936" s="128"/>
      <c r="Y936" s="49"/>
      <c r="Z936" s="128"/>
      <c r="AA936" s="49"/>
      <c r="AB936" s="128"/>
      <c r="AC936" s="49"/>
      <c r="AE936" s="133"/>
    </row>
    <row r="937" spans="1:31" ht="15.75" hidden="1" outlineLevel="2" x14ac:dyDescent="0.2">
      <c r="A937" s="25">
        <f>'Утв. ИП 2014-2019'!A939</f>
        <v>0</v>
      </c>
      <c r="B937" s="6">
        <f>'Утв. ИП 2014-2019'!B939</f>
        <v>0</v>
      </c>
      <c r="C937" s="7" t="str">
        <f>'Утв. ИП 2014-2019'!C939</f>
        <v>строительство</v>
      </c>
      <c r="D937" s="8"/>
      <c r="E937" s="8"/>
      <c r="F937" s="8"/>
      <c r="G937" s="8"/>
      <c r="H937" s="8"/>
      <c r="I937" s="8"/>
      <c r="J937" s="23"/>
      <c r="K937" s="170"/>
      <c r="L937" s="170"/>
      <c r="M937" s="170"/>
      <c r="N937" s="170"/>
      <c r="O937" s="170"/>
      <c r="P937" s="170"/>
      <c r="Q937" s="170"/>
      <c r="R937" s="136"/>
      <c r="S937" s="137"/>
      <c r="T937" s="128"/>
      <c r="U937" s="137"/>
      <c r="V937" s="128"/>
      <c r="W937" s="49"/>
      <c r="X937" s="128"/>
      <c r="Y937" s="49"/>
      <c r="Z937" s="128"/>
      <c r="AA937" s="49"/>
      <c r="AB937" s="128"/>
      <c r="AC937" s="49"/>
      <c r="AE937" s="133"/>
    </row>
    <row r="938" spans="1:31" ht="25.5" hidden="1" outlineLevel="1" collapsed="1" x14ac:dyDescent="0.2">
      <c r="A938" s="25" t="str">
        <f>'Утв. ИП 2014-2019'!A940</f>
        <v>1.1.5.3.83/13</v>
      </c>
      <c r="B938" s="6" t="str">
        <f>'Утв. ИП 2014-2019'!B940</f>
        <v>3.2.233</v>
      </c>
      <c r="C938" s="7" t="str">
        <f>'Утв. ИП 2014-2019'!C940</f>
        <v>Электроснабжение гаража с подвалом по адресу: г. Липецк, ГК "Защитник", гараж № 22</v>
      </c>
      <c r="D938" s="8"/>
      <c r="E938" s="8" t="str">
        <f>'Утв. ИП 2014-2019'!L940</f>
        <v>0,2 км/ 0 МВА</v>
      </c>
      <c r="F938" s="8"/>
      <c r="G938" s="8"/>
      <c r="H938" s="8"/>
      <c r="I938" s="8"/>
      <c r="J938" s="23" t="str">
        <f>'Утв. ИП 2014-2019'!Q940</f>
        <v>0,2 км/ 0 МВА</v>
      </c>
      <c r="K938" s="170"/>
      <c r="L938" s="170"/>
      <c r="M938" s="170"/>
      <c r="N938" s="170"/>
      <c r="O938" s="170"/>
      <c r="P938" s="170"/>
      <c r="Q938" s="170"/>
      <c r="R938" s="136"/>
      <c r="S938" s="137"/>
      <c r="T938" s="128"/>
      <c r="U938" s="137"/>
      <c r="V938" s="128"/>
      <c r="W938" s="49"/>
      <c r="X938" s="128"/>
      <c r="Y938" s="49"/>
      <c r="Z938" s="128"/>
      <c r="AA938" s="49"/>
      <c r="AB938" s="128"/>
      <c r="AC938" s="49"/>
      <c r="AE938" s="133"/>
    </row>
    <row r="939" spans="1:31" ht="15.75" hidden="1" outlineLevel="2" x14ac:dyDescent="0.2">
      <c r="A939" s="25">
        <f>'Утв. ИП 2014-2019'!A941</f>
        <v>0</v>
      </c>
      <c r="B939" s="6">
        <f>'Утв. ИП 2014-2019'!B941</f>
        <v>0</v>
      </c>
      <c r="C939" s="7" t="str">
        <f>'Утв. ИП 2014-2019'!C941</f>
        <v>реконструкция</v>
      </c>
      <c r="D939" s="8"/>
      <c r="E939" s="8"/>
      <c r="F939" s="8"/>
      <c r="G939" s="8"/>
      <c r="H939" s="8"/>
      <c r="I939" s="8"/>
      <c r="J939" s="23"/>
      <c r="K939" s="170"/>
      <c r="L939" s="170"/>
      <c r="M939" s="170"/>
      <c r="N939" s="170"/>
      <c r="O939" s="170"/>
      <c r="P939" s="170"/>
      <c r="Q939" s="170"/>
      <c r="R939" s="136"/>
      <c r="S939" s="137"/>
      <c r="T939" s="128"/>
      <c r="U939" s="137"/>
      <c r="V939" s="128"/>
      <c r="W939" s="49"/>
      <c r="X939" s="128"/>
      <c r="Y939" s="49"/>
      <c r="Z939" s="128"/>
      <c r="AA939" s="49"/>
      <c r="AB939" s="128"/>
      <c r="AC939" s="49"/>
      <c r="AE939" s="133"/>
    </row>
    <row r="940" spans="1:31" ht="15.75" hidden="1" outlineLevel="2" x14ac:dyDescent="0.2">
      <c r="A940" s="25">
        <f>'Утв. ИП 2014-2019'!A942</f>
        <v>0</v>
      </c>
      <c r="B940" s="6">
        <f>'Утв. ИП 2014-2019'!B942</f>
        <v>0</v>
      </c>
      <c r="C940" s="7" t="str">
        <f>'Утв. ИП 2014-2019'!C942</f>
        <v>строительство</v>
      </c>
      <c r="D940" s="8"/>
      <c r="E940" s="8"/>
      <c r="F940" s="8"/>
      <c r="G940" s="8"/>
      <c r="H940" s="8"/>
      <c r="I940" s="8"/>
      <c r="J940" s="23"/>
      <c r="K940" s="170"/>
      <c r="L940" s="170"/>
      <c r="M940" s="170"/>
      <c r="N940" s="170"/>
      <c r="O940" s="170"/>
      <c r="P940" s="170"/>
      <c r="Q940" s="170"/>
      <c r="R940" s="136"/>
      <c r="S940" s="137"/>
      <c r="T940" s="128"/>
      <c r="U940" s="137"/>
      <c r="V940" s="128"/>
      <c r="W940" s="49"/>
      <c r="X940" s="128"/>
      <c r="Y940" s="49"/>
      <c r="Z940" s="128"/>
      <c r="AA940" s="49"/>
      <c r="AB940" s="128"/>
      <c r="AC940" s="49"/>
      <c r="AE940" s="133"/>
    </row>
    <row r="941" spans="1:31" ht="38.25" hidden="1" outlineLevel="1" collapsed="1" x14ac:dyDescent="0.2">
      <c r="A941" s="25" t="str">
        <f>'Утв. ИП 2014-2019'!A943</f>
        <v>1.1.5.3.84/13</v>
      </c>
      <c r="B941" s="6" t="str">
        <f>'Утв. ИП 2014-2019'!B943</f>
        <v>3.2.234</v>
      </c>
      <c r="C941" s="7" t="str">
        <f>'Утв. ИП 2014-2019'!C943</f>
        <v>Электроснабжение индивидуального жилого дома и хозяйственных построек по адресу: г. Липецк, ул. Астраханская, д. 23</v>
      </c>
      <c r="D941" s="8"/>
      <c r="E941" s="8" t="str">
        <f>'Утв. ИП 2014-2019'!L943</f>
        <v>0,7 км/ 0 МВА</v>
      </c>
      <c r="F941" s="8"/>
      <c r="G941" s="8"/>
      <c r="H941" s="8"/>
      <c r="I941" s="8"/>
      <c r="J941" s="23" t="str">
        <f>'Утв. ИП 2014-2019'!Q943</f>
        <v>0,7 км/ 0 МВА</v>
      </c>
      <c r="K941" s="170"/>
      <c r="L941" s="170"/>
      <c r="M941" s="170"/>
      <c r="N941" s="170"/>
      <c r="O941" s="170"/>
      <c r="P941" s="170"/>
      <c r="Q941" s="170"/>
      <c r="R941" s="136"/>
      <c r="S941" s="137"/>
      <c r="T941" s="128"/>
      <c r="U941" s="137"/>
      <c r="V941" s="128"/>
      <c r="W941" s="49"/>
      <c r="X941" s="128"/>
      <c r="Y941" s="49"/>
      <c r="Z941" s="128"/>
      <c r="AA941" s="49"/>
      <c r="AB941" s="128"/>
      <c r="AC941" s="49"/>
      <c r="AE941" s="133"/>
    </row>
    <row r="942" spans="1:31" ht="15.75" hidden="1" outlineLevel="2" x14ac:dyDescent="0.2">
      <c r="A942" s="25">
        <f>'Утв. ИП 2014-2019'!A944</f>
        <v>0</v>
      </c>
      <c r="B942" s="6">
        <f>'Утв. ИП 2014-2019'!B944</f>
        <v>0</v>
      </c>
      <c r="C942" s="7" t="str">
        <f>'Утв. ИП 2014-2019'!C944</f>
        <v>реконструкция</v>
      </c>
      <c r="D942" s="8"/>
      <c r="E942" s="8"/>
      <c r="F942" s="8"/>
      <c r="G942" s="8"/>
      <c r="H942" s="8"/>
      <c r="I942" s="8"/>
      <c r="J942" s="23"/>
      <c r="K942" s="170"/>
      <c r="L942" s="170"/>
      <c r="M942" s="170"/>
      <c r="N942" s="170"/>
      <c r="O942" s="170"/>
      <c r="P942" s="170"/>
      <c r="Q942" s="170"/>
      <c r="R942" s="136"/>
      <c r="S942" s="137"/>
      <c r="T942" s="128"/>
      <c r="U942" s="137"/>
      <c r="V942" s="128"/>
      <c r="W942" s="49"/>
      <c r="X942" s="128"/>
      <c r="Y942" s="49"/>
      <c r="Z942" s="128"/>
      <c r="AA942" s="49"/>
      <c r="AB942" s="128"/>
      <c r="AC942" s="49"/>
      <c r="AE942" s="133"/>
    </row>
    <row r="943" spans="1:31" ht="15.75" hidden="1" outlineLevel="2" x14ac:dyDescent="0.2">
      <c r="A943" s="25">
        <f>'Утв. ИП 2014-2019'!A945</f>
        <v>0</v>
      </c>
      <c r="B943" s="6">
        <f>'Утв. ИП 2014-2019'!B945</f>
        <v>0</v>
      </c>
      <c r="C943" s="7" t="str">
        <f>'Утв. ИП 2014-2019'!C945</f>
        <v>строительство</v>
      </c>
      <c r="D943" s="8"/>
      <c r="E943" s="8"/>
      <c r="F943" s="8"/>
      <c r="G943" s="8"/>
      <c r="H943" s="8"/>
      <c r="I943" s="8"/>
      <c r="J943" s="23"/>
      <c r="K943" s="170"/>
      <c r="L943" s="170"/>
      <c r="M943" s="170"/>
      <c r="N943" s="170"/>
      <c r="O943" s="170"/>
      <c r="P943" s="170"/>
      <c r="Q943" s="170"/>
      <c r="R943" s="136"/>
      <c r="S943" s="137"/>
      <c r="T943" s="128"/>
      <c r="U943" s="137"/>
      <c r="V943" s="128"/>
      <c r="W943" s="49"/>
      <c r="X943" s="128"/>
      <c r="Y943" s="49"/>
      <c r="Z943" s="128"/>
      <c r="AA943" s="49"/>
      <c r="AB943" s="128"/>
      <c r="AC943" s="49"/>
      <c r="AE943" s="133"/>
    </row>
    <row r="944" spans="1:31" ht="51" hidden="1" outlineLevel="1" collapsed="1" x14ac:dyDescent="0.2">
      <c r="A944" s="25" t="str">
        <f>'Утв. ИП 2014-2019'!A946</f>
        <v>1.1.5.3.85/13</v>
      </c>
      <c r="B944" s="6" t="str">
        <f>'Утв. ИП 2014-2019'!B946</f>
        <v>3.2.235</v>
      </c>
      <c r="C944" s="7" t="str">
        <f>'Утв. ИП 2014-2019'!C946</f>
        <v>Монтаж узла учета на ближайшей опоре ВЛ-0,4 кВ по ул. Неделина, смонтированной по п. 1.1.6.2.4/12 ППР, от ТП-339 для электроснабжения гаража по адресу: г. Липецк, ул. Неделина, 1 "б", гараж № 58 в лит. Г5</v>
      </c>
      <c r="D944" s="8" t="str">
        <f>'Утв. ИП 2014-2019'!K946</f>
        <v>0,0 км/ 0 МВА</v>
      </c>
      <c r="E944" s="8"/>
      <c r="F944" s="8"/>
      <c r="G944" s="8"/>
      <c r="H944" s="8"/>
      <c r="I944" s="8"/>
      <c r="J944" s="23" t="str">
        <f>'Утв. ИП 2014-2019'!Q946</f>
        <v>0,0 км/ 0 МВА</v>
      </c>
      <c r="K944" s="170"/>
      <c r="L944" s="170"/>
      <c r="M944" s="170"/>
      <c r="N944" s="170"/>
      <c r="O944" s="170"/>
      <c r="P944" s="170"/>
      <c r="Q944" s="170"/>
      <c r="R944" s="136"/>
      <c r="S944" s="137"/>
      <c r="T944" s="128"/>
      <c r="U944" s="137"/>
      <c r="V944" s="128"/>
      <c r="W944" s="49"/>
      <c r="X944" s="128"/>
      <c r="Y944" s="49"/>
      <c r="Z944" s="128"/>
      <c r="AA944" s="49"/>
      <c r="AB944" s="128"/>
      <c r="AC944" s="49"/>
      <c r="AE944" s="133"/>
    </row>
    <row r="945" spans="1:31" ht="15.75" hidden="1" outlineLevel="2" x14ac:dyDescent="0.2">
      <c r="A945" s="25">
        <f>'Утв. ИП 2014-2019'!A947</f>
        <v>0</v>
      </c>
      <c r="B945" s="6">
        <f>'Утв. ИП 2014-2019'!B947</f>
        <v>0</v>
      </c>
      <c r="C945" s="7" t="str">
        <f>'Утв. ИП 2014-2019'!C947</f>
        <v>реконструкция</v>
      </c>
      <c r="D945" s="8"/>
      <c r="E945" s="8"/>
      <c r="F945" s="8"/>
      <c r="G945" s="8"/>
      <c r="H945" s="8"/>
      <c r="I945" s="8"/>
      <c r="J945" s="23"/>
      <c r="K945" s="170"/>
      <c r="L945" s="170"/>
      <c r="M945" s="170"/>
      <c r="N945" s="170"/>
      <c r="O945" s="170"/>
      <c r="P945" s="170"/>
      <c r="Q945" s="170"/>
      <c r="R945" s="136"/>
      <c r="S945" s="137"/>
      <c r="T945" s="128"/>
      <c r="U945" s="137"/>
      <c r="V945" s="128"/>
      <c r="W945" s="49"/>
      <c r="X945" s="128"/>
      <c r="Y945" s="49"/>
      <c r="Z945" s="128"/>
      <c r="AA945" s="49"/>
      <c r="AB945" s="128"/>
      <c r="AC945" s="49"/>
      <c r="AE945" s="133"/>
    </row>
    <row r="946" spans="1:31" ht="15.75" hidden="1" outlineLevel="2" x14ac:dyDescent="0.2">
      <c r="A946" s="25">
        <f>'Утв. ИП 2014-2019'!A948</f>
        <v>0</v>
      </c>
      <c r="B946" s="6">
        <f>'Утв. ИП 2014-2019'!B948</f>
        <v>0</v>
      </c>
      <c r="C946" s="7" t="str">
        <f>'Утв. ИП 2014-2019'!C948</f>
        <v>строительство</v>
      </c>
      <c r="D946" s="8"/>
      <c r="E946" s="8"/>
      <c r="F946" s="8"/>
      <c r="G946" s="8"/>
      <c r="H946" s="8"/>
      <c r="I946" s="8"/>
      <c r="J946" s="23"/>
      <c r="K946" s="170"/>
      <c r="L946" s="170"/>
      <c r="M946" s="170"/>
      <c r="N946" s="170"/>
      <c r="O946" s="170"/>
      <c r="P946" s="170"/>
      <c r="Q946" s="170"/>
      <c r="R946" s="136"/>
      <c r="S946" s="137"/>
      <c r="T946" s="128"/>
      <c r="U946" s="137"/>
      <c r="V946" s="128"/>
      <c r="W946" s="49"/>
      <c r="X946" s="128"/>
      <c r="Y946" s="49"/>
      <c r="Z946" s="128"/>
      <c r="AA946" s="49"/>
      <c r="AB946" s="128"/>
      <c r="AC946" s="49"/>
      <c r="AE946" s="133"/>
    </row>
    <row r="947" spans="1:31" ht="15.75" hidden="1" outlineLevel="1" collapsed="1" x14ac:dyDescent="0.2">
      <c r="A947" s="25" t="str">
        <f>'Утв. ИП 2014-2019'!A949</f>
        <v>1.1.5.3.86/13</v>
      </c>
      <c r="B947" s="6" t="str">
        <f>'Утв. ИП 2014-2019'!B949</f>
        <v>3.2.236</v>
      </c>
      <c r="C947" s="7" t="str">
        <f>'Утв. ИП 2014-2019'!C949</f>
        <v>Электроснабжение гаражей по адресу: г. Липецк, ул. Семашко</v>
      </c>
      <c r="D947" s="8"/>
      <c r="E947" s="8" t="str">
        <f>'Утв. ИП 2014-2019'!L949</f>
        <v>0,2 км/ 0 МВА</v>
      </c>
      <c r="F947" s="8"/>
      <c r="G947" s="8"/>
      <c r="H947" s="8"/>
      <c r="I947" s="8"/>
      <c r="J947" s="23" t="str">
        <f>'Утв. ИП 2014-2019'!Q949</f>
        <v>0,2 км/ 0 МВА</v>
      </c>
      <c r="K947" s="170"/>
      <c r="L947" s="170"/>
      <c r="M947" s="170"/>
      <c r="N947" s="170"/>
      <c r="O947" s="170"/>
      <c r="P947" s="170"/>
      <c r="Q947" s="170"/>
      <c r="R947" s="136"/>
      <c r="S947" s="137"/>
      <c r="T947" s="128"/>
      <c r="U947" s="137"/>
      <c r="V947" s="128"/>
      <c r="W947" s="49"/>
      <c r="X947" s="128"/>
      <c r="Y947" s="49"/>
      <c r="Z947" s="128"/>
      <c r="AA947" s="49"/>
      <c r="AB947" s="128"/>
      <c r="AC947" s="49"/>
      <c r="AE947" s="133"/>
    </row>
    <row r="948" spans="1:31" ht="15.75" hidden="1" outlineLevel="2" x14ac:dyDescent="0.2">
      <c r="A948" s="25">
        <f>'Утв. ИП 2014-2019'!A950</f>
        <v>0</v>
      </c>
      <c r="B948" s="6">
        <f>'Утв. ИП 2014-2019'!B950</f>
        <v>0</v>
      </c>
      <c r="C948" s="7" t="str">
        <f>'Утв. ИП 2014-2019'!C950</f>
        <v>реконструкция</v>
      </c>
      <c r="D948" s="8"/>
      <c r="E948" s="8"/>
      <c r="F948" s="8"/>
      <c r="G948" s="8"/>
      <c r="H948" s="8"/>
      <c r="I948" s="8"/>
      <c r="J948" s="23"/>
      <c r="K948" s="170"/>
      <c r="L948" s="170"/>
      <c r="M948" s="170"/>
      <c r="N948" s="170"/>
      <c r="O948" s="170"/>
      <c r="P948" s="170"/>
      <c r="Q948" s="170"/>
      <c r="R948" s="136"/>
      <c r="S948" s="137"/>
      <c r="T948" s="128"/>
      <c r="U948" s="137"/>
      <c r="V948" s="128"/>
      <c r="W948" s="49"/>
      <c r="X948" s="128"/>
      <c r="Y948" s="49"/>
      <c r="Z948" s="128"/>
      <c r="AA948" s="49"/>
      <c r="AB948" s="128"/>
      <c r="AC948" s="49"/>
      <c r="AE948" s="133"/>
    </row>
    <row r="949" spans="1:31" ht="15.75" hidden="1" outlineLevel="2" x14ac:dyDescent="0.2">
      <c r="A949" s="25">
        <f>'Утв. ИП 2014-2019'!A951</f>
        <v>0</v>
      </c>
      <c r="B949" s="6">
        <f>'Утв. ИП 2014-2019'!B951</f>
        <v>0</v>
      </c>
      <c r="C949" s="7" t="str">
        <f>'Утв. ИП 2014-2019'!C951</f>
        <v>строительство</v>
      </c>
      <c r="D949" s="8"/>
      <c r="E949" s="8"/>
      <c r="F949" s="8"/>
      <c r="G949" s="8"/>
      <c r="H949" s="8"/>
      <c r="I949" s="8"/>
      <c r="J949" s="23"/>
      <c r="K949" s="170"/>
      <c r="L949" s="170"/>
      <c r="M949" s="170"/>
      <c r="N949" s="170"/>
      <c r="O949" s="170"/>
      <c r="P949" s="170"/>
      <c r="Q949" s="170"/>
      <c r="R949" s="136"/>
      <c r="S949" s="137"/>
      <c r="T949" s="128"/>
      <c r="U949" s="137"/>
      <c r="V949" s="128"/>
      <c r="W949" s="49"/>
      <c r="X949" s="128"/>
      <c r="Y949" s="49"/>
      <c r="Z949" s="128"/>
      <c r="AA949" s="49"/>
      <c r="AB949" s="128"/>
      <c r="AC949" s="49"/>
      <c r="AE949" s="133"/>
    </row>
    <row r="950" spans="1:31" ht="63.75" hidden="1" outlineLevel="1" collapsed="1" x14ac:dyDescent="0.2">
      <c r="A950" s="25" t="str">
        <f>'Утв. ИП 2014-2019'!A952</f>
        <v>1.1.5.3.87/13</v>
      </c>
      <c r="B950" s="6" t="str">
        <f>'Утв. ИП 2014-2019'!B952</f>
        <v>3.2.237</v>
      </c>
      <c r="C950" s="7" t="str">
        <f>'Утв. ИП 2014-2019'!C952</f>
        <v>Строительство ВЛ-0,4 кВ по ул. Салтыкова-Щедрина от опоры ВЛ-0,4 кВ, смонтированной по п. 1.1.6.3.33/10 ППР, от КТП-37 для электроснабжения индивидуального жилого дома усадебного типа и хозяйственных построек по адресу: г. Липецк, ул. Салтыкова-Щедрина, № 5 (по схеме)</v>
      </c>
      <c r="D950" s="8"/>
      <c r="E950" s="8" t="str">
        <f>'Утв. ИП 2014-2019'!L952</f>
        <v>0,05 км/ 0 МВА</v>
      </c>
      <c r="F950" s="8"/>
      <c r="G950" s="8"/>
      <c r="H950" s="8"/>
      <c r="I950" s="8"/>
      <c r="J950" s="23" t="str">
        <f>'Утв. ИП 2014-2019'!Q952</f>
        <v>0,05 км/ 0 МВА</v>
      </c>
      <c r="K950" s="170"/>
      <c r="L950" s="170"/>
      <c r="M950" s="170"/>
      <c r="N950" s="170"/>
      <c r="O950" s="170"/>
      <c r="P950" s="170"/>
      <c r="Q950" s="170"/>
      <c r="R950" s="136"/>
      <c r="S950" s="137"/>
      <c r="T950" s="128"/>
      <c r="U950" s="137"/>
      <c r="V950" s="128"/>
      <c r="W950" s="49"/>
      <c r="X950" s="128"/>
      <c r="Y950" s="49"/>
      <c r="Z950" s="128"/>
      <c r="AA950" s="49"/>
      <c r="AB950" s="128"/>
      <c r="AC950" s="49"/>
      <c r="AE950" s="133"/>
    </row>
    <row r="951" spans="1:31" ht="15.75" hidden="1" outlineLevel="2" x14ac:dyDescent="0.2">
      <c r="A951" s="25">
        <f>'Утв. ИП 2014-2019'!A953</f>
        <v>0</v>
      </c>
      <c r="B951" s="6">
        <f>'Утв. ИП 2014-2019'!B953</f>
        <v>0</v>
      </c>
      <c r="C951" s="7" t="str">
        <f>'Утв. ИП 2014-2019'!C953</f>
        <v>реконструкция</v>
      </c>
      <c r="D951" s="8"/>
      <c r="E951" s="8"/>
      <c r="F951" s="8"/>
      <c r="G951" s="8"/>
      <c r="H951" s="8"/>
      <c r="I951" s="8"/>
      <c r="J951" s="23"/>
      <c r="K951" s="170"/>
      <c r="L951" s="170"/>
      <c r="M951" s="170"/>
      <c r="N951" s="170"/>
      <c r="O951" s="170"/>
      <c r="P951" s="170"/>
      <c r="Q951" s="170"/>
      <c r="R951" s="136"/>
      <c r="S951" s="137"/>
      <c r="T951" s="128"/>
      <c r="U951" s="137"/>
      <c r="V951" s="128"/>
      <c r="W951" s="49"/>
      <c r="X951" s="128"/>
      <c r="Y951" s="49"/>
      <c r="Z951" s="128"/>
      <c r="AA951" s="49"/>
      <c r="AB951" s="128"/>
      <c r="AC951" s="49"/>
      <c r="AE951" s="133"/>
    </row>
    <row r="952" spans="1:31" ht="15.75" hidden="1" outlineLevel="2" x14ac:dyDescent="0.2">
      <c r="A952" s="25">
        <f>'Утв. ИП 2014-2019'!A954</f>
        <v>0</v>
      </c>
      <c r="B952" s="6">
        <f>'Утв. ИП 2014-2019'!B954</f>
        <v>0</v>
      </c>
      <c r="C952" s="7" t="str">
        <f>'Утв. ИП 2014-2019'!C954</f>
        <v>строительство</v>
      </c>
      <c r="D952" s="8"/>
      <c r="E952" s="8"/>
      <c r="F952" s="8"/>
      <c r="G952" s="8"/>
      <c r="H952" s="8"/>
      <c r="I952" s="8"/>
      <c r="J952" s="23"/>
      <c r="K952" s="170"/>
      <c r="L952" s="170"/>
      <c r="M952" s="170"/>
      <c r="N952" s="170"/>
      <c r="O952" s="170"/>
      <c r="P952" s="170"/>
      <c r="Q952" s="170"/>
      <c r="R952" s="136"/>
      <c r="S952" s="137"/>
      <c r="T952" s="128"/>
      <c r="U952" s="137"/>
      <c r="V952" s="128"/>
      <c r="W952" s="49"/>
      <c r="X952" s="128"/>
      <c r="Y952" s="49"/>
      <c r="Z952" s="128"/>
      <c r="AA952" s="49"/>
      <c r="AB952" s="128"/>
      <c r="AC952" s="49"/>
      <c r="AE952" s="133"/>
    </row>
    <row r="953" spans="1:31" ht="38.25" hidden="1" outlineLevel="1" collapsed="1" x14ac:dyDescent="0.2">
      <c r="A953" s="25" t="str">
        <f>'Утв. ИП 2014-2019'!A955</f>
        <v>1.1.5.3.88/13</v>
      </c>
      <c r="B953" s="6" t="str">
        <f>'Утв. ИП 2014-2019'!B955</f>
        <v>3.2.238</v>
      </c>
      <c r="C953" s="7" t="str">
        <f>'Утв. ИП 2014-2019'!C955</f>
        <v>Электроснабжение временных укрытий для автотранспорта (индивидуальные металлические гаражи) по адресу: г. Липецк, район ул. Дружбы</v>
      </c>
      <c r="D953" s="8"/>
      <c r="E953" s="8" t="str">
        <f>'Утв. ИП 2014-2019'!L955</f>
        <v>0,1 км/ 0,1 МВА</v>
      </c>
      <c r="F953" s="8"/>
      <c r="G953" s="8"/>
      <c r="H953" s="8"/>
      <c r="I953" s="8"/>
      <c r="J953" s="23" t="str">
        <f>'Утв. ИП 2014-2019'!Q955</f>
        <v>0,1 км/ 0,1 МВА</v>
      </c>
      <c r="K953" s="170"/>
      <c r="L953" s="170"/>
      <c r="M953" s="170"/>
      <c r="N953" s="170"/>
      <c r="O953" s="170"/>
      <c r="P953" s="170"/>
      <c r="Q953" s="170"/>
      <c r="R953" s="136"/>
      <c r="S953" s="137"/>
      <c r="T953" s="128"/>
      <c r="U953" s="137"/>
      <c r="V953" s="128"/>
      <c r="W953" s="49"/>
      <c r="X953" s="128"/>
      <c r="Y953" s="49"/>
      <c r="Z953" s="128"/>
      <c r="AA953" s="49"/>
      <c r="AB953" s="128"/>
      <c r="AC953" s="49"/>
      <c r="AE953" s="133"/>
    </row>
    <row r="954" spans="1:31" ht="15.75" hidden="1" outlineLevel="2" x14ac:dyDescent="0.2">
      <c r="A954" s="25">
        <f>'Утв. ИП 2014-2019'!A956</f>
        <v>0</v>
      </c>
      <c r="B954" s="6">
        <f>'Утв. ИП 2014-2019'!B956</f>
        <v>0</v>
      </c>
      <c r="C954" s="7" t="str">
        <f>'Утв. ИП 2014-2019'!C956</f>
        <v>реконструкция</v>
      </c>
      <c r="D954" s="8"/>
      <c r="E954" s="8"/>
      <c r="F954" s="8"/>
      <c r="G954" s="8"/>
      <c r="H954" s="8"/>
      <c r="I954" s="8"/>
      <c r="J954" s="23"/>
      <c r="K954" s="170"/>
      <c r="L954" s="170"/>
      <c r="M954" s="170"/>
      <c r="N954" s="170"/>
      <c r="O954" s="170"/>
      <c r="P954" s="170"/>
      <c r="Q954" s="170"/>
      <c r="R954" s="136"/>
      <c r="S954" s="137"/>
      <c r="T954" s="128"/>
      <c r="U954" s="137"/>
      <c r="V954" s="128"/>
      <c r="W954" s="49"/>
      <c r="X954" s="128"/>
      <c r="Y954" s="49"/>
      <c r="Z954" s="128"/>
      <c r="AA954" s="49"/>
      <c r="AB954" s="128"/>
      <c r="AC954" s="49"/>
      <c r="AE954" s="133"/>
    </row>
    <row r="955" spans="1:31" ht="15.75" hidden="1" outlineLevel="2" x14ac:dyDescent="0.2">
      <c r="A955" s="25">
        <f>'Утв. ИП 2014-2019'!A957</f>
        <v>0</v>
      </c>
      <c r="B955" s="6">
        <f>'Утв. ИП 2014-2019'!B957</f>
        <v>0</v>
      </c>
      <c r="C955" s="7" t="str">
        <f>'Утв. ИП 2014-2019'!C957</f>
        <v>строительство</v>
      </c>
      <c r="D955" s="8"/>
      <c r="E955" s="8"/>
      <c r="F955" s="8"/>
      <c r="G955" s="8"/>
      <c r="H955" s="8"/>
      <c r="I955" s="8"/>
      <c r="J955" s="23"/>
      <c r="K955" s="170"/>
      <c r="L955" s="170"/>
      <c r="M955" s="170"/>
      <c r="N955" s="170"/>
      <c r="O955" s="170"/>
      <c r="P955" s="170"/>
      <c r="Q955" s="170"/>
      <c r="R955" s="136"/>
      <c r="S955" s="137"/>
      <c r="T955" s="128"/>
      <c r="U955" s="137"/>
      <c r="V955" s="128"/>
      <c r="W955" s="49"/>
      <c r="X955" s="128"/>
      <c r="Y955" s="49"/>
      <c r="Z955" s="128"/>
      <c r="AA955" s="49"/>
      <c r="AB955" s="128"/>
      <c r="AC955" s="49"/>
      <c r="AE955" s="133"/>
    </row>
    <row r="956" spans="1:31" ht="25.5" hidden="1" outlineLevel="1" collapsed="1" x14ac:dyDescent="0.2">
      <c r="A956" s="25" t="str">
        <f>'Утв. ИП 2014-2019'!A958</f>
        <v>1.1.5.3.89/13</v>
      </c>
      <c r="B956" s="6" t="str">
        <f>'Утв. ИП 2014-2019'!B958</f>
        <v>3.2.239</v>
      </c>
      <c r="C956" s="7" t="str">
        <f>'Утв. ИП 2014-2019'!C958</f>
        <v>Электроснабжение садового домика по адресу: г. Липецк, СНП "Спутник", массив II, участок № 6</v>
      </c>
      <c r="D956" s="8"/>
      <c r="E956" s="8" t="str">
        <f>'Утв. ИП 2014-2019'!L958</f>
        <v>1,5 км/ 0,25 МВА</v>
      </c>
      <c r="F956" s="8"/>
      <c r="G956" s="8"/>
      <c r="H956" s="8"/>
      <c r="I956" s="8"/>
      <c r="J956" s="23" t="str">
        <f>'Утв. ИП 2014-2019'!Q958</f>
        <v>1,5 км/ 0,25 МВА</v>
      </c>
      <c r="K956" s="170"/>
      <c r="L956" s="170"/>
      <c r="M956" s="170"/>
      <c r="N956" s="170"/>
      <c r="O956" s="170"/>
      <c r="P956" s="170"/>
      <c r="Q956" s="170"/>
      <c r="R956" s="136"/>
      <c r="S956" s="137"/>
      <c r="T956" s="128"/>
      <c r="U956" s="137"/>
      <c r="V956" s="128"/>
      <c r="W956" s="49"/>
      <c r="X956" s="128"/>
      <c r="Y956" s="49"/>
      <c r="Z956" s="128"/>
      <c r="AA956" s="49"/>
      <c r="AB956" s="128"/>
      <c r="AC956" s="49"/>
      <c r="AE956" s="133"/>
    </row>
    <row r="957" spans="1:31" ht="15.75" hidden="1" outlineLevel="2" x14ac:dyDescent="0.2">
      <c r="A957" s="25">
        <f>'Утв. ИП 2014-2019'!A959</f>
        <v>0</v>
      </c>
      <c r="B957" s="6">
        <f>'Утв. ИП 2014-2019'!B959</f>
        <v>0</v>
      </c>
      <c r="C957" s="7" t="str">
        <f>'Утв. ИП 2014-2019'!C959</f>
        <v>реконструкция</v>
      </c>
      <c r="D957" s="8"/>
      <c r="E957" s="8"/>
      <c r="F957" s="8"/>
      <c r="G957" s="8"/>
      <c r="H957" s="8"/>
      <c r="I957" s="8"/>
      <c r="J957" s="23"/>
      <c r="K957" s="170"/>
      <c r="L957" s="170"/>
      <c r="M957" s="170"/>
      <c r="N957" s="170"/>
      <c r="O957" s="170"/>
      <c r="P957" s="170"/>
      <c r="Q957" s="170"/>
      <c r="R957" s="136"/>
      <c r="S957" s="137"/>
      <c r="T957" s="128"/>
      <c r="U957" s="137"/>
      <c r="V957" s="128"/>
      <c r="W957" s="49"/>
      <c r="X957" s="128"/>
      <c r="Y957" s="49"/>
      <c r="Z957" s="128"/>
      <c r="AA957" s="49"/>
      <c r="AB957" s="128"/>
      <c r="AC957" s="49"/>
      <c r="AE957" s="133"/>
    </row>
    <row r="958" spans="1:31" ht="15.75" hidden="1" outlineLevel="2" x14ac:dyDescent="0.2">
      <c r="A958" s="25">
        <f>'Утв. ИП 2014-2019'!A960</f>
        <v>0</v>
      </c>
      <c r="B958" s="6">
        <f>'Утв. ИП 2014-2019'!B960</f>
        <v>0</v>
      </c>
      <c r="C958" s="7" t="str">
        <f>'Утв. ИП 2014-2019'!C960</f>
        <v>строительство</v>
      </c>
      <c r="D958" s="8"/>
      <c r="E958" s="8"/>
      <c r="F958" s="8"/>
      <c r="G958" s="8"/>
      <c r="H958" s="8"/>
      <c r="I958" s="8"/>
      <c r="J958" s="23"/>
      <c r="K958" s="170"/>
      <c r="L958" s="170"/>
      <c r="M958" s="170"/>
      <c r="N958" s="170"/>
      <c r="O958" s="170"/>
      <c r="P958" s="170"/>
      <c r="Q958" s="170"/>
      <c r="R958" s="136"/>
      <c r="S958" s="137"/>
      <c r="T958" s="128"/>
      <c r="U958" s="137"/>
      <c r="V958" s="128"/>
      <c r="W958" s="49"/>
      <c r="X958" s="128"/>
      <c r="Y958" s="49"/>
      <c r="Z958" s="128"/>
      <c r="AA958" s="49"/>
      <c r="AB958" s="128"/>
      <c r="AC958" s="49"/>
      <c r="AE958" s="133"/>
    </row>
    <row r="959" spans="1:31" ht="25.5" hidden="1" outlineLevel="1" collapsed="1" x14ac:dyDescent="0.2">
      <c r="A959" s="25" t="str">
        <f>'Утв. ИП 2014-2019'!A961</f>
        <v>1.1.5.3.90/13</v>
      </c>
      <c r="B959" s="6" t="str">
        <f>'Утв. ИП 2014-2019'!B961</f>
        <v>3.2.240</v>
      </c>
      <c r="C959" s="7" t="str">
        <f>'Утв. ИП 2014-2019'!C961</f>
        <v>Электроснабжение садовых домиков в потребительском обществе пенсионеров и инвалидов "Сокол-1"</v>
      </c>
      <c r="D959" s="8" t="str">
        <f>'Утв. ИП 2014-2019'!K961</f>
        <v>0,3 км/ 0 МВА</v>
      </c>
      <c r="E959" s="8"/>
      <c r="F959" s="8"/>
      <c r="G959" s="8"/>
      <c r="H959" s="8"/>
      <c r="I959" s="8"/>
      <c r="J959" s="23" t="str">
        <f>'Утв. ИП 2014-2019'!Q961</f>
        <v>0,3 км/ 0 МВА</v>
      </c>
      <c r="K959" s="170"/>
      <c r="L959" s="170"/>
      <c r="M959" s="170"/>
      <c r="N959" s="170"/>
      <c r="O959" s="170"/>
      <c r="P959" s="170"/>
      <c r="Q959" s="170"/>
      <c r="R959" s="136"/>
      <c r="S959" s="137"/>
      <c r="T959" s="128"/>
      <c r="U959" s="137"/>
      <c r="V959" s="128"/>
      <c r="W959" s="49"/>
      <c r="X959" s="128"/>
      <c r="Y959" s="49"/>
      <c r="Z959" s="128"/>
      <c r="AA959" s="49"/>
      <c r="AB959" s="128"/>
      <c r="AC959" s="49"/>
      <c r="AE959" s="133"/>
    </row>
    <row r="960" spans="1:31" ht="15.75" hidden="1" outlineLevel="2" x14ac:dyDescent="0.2">
      <c r="A960" s="25">
        <f>'Утв. ИП 2014-2019'!A962</f>
        <v>0</v>
      </c>
      <c r="B960" s="6">
        <f>'Утв. ИП 2014-2019'!B962</f>
        <v>0</v>
      </c>
      <c r="C960" s="7" t="str">
        <f>'Утв. ИП 2014-2019'!C962</f>
        <v>реконструкция</v>
      </c>
      <c r="D960" s="8"/>
      <c r="E960" s="8"/>
      <c r="F960" s="8"/>
      <c r="G960" s="8"/>
      <c r="H960" s="8"/>
      <c r="I960" s="8"/>
      <c r="J960" s="23"/>
      <c r="K960" s="170"/>
      <c r="L960" s="170"/>
      <c r="M960" s="170"/>
      <c r="N960" s="170"/>
      <c r="O960" s="170"/>
      <c r="P960" s="170"/>
      <c r="Q960" s="170"/>
      <c r="R960" s="136"/>
      <c r="S960" s="137"/>
      <c r="T960" s="128"/>
      <c r="U960" s="137"/>
      <c r="V960" s="128"/>
      <c r="W960" s="49"/>
      <c r="X960" s="128"/>
      <c r="Y960" s="49"/>
      <c r="Z960" s="128"/>
      <c r="AA960" s="49"/>
      <c r="AB960" s="128"/>
      <c r="AC960" s="49"/>
      <c r="AE960" s="133"/>
    </row>
    <row r="961" spans="1:31" ht="15.75" hidden="1" outlineLevel="2" x14ac:dyDescent="0.2">
      <c r="A961" s="25">
        <f>'Утв. ИП 2014-2019'!A963</f>
        <v>0</v>
      </c>
      <c r="B961" s="6">
        <f>'Утв. ИП 2014-2019'!B963</f>
        <v>0</v>
      </c>
      <c r="C961" s="7" t="str">
        <f>'Утв. ИП 2014-2019'!C963</f>
        <v>строительство</v>
      </c>
      <c r="D961" s="8"/>
      <c r="E961" s="8"/>
      <c r="F961" s="8"/>
      <c r="G961" s="8"/>
      <c r="H961" s="8"/>
      <c r="I961" s="8"/>
      <c r="J961" s="23"/>
      <c r="K961" s="170"/>
      <c r="L961" s="170"/>
      <c r="M961" s="170"/>
      <c r="N961" s="170"/>
      <c r="O961" s="170"/>
      <c r="P961" s="170"/>
      <c r="Q961" s="170"/>
      <c r="R961" s="136"/>
      <c r="S961" s="137"/>
      <c r="T961" s="128"/>
      <c r="U961" s="137"/>
      <c r="V961" s="128"/>
      <c r="W961" s="49"/>
      <c r="X961" s="128"/>
      <c r="Y961" s="49"/>
      <c r="Z961" s="128"/>
      <c r="AA961" s="49"/>
      <c r="AB961" s="128"/>
      <c r="AC961" s="49"/>
      <c r="AE961" s="133"/>
    </row>
    <row r="962" spans="1:31" ht="38.25" hidden="1" outlineLevel="1" collapsed="1" x14ac:dyDescent="0.2">
      <c r="A962" s="25" t="str">
        <f>'Утв. ИП 2014-2019'!A964</f>
        <v>1.1.5.3.91/13</v>
      </c>
      <c r="B962" s="6" t="str">
        <f>'Утв. ИП 2014-2019'!B964</f>
        <v>3.2.241</v>
      </c>
      <c r="C962" s="7" t="str">
        <f>'Утв. ИП 2014-2019'!C964</f>
        <v>Строительство ВЛ-0,4 кВ в СНТ "Монтажник" от опоры № 33 ВЛ-0,4 кВ по ул. Ивовая от КТП-672 для электроснабжения садовых домиков в СНТ "Монтажник"</v>
      </c>
      <c r="D962" s="8"/>
      <c r="E962" s="8" t="str">
        <f>'Утв. ИП 2014-2019'!L964</f>
        <v>0,2 км/ 0 МВА</v>
      </c>
      <c r="F962" s="8"/>
      <c r="G962" s="8"/>
      <c r="H962" s="8"/>
      <c r="I962" s="8"/>
      <c r="J962" s="23" t="str">
        <f>'Утв. ИП 2014-2019'!Q964</f>
        <v>0,2 км/ 0 МВА</v>
      </c>
      <c r="K962" s="170"/>
      <c r="L962" s="170"/>
      <c r="M962" s="170"/>
      <c r="N962" s="170"/>
      <c r="O962" s="170"/>
      <c r="P962" s="170"/>
      <c r="Q962" s="170"/>
      <c r="R962" s="136"/>
      <c r="S962" s="137"/>
      <c r="T962" s="128"/>
      <c r="U962" s="137"/>
      <c r="V962" s="128"/>
      <c r="W962" s="49"/>
      <c r="X962" s="128"/>
      <c r="Y962" s="49"/>
      <c r="Z962" s="128"/>
      <c r="AA962" s="49"/>
      <c r="AB962" s="128"/>
      <c r="AC962" s="49"/>
      <c r="AE962" s="133"/>
    </row>
    <row r="963" spans="1:31" ht="15.75" hidden="1" outlineLevel="2" x14ac:dyDescent="0.2">
      <c r="A963" s="25">
        <f>'Утв. ИП 2014-2019'!A965</f>
        <v>0</v>
      </c>
      <c r="B963" s="6">
        <f>'Утв. ИП 2014-2019'!B965</f>
        <v>0</v>
      </c>
      <c r="C963" s="7" t="str">
        <f>'Утв. ИП 2014-2019'!C965</f>
        <v>реконструкция</v>
      </c>
      <c r="D963" s="8"/>
      <c r="E963" s="8"/>
      <c r="F963" s="8"/>
      <c r="G963" s="8"/>
      <c r="H963" s="8"/>
      <c r="I963" s="8"/>
      <c r="J963" s="23"/>
      <c r="K963" s="170"/>
      <c r="L963" s="170"/>
      <c r="M963" s="170"/>
      <c r="N963" s="170"/>
      <c r="O963" s="170"/>
      <c r="P963" s="170"/>
      <c r="Q963" s="170"/>
      <c r="R963" s="136"/>
      <c r="S963" s="137"/>
      <c r="T963" s="128"/>
      <c r="U963" s="137"/>
      <c r="V963" s="128"/>
      <c r="W963" s="49"/>
      <c r="X963" s="128"/>
      <c r="Y963" s="49"/>
      <c r="Z963" s="128"/>
      <c r="AA963" s="49"/>
      <c r="AB963" s="128"/>
      <c r="AC963" s="49"/>
      <c r="AE963" s="133"/>
    </row>
    <row r="964" spans="1:31" ht="15.75" hidden="1" outlineLevel="2" x14ac:dyDescent="0.2">
      <c r="A964" s="25">
        <f>'Утв. ИП 2014-2019'!A966</f>
        <v>0</v>
      </c>
      <c r="B964" s="6">
        <f>'Утв. ИП 2014-2019'!B966</f>
        <v>0</v>
      </c>
      <c r="C964" s="7" t="str">
        <f>'Утв. ИП 2014-2019'!C966</f>
        <v>строительство</v>
      </c>
      <c r="D964" s="8"/>
      <c r="E964" s="8"/>
      <c r="F964" s="8"/>
      <c r="G964" s="8"/>
      <c r="H964" s="8"/>
      <c r="I964" s="8"/>
      <c r="J964" s="23"/>
      <c r="K964" s="170"/>
      <c r="L964" s="170"/>
      <c r="M964" s="170"/>
      <c r="N964" s="170"/>
      <c r="O964" s="170"/>
      <c r="P964" s="170"/>
      <c r="Q964" s="170"/>
      <c r="R964" s="136"/>
      <c r="S964" s="137"/>
      <c r="T964" s="128"/>
      <c r="U964" s="137"/>
      <c r="V964" s="128"/>
      <c r="W964" s="49"/>
      <c r="X964" s="128"/>
      <c r="Y964" s="49"/>
      <c r="Z964" s="128"/>
      <c r="AA964" s="49"/>
      <c r="AB964" s="128"/>
      <c r="AC964" s="49"/>
      <c r="AE964" s="133"/>
    </row>
    <row r="965" spans="1:31" ht="38.25" hidden="1" outlineLevel="1" collapsed="1" x14ac:dyDescent="0.2">
      <c r="A965" s="25" t="str">
        <f>'Утв. ИП 2014-2019'!A967</f>
        <v>1.1.5.3.92/13</v>
      </c>
      <c r="B965" s="6" t="str">
        <f>'Утв. ИП 2014-2019'!B967</f>
        <v>3.2.242</v>
      </c>
      <c r="C965" s="7" t="str">
        <f>'Утв. ИП 2014-2019'!C967</f>
        <v>Строительство ВЛ-0,4 кВ от СТП, смонтированной по п. 1.1.6.1.59/12 ППР, до границ земельного участка по адресу: г. Липецк, ул. Брюллова в районе строения 7 б</v>
      </c>
      <c r="D965" s="8"/>
      <c r="E965" s="8" t="str">
        <f>'Утв. ИП 2014-2019'!L967</f>
        <v>0,2 км/ 0 МВА</v>
      </c>
      <c r="F965" s="8"/>
      <c r="G965" s="8"/>
      <c r="H965" s="8"/>
      <c r="I965" s="8"/>
      <c r="J965" s="23" t="str">
        <f>'Утв. ИП 2014-2019'!Q967</f>
        <v>0,2 км/ 0 МВА</v>
      </c>
      <c r="K965" s="170"/>
      <c r="L965" s="170"/>
      <c r="M965" s="170"/>
      <c r="N965" s="170"/>
      <c r="O965" s="170"/>
      <c r="P965" s="170"/>
      <c r="Q965" s="170"/>
      <c r="R965" s="136"/>
      <c r="S965" s="137"/>
      <c r="T965" s="128"/>
      <c r="U965" s="137"/>
      <c r="V965" s="128"/>
      <c r="W965" s="49"/>
      <c r="X965" s="128"/>
      <c r="Y965" s="49"/>
      <c r="Z965" s="128"/>
      <c r="AA965" s="49"/>
      <c r="AB965" s="128"/>
      <c r="AC965" s="49"/>
      <c r="AE965" s="133"/>
    </row>
    <row r="966" spans="1:31" ht="15.75" hidden="1" outlineLevel="2" x14ac:dyDescent="0.2">
      <c r="A966" s="25">
        <f>'Утв. ИП 2014-2019'!A968</f>
        <v>0</v>
      </c>
      <c r="B966" s="6">
        <f>'Утв. ИП 2014-2019'!B968</f>
        <v>0</v>
      </c>
      <c r="C966" s="7" t="str">
        <f>'Утв. ИП 2014-2019'!C968</f>
        <v>реконструкция</v>
      </c>
      <c r="D966" s="8"/>
      <c r="E966" s="8"/>
      <c r="F966" s="8"/>
      <c r="G966" s="8"/>
      <c r="H966" s="8"/>
      <c r="I966" s="8"/>
      <c r="J966" s="23"/>
      <c r="K966" s="170"/>
      <c r="L966" s="170"/>
      <c r="M966" s="170"/>
      <c r="N966" s="170"/>
      <c r="O966" s="170"/>
      <c r="P966" s="170"/>
      <c r="Q966" s="170"/>
      <c r="R966" s="136"/>
      <c r="S966" s="137"/>
      <c r="T966" s="128"/>
      <c r="U966" s="137"/>
      <c r="V966" s="128"/>
      <c r="W966" s="49"/>
      <c r="X966" s="128"/>
      <c r="Y966" s="49"/>
      <c r="Z966" s="128"/>
      <c r="AA966" s="49"/>
      <c r="AB966" s="128"/>
      <c r="AC966" s="49"/>
      <c r="AE966" s="133"/>
    </row>
    <row r="967" spans="1:31" ht="15.75" hidden="1" outlineLevel="2" x14ac:dyDescent="0.2">
      <c r="A967" s="25">
        <f>'Утв. ИП 2014-2019'!A969</f>
        <v>0</v>
      </c>
      <c r="B967" s="6">
        <f>'Утв. ИП 2014-2019'!B969</f>
        <v>0</v>
      </c>
      <c r="C967" s="7" t="str">
        <f>'Утв. ИП 2014-2019'!C969</f>
        <v>строительство</v>
      </c>
      <c r="D967" s="8"/>
      <c r="E967" s="8"/>
      <c r="F967" s="8"/>
      <c r="G967" s="8"/>
      <c r="H967" s="8"/>
      <c r="I967" s="8"/>
      <c r="J967" s="23"/>
      <c r="K967" s="170"/>
      <c r="L967" s="170"/>
      <c r="M967" s="170"/>
      <c r="N967" s="170"/>
      <c r="O967" s="170"/>
      <c r="P967" s="170"/>
      <c r="Q967" s="170"/>
      <c r="R967" s="136"/>
      <c r="S967" s="137"/>
      <c r="T967" s="128"/>
      <c r="U967" s="137"/>
      <c r="V967" s="128"/>
      <c r="W967" s="49"/>
      <c r="X967" s="128"/>
      <c r="Y967" s="49"/>
      <c r="Z967" s="128"/>
      <c r="AA967" s="49"/>
      <c r="AB967" s="128"/>
      <c r="AC967" s="49"/>
      <c r="AE967" s="133"/>
    </row>
    <row r="968" spans="1:31" ht="38.25" hidden="1" outlineLevel="1" collapsed="1" x14ac:dyDescent="0.2">
      <c r="A968" s="25" t="str">
        <f>'Утв. ИП 2014-2019'!A970</f>
        <v>1.1.5.3.93/13</v>
      </c>
      <c r="B968" s="6" t="str">
        <f>'Утв. ИП 2014-2019'!B970</f>
        <v>3.2.243</v>
      </c>
      <c r="C968" s="7" t="str">
        <f>'Утв. ИП 2014-2019'!C970</f>
        <v>Монтаж узла учета в РШ-0,4 кВ, смонтированном по п. 1.1.6.3.60/10 ППР, от ТП-115 для электроснабжения гаража по адресу: г. Липецк, ул. Зегеля, строение 15 а/3</v>
      </c>
      <c r="D968" s="8" t="str">
        <f>'Утв. ИП 2014-2019'!K970</f>
        <v>0,0 км/ 0 МВА</v>
      </c>
      <c r="E968" s="8"/>
      <c r="F968" s="8"/>
      <c r="G968" s="8"/>
      <c r="H968" s="8"/>
      <c r="I968" s="8"/>
      <c r="J968" s="23" t="str">
        <f>'Утв. ИП 2014-2019'!Q970</f>
        <v>0,0 км/ 0 МВА</v>
      </c>
      <c r="K968" s="170"/>
      <c r="L968" s="170"/>
      <c r="M968" s="170"/>
      <c r="N968" s="170"/>
      <c r="O968" s="170"/>
      <c r="P968" s="170"/>
      <c r="Q968" s="170"/>
      <c r="R968" s="136"/>
      <c r="S968" s="137"/>
      <c r="T968" s="128"/>
      <c r="U968" s="137"/>
      <c r="V968" s="128"/>
      <c r="W968" s="49"/>
      <c r="X968" s="128"/>
      <c r="Y968" s="49"/>
      <c r="Z968" s="128"/>
      <c r="AA968" s="49"/>
      <c r="AB968" s="128"/>
      <c r="AC968" s="49"/>
      <c r="AE968" s="133"/>
    </row>
    <row r="969" spans="1:31" ht="15.75" hidden="1" outlineLevel="2" x14ac:dyDescent="0.2">
      <c r="A969" s="25">
        <f>'Утв. ИП 2014-2019'!A971</f>
        <v>0</v>
      </c>
      <c r="B969" s="6">
        <f>'Утв. ИП 2014-2019'!B971</f>
        <v>0</v>
      </c>
      <c r="C969" s="7" t="str">
        <f>'Утв. ИП 2014-2019'!C971</f>
        <v>реконструкция</v>
      </c>
      <c r="D969" s="8"/>
      <c r="E969" s="8"/>
      <c r="F969" s="8"/>
      <c r="G969" s="8"/>
      <c r="H969" s="8"/>
      <c r="I969" s="8"/>
      <c r="J969" s="23"/>
      <c r="K969" s="170"/>
      <c r="L969" s="170"/>
      <c r="M969" s="170"/>
      <c r="N969" s="170"/>
      <c r="O969" s="170"/>
      <c r="P969" s="170"/>
      <c r="Q969" s="170"/>
      <c r="R969" s="136"/>
      <c r="S969" s="137"/>
      <c r="T969" s="128"/>
      <c r="U969" s="137"/>
      <c r="V969" s="128"/>
      <c r="W969" s="49"/>
      <c r="X969" s="128"/>
      <c r="Y969" s="49"/>
      <c r="Z969" s="128"/>
      <c r="AA969" s="49"/>
      <c r="AB969" s="128"/>
      <c r="AC969" s="49"/>
      <c r="AE969" s="133"/>
    </row>
    <row r="970" spans="1:31" ht="15.75" hidden="1" outlineLevel="2" x14ac:dyDescent="0.2">
      <c r="A970" s="25">
        <f>'Утв. ИП 2014-2019'!A972</f>
        <v>0</v>
      </c>
      <c r="B970" s="6">
        <f>'Утв. ИП 2014-2019'!B972</f>
        <v>0</v>
      </c>
      <c r="C970" s="7" t="str">
        <f>'Утв. ИП 2014-2019'!C972</f>
        <v>строительство</v>
      </c>
      <c r="D970" s="8"/>
      <c r="E970" s="8"/>
      <c r="F970" s="8"/>
      <c r="G970" s="8"/>
      <c r="H970" s="8"/>
      <c r="I970" s="8"/>
      <c r="J970" s="23"/>
      <c r="K970" s="170"/>
      <c r="L970" s="170"/>
      <c r="M970" s="170"/>
      <c r="N970" s="170"/>
      <c r="O970" s="170"/>
      <c r="P970" s="170"/>
      <c r="Q970" s="170"/>
      <c r="R970" s="136"/>
      <c r="S970" s="137"/>
      <c r="T970" s="128"/>
      <c r="U970" s="137"/>
      <c r="V970" s="128"/>
      <c r="W970" s="49"/>
      <c r="X970" s="128"/>
      <c r="Y970" s="49"/>
      <c r="Z970" s="128"/>
      <c r="AA970" s="49"/>
      <c r="AB970" s="128"/>
      <c r="AC970" s="49"/>
      <c r="AE970" s="133"/>
    </row>
    <row r="971" spans="1:31" ht="25.5" hidden="1" outlineLevel="1" collapsed="1" x14ac:dyDescent="0.2">
      <c r="A971" s="25" t="str">
        <f>'Утв. ИП 2014-2019'!A973</f>
        <v>1.1.5.3.56/13</v>
      </c>
      <c r="B971" s="6" t="str">
        <f>'Утв. ИП 2014-2019'!B973</f>
        <v>3.2.244</v>
      </c>
      <c r="C971" s="7" t="str">
        <f>'Утв. ИП 2014-2019'!C973</f>
        <v>Электроснабжение жилых домов по адресу: г. Липецк, ул. Рябиновая</v>
      </c>
      <c r="D971" s="8" t="str">
        <f>'Утв. ИП 2014-2019'!K973</f>
        <v>0,3 км/ 0 МВА</v>
      </c>
      <c r="E971" s="8"/>
      <c r="F971" s="8"/>
      <c r="G971" s="8"/>
      <c r="H971" s="8"/>
      <c r="I971" s="8"/>
      <c r="J971" s="23" t="str">
        <f>'Утв. ИП 2014-2019'!Q973</f>
        <v>0,3 км/ 0 МВА</v>
      </c>
      <c r="K971" s="170"/>
      <c r="L971" s="170"/>
      <c r="M971" s="170"/>
      <c r="N971" s="170"/>
      <c r="O971" s="170"/>
      <c r="P971" s="170"/>
      <c r="Q971" s="170"/>
      <c r="R971" s="136"/>
      <c r="S971" s="137"/>
      <c r="T971" s="128"/>
      <c r="U971" s="137"/>
      <c r="V971" s="128"/>
      <c r="W971" s="49"/>
      <c r="X971" s="128"/>
      <c r="Y971" s="49"/>
      <c r="Z971" s="128"/>
      <c r="AA971" s="49"/>
      <c r="AB971" s="128"/>
      <c r="AC971" s="49"/>
      <c r="AE971" s="133"/>
    </row>
    <row r="972" spans="1:31" ht="15.75" hidden="1" outlineLevel="2" x14ac:dyDescent="0.2">
      <c r="A972" s="25">
        <f>'Утв. ИП 2014-2019'!A974</f>
        <v>0</v>
      </c>
      <c r="B972" s="6">
        <f>'Утв. ИП 2014-2019'!B974</f>
        <v>0</v>
      </c>
      <c r="C972" s="7" t="str">
        <f>'Утв. ИП 2014-2019'!C974</f>
        <v>реконструкция</v>
      </c>
      <c r="D972" s="8"/>
      <c r="E972" s="8"/>
      <c r="F972" s="8"/>
      <c r="G972" s="8"/>
      <c r="H972" s="8"/>
      <c r="I972" s="8"/>
      <c r="J972" s="23"/>
      <c r="K972" s="170"/>
      <c r="L972" s="170"/>
      <c r="M972" s="170"/>
      <c r="N972" s="170"/>
      <c r="O972" s="170"/>
      <c r="P972" s="170"/>
      <c r="Q972" s="170"/>
      <c r="R972" s="136"/>
      <c r="S972" s="137"/>
      <c r="T972" s="128"/>
      <c r="U972" s="137"/>
      <c r="V972" s="128"/>
      <c r="W972" s="49"/>
      <c r="X972" s="128"/>
      <c r="Y972" s="49"/>
      <c r="Z972" s="128"/>
      <c r="AA972" s="49"/>
      <c r="AB972" s="128"/>
      <c r="AC972" s="49"/>
      <c r="AE972" s="133"/>
    </row>
    <row r="973" spans="1:31" ht="15.75" hidden="1" outlineLevel="2" x14ac:dyDescent="0.2">
      <c r="A973" s="25">
        <f>'Утв. ИП 2014-2019'!A975</f>
        <v>0</v>
      </c>
      <c r="B973" s="6">
        <f>'Утв. ИП 2014-2019'!B975</f>
        <v>0</v>
      </c>
      <c r="C973" s="7" t="str">
        <f>'Утв. ИП 2014-2019'!C975</f>
        <v>строительство</v>
      </c>
      <c r="D973" s="8"/>
      <c r="E973" s="8"/>
      <c r="F973" s="8"/>
      <c r="G973" s="8"/>
      <c r="H973" s="8"/>
      <c r="I973" s="8"/>
      <c r="J973" s="23"/>
      <c r="K973" s="170"/>
      <c r="L973" s="170"/>
      <c r="M973" s="170"/>
      <c r="N973" s="170"/>
      <c r="O973" s="170"/>
      <c r="P973" s="170"/>
      <c r="Q973" s="170"/>
      <c r="R973" s="136"/>
      <c r="S973" s="137"/>
      <c r="T973" s="128"/>
      <c r="U973" s="137"/>
      <c r="V973" s="128"/>
      <c r="W973" s="49"/>
      <c r="X973" s="128"/>
      <c r="Y973" s="49"/>
      <c r="Z973" s="128"/>
      <c r="AA973" s="49"/>
      <c r="AB973" s="128"/>
      <c r="AC973" s="49"/>
      <c r="AE973" s="133"/>
    </row>
    <row r="974" spans="1:31" ht="25.5" hidden="1" outlineLevel="1" collapsed="1" x14ac:dyDescent="0.2">
      <c r="A974" s="25" t="str">
        <f>'Утв. ИП 2014-2019'!A976</f>
        <v>1.1.5.3.57/13</v>
      </c>
      <c r="B974" s="6" t="str">
        <f>'Утв. ИП 2014-2019'!B976</f>
        <v>3.2.245</v>
      </c>
      <c r="C974" s="7" t="str">
        <f>'Утв. ИП 2014-2019'!C976</f>
        <v>Электроснабжение гаража по адресу: г. Липецк, ул. Баумана, д. 262</v>
      </c>
      <c r="D974" s="8" t="str">
        <f>'Утв. ИП 2014-2019'!K976</f>
        <v>0,0 км/ 0 МВА</v>
      </c>
      <c r="E974" s="8"/>
      <c r="F974" s="8"/>
      <c r="G974" s="8"/>
      <c r="H974" s="8"/>
      <c r="I974" s="8"/>
      <c r="J974" s="23" t="str">
        <f>'Утв. ИП 2014-2019'!Q976</f>
        <v>0,0 км/ 0 МВА</v>
      </c>
      <c r="K974" s="170"/>
      <c r="L974" s="170"/>
      <c r="M974" s="170"/>
      <c r="N974" s="170"/>
      <c r="O974" s="170"/>
      <c r="P974" s="170"/>
      <c r="Q974" s="170"/>
      <c r="R974" s="136"/>
      <c r="S974" s="137"/>
      <c r="T974" s="128"/>
      <c r="U974" s="137"/>
      <c r="V974" s="128"/>
      <c r="W974" s="49"/>
      <c r="X974" s="128"/>
      <c r="Y974" s="49"/>
      <c r="Z974" s="128"/>
      <c r="AA974" s="49"/>
      <c r="AB974" s="128"/>
      <c r="AC974" s="49"/>
      <c r="AE974" s="133"/>
    </row>
    <row r="975" spans="1:31" ht="15.75" hidden="1" outlineLevel="2" x14ac:dyDescent="0.2">
      <c r="A975" s="25">
        <f>'Утв. ИП 2014-2019'!A977</f>
        <v>0</v>
      </c>
      <c r="B975" s="6">
        <f>'Утв. ИП 2014-2019'!B977</f>
        <v>0</v>
      </c>
      <c r="C975" s="7" t="str">
        <f>'Утв. ИП 2014-2019'!C977</f>
        <v>реконструкция</v>
      </c>
      <c r="D975" s="8"/>
      <c r="E975" s="8"/>
      <c r="F975" s="8"/>
      <c r="G975" s="8"/>
      <c r="H975" s="8"/>
      <c r="I975" s="8"/>
      <c r="J975" s="23"/>
      <c r="K975" s="170"/>
      <c r="L975" s="170"/>
      <c r="M975" s="170"/>
      <c r="N975" s="170"/>
      <c r="O975" s="170"/>
      <c r="P975" s="170"/>
      <c r="Q975" s="170"/>
      <c r="R975" s="136"/>
      <c r="S975" s="137"/>
      <c r="T975" s="128"/>
      <c r="U975" s="137"/>
      <c r="V975" s="128"/>
      <c r="W975" s="49"/>
      <c r="X975" s="128"/>
      <c r="Y975" s="49"/>
      <c r="Z975" s="128"/>
      <c r="AA975" s="49"/>
      <c r="AB975" s="128"/>
      <c r="AC975" s="49"/>
      <c r="AE975" s="133"/>
    </row>
    <row r="976" spans="1:31" ht="15.75" hidden="1" outlineLevel="2" x14ac:dyDescent="0.2">
      <c r="A976" s="25">
        <f>'Утв. ИП 2014-2019'!A978</f>
        <v>0</v>
      </c>
      <c r="B976" s="6">
        <f>'Утв. ИП 2014-2019'!B978</f>
        <v>0</v>
      </c>
      <c r="C976" s="7" t="str">
        <f>'Утв. ИП 2014-2019'!C978</f>
        <v>строительство</v>
      </c>
      <c r="D976" s="8"/>
      <c r="E976" s="8"/>
      <c r="F976" s="8"/>
      <c r="G976" s="8"/>
      <c r="H976" s="8"/>
      <c r="I976" s="8"/>
      <c r="J976" s="23"/>
      <c r="K976" s="170"/>
      <c r="L976" s="170"/>
      <c r="M976" s="170"/>
      <c r="N976" s="170"/>
      <c r="O976" s="170"/>
      <c r="P976" s="170"/>
      <c r="Q976" s="170"/>
      <c r="R976" s="136"/>
      <c r="S976" s="137"/>
      <c r="T976" s="128"/>
      <c r="U976" s="137"/>
      <c r="V976" s="128"/>
      <c r="W976" s="49"/>
      <c r="X976" s="128"/>
      <c r="Y976" s="49"/>
      <c r="Z976" s="128"/>
      <c r="AA976" s="49"/>
      <c r="AB976" s="128"/>
      <c r="AC976" s="49"/>
      <c r="AE976" s="133"/>
    </row>
    <row r="977" spans="1:31" ht="25.5" hidden="1" outlineLevel="1" collapsed="1" x14ac:dyDescent="0.2">
      <c r="A977" s="25" t="str">
        <f>'Утв. ИП 2014-2019'!A979</f>
        <v>1.1.5.3.58/13</v>
      </c>
      <c r="B977" s="6" t="str">
        <f>'Утв. ИП 2014-2019'!B979</f>
        <v>3.2.246</v>
      </c>
      <c r="C977" s="7" t="str">
        <f>'Утв. ИП 2014-2019'!C979</f>
        <v>Электроснабжение гаража по адресу: г. Липецк, пр. Базовый, владение 3, гараж № 48, 49</v>
      </c>
      <c r="D977" s="8" t="str">
        <f>'Утв. ИП 2014-2019'!K979</f>
        <v>0,5 км/ 0 МВА</v>
      </c>
      <c r="E977" s="8"/>
      <c r="F977" s="8"/>
      <c r="G977" s="8"/>
      <c r="H977" s="8"/>
      <c r="I977" s="8"/>
      <c r="J977" s="23" t="str">
        <f>'Утв. ИП 2014-2019'!Q979</f>
        <v>0,5 км/ 0 МВА</v>
      </c>
      <c r="K977" s="170"/>
      <c r="L977" s="170"/>
      <c r="M977" s="170"/>
      <c r="N977" s="170"/>
      <c r="O977" s="170"/>
      <c r="P977" s="170"/>
      <c r="Q977" s="170"/>
      <c r="R977" s="136"/>
      <c r="S977" s="137"/>
      <c r="T977" s="128"/>
      <c r="U977" s="137"/>
      <c r="V977" s="128"/>
      <c r="W977" s="49"/>
      <c r="X977" s="128"/>
      <c r="Y977" s="49"/>
      <c r="Z977" s="128"/>
      <c r="AA977" s="49"/>
      <c r="AB977" s="128"/>
      <c r="AC977" s="49"/>
      <c r="AE977" s="133"/>
    </row>
    <row r="978" spans="1:31" ht="15.75" hidden="1" outlineLevel="2" x14ac:dyDescent="0.2">
      <c r="A978" s="25">
        <f>'Утв. ИП 2014-2019'!A980</f>
        <v>0</v>
      </c>
      <c r="B978" s="6">
        <f>'Утв. ИП 2014-2019'!B980</f>
        <v>0</v>
      </c>
      <c r="C978" s="7" t="str">
        <f>'Утв. ИП 2014-2019'!C980</f>
        <v>реконструкция</v>
      </c>
      <c r="D978" s="8"/>
      <c r="E978" s="8"/>
      <c r="F978" s="8"/>
      <c r="G978" s="8"/>
      <c r="H978" s="8"/>
      <c r="I978" s="8"/>
      <c r="J978" s="23"/>
      <c r="K978" s="170"/>
      <c r="L978" s="170"/>
      <c r="M978" s="170"/>
      <c r="N978" s="170"/>
      <c r="O978" s="170"/>
      <c r="P978" s="170"/>
      <c r="Q978" s="170"/>
      <c r="R978" s="136"/>
      <c r="S978" s="137"/>
      <c r="T978" s="128"/>
      <c r="U978" s="137"/>
      <c r="V978" s="128"/>
      <c r="W978" s="49"/>
      <c r="X978" s="128"/>
      <c r="Y978" s="49"/>
      <c r="Z978" s="128"/>
      <c r="AA978" s="49"/>
      <c r="AB978" s="128"/>
      <c r="AC978" s="49"/>
      <c r="AE978" s="133"/>
    </row>
    <row r="979" spans="1:31" ht="15.75" hidden="1" outlineLevel="2" x14ac:dyDescent="0.2">
      <c r="A979" s="25">
        <f>'Утв. ИП 2014-2019'!A981</f>
        <v>0</v>
      </c>
      <c r="B979" s="6">
        <f>'Утв. ИП 2014-2019'!B981</f>
        <v>0</v>
      </c>
      <c r="C979" s="7" t="str">
        <f>'Утв. ИП 2014-2019'!C981</f>
        <v>строительство</v>
      </c>
      <c r="D979" s="8"/>
      <c r="E979" s="8"/>
      <c r="F979" s="8"/>
      <c r="G979" s="8"/>
      <c r="H979" s="8"/>
      <c r="I979" s="8"/>
      <c r="J979" s="23"/>
      <c r="K979" s="170"/>
      <c r="L979" s="170"/>
      <c r="M979" s="170"/>
      <c r="N979" s="170"/>
      <c r="O979" s="170"/>
      <c r="P979" s="170"/>
      <c r="Q979" s="170"/>
      <c r="R979" s="136"/>
      <c r="S979" s="137"/>
      <c r="T979" s="128"/>
      <c r="U979" s="137"/>
      <c r="V979" s="128"/>
      <c r="W979" s="49"/>
      <c r="X979" s="128"/>
      <c r="Y979" s="49"/>
      <c r="Z979" s="128"/>
      <c r="AA979" s="49"/>
      <c r="AB979" s="128"/>
      <c r="AC979" s="49"/>
      <c r="AE979" s="133"/>
    </row>
    <row r="980" spans="1:31" ht="25.5" hidden="1" outlineLevel="1" collapsed="1" x14ac:dyDescent="0.2">
      <c r="A980" s="25" t="str">
        <f>'Утв. ИП 2014-2019'!A982</f>
        <v>1.1.5.3.59/13</v>
      </c>
      <c r="B980" s="6" t="str">
        <f>'Утв. ИП 2014-2019'!B982</f>
        <v>3.2.247</v>
      </c>
      <c r="C980" s="7" t="str">
        <f>'Утв. ИП 2014-2019'!C982</f>
        <v>Электроснабжение трехкомнатной квартиры по адресу: г. Липецк, ул. З. Космодемьянской, д. 198, кв. 2</v>
      </c>
      <c r="D980" s="8"/>
      <c r="E980" s="8" t="str">
        <f>'Утв. ИП 2014-2019'!L982</f>
        <v>0,2 км/ 0 МВА</v>
      </c>
      <c r="F980" s="8"/>
      <c r="G980" s="8"/>
      <c r="H980" s="8"/>
      <c r="I980" s="8"/>
      <c r="J980" s="23" t="str">
        <f>'Утв. ИП 2014-2019'!Q982</f>
        <v>0,2 км/ 0 МВА</v>
      </c>
      <c r="K980" s="170"/>
      <c r="L980" s="170"/>
      <c r="M980" s="170"/>
      <c r="N980" s="170"/>
      <c r="O980" s="170"/>
      <c r="P980" s="170"/>
      <c r="Q980" s="170"/>
      <c r="R980" s="136"/>
      <c r="S980" s="137"/>
      <c r="T980" s="128"/>
      <c r="U980" s="137"/>
      <c r="V980" s="128"/>
      <c r="W980" s="49"/>
      <c r="X980" s="128"/>
      <c r="Y980" s="49"/>
      <c r="Z980" s="128"/>
      <c r="AA980" s="49"/>
      <c r="AB980" s="128"/>
      <c r="AC980" s="49"/>
      <c r="AE980" s="133"/>
    </row>
    <row r="981" spans="1:31" ht="15.75" hidden="1" outlineLevel="2" x14ac:dyDescent="0.2">
      <c r="A981" s="25">
        <f>'Утв. ИП 2014-2019'!A983</f>
        <v>0</v>
      </c>
      <c r="B981" s="6">
        <f>'Утв. ИП 2014-2019'!B983</f>
        <v>0</v>
      </c>
      <c r="C981" s="7" t="str">
        <f>'Утв. ИП 2014-2019'!C983</f>
        <v>реконструкция</v>
      </c>
      <c r="D981" s="8"/>
      <c r="E981" s="8"/>
      <c r="F981" s="8"/>
      <c r="G981" s="8"/>
      <c r="H981" s="8"/>
      <c r="I981" s="8"/>
      <c r="J981" s="23"/>
      <c r="K981" s="170"/>
      <c r="L981" s="170"/>
      <c r="M981" s="170"/>
      <c r="N981" s="170"/>
      <c r="O981" s="170"/>
      <c r="P981" s="170"/>
      <c r="Q981" s="170"/>
      <c r="R981" s="136"/>
      <c r="S981" s="137"/>
      <c r="T981" s="128"/>
      <c r="U981" s="137"/>
      <c r="V981" s="128"/>
      <c r="W981" s="49"/>
      <c r="X981" s="128"/>
      <c r="Y981" s="49"/>
      <c r="Z981" s="128"/>
      <c r="AA981" s="49"/>
      <c r="AB981" s="128"/>
      <c r="AC981" s="49"/>
      <c r="AE981" s="133"/>
    </row>
    <row r="982" spans="1:31" ht="15.75" hidden="1" outlineLevel="2" x14ac:dyDescent="0.2">
      <c r="A982" s="25">
        <f>'Утв. ИП 2014-2019'!A984</f>
        <v>0</v>
      </c>
      <c r="B982" s="6">
        <f>'Утв. ИП 2014-2019'!B984</f>
        <v>0</v>
      </c>
      <c r="C982" s="7" t="str">
        <f>'Утв. ИП 2014-2019'!C984</f>
        <v>строительство</v>
      </c>
      <c r="D982" s="8"/>
      <c r="E982" s="8"/>
      <c r="F982" s="8"/>
      <c r="G982" s="8"/>
      <c r="H982" s="8"/>
      <c r="I982" s="8"/>
      <c r="J982" s="23"/>
      <c r="K982" s="170"/>
      <c r="L982" s="170"/>
      <c r="M982" s="170"/>
      <c r="N982" s="170"/>
      <c r="O982" s="170"/>
      <c r="P982" s="170"/>
      <c r="Q982" s="170"/>
      <c r="R982" s="136"/>
      <c r="S982" s="137"/>
      <c r="T982" s="128"/>
      <c r="U982" s="137"/>
      <c r="V982" s="128"/>
      <c r="W982" s="49"/>
      <c r="X982" s="128"/>
      <c r="Y982" s="49"/>
      <c r="Z982" s="128"/>
      <c r="AA982" s="49"/>
      <c r="AB982" s="128"/>
      <c r="AC982" s="49"/>
      <c r="AE982" s="133"/>
    </row>
    <row r="983" spans="1:31" ht="51" hidden="1" outlineLevel="1" collapsed="1" x14ac:dyDescent="0.2">
      <c r="A983" s="25" t="str">
        <f>'Утв. ИП 2014-2019'!A985</f>
        <v>1.1.5.3.60/13</v>
      </c>
      <c r="B983" s="6" t="str">
        <f>'Утв. ИП 2014-2019'!B985</f>
        <v>3.2.248</v>
      </c>
      <c r="C983" s="7" t="str">
        <f>'Утв. ИП 2014-2019'!C985</f>
        <v>Электроснабжение здания станции технического обслуживания автомобилей с автомойкой по адресу: г. Липецк, ул. Юношеская, напротив дома № 23 а, кадастровый № 48:20:0010501:437</v>
      </c>
      <c r="D983" s="8"/>
      <c r="E983" s="8" t="str">
        <f>'Утв. ИП 2014-2019'!L985</f>
        <v>0,3 км/ 0 МВА</v>
      </c>
      <c r="F983" s="8"/>
      <c r="G983" s="8"/>
      <c r="H983" s="8"/>
      <c r="I983" s="8"/>
      <c r="J983" s="23" t="str">
        <f>'Утв. ИП 2014-2019'!Q985</f>
        <v>0,3 км/ 0 МВА</v>
      </c>
      <c r="K983" s="170"/>
      <c r="L983" s="170"/>
      <c r="M983" s="170"/>
      <c r="N983" s="170"/>
      <c r="O983" s="170"/>
      <c r="P983" s="170"/>
      <c r="Q983" s="170"/>
      <c r="R983" s="166"/>
      <c r="S983" s="167"/>
      <c r="T983" s="168"/>
      <c r="U983" s="167"/>
      <c r="V983" s="168"/>
      <c r="W983" s="169"/>
      <c r="X983" s="168"/>
      <c r="Y983" s="169"/>
      <c r="Z983" s="168"/>
      <c r="AA983" s="169"/>
      <c r="AB983" s="168"/>
      <c r="AC983" s="169"/>
      <c r="AE983" s="133"/>
    </row>
    <row r="984" spans="1:31" ht="15.75" hidden="1" outlineLevel="2" x14ac:dyDescent="0.2">
      <c r="A984" s="25">
        <f>'Утв. ИП 2014-2019'!A986</f>
        <v>0</v>
      </c>
      <c r="B984" s="6">
        <f>'Утв. ИП 2014-2019'!B986</f>
        <v>0</v>
      </c>
      <c r="C984" s="7" t="str">
        <f>'Утв. ИП 2014-2019'!C986</f>
        <v>реконструкция</v>
      </c>
      <c r="D984" s="8"/>
      <c r="E984" s="8"/>
      <c r="F984" s="8"/>
      <c r="G984" s="8"/>
      <c r="H984" s="8"/>
      <c r="I984" s="8"/>
      <c r="J984" s="23"/>
      <c r="K984" s="170"/>
      <c r="L984" s="170"/>
      <c r="M984" s="170"/>
      <c r="N984" s="170"/>
      <c r="O984" s="170"/>
      <c r="P984" s="170"/>
      <c r="Q984" s="170"/>
      <c r="R984" s="166"/>
      <c r="S984" s="167"/>
      <c r="T984" s="168"/>
      <c r="U984" s="167"/>
      <c r="V984" s="168"/>
      <c r="W984" s="169"/>
      <c r="X984" s="168"/>
      <c r="Y984" s="169"/>
      <c r="Z984" s="168"/>
      <c r="AA984" s="169"/>
      <c r="AB984" s="168"/>
      <c r="AC984" s="169"/>
      <c r="AE984" s="133"/>
    </row>
    <row r="985" spans="1:31" ht="15.75" hidden="1" outlineLevel="2" x14ac:dyDescent="0.2">
      <c r="A985" s="25">
        <f>'Утв. ИП 2014-2019'!A987</f>
        <v>0</v>
      </c>
      <c r="B985" s="6">
        <f>'Утв. ИП 2014-2019'!B987</f>
        <v>0</v>
      </c>
      <c r="C985" s="7" t="str">
        <f>'Утв. ИП 2014-2019'!C987</f>
        <v>строительство</v>
      </c>
      <c r="D985" s="8"/>
      <c r="E985" s="8"/>
      <c r="F985" s="8"/>
      <c r="G985" s="8"/>
      <c r="H985" s="8"/>
      <c r="I985" s="8"/>
      <c r="J985" s="23"/>
      <c r="K985" s="170"/>
      <c r="L985" s="170"/>
      <c r="M985" s="170"/>
      <c r="N985" s="170"/>
      <c r="O985" s="170"/>
      <c r="P985" s="170"/>
      <c r="Q985" s="170"/>
      <c r="R985" s="166"/>
      <c r="S985" s="167"/>
      <c r="T985" s="168"/>
      <c r="U985" s="167"/>
      <c r="V985" s="168"/>
      <c r="W985" s="169"/>
      <c r="X985" s="168"/>
      <c r="Y985" s="169"/>
      <c r="Z985" s="168"/>
      <c r="AA985" s="169"/>
      <c r="AB985" s="168"/>
      <c r="AC985" s="169"/>
      <c r="AE985" s="133"/>
    </row>
    <row r="986" spans="1:31" ht="25.5" hidden="1" outlineLevel="1" collapsed="1" x14ac:dyDescent="0.2">
      <c r="A986" s="25" t="str">
        <f>'Утв. ИП 2014-2019'!A988</f>
        <v>1.1.5.3.61/13</v>
      </c>
      <c r="B986" s="6" t="str">
        <f>'Утв. ИП 2014-2019'!B988</f>
        <v>3.2.249</v>
      </c>
      <c r="C986" s="7" t="str">
        <f>'Утв. ИП 2014-2019'!C988</f>
        <v>Электроснабжение гаража по адресу: г. Липецк, ул. Юных Натуралистов, владение 20, гараж № 108</v>
      </c>
      <c r="D986" s="8"/>
      <c r="E986" s="8" t="str">
        <f>'Утв. ИП 2014-2019'!L988</f>
        <v>0,5 км/ 0 МВА</v>
      </c>
      <c r="F986" s="8"/>
      <c r="G986" s="8"/>
      <c r="H986" s="8"/>
      <c r="I986" s="8"/>
      <c r="J986" s="23" t="str">
        <f>'Утв. ИП 2014-2019'!Q988</f>
        <v>0,5 км/ 0 МВА</v>
      </c>
      <c r="K986" s="170"/>
      <c r="L986" s="170"/>
      <c r="M986" s="170"/>
      <c r="N986" s="170"/>
      <c r="O986" s="170"/>
      <c r="P986" s="170"/>
      <c r="Q986" s="170"/>
      <c r="R986" s="166"/>
      <c r="S986" s="167"/>
      <c r="T986" s="168"/>
      <c r="U986" s="167"/>
      <c r="V986" s="168"/>
      <c r="W986" s="169"/>
      <c r="X986" s="168"/>
      <c r="Y986" s="169"/>
      <c r="Z986" s="168"/>
      <c r="AA986" s="169"/>
      <c r="AB986" s="168"/>
      <c r="AC986" s="169"/>
      <c r="AE986" s="133"/>
    </row>
    <row r="987" spans="1:31" ht="15.75" hidden="1" outlineLevel="2" x14ac:dyDescent="0.2">
      <c r="A987" s="25">
        <f>'Утв. ИП 2014-2019'!A989</f>
        <v>0</v>
      </c>
      <c r="B987" s="6">
        <f>'Утв. ИП 2014-2019'!B989</f>
        <v>0</v>
      </c>
      <c r="C987" s="7" t="str">
        <f>'Утв. ИП 2014-2019'!C989</f>
        <v>реконструкция</v>
      </c>
      <c r="D987" s="8"/>
      <c r="E987" s="8"/>
      <c r="F987" s="8"/>
      <c r="G987" s="8"/>
      <c r="H987" s="8"/>
      <c r="I987" s="8"/>
      <c r="J987" s="23"/>
      <c r="K987" s="170"/>
      <c r="L987" s="170"/>
      <c r="M987" s="170"/>
      <c r="N987" s="170"/>
      <c r="O987" s="170"/>
      <c r="P987" s="170"/>
      <c r="Q987" s="170"/>
      <c r="R987" s="136"/>
      <c r="S987" s="137"/>
      <c r="T987" s="128"/>
      <c r="U987" s="137"/>
      <c r="V987" s="128"/>
      <c r="W987" s="49"/>
      <c r="X987" s="128"/>
      <c r="Y987" s="49"/>
      <c r="Z987" s="128"/>
      <c r="AA987" s="49"/>
      <c r="AB987" s="128"/>
      <c r="AC987" s="49"/>
      <c r="AE987" s="133"/>
    </row>
    <row r="988" spans="1:31" ht="15.75" hidden="1" outlineLevel="2" x14ac:dyDescent="0.2">
      <c r="A988" s="25">
        <f>'Утв. ИП 2014-2019'!A990</f>
        <v>0</v>
      </c>
      <c r="B988" s="6">
        <f>'Утв. ИП 2014-2019'!B990</f>
        <v>0</v>
      </c>
      <c r="C988" s="7" t="str">
        <f>'Утв. ИП 2014-2019'!C990</f>
        <v>строительство</v>
      </c>
      <c r="D988" s="8"/>
      <c r="E988" s="8"/>
      <c r="F988" s="8"/>
      <c r="G988" s="8"/>
      <c r="H988" s="8"/>
      <c r="I988" s="8"/>
      <c r="J988" s="23"/>
      <c r="K988" s="170"/>
      <c r="L988" s="170"/>
      <c r="M988" s="170"/>
      <c r="N988" s="170"/>
      <c r="O988" s="170"/>
      <c r="P988" s="170"/>
      <c r="Q988" s="170"/>
      <c r="R988" s="136"/>
      <c r="S988" s="137"/>
      <c r="T988" s="128"/>
      <c r="U988" s="137"/>
      <c r="V988" s="128"/>
      <c r="W988" s="49"/>
      <c r="X988" s="128"/>
      <c r="Y988" s="49"/>
      <c r="Z988" s="128"/>
      <c r="AA988" s="49"/>
      <c r="AB988" s="128"/>
      <c r="AC988" s="49"/>
      <c r="AE988" s="133"/>
    </row>
    <row r="989" spans="1:31" ht="51" hidden="1" outlineLevel="1" collapsed="1" x14ac:dyDescent="0.2">
      <c r="A989" s="25" t="str">
        <f>'Утв. ИП 2014-2019'!A991</f>
        <v>1.1.5.3.62/13</v>
      </c>
      <c r="B989" s="6" t="str">
        <f>'Утв. ИП 2014-2019'!B991</f>
        <v>3.2.250</v>
      </c>
      <c r="C989" s="7" t="str">
        <f>'Утв. ИП 2014-2019'!C991</f>
        <v>Реконструкция ВЛ-0,4 кВ, смонтированной по п. 1.1.6.3.52/10 ППР, от ТП-480 для электроснабжения садового домика по адресу: г. Липецк, садоводческое объединение коллективного партнерства "Сокол-2", уч. № 750</v>
      </c>
      <c r="D989" s="8"/>
      <c r="E989" s="8" t="str">
        <f>'Утв. ИП 2014-2019'!L991</f>
        <v>0,1 км/ 0 МВА</v>
      </c>
      <c r="F989" s="8"/>
      <c r="G989" s="8"/>
      <c r="H989" s="8"/>
      <c r="I989" s="8"/>
      <c r="J989" s="23" t="str">
        <f>'Утв. ИП 2014-2019'!Q991</f>
        <v>0,1 км/ 0 МВА</v>
      </c>
      <c r="K989" s="170"/>
      <c r="L989" s="23" t="s">
        <v>1418</v>
      </c>
      <c r="M989" s="170"/>
      <c r="N989" s="170"/>
      <c r="O989" s="170"/>
      <c r="P989" s="170"/>
      <c r="Q989" s="23" t="s">
        <v>1418</v>
      </c>
      <c r="R989" s="136"/>
      <c r="S989" s="137"/>
      <c r="T989" s="128">
        <v>0.1</v>
      </c>
      <c r="U989" s="137"/>
      <c r="V989" s="128"/>
      <c r="W989" s="49"/>
      <c r="X989" s="128"/>
      <c r="Y989" s="49"/>
      <c r="Z989" s="128"/>
      <c r="AA989" s="49"/>
      <c r="AB989" s="128"/>
      <c r="AC989" s="49"/>
      <c r="AE989" s="133"/>
    </row>
    <row r="990" spans="1:31" ht="15.75" hidden="1" outlineLevel="2" x14ac:dyDescent="0.2">
      <c r="A990" s="25">
        <f>'Утв. ИП 2014-2019'!A992</f>
        <v>0</v>
      </c>
      <c r="B990" s="6">
        <f>'Утв. ИП 2014-2019'!B992</f>
        <v>0</v>
      </c>
      <c r="C990" s="7" t="str">
        <f>'Утв. ИП 2014-2019'!C992</f>
        <v>реконструкция</v>
      </c>
      <c r="D990" s="8"/>
      <c r="E990" s="8"/>
      <c r="F990" s="8"/>
      <c r="G990" s="8"/>
      <c r="H990" s="8"/>
      <c r="I990" s="8"/>
      <c r="J990" s="23"/>
      <c r="K990" s="170"/>
      <c r="L990" s="170"/>
      <c r="M990" s="170"/>
      <c r="N990" s="170"/>
      <c r="O990" s="170"/>
      <c r="P990" s="170"/>
      <c r="Q990" s="170"/>
      <c r="R990" s="136"/>
      <c r="S990" s="137"/>
      <c r="T990" s="128"/>
      <c r="U990" s="137"/>
      <c r="V990" s="128"/>
      <c r="W990" s="49"/>
      <c r="X990" s="128"/>
      <c r="Y990" s="49"/>
      <c r="Z990" s="128"/>
      <c r="AA990" s="49"/>
      <c r="AB990" s="128"/>
      <c r="AC990" s="49"/>
      <c r="AE990" s="133"/>
    </row>
    <row r="991" spans="1:31" ht="15.75" hidden="1" outlineLevel="2" x14ac:dyDescent="0.2">
      <c r="A991" s="25">
        <f>'Утв. ИП 2014-2019'!A993</f>
        <v>0</v>
      </c>
      <c r="B991" s="6">
        <f>'Утв. ИП 2014-2019'!B993</f>
        <v>0</v>
      </c>
      <c r="C991" s="7" t="str">
        <f>'Утв. ИП 2014-2019'!C993</f>
        <v>строительство</v>
      </c>
      <c r="D991" s="8"/>
      <c r="E991" s="8"/>
      <c r="F991" s="8"/>
      <c r="G991" s="8"/>
      <c r="H991" s="8"/>
      <c r="I991" s="8"/>
      <c r="J991" s="23"/>
      <c r="K991" s="170"/>
      <c r="L991" s="170"/>
      <c r="M991" s="170"/>
      <c r="N991" s="170"/>
      <c r="O991" s="170"/>
      <c r="P991" s="170"/>
      <c r="Q991" s="170"/>
      <c r="R991" s="136"/>
      <c r="S991" s="137"/>
      <c r="T991" s="128"/>
      <c r="U991" s="137"/>
      <c r="V991" s="128"/>
      <c r="W991" s="49"/>
      <c r="X991" s="128"/>
      <c r="Y991" s="49"/>
      <c r="Z991" s="128"/>
      <c r="AA991" s="49"/>
      <c r="AB991" s="128"/>
      <c r="AC991" s="49"/>
      <c r="AE991" s="133"/>
    </row>
    <row r="992" spans="1:31" ht="51" hidden="1" outlineLevel="1" collapsed="1" x14ac:dyDescent="0.2">
      <c r="A992" s="25" t="str">
        <f>'Утв. ИП 2014-2019'!A994</f>
        <v>1.1.5.3.63/13</v>
      </c>
      <c r="B992" s="6" t="str">
        <f>'Утв. ИП 2014-2019'!B994</f>
        <v>3.2.251</v>
      </c>
      <c r="C992" s="7" t="str">
        <f>'Утв. ИП 2014-2019'!C994</f>
        <v>Монтаж узла учета на ближайшей опоре ВЛ-0,4 кВ по ул. Ореховой от КТП-669 для электроснабжения индивидуального жилого дома усадебного типа и хозяйственных построек по адресу: г. Липецк, ул. Ореховая, № 149 (по схеме)</v>
      </c>
      <c r="D992" s="8" t="str">
        <f>'Утв. ИП 2014-2019'!K994</f>
        <v>0,0 км/ 0 МВА</v>
      </c>
      <c r="E992" s="8"/>
      <c r="F992" s="8"/>
      <c r="G992" s="8"/>
      <c r="H992" s="8"/>
      <c r="I992" s="8"/>
      <c r="J992" s="23" t="str">
        <f>'Утв. ИП 2014-2019'!Q994</f>
        <v>0,0 км/ 0 МВА</v>
      </c>
      <c r="K992" s="170"/>
      <c r="L992" s="170"/>
      <c r="M992" s="170"/>
      <c r="N992" s="170"/>
      <c r="O992" s="170"/>
      <c r="P992" s="170"/>
      <c r="Q992" s="170"/>
      <c r="R992" s="136"/>
      <c r="S992" s="137"/>
      <c r="T992" s="128"/>
      <c r="U992" s="137"/>
      <c r="V992" s="128"/>
      <c r="W992" s="49"/>
      <c r="X992" s="128"/>
      <c r="Y992" s="49"/>
      <c r="Z992" s="128"/>
      <c r="AA992" s="49"/>
      <c r="AB992" s="128"/>
      <c r="AC992" s="49"/>
      <c r="AE992" s="133"/>
    </row>
    <row r="993" spans="1:31" ht="15.75" hidden="1" outlineLevel="2" x14ac:dyDescent="0.2">
      <c r="A993" s="25">
        <f>'Утв. ИП 2014-2019'!A995</f>
        <v>0</v>
      </c>
      <c r="B993" s="6">
        <f>'Утв. ИП 2014-2019'!B995</f>
        <v>0</v>
      </c>
      <c r="C993" s="7" t="str">
        <f>'Утв. ИП 2014-2019'!C995</f>
        <v>реконструкция</v>
      </c>
      <c r="D993" s="8"/>
      <c r="E993" s="8"/>
      <c r="F993" s="8"/>
      <c r="G993" s="8"/>
      <c r="H993" s="8"/>
      <c r="I993" s="8"/>
      <c r="J993" s="23"/>
      <c r="K993" s="170"/>
      <c r="L993" s="170"/>
      <c r="M993" s="170"/>
      <c r="N993" s="170"/>
      <c r="O993" s="170"/>
      <c r="P993" s="170"/>
      <c r="Q993" s="170"/>
      <c r="R993" s="136"/>
      <c r="S993" s="137"/>
      <c r="T993" s="128"/>
      <c r="U993" s="137"/>
      <c r="V993" s="128"/>
      <c r="W993" s="49"/>
      <c r="X993" s="128"/>
      <c r="Y993" s="49"/>
      <c r="Z993" s="128"/>
      <c r="AA993" s="49"/>
      <c r="AB993" s="128"/>
      <c r="AC993" s="49"/>
      <c r="AE993" s="133"/>
    </row>
    <row r="994" spans="1:31" ht="15.75" hidden="1" outlineLevel="2" x14ac:dyDescent="0.2">
      <c r="A994" s="25">
        <f>'Утв. ИП 2014-2019'!A996</f>
        <v>0</v>
      </c>
      <c r="B994" s="6">
        <f>'Утв. ИП 2014-2019'!B996</f>
        <v>0</v>
      </c>
      <c r="C994" s="7" t="str">
        <f>'Утв. ИП 2014-2019'!C996</f>
        <v>строительство</v>
      </c>
      <c r="D994" s="8"/>
      <c r="E994" s="8"/>
      <c r="F994" s="8"/>
      <c r="G994" s="8"/>
      <c r="H994" s="8"/>
      <c r="I994" s="8"/>
      <c r="J994" s="23"/>
      <c r="K994" s="170"/>
      <c r="L994" s="170"/>
      <c r="M994" s="170"/>
      <c r="N994" s="170"/>
      <c r="O994" s="170"/>
      <c r="P994" s="170"/>
      <c r="Q994" s="170"/>
      <c r="R994" s="136"/>
      <c r="S994" s="137"/>
      <c r="T994" s="128"/>
      <c r="U994" s="137"/>
      <c r="V994" s="128"/>
      <c r="W994" s="49"/>
      <c r="X994" s="128"/>
      <c r="Y994" s="49"/>
      <c r="Z994" s="128"/>
      <c r="AA994" s="49"/>
      <c r="AB994" s="128"/>
      <c r="AC994" s="49"/>
      <c r="AE994" s="133"/>
    </row>
    <row r="995" spans="1:31" ht="38.25" hidden="1" outlineLevel="1" collapsed="1" x14ac:dyDescent="0.2">
      <c r="A995" s="25" t="str">
        <f>'Утв. ИП 2014-2019'!A997</f>
        <v xml:space="preserve">1.1.5.3.82/13
</v>
      </c>
      <c r="B995" s="6" t="str">
        <f>'Утв. ИП 2014-2019'!B997</f>
        <v>3.2.252</v>
      </c>
      <c r="C995" s="7" t="str">
        <f>'Утв. ИП 2014-2019'!C997</f>
        <v>Монтаж узла учета на ближайшей опоре ВЛ-0,4 кВ в СНТ "Дачный-3" от КТП-499 для электроснабжения садового домика по адресу: г. Липецк, СНТ "Дачный-3", уч. № 377</v>
      </c>
      <c r="D995" s="8"/>
      <c r="E995" s="8" t="str">
        <f>'Утв. ИП 2014-2019'!L997</f>
        <v>0,0 км/ 0 МВА</v>
      </c>
      <c r="F995" s="8"/>
      <c r="G995" s="8"/>
      <c r="H995" s="8"/>
      <c r="I995" s="8"/>
      <c r="J995" s="23" t="str">
        <f>'Утв. ИП 2014-2019'!Q997</f>
        <v>0,0 км/ 0 МВА</v>
      </c>
      <c r="K995" s="170"/>
      <c r="L995" s="170"/>
      <c r="M995" s="170"/>
      <c r="N995" s="170"/>
      <c r="O995" s="170"/>
      <c r="P995" s="170"/>
      <c r="Q995" s="170"/>
      <c r="R995" s="136"/>
      <c r="S995" s="137"/>
      <c r="T995" s="128"/>
      <c r="U995" s="137"/>
      <c r="V995" s="128"/>
      <c r="W995" s="49"/>
      <c r="X995" s="128"/>
      <c r="Y995" s="49"/>
      <c r="Z995" s="128"/>
      <c r="AA995" s="49"/>
      <c r="AB995" s="128"/>
      <c r="AC995" s="49"/>
      <c r="AE995" s="133"/>
    </row>
    <row r="996" spans="1:31" ht="15.75" hidden="1" outlineLevel="2" x14ac:dyDescent="0.2">
      <c r="A996" s="25">
        <f>'Утв. ИП 2014-2019'!A998</f>
        <v>0</v>
      </c>
      <c r="B996" s="6">
        <f>'Утв. ИП 2014-2019'!B998</f>
        <v>0</v>
      </c>
      <c r="C996" s="7" t="str">
        <f>'Утв. ИП 2014-2019'!C998</f>
        <v>реконструкция</v>
      </c>
      <c r="D996" s="8"/>
      <c r="E996" s="8"/>
      <c r="F996" s="8"/>
      <c r="G996" s="8"/>
      <c r="H996" s="8"/>
      <c r="I996" s="8"/>
      <c r="J996" s="23"/>
      <c r="K996" s="170"/>
      <c r="L996" s="170"/>
      <c r="M996" s="170"/>
      <c r="N996" s="170"/>
      <c r="O996" s="170"/>
      <c r="P996" s="170"/>
      <c r="Q996" s="170"/>
      <c r="R996" s="136"/>
      <c r="S996" s="137"/>
      <c r="T996" s="128"/>
      <c r="U996" s="137"/>
      <c r="V996" s="128"/>
      <c r="W996" s="49"/>
      <c r="X996" s="128"/>
      <c r="Y996" s="49"/>
      <c r="Z996" s="128"/>
      <c r="AA996" s="49"/>
      <c r="AB996" s="128"/>
      <c r="AC996" s="49"/>
      <c r="AE996" s="133"/>
    </row>
    <row r="997" spans="1:31" ht="15.75" hidden="1" outlineLevel="2" x14ac:dyDescent="0.2">
      <c r="A997" s="25">
        <f>'Утв. ИП 2014-2019'!A999</f>
        <v>0</v>
      </c>
      <c r="B997" s="6">
        <f>'Утв. ИП 2014-2019'!B999</f>
        <v>0</v>
      </c>
      <c r="C997" s="7" t="str">
        <f>'Утв. ИП 2014-2019'!C999</f>
        <v>строительство</v>
      </c>
      <c r="D997" s="8"/>
      <c r="E997" s="8"/>
      <c r="F997" s="8"/>
      <c r="G997" s="8"/>
      <c r="H997" s="8"/>
      <c r="I997" s="8"/>
      <c r="J997" s="23"/>
      <c r="K997" s="170"/>
      <c r="L997" s="170"/>
      <c r="M997" s="170"/>
      <c r="N997" s="170"/>
      <c r="O997" s="170"/>
      <c r="P997" s="170"/>
      <c r="Q997" s="170"/>
      <c r="R997" s="136"/>
      <c r="S997" s="137"/>
      <c r="T997" s="128"/>
      <c r="U997" s="137"/>
      <c r="V997" s="128"/>
      <c r="W997" s="49"/>
      <c r="X997" s="128"/>
      <c r="Y997" s="49"/>
      <c r="Z997" s="128"/>
      <c r="AA997" s="49"/>
      <c r="AB997" s="128"/>
      <c r="AC997" s="49"/>
      <c r="AE997" s="133"/>
    </row>
    <row r="998" spans="1:31" ht="51" hidden="1" outlineLevel="1" collapsed="1" x14ac:dyDescent="0.2">
      <c r="A998" s="25" t="str">
        <f>'Утв. ИП 2014-2019'!A1000</f>
        <v xml:space="preserve">1.1.5.3.108/13
</v>
      </c>
      <c r="B998" s="6" t="str">
        <f>'Утв. ИП 2014-2019'!B1000</f>
        <v>3.2.253</v>
      </c>
      <c r="C998" s="7" t="str">
        <f>'Утв. ИП 2014-2019'!C1000</f>
        <v>Монтаж узла учета на ближайшей опоре ВЛ-0,4 кВ по пер. Любимый, смонтированной по п. 1.1.6.2.113/11 ППР, от ТП-602 для электроснабжения 1/2 доли жилого дома по адресу: г. Липецк, пер. Любимый, д. 33</v>
      </c>
      <c r="D998" s="8" t="str">
        <f>'Утв. ИП 2014-2019'!K1000</f>
        <v>0,0 км/ 0 МВА</v>
      </c>
      <c r="E998" s="8"/>
      <c r="F998" s="8"/>
      <c r="G998" s="8"/>
      <c r="H998" s="8"/>
      <c r="I998" s="8"/>
      <c r="J998" s="23" t="str">
        <f>'Утв. ИП 2014-2019'!Q1000</f>
        <v>0,0 км/ 0 МВА</v>
      </c>
      <c r="K998" s="170"/>
      <c r="L998" s="170"/>
      <c r="M998" s="170"/>
      <c r="N998" s="170"/>
      <c r="O998" s="170"/>
      <c r="P998" s="170"/>
      <c r="Q998" s="170"/>
      <c r="R998" s="136"/>
      <c r="S998" s="137"/>
      <c r="T998" s="128"/>
      <c r="U998" s="137"/>
      <c r="V998" s="128"/>
      <c r="W998" s="49"/>
      <c r="X998" s="128"/>
      <c r="Y998" s="49"/>
      <c r="Z998" s="128"/>
      <c r="AA998" s="49"/>
      <c r="AB998" s="128"/>
      <c r="AC998" s="49"/>
      <c r="AE998" s="133"/>
    </row>
    <row r="999" spans="1:31" ht="15.75" hidden="1" outlineLevel="2" x14ac:dyDescent="0.2">
      <c r="A999" s="25">
        <f>'Утв. ИП 2014-2019'!A1001</f>
        <v>0</v>
      </c>
      <c r="B999" s="6">
        <f>'Утв. ИП 2014-2019'!B1001</f>
        <v>0</v>
      </c>
      <c r="C999" s="7" t="str">
        <f>'Утв. ИП 2014-2019'!C1001</f>
        <v>реконструкция</v>
      </c>
      <c r="D999" s="8"/>
      <c r="E999" s="8"/>
      <c r="F999" s="8"/>
      <c r="G999" s="8"/>
      <c r="H999" s="8"/>
      <c r="I999" s="8"/>
      <c r="J999" s="23"/>
      <c r="K999" s="170"/>
      <c r="L999" s="170"/>
      <c r="M999" s="170"/>
      <c r="N999" s="170"/>
      <c r="O999" s="170"/>
      <c r="P999" s="170"/>
      <c r="Q999" s="170"/>
      <c r="R999" s="136"/>
      <c r="S999" s="137"/>
      <c r="T999" s="128"/>
      <c r="U999" s="137"/>
      <c r="V999" s="128"/>
      <c r="W999" s="49"/>
      <c r="X999" s="128"/>
      <c r="Y999" s="49"/>
      <c r="Z999" s="128"/>
      <c r="AA999" s="49"/>
      <c r="AB999" s="128"/>
      <c r="AC999" s="49"/>
      <c r="AE999" s="133"/>
    </row>
    <row r="1000" spans="1:31" ht="15.75" hidden="1" outlineLevel="2" x14ac:dyDescent="0.2">
      <c r="A1000" s="25">
        <f>'Утв. ИП 2014-2019'!A1002</f>
        <v>0</v>
      </c>
      <c r="B1000" s="6">
        <f>'Утв. ИП 2014-2019'!B1002</f>
        <v>0</v>
      </c>
      <c r="C1000" s="7" t="str">
        <f>'Утв. ИП 2014-2019'!C1002</f>
        <v>строительство</v>
      </c>
      <c r="D1000" s="8"/>
      <c r="E1000" s="8"/>
      <c r="F1000" s="8"/>
      <c r="G1000" s="8"/>
      <c r="H1000" s="8"/>
      <c r="I1000" s="8"/>
      <c r="J1000" s="23"/>
      <c r="K1000" s="170"/>
      <c r="L1000" s="170"/>
      <c r="M1000" s="170"/>
      <c r="N1000" s="170"/>
      <c r="O1000" s="170"/>
      <c r="P1000" s="170"/>
      <c r="Q1000" s="170"/>
      <c r="R1000" s="136"/>
      <c r="S1000" s="137"/>
      <c r="T1000" s="128"/>
      <c r="U1000" s="137"/>
      <c r="V1000" s="128"/>
      <c r="W1000" s="49"/>
      <c r="X1000" s="128"/>
      <c r="Y1000" s="49"/>
      <c r="Z1000" s="128"/>
      <c r="AA1000" s="49"/>
      <c r="AB1000" s="128"/>
      <c r="AC1000" s="49"/>
      <c r="AE1000" s="133"/>
    </row>
    <row r="1001" spans="1:31" ht="25.5" hidden="1" outlineLevel="1" collapsed="1" x14ac:dyDescent="0.2">
      <c r="A1001" s="25" t="str">
        <f>'Утв. ИП 2014-2019'!A1003</f>
        <v>1.1.6.2.42/12</v>
      </c>
      <c r="B1001" s="6" t="str">
        <f>'Утв. ИП 2014-2019'!B1003</f>
        <v>3.2.254</v>
      </c>
      <c r="C1001" s="7" t="str">
        <f>'Утв. ИП 2014-2019'!C1003</f>
        <v>Электроснабжение стройплощадки жилого дома по адресу: г. Липецк, с. Сселки, уч. № 101</v>
      </c>
      <c r="D1001" s="8" t="str">
        <f>'Утв. ИП 2014-2019'!K1003</f>
        <v>0,2 км/ 0 МВА</v>
      </c>
      <c r="E1001" s="8"/>
      <c r="F1001" s="8"/>
      <c r="G1001" s="8"/>
      <c r="H1001" s="8"/>
      <c r="I1001" s="8"/>
      <c r="J1001" s="23" t="str">
        <f>'Утв. ИП 2014-2019'!Q1003</f>
        <v>0,2 км/ 0 МВА</v>
      </c>
      <c r="K1001" s="170"/>
      <c r="L1001" s="170"/>
      <c r="M1001" s="170"/>
      <c r="N1001" s="170"/>
      <c r="O1001" s="170"/>
      <c r="P1001" s="170"/>
      <c r="Q1001" s="170"/>
      <c r="R1001" s="136"/>
      <c r="S1001" s="137"/>
      <c r="T1001" s="128"/>
      <c r="U1001" s="137"/>
      <c r="V1001" s="128"/>
      <c r="W1001" s="49"/>
      <c r="X1001" s="128"/>
      <c r="Y1001" s="49"/>
      <c r="Z1001" s="128"/>
      <c r="AA1001" s="49"/>
      <c r="AB1001" s="128"/>
      <c r="AC1001" s="49"/>
      <c r="AE1001" s="133"/>
    </row>
    <row r="1002" spans="1:31" ht="15.75" hidden="1" outlineLevel="2" x14ac:dyDescent="0.2">
      <c r="A1002" s="25">
        <f>'Утв. ИП 2014-2019'!A1004</f>
        <v>0</v>
      </c>
      <c r="B1002" s="6">
        <f>'Утв. ИП 2014-2019'!B1004</f>
        <v>0</v>
      </c>
      <c r="C1002" s="7" t="str">
        <f>'Утв. ИП 2014-2019'!C1004</f>
        <v>реконструкция</v>
      </c>
      <c r="D1002" s="8"/>
      <c r="E1002" s="8"/>
      <c r="F1002" s="8"/>
      <c r="G1002" s="8"/>
      <c r="H1002" s="8"/>
      <c r="I1002" s="8"/>
      <c r="J1002" s="23"/>
      <c r="K1002" s="170"/>
      <c r="L1002" s="170"/>
      <c r="M1002" s="170"/>
      <c r="N1002" s="170"/>
      <c r="O1002" s="170"/>
      <c r="P1002" s="170"/>
      <c r="Q1002" s="170"/>
      <c r="R1002" s="136"/>
      <c r="S1002" s="137"/>
      <c r="T1002" s="128"/>
      <c r="U1002" s="137"/>
      <c r="V1002" s="128"/>
      <c r="W1002" s="49"/>
      <c r="X1002" s="128"/>
      <c r="Y1002" s="49"/>
      <c r="Z1002" s="128"/>
      <c r="AA1002" s="49"/>
      <c r="AB1002" s="128"/>
      <c r="AC1002" s="49"/>
      <c r="AE1002" s="133"/>
    </row>
    <row r="1003" spans="1:31" ht="15.75" hidden="1" outlineLevel="2" x14ac:dyDescent="0.2">
      <c r="A1003" s="25">
        <f>'Утв. ИП 2014-2019'!A1005</f>
        <v>0</v>
      </c>
      <c r="B1003" s="6">
        <f>'Утв. ИП 2014-2019'!B1005</f>
        <v>0</v>
      </c>
      <c r="C1003" s="7" t="str">
        <f>'Утв. ИП 2014-2019'!C1005</f>
        <v>строительство</v>
      </c>
      <c r="D1003" s="8"/>
      <c r="E1003" s="8"/>
      <c r="F1003" s="8"/>
      <c r="G1003" s="8"/>
      <c r="H1003" s="8"/>
      <c r="I1003" s="8"/>
      <c r="J1003" s="23"/>
      <c r="K1003" s="170"/>
      <c r="L1003" s="170"/>
      <c r="M1003" s="170"/>
      <c r="N1003" s="170"/>
      <c r="O1003" s="170"/>
      <c r="P1003" s="170"/>
      <c r="Q1003" s="170"/>
      <c r="R1003" s="136"/>
      <c r="S1003" s="137"/>
      <c r="T1003" s="128"/>
      <c r="U1003" s="137"/>
      <c r="V1003" s="128"/>
      <c r="W1003" s="49"/>
      <c r="X1003" s="128"/>
      <c r="Y1003" s="49"/>
      <c r="Z1003" s="128"/>
      <c r="AA1003" s="49"/>
      <c r="AB1003" s="128"/>
      <c r="AC1003" s="49"/>
      <c r="AE1003" s="133"/>
    </row>
    <row r="1004" spans="1:31" ht="51" hidden="1" outlineLevel="1" collapsed="1" x14ac:dyDescent="0.2">
      <c r="A1004" s="25" t="str">
        <f>'Утв. ИП 2014-2019'!A1006</f>
        <v>1.1.6.2.92/12</v>
      </c>
      <c r="B1004" s="6" t="str">
        <f>'Утв. ИП 2014-2019'!B1006</f>
        <v>3.2.255</v>
      </c>
      <c r="C1004" s="7" t="str">
        <f>'Утв. ИП 2014-2019'!C1006</f>
        <v>Монтаж узла учета на опоре № 22 ВЛ-0,4 кВ по ул. Зоологическая от КТП-308 для электроснабжения индивидуального жилого дома по адресу: г.Липецк, ул. Зоологическая, д. 27</v>
      </c>
      <c r="D1004" s="8"/>
      <c r="E1004" s="8" t="str">
        <f>'Утв. ИП 2014-2019'!L1006</f>
        <v>0,0 км/ 0 МВА</v>
      </c>
      <c r="F1004" s="8"/>
      <c r="G1004" s="8"/>
      <c r="H1004" s="8"/>
      <c r="I1004" s="8"/>
      <c r="J1004" s="23" t="str">
        <f>'Утв. ИП 2014-2019'!Q1006</f>
        <v>0,0 км/ 0 МВА</v>
      </c>
      <c r="K1004" s="170"/>
      <c r="L1004" s="170"/>
      <c r="M1004" s="170"/>
      <c r="N1004" s="170"/>
      <c r="O1004" s="170"/>
      <c r="P1004" s="170"/>
      <c r="Q1004" s="170"/>
      <c r="R1004" s="136"/>
      <c r="S1004" s="137"/>
      <c r="T1004" s="128"/>
      <c r="U1004" s="137"/>
      <c r="V1004" s="128"/>
      <c r="W1004" s="49"/>
      <c r="X1004" s="128"/>
      <c r="Y1004" s="49"/>
      <c r="Z1004" s="128"/>
      <c r="AA1004" s="49"/>
      <c r="AB1004" s="128"/>
      <c r="AC1004" s="49"/>
      <c r="AE1004" s="133"/>
    </row>
    <row r="1005" spans="1:31" ht="15.75" hidden="1" outlineLevel="2" x14ac:dyDescent="0.2">
      <c r="A1005" s="25">
        <f>'Утв. ИП 2014-2019'!A1007</f>
        <v>0</v>
      </c>
      <c r="B1005" s="6">
        <f>'Утв. ИП 2014-2019'!B1007</f>
        <v>0</v>
      </c>
      <c r="C1005" s="7" t="str">
        <f>'Утв. ИП 2014-2019'!C1007</f>
        <v>реконструкция</v>
      </c>
      <c r="D1005" s="8"/>
      <c r="E1005" s="8"/>
      <c r="F1005" s="8"/>
      <c r="G1005" s="8"/>
      <c r="H1005" s="8"/>
      <c r="I1005" s="8"/>
      <c r="J1005" s="23"/>
      <c r="K1005" s="170"/>
      <c r="L1005" s="170"/>
      <c r="M1005" s="170"/>
      <c r="N1005" s="170"/>
      <c r="O1005" s="170"/>
      <c r="P1005" s="170"/>
      <c r="Q1005" s="170"/>
      <c r="R1005" s="136"/>
      <c r="S1005" s="137"/>
      <c r="T1005" s="128"/>
      <c r="U1005" s="137"/>
      <c r="V1005" s="128"/>
      <c r="W1005" s="49"/>
      <c r="X1005" s="128"/>
      <c r="Y1005" s="49"/>
      <c r="Z1005" s="128"/>
      <c r="AA1005" s="49"/>
      <c r="AB1005" s="128"/>
      <c r="AC1005" s="49"/>
      <c r="AE1005" s="133"/>
    </row>
    <row r="1006" spans="1:31" ht="15.75" hidden="1" outlineLevel="2" x14ac:dyDescent="0.2">
      <c r="A1006" s="25">
        <f>'Утв. ИП 2014-2019'!A1008</f>
        <v>0</v>
      </c>
      <c r="B1006" s="6">
        <f>'Утв. ИП 2014-2019'!B1008</f>
        <v>0</v>
      </c>
      <c r="C1006" s="7" t="str">
        <f>'Утв. ИП 2014-2019'!C1008</f>
        <v>строительство</v>
      </c>
      <c r="D1006" s="8"/>
      <c r="E1006" s="8"/>
      <c r="F1006" s="8"/>
      <c r="G1006" s="8"/>
      <c r="H1006" s="8"/>
      <c r="I1006" s="8"/>
      <c r="J1006" s="23"/>
      <c r="K1006" s="170"/>
      <c r="L1006" s="170"/>
      <c r="M1006" s="170"/>
      <c r="N1006" s="170"/>
      <c r="O1006" s="170"/>
      <c r="P1006" s="170"/>
      <c r="Q1006" s="170"/>
      <c r="R1006" s="136"/>
      <c r="S1006" s="137"/>
      <c r="T1006" s="128"/>
      <c r="U1006" s="137"/>
      <c r="V1006" s="128"/>
      <c r="W1006" s="49"/>
      <c r="X1006" s="128"/>
      <c r="Y1006" s="49"/>
      <c r="Z1006" s="128"/>
      <c r="AA1006" s="49"/>
      <c r="AB1006" s="128"/>
      <c r="AC1006" s="49"/>
      <c r="AE1006" s="133"/>
    </row>
    <row r="1007" spans="1:31" ht="15.75" hidden="1" outlineLevel="1" collapsed="1" x14ac:dyDescent="0.2">
      <c r="A1007" s="25" t="str">
        <f>'Утв. ИП 2014-2019'!A1009</f>
        <v>1.1.5.2.109/13</v>
      </c>
      <c r="B1007" s="6" t="str">
        <f>'Утв. ИП 2014-2019'!B1009</f>
        <v>3.2.256</v>
      </c>
      <c r="C1007" s="7" t="str">
        <f>'Утв. ИП 2014-2019'!C1009</f>
        <v>Электроснабжение гаражей по ул. 40 лет Октября</v>
      </c>
      <c r="D1007" s="8" t="str">
        <f>'Утв. ИП 2014-2019'!K1009</f>
        <v>0,2 км/ 0 МВА</v>
      </c>
      <c r="E1007" s="8"/>
      <c r="F1007" s="8"/>
      <c r="G1007" s="8"/>
      <c r="H1007" s="8"/>
      <c r="I1007" s="8"/>
      <c r="J1007" s="23" t="str">
        <f>'Утв. ИП 2014-2019'!Q1009</f>
        <v>0,2 км/ 0 МВА</v>
      </c>
      <c r="K1007" s="170"/>
      <c r="L1007" s="170"/>
      <c r="M1007" s="170"/>
      <c r="N1007" s="170"/>
      <c r="O1007" s="170"/>
      <c r="P1007" s="170"/>
      <c r="Q1007" s="170"/>
      <c r="R1007" s="136"/>
      <c r="S1007" s="137"/>
      <c r="T1007" s="128"/>
      <c r="U1007" s="137"/>
      <c r="V1007" s="128"/>
      <c r="W1007" s="49"/>
      <c r="X1007" s="128"/>
      <c r="Y1007" s="49"/>
      <c r="Z1007" s="128"/>
      <c r="AA1007" s="49"/>
      <c r="AB1007" s="128"/>
      <c r="AC1007" s="49"/>
      <c r="AE1007" s="133"/>
    </row>
    <row r="1008" spans="1:31" ht="15.75" hidden="1" outlineLevel="2" x14ac:dyDescent="0.2">
      <c r="A1008" s="25">
        <f>'Утв. ИП 2014-2019'!A1010</f>
        <v>0</v>
      </c>
      <c r="B1008" s="6">
        <f>'Утв. ИП 2014-2019'!B1010</f>
        <v>0</v>
      </c>
      <c r="C1008" s="7" t="str">
        <f>'Утв. ИП 2014-2019'!C1010</f>
        <v>реконструкция</v>
      </c>
      <c r="D1008" s="8"/>
      <c r="E1008" s="8"/>
      <c r="F1008" s="8"/>
      <c r="G1008" s="8"/>
      <c r="H1008" s="8"/>
      <c r="I1008" s="8"/>
      <c r="J1008" s="23"/>
      <c r="K1008" s="170"/>
      <c r="L1008" s="170"/>
      <c r="M1008" s="170"/>
      <c r="N1008" s="170"/>
      <c r="O1008" s="170"/>
      <c r="P1008" s="170"/>
      <c r="Q1008" s="170"/>
      <c r="R1008" s="136"/>
      <c r="S1008" s="137"/>
      <c r="T1008" s="128"/>
      <c r="U1008" s="137"/>
      <c r="V1008" s="128"/>
      <c r="W1008" s="49"/>
      <c r="X1008" s="128"/>
      <c r="Y1008" s="49"/>
      <c r="Z1008" s="128"/>
      <c r="AA1008" s="49"/>
      <c r="AB1008" s="128"/>
      <c r="AC1008" s="49"/>
      <c r="AE1008" s="133"/>
    </row>
    <row r="1009" spans="1:31" ht="15.75" hidden="1" outlineLevel="2" x14ac:dyDescent="0.2">
      <c r="A1009" s="25">
        <f>'Утв. ИП 2014-2019'!A1011</f>
        <v>0</v>
      </c>
      <c r="B1009" s="6">
        <f>'Утв. ИП 2014-2019'!B1011</f>
        <v>0</v>
      </c>
      <c r="C1009" s="7" t="str">
        <f>'Утв. ИП 2014-2019'!C1011</f>
        <v>строительство</v>
      </c>
      <c r="D1009" s="8"/>
      <c r="E1009" s="8"/>
      <c r="F1009" s="8"/>
      <c r="G1009" s="8"/>
      <c r="H1009" s="8"/>
      <c r="I1009" s="8"/>
      <c r="J1009" s="23"/>
      <c r="K1009" s="170"/>
      <c r="L1009" s="170"/>
      <c r="M1009" s="170"/>
      <c r="N1009" s="170"/>
      <c r="O1009" s="170"/>
      <c r="P1009" s="170"/>
      <c r="Q1009" s="170"/>
      <c r="R1009" s="136"/>
      <c r="S1009" s="137"/>
      <c r="T1009" s="128"/>
      <c r="U1009" s="137"/>
      <c r="V1009" s="128"/>
      <c r="W1009" s="49"/>
      <c r="X1009" s="128"/>
      <c r="Y1009" s="49"/>
      <c r="Z1009" s="128"/>
      <c r="AA1009" s="49"/>
      <c r="AB1009" s="128"/>
      <c r="AC1009" s="49"/>
      <c r="AE1009" s="133"/>
    </row>
    <row r="1010" spans="1:31" ht="25.5" hidden="1" outlineLevel="1" collapsed="1" x14ac:dyDescent="0.2">
      <c r="A1010" s="25" t="str">
        <f>'Утв. ИП 2014-2019'!A1012</f>
        <v>1.1.5.2.110/13</v>
      </c>
      <c r="B1010" s="6" t="str">
        <f>'Утв. ИП 2014-2019'!B1012</f>
        <v>3.2.257</v>
      </c>
      <c r="C1010" s="7" t="str">
        <f>'Утв. ИП 2014-2019'!C1012</f>
        <v>Электроснабжение здания хранилища по адресу: г. Липецк, ул. Базарная, строение № 3/7</v>
      </c>
      <c r="D1010" s="8" t="str">
        <f>'Утв. ИП 2014-2019'!K1012</f>
        <v>0,3 км/ 0 МВА</v>
      </c>
      <c r="E1010" s="8"/>
      <c r="F1010" s="8"/>
      <c r="G1010" s="8"/>
      <c r="H1010" s="8"/>
      <c r="I1010" s="8"/>
      <c r="J1010" s="23" t="str">
        <f>'Утв. ИП 2014-2019'!Q1012</f>
        <v>0,3 км/ 0 МВА</v>
      </c>
      <c r="K1010" s="170"/>
      <c r="L1010" s="170"/>
      <c r="M1010" s="170"/>
      <c r="N1010" s="170"/>
      <c r="O1010" s="170"/>
      <c r="P1010" s="170"/>
      <c r="Q1010" s="170"/>
      <c r="R1010" s="166"/>
      <c r="S1010" s="167"/>
      <c r="T1010" s="168"/>
      <c r="U1010" s="167"/>
      <c r="V1010" s="168"/>
      <c r="W1010" s="169"/>
      <c r="X1010" s="168"/>
      <c r="Y1010" s="169"/>
      <c r="Z1010" s="168"/>
      <c r="AA1010" s="169"/>
      <c r="AB1010" s="168"/>
      <c r="AC1010" s="169"/>
      <c r="AE1010" s="133"/>
    </row>
    <row r="1011" spans="1:31" ht="15.75" hidden="1" outlineLevel="2" x14ac:dyDescent="0.2">
      <c r="A1011" s="25">
        <f>'Утв. ИП 2014-2019'!A1013</f>
        <v>0</v>
      </c>
      <c r="B1011" s="6">
        <f>'Утв. ИП 2014-2019'!B1013</f>
        <v>0</v>
      </c>
      <c r="C1011" s="7" t="str">
        <f>'Утв. ИП 2014-2019'!C1013</f>
        <v>реконструкция</v>
      </c>
      <c r="D1011" s="8"/>
      <c r="E1011" s="8"/>
      <c r="F1011" s="8"/>
      <c r="G1011" s="8"/>
      <c r="H1011" s="8"/>
      <c r="I1011" s="8"/>
      <c r="J1011" s="23"/>
      <c r="K1011" s="170"/>
      <c r="L1011" s="170"/>
      <c r="M1011" s="170"/>
      <c r="N1011" s="170"/>
      <c r="O1011" s="170"/>
      <c r="P1011" s="170"/>
      <c r="Q1011" s="170"/>
      <c r="R1011" s="166"/>
      <c r="S1011" s="167"/>
      <c r="T1011" s="168"/>
      <c r="U1011" s="167"/>
      <c r="V1011" s="168"/>
      <c r="W1011" s="169"/>
      <c r="X1011" s="168"/>
      <c r="Y1011" s="169"/>
      <c r="Z1011" s="168"/>
      <c r="AA1011" s="169"/>
      <c r="AB1011" s="168"/>
      <c r="AC1011" s="169"/>
      <c r="AE1011" s="133"/>
    </row>
    <row r="1012" spans="1:31" ht="15.75" hidden="1" outlineLevel="2" x14ac:dyDescent="0.2">
      <c r="A1012" s="25">
        <f>'Утв. ИП 2014-2019'!A1014</f>
        <v>0</v>
      </c>
      <c r="B1012" s="6">
        <f>'Утв. ИП 2014-2019'!B1014</f>
        <v>0</v>
      </c>
      <c r="C1012" s="7" t="str">
        <f>'Утв. ИП 2014-2019'!C1014</f>
        <v>строительство</v>
      </c>
      <c r="D1012" s="8"/>
      <c r="E1012" s="8"/>
      <c r="F1012" s="8"/>
      <c r="G1012" s="8"/>
      <c r="H1012" s="8"/>
      <c r="I1012" s="8"/>
      <c r="J1012" s="23"/>
      <c r="K1012" s="170"/>
      <c r="L1012" s="170"/>
      <c r="M1012" s="170"/>
      <c r="N1012" s="170"/>
      <c r="O1012" s="170"/>
      <c r="P1012" s="170"/>
      <c r="Q1012" s="170"/>
      <c r="R1012" s="166"/>
      <c r="S1012" s="167"/>
      <c r="T1012" s="168"/>
      <c r="U1012" s="167"/>
      <c r="V1012" s="168"/>
      <c r="W1012" s="169"/>
      <c r="X1012" s="168"/>
      <c r="Y1012" s="169"/>
      <c r="Z1012" s="168"/>
      <c r="AA1012" s="169"/>
      <c r="AB1012" s="168"/>
      <c r="AC1012" s="169"/>
      <c r="AE1012" s="133"/>
    </row>
    <row r="1013" spans="1:31" ht="25.5" hidden="1" outlineLevel="1" collapsed="1" x14ac:dyDescent="0.2">
      <c r="A1013" s="25" t="str">
        <f>'Утв. ИП 2014-2019'!A1015</f>
        <v>1.1.5.2.111/13</v>
      </c>
      <c r="B1013" s="6" t="str">
        <f>'Утв. ИП 2014-2019'!B1015</f>
        <v>3.2.258</v>
      </c>
      <c r="C1013" s="7" t="str">
        <f>'Утв. ИП 2014-2019'!C1015</f>
        <v>Электроснабжение садового домика по адресу: г. Липецк, СО "Сокол-3", I массив, уч. № 674</v>
      </c>
      <c r="D1013" s="8" t="str">
        <f>'Утв. ИП 2014-2019'!K1015</f>
        <v>0,5 км/ 0 МВА</v>
      </c>
      <c r="E1013" s="8"/>
      <c r="F1013" s="8"/>
      <c r="G1013" s="8"/>
      <c r="H1013" s="8"/>
      <c r="I1013" s="8"/>
      <c r="J1013" s="23" t="str">
        <f>'Утв. ИП 2014-2019'!Q1015</f>
        <v>0,5 км/ 0 МВА</v>
      </c>
      <c r="K1013" s="170"/>
      <c r="L1013" s="170"/>
      <c r="M1013" s="170"/>
      <c r="N1013" s="170"/>
      <c r="O1013" s="170"/>
      <c r="P1013" s="170"/>
      <c r="Q1013" s="170"/>
      <c r="R1013" s="136"/>
      <c r="S1013" s="137"/>
      <c r="T1013" s="128"/>
      <c r="U1013" s="137"/>
      <c r="V1013" s="128"/>
      <c r="W1013" s="49"/>
      <c r="X1013" s="128"/>
      <c r="Y1013" s="49"/>
      <c r="Z1013" s="128"/>
      <c r="AA1013" s="49"/>
      <c r="AB1013" s="128"/>
      <c r="AC1013" s="49"/>
      <c r="AE1013" s="133"/>
    </row>
    <row r="1014" spans="1:31" ht="15.75" hidden="1" outlineLevel="2" x14ac:dyDescent="0.2">
      <c r="A1014" s="25">
        <f>'Утв. ИП 2014-2019'!A1016</f>
        <v>0</v>
      </c>
      <c r="B1014" s="6">
        <f>'Утв. ИП 2014-2019'!B1016</f>
        <v>0</v>
      </c>
      <c r="C1014" s="7" t="str">
        <f>'Утв. ИП 2014-2019'!C1016</f>
        <v>реконструкция</v>
      </c>
      <c r="D1014" s="8"/>
      <c r="E1014" s="8"/>
      <c r="F1014" s="8"/>
      <c r="G1014" s="8"/>
      <c r="H1014" s="8"/>
      <c r="I1014" s="8"/>
      <c r="J1014" s="23"/>
      <c r="K1014" s="170"/>
      <c r="L1014" s="170"/>
      <c r="M1014" s="170"/>
      <c r="N1014" s="170"/>
      <c r="O1014" s="170"/>
      <c r="P1014" s="170"/>
      <c r="Q1014" s="170"/>
      <c r="R1014" s="136"/>
      <c r="S1014" s="137"/>
      <c r="T1014" s="128"/>
      <c r="U1014" s="137"/>
      <c r="V1014" s="128"/>
      <c r="W1014" s="49"/>
      <c r="X1014" s="128"/>
      <c r="Y1014" s="49"/>
      <c r="Z1014" s="128"/>
      <c r="AA1014" s="49"/>
      <c r="AB1014" s="128"/>
      <c r="AC1014" s="49"/>
      <c r="AE1014" s="133"/>
    </row>
    <row r="1015" spans="1:31" ht="15.75" hidden="1" outlineLevel="2" x14ac:dyDescent="0.2">
      <c r="A1015" s="25">
        <f>'Утв. ИП 2014-2019'!A1017</f>
        <v>0</v>
      </c>
      <c r="B1015" s="6">
        <f>'Утв. ИП 2014-2019'!B1017</f>
        <v>0</v>
      </c>
      <c r="C1015" s="7" t="str">
        <f>'Утв. ИП 2014-2019'!C1017</f>
        <v>строительство</v>
      </c>
      <c r="D1015" s="8"/>
      <c r="E1015" s="8"/>
      <c r="F1015" s="8"/>
      <c r="G1015" s="8"/>
      <c r="H1015" s="8"/>
      <c r="I1015" s="8"/>
      <c r="J1015" s="23"/>
      <c r="K1015" s="170"/>
      <c r="L1015" s="170"/>
      <c r="M1015" s="170"/>
      <c r="N1015" s="170"/>
      <c r="O1015" s="170"/>
      <c r="P1015" s="170"/>
      <c r="Q1015" s="170"/>
      <c r="R1015" s="136"/>
      <c r="S1015" s="137"/>
      <c r="T1015" s="128"/>
      <c r="U1015" s="137"/>
      <c r="V1015" s="128"/>
      <c r="W1015" s="49"/>
      <c r="X1015" s="128"/>
      <c r="Y1015" s="49"/>
      <c r="Z1015" s="128"/>
      <c r="AA1015" s="49"/>
      <c r="AB1015" s="128"/>
      <c r="AC1015" s="49"/>
      <c r="AE1015" s="133"/>
    </row>
    <row r="1016" spans="1:31" ht="25.5" hidden="1" outlineLevel="1" collapsed="1" x14ac:dyDescent="0.2">
      <c r="A1016" s="25" t="str">
        <f>'Утв. ИП 2014-2019'!A1018</f>
        <v>1.1.5.2.112/13</v>
      </c>
      <c r="B1016" s="6" t="str">
        <f>'Утв. ИП 2014-2019'!B1018</f>
        <v>3.2.259</v>
      </c>
      <c r="C1016" s="7" t="str">
        <f>'Утв. ИП 2014-2019'!C1018</f>
        <v>Электроснабжение магазина непродовольственных товаров по адресу: г.Липецк, ул. Космонавтов, д.39, корпус 1, кв. 84</v>
      </c>
      <c r="D1016" s="8" t="str">
        <f>'Утв. ИП 2014-2019'!K1018</f>
        <v>0,1 км/ 0 МВА</v>
      </c>
      <c r="E1016" s="8"/>
      <c r="F1016" s="8"/>
      <c r="G1016" s="8"/>
      <c r="H1016" s="8"/>
      <c r="I1016" s="8"/>
      <c r="J1016" s="23" t="str">
        <f>'Утв. ИП 2014-2019'!Q1018</f>
        <v>0,1 км/ 0 МВА</v>
      </c>
      <c r="K1016" s="170"/>
      <c r="L1016" s="170"/>
      <c r="M1016" s="170"/>
      <c r="N1016" s="170"/>
      <c r="O1016" s="170"/>
      <c r="P1016" s="170"/>
      <c r="Q1016" s="170"/>
      <c r="R1016" s="136"/>
      <c r="S1016" s="137"/>
      <c r="T1016" s="128"/>
      <c r="U1016" s="137"/>
      <c r="V1016" s="128"/>
      <c r="W1016" s="49"/>
      <c r="X1016" s="128"/>
      <c r="Y1016" s="49"/>
      <c r="Z1016" s="128"/>
      <c r="AA1016" s="49"/>
      <c r="AB1016" s="128"/>
      <c r="AC1016" s="49"/>
      <c r="AE1016" s="133"/>
    </row>
    <row r="1017" spans="1:31" ht="15.75" hidden="1" outlineLevel="2" x14ac:dyDescent="0.2">
      <c r="A1017" s="25">
        <f>'Утв. ИП 2014-2019'!A1019</f>
        <v>0</v>
      </c>
      <c r="B1017" s="6">
        <f>'Утв. ИП 2014-2019'!B1019</f>
        <v>0</v>
      </c>
      <c r="C1017" s="7" t="str">
        <f>'Утв. ИП 2014-2019'!C1019</f>
        <v>реконструкция</v>
      </c>
      <c r="D1017" s="8"/>
      <c r="E1017" s="8"/>
      <c r="F1017" s="8"/>
      <c r="G1017" s="8"/>
      <c r="H1017" s="8"/>
      <c r="I1017" s="8"/>
      <c r="J1017" s="23"/>
      <c r="K1017" s="170"/>
      <c r="L1017" s="170"/>
      <c r="M1017" s="170"/>
      <c r="N1017" s="170"/>
      <c r="O1017" s="170"/>
      <c r="P1017" s="170"/>
      <c r="Q1017" s="170"/>
      <c r="R1017" s="136"/>
      <c r="S1017" s="137"/>
      <c r="T1017" s="128"/>
      <c r="U1017" s="137"/>
      <c r="V1017" s="128"/>
      <c r="W1017" s="49"/>
      <c r="X1017" s="128"/>
      <c r="Y1017" s="49"/>
      <c r="Z1017" s="128"/>
      <c r="AA1017" s="49"/>
      <c r="AB1017" s="128"/>
      <c r="AC1017" s="49"/>
      <c r="AE1017" s="133"/>
    </row>
    <row r="1018" spans="1:31" ht="15.75" hidden="1" outlineLevel="2" x14ac:dyDescent="0.2">
      <c r="A1018" s="25">
        <f>'Утв. ИП 2014-2019'!A1020</f>
        <v>0</v>
      </c>
      <c r="B1018" s="6">
        <f>'Утв. ИП 2014-2019'!B1020</f>
        <v>0</v>
      </c>
      <c r="C1018" s="7" t="str">
        <f>'Утв. ИП 2014-2019'!C1020</f>
        <v>строительство</v>
      </c>
      <c r="D1018" s="8"/>
      <c r="E1018" s="8"/>
      <c r="F1018" s="8"/>
      <c r="G1018" s="8"/>
      <c r="H1018" s="8"/>
      <c r="I1018" s="8"/>
      <c r="J1018" s="23"/>
      <c r="K1018" s="170"/>
      <c r="L1018" s="170"/>
      <c r="M1018" s="170"/>
      <c r="N1018" s="170"/>
      <c r="O1018" s="170"/>
      <c r="P1018" s="170"/>
      <c r="Q1018" s="170"/>
      <c r="R1018" s="136"/>
      <c r="S1018" s="137"/>
      <c r="T1018" s="128"/>
      <c r="U1018" s="137"/>
      <c r="V1018" s="128"/>
      <c r="W1018" s="49"/>
      <c r="X1018" s="128"/>
      <c r="Y1018" s="49"/>
      <c r="Z1018" s="128"/>
      <c r="AA1018" s="49"/>
      <c r="AB1018" s="128"/>
      <c r="AC1018" s="49"/>
      <c r="AE1018" s="133"/>
    </row>
    <row r="1019" spans="1:31" ht="38.25" hidden="1" outlineLevel="1" collapsed="1" x14ac:dyDescent="0.2">
      <c r="A1019" s="25" t="str">
        <f>'Утв. ИП 2014-2019'!A1021</f>
        <v>1.1.5.2.113/13</v>
      </c>
      <c r="B1019" s="6" t="str">
        <f>'Утв. ИП 2014-2019'!B1021</f>
        <v>3.2.260</v>
      </c>
      <c r="C1019" s="7" t="str">
        <f>'Утв. ИП 2014-2019'!C1021</f>
        <v>Электроснабжение садового домика с пристройкой и мансардой по адресу: г. Липецк, ПОПиИ имени И.В.Мичурина, улица Общественная, земельный участок № 31</v>
      </c>
      <c r="D1019" s="8" t="str">
        <f>'Утв. ИП 2014-2019'!K1021</f>
        <v>0,0 км/ 0 МВА</v>
      </c>
      <c r="E1019" s="8"/>
      <c r="F1019" s="8"/>
      <c r="G1019" s="8"/>
      <c r="H1019" s="8"/>
      <c r="I1019" s="8"/>
      <c r="J1019" s="23" t="str">
        <f>'Утв. ИП 2014-2019'!Q1021</f>
        <v>0,0 км/ 0 МВА</v>
      </c>
      <c r="K1019" s="170"/>
      <c r="L1019" s="170"/>
      <c r="M1019" s="170"/>
      <c r="N1019" s="170"/>
      <c r="O1019" s="170"/>
      <c r="P1019" s="170"/>
      <c r="Q1019" s="170"/>
      <c r="R1019" s="136"/>
      <c r="S1019" s="137"/>
      <c r="T1019" s="128"/>
      <c r="U1019" s="137"/>
      <c r="V1019" s="128"/>
      <c r="W1019" s="49"/>
      <c r="X1019" s="128"/>
      <c r="Y1019" s="49"/>
      <c r="Z1019" s="128"/>
      <c r="AA1019" s="49"/>
      <c r="AB1019" s="128"/>
      <c r="AC1019" s="49"/>
      <c r="AE1019" s="133"/>
    </row>
    <row r="1020" spans="1:31" ht="15.75" hidden="1" outlineLevel="2" x14ac:dyDescent="0.2">
      <c r="A1020" s="25">
        <f>'Утв. ИП 2014-2019'!A1022</f>
        <v>0</v>
      </c>
      <c r="B1020" s="6">
        <f>'Утв. ИП 2014-2019'!B1022</f>
        <v>0</v>
      </c>
      <c r="C1020" s="7" t="str">
        <f>'Утв. ИП 2014-2019'!C1022</f>
        <v>реконструкция</v>
      </c>
      <c r="D1020" s="8"/>
      <c r="E1020" s="8"/>
      <c r="F1020" s="8"/>
      <c r="G1020" s="8"/>
      <c r="H1020" s="8"/>
      <c r="I1020" s="8"/>
      <c r="J1020" s="23"/>
      <c r="K1020" s="170"/>
      <c r="L1020" s="170"/>
      <c r="M1020" s="170"/>
      <c r="N1020" s="170"/>
      <c r="O1020" s="170"/>
      <c r="P1020" s="170"/>
      <c r="Q1020" s="170"/>
      <c r="R1020" s="136"/>
      <c r="S1020" s="137"/>
      <c r="T1020" s="128"/>
      <c r="U1020" s="137"/>
      <c r="V1020" s="128"/>
      <c r="W1020" s="49"/>
      <c r="X1020" s="128"/>
      <c r="Y1020" s="49"/>
      <c r="Z1020" s="128"/>
      <c r="AA1020" s="49"/>
      <c r="AB1020" s="128"/>
      <c r="AC1020" s="49"/>
      <c r="AE1020" s="133"/>
    </row>
    <row r="1021" spans="1:31" ht="15.75" hidden="1" outlineLevel="2" x14ac:dyDescent="0.2">
      <c r="A1021" s="25">
        <f>'Утв. ИП 2014-2019'!A1023</f>
        <v>0</v>
      </c>
      <c r="B1021" s="6">
        <f>'Утв. ИП 2014-2019'!B1023</f>
        <v>0</v>
      </c>
      <c r="C1021" s="7" t="str">
        <f>'Утв. ИП 2014-2019'!C1023</f>
        <v>строительство</v>
      </c>
      <c r="D1021" s="8"/>
      <c r="E1021" s="8"/>
      <c r="F1021" s="8"/>
      <c r="G1021" s="8"/>
      <c r="H1021" s="8"/>
      <c r="I1021" s="8"/>
      <c r="J1021" s="23"/>
      <c r="K1021" s="170"/>
      <c r="L1021" s="170"/>
      <c r="M1021" s="170"/>
      <c r="N1021" s="170"/>
      <c r="O1021" s="170"/>
      <c r="P1021" s="170"/>
      <c r="Q1021" s="170"/>
      <c r="R1021" s="136"/>
      <c r="S1021" s="137"/>
      <c r="T1021" s="128"/>
      <c r="U1021" s="137"/>
      <c r="V1021" s="128"/>
      <c r="W1021" s="49"/>
      <c r="X1021" s="128"/>
      <c r="Y1021" s="49"/>
      <c r="Z1021" s="128"/>
      <c r="AA1021" s="49"/>
      <c r="AB1021" s="128"/>
      <c r="AC1021" s="49"/>
      <c r="AE1021" s="133"/>
    </row>
    <row r="1022" spans="1:31" ht="25.5" hidden="1" outlineLevel="1" collapsed="1" x14ac:dyDescent="0.2">
      <c r="A1022" s="25" t="str">
        <f>'Утв. ИП 2014-2019'!A1024</f>
        <v>1.1.5.2.114/13</v>
      </c>
      <c r="B1022" s="6" t="str">
        <f>'Утв. ИП 2014-2019'!B1024</f>
        <v>3.2.261</v>
      </c>
      <c r="C1022" s="7" t="str">
        <f>'Утв. ИП 2014-2019'!C1024</f>
        <v>Электроснабжение склада с пристройкой (лит. А, а) по адресу: г. Липецк, ул. Таежная, д. 1а (п. Новая Жизнь)</v>
      </c>
      <c r="D1022" s="8" t="str">
        <f>'Утв. ИП 2014-2019'!K1024</f>
        <v>0,0 км/ 0 МВА</v>
      </c>
      <c r="E1022" s="8"/>
      <c r="F1022" s="8"/>
      <c r="G1022" s="8"/>
      <c r="H1022" s="8"/>
      <c r="I1022" s="8"/>
      <c r="J1022" s="23" t="str">
        <f>'Утв. ИП 2014-2019'!Q1024</f>
        <v>0,0 км/ 0 МВА</v>
      </c>
      <c r="K1022" s="170"/>
      <c r="L1022" s="170"/>
      <c r="M1022" s="170"/>
      <c r="N1022" s="170"/>
      <c r="O1022" s="170"/>
      <c r="P1022" s="170"/>
      <c r="Q1022" s="170"/>
      <c r="R1022" s="136"/>
      <c r="S1022" s="137"/>
      <c r="T1022" s="128"/>
      <c r="U1022" s="137"/>
      <c r="V1022" s="128"/>
      <c r="W1022" s="49"/>
      <c r="X1022" s="128"/>
      <c r="Y1022" s="49"/>
      <c r="Z1022" s="128"/>
      <c r="AA1022" s="49"/>
      <c r="AB1022" s="128"/>
      <c r="AC1022" s="49"/>
      <c r="AE1022" s="133"/>
    </row>
    <row r="1023" spans="1:31" ht="15.75" hidden="1" outlineLevel="2" x14ac:dyDescent="0.2">
      <c r="A1023" s="25">
        <f>'Утв. ИП 2014-2019'!A1025</f>
        <v>0</v>
      </c>
      <c r="B1023" s="6">
        <f>'Утв. ИП 2014-2019'!B1025</f>
        <v>0</v>
      </c>
      <c r="C1023" s="7" t="str">
        <f>'Утв. ИП 2014-2019'!C1025</f>
        <v>реконструкция</v>
      </c>
      <c r="D1023" s="8"/>
      <c r="E1023" s="8"/>
      <c r="F1023" s="8"/>
      <c r="G1023" s="8"/>
      <c r="H1023" s="8"/>
      <c r="I1023" s="8"/>
      <c r="J1023" s="23"/>
      <c r="K1023" s="170"/>
      <c r="L1023" s="170"/>
      <c r="M1023" s="170"/>
      <c r="N1023" s="170"/>
      <c r="O1023" s="170"/>
      <c r="P1023" s="170"/>
      <c r="Q1023" s="170"/>
      <c r="R1023" s="136"/>
      <c r="S1023" s="137"/>
      <c r="T1023" s="128"/>
      <c r="U1023" s="137"/>
      <c r="V1023" s="128"/>
      <c r="W1023" s="49"/>
      <c r="X1023" s="128"/>
      <c r="Y1023" s="49"/>
      <c r="Z1023" s="128"/>
      <c r="AA1023" s="49"/>
      <c r="AB1023" s="128"/>
      <c r="AC1023" s="49"/>
      <c r="AE1023" s="133"/>
    </row>
    <row r="1024" spans="1:31" ht="15.75" hidden="1" outlineLevel="2" x14ac:dyDescent="0.2">
      <c r="A1024" s="25">
        <f>'Утв. ИП 2014-2019'!A1026</f>
        <v>0</v>
      </c>
      <c r="B1024" s="6">
        <f>'Утв. ИП 2014-2019'!B1026</f>
        <v>0</v>
      </c>
      <c r="C1024" s="7" t="str">
        <f>'Утв. ИП 2014-2019'!C1026</f>
        <v>строительство</v>
      </c>
      <c r="D1024" s="8"/>
      <c r="E1024" s="8"/>
      <c r="F1024" s="8"/>
      <c r="G1024" s="8"/>
      <c r="H1024" s="8"/>
      <c r="I1024" s="8"/>
      <c r="J1024" s="23"/>
      <c r="K1024" s="170"/>
      <c r="L1024" s="170"/>
      <c r="M1024" s="170"/>
      <c r="N1024" s="170"/>
      <c r="O1024" s="170"/>
      <c r="P1024" s="170"/>
      <c r="Q1024" s="170"/>
      <c r="R1024" s="136"/>
      <c r="S1024" s="137"/>
      <c r="T1024" s="128"/>
      <c r="U1024" s="137"/>
      <c r="V1024" s="128"/>
      <c r="W1024" s="49"/>
      <c r="X1024" s="128"/>
      <c r="Y1024" s="49"/>
      <c r="Z1024" s="128"/>
      <c r="AA1024" s="49"/>
      <c r="AB1024" s="128"/>
      <c r="AC1024" s="49"/>
      <c r="AE1024" s="133"/>
    </row>
    <row r="1025" spans="1:31" ht="15.75" hidden="1" outlineLevel="1" collapsed="1" x14ac:dyDescent="0.2">
      <c r="A1025" s="25" t="str">
        <f>'Утв. ИП 2014-2019'!A1027</f>
        <v>1.1.5.2.115/13</v>
      </c>
      <c r="B1025" s="6" t="str">
        <f>'Утв. ИП 2014-2019'!B1027</f>
        <v>3.2.262</v>
      </c>
      <c r="C1025" s="7" t="str">
        <f>'Утв. ИП 2014-2019'!C1027</f>
        <v>Электроснабжение объектов по ул. Студеновская</v>
      </c>
      <c r="D1025" s="8"/>
      <c r="E1025" s="8" t="str">
        <f>'Утв. ИП 2014-2019'!L1027</f>
        <v>0,5 км/ 0 МВА</v>
      </c>
      <c r="F1025" s="8"/>
      <c r="G1025" s="8"/>
      <c r="H1025" s="8"/>
      <c r="I1025" s="8"/>
      <c r="J1025" s="23" t="str">
        <f>'Утв. ИП 2014-2019'!Q1027</f>
        <v>0,5 км/ 0 МВА</v>
      </c>
      <c r="K1025" s="170"/>
      <c r="L1025" s="170"/>
      <c r="M1025" s="170"/>
      <c r="N1025" s="170"/>
      <c r="O1025" s="170"/>
      <c r="P1025" s="170"/>
      <c r="Q1025" s="170"/>
      <c r="R1025" s="136"/>
      <c r="S1025" s="137"/>
      <c r="T1025" s="128"/>
      <c r="U1025" s="137"/>
      <c r="V1025" s="128"/>
      <c r="W1025" s="49"/>
      <c r="X1025" s="128"/>
      <c r="Y1025" s="49"/>
      <c r="Z1025" s="128"/>
      <c r="AA1025" s="49"/>
      <c r="AB1025" s="128"/>
      <c r="AC1025" s="49"/>
      <c r="AE1025" s="133"/>
    </row>
    <row r="1026" spans="1:31" ht="15.75" hidden="1" outlineLevel="2" x14ac:dyDescent="0.2">
      <c r="A1026" s="25">
        <f>'Утв. ИП 2014-2019'!A1028</f>
        <v>0</v>
      </c>
      <c r="B1026" s="6">
        <f>'Утв. ИП 2014-2019'!B1028</f>
        <v>0</v>
      </c>
      <c r="C1026" s="7" t="str">
        <f>'Утв. ИП 2014-2019'!C1028</f>
        <v>реконструкция</v>
      </c>
      <c r="D1026" s="8"/>
      <c r="E1026" s="8"/>
      <c r="F1026" s="8"/>
      <c r="G1026" s="8"/>
      <c r="H1026" s="8"/>
      <c r="I1026" s="8"/>
      <c r="J1026" s="23"/>
      <c r="K1026" s="170"/>
      <c r="L1026" s="170"/>
      <c r="M1026" s="170"/>
      <c r="N1026" s="170"/>
      <c r="O1026" s="170"/>
      <c r="P1026" s="170"/>
      <c r="Q1026" s="170"/>
      <c r="R1026" s="136"/>
      <c r="S1026" s="137"/>
      <c r="T1026" s="128"/>
      <c r="U1026" s="137"/>
      <c r="V1026" s="128"/>
      <c r="W1026" s="49"/>
      <c r="X1026" s="128"/>
      <c r="Y1026" s="49"/>
      <c r="Z1026" s="128"/>
      <c r="AA1026" s="49"/>
      <c r="AB1026" s="128"/>
      <c r="AC1026" s="49"/>
      <c r="AE1026" s="133"/>
    </row>
    <row r="1027" spans="1:31" ht="15.75" hidden="1" outlineLevel="2" x14ac:dyDescent="0.2">
      <c r="A1027" s="25">
        <f>'Утв. ИП 2014-2019'!A1029</f>
        <v>0</v>
      </c>
      <c r="B1027" s="6">
        <f>'Утв. ИП 2014-2019'!B1029</f>
        <v>0</v>
      </c>
      <c r="C1027" s="7" t="str">
        <f>'Утв. ИП 2014-2019'!C1029</f>
        <v>строительство</v>
      </c>
      <c r="D1027" s="8"/>
      <c r="E1027" s="8"/>
      <c r="F1027" s="8"/>
      <c r="G1027" s="8"/>
      <c r="H1027" s="8"/>
      <c r="I1027" s="8"/>
      <c r="J1027" s="23"/>
      <c r="K1027" s="170"/>
      <c r="L1027" s="170"/>
      <c r="M1027" s="170"/>
      <c r="N1027" s="170"/>
      <c r="O1027" s="170"/>
      <c r="P1027" s="170"/>
      <c r="Q1027" s="170"/>
      <c r="R1027" s="136"/>
      <c r="S1027" s="137"/>
      <c r="T1027" s="128"/>
      <c r="U1027" s="137"/>
      <c r="V1027" s="128"/>
      <c r="W1027" s="49"/>
      <c r="X1027" s="128"/>
      <c r="Y1027" s="49"/>
      <c r="Z1027" s="128"/>
      <c r="AA1027" s="49"/>
      <c r="AB1027" s="128"/>
      <c r="AC1027" s="49"/>
      <c r="AE1027" s="133"/>
    </row>
    <row r="1028" spans="1:31" ht="25.5" hidden="1" outlineLevel="1" collapsed="1" x14ac:dyDescent="0.2">
      <c r="A1028" s="25" t="str">
        <f>'Утв. ИП 2014-2019'!A1030</f>
        <v>1.1.5.2.116/13</v>
      </c>
      <c r="B1028" s="6" t="str">
        <f>'Утв. ИП 2014-2019'!B1030</f>
        <v>3.2.263</v>
      </c>
      <c r="C1028" s="7" t="str">
        <f>'Утв. ИП 2014-2019'!C1030</f>
        <v>Электроснабжение жилого дома с хозяйственными постройками по адресу: г. Липецк, ул. Мирная, д. 8</v>
      </c>
      <c r="D1028" s="8" t="str">
        <f>'Утв. ИП 2014-2019'!K1030</f>
        <v>0,0 км/ 0 МВА</v>
      </c>
      <c r="E1028" s="8"/>
      <c r="F1028" s="8"/>
      <c r="G1028" s="8"/>
      <c r="H1028" s="8"/>
      <c r="I1028" s="8"/>
      <c r="J1028" s="23" t="str">
        <f>'Утв. ИП 2014-2019'!Q1030</f>
        <v>0,0 км/ 0 МВА</v>
      </c>
      <c r="K1028" s="170"/>
      <c r="L1028" s="170"/>
      <c r="M1028" s="170"/>
      <c r="N1028" s="170"/>
      <c r="O1028" s="170"/>
      <c r="P1028" s="170"/>
      <c r="Q1028" s="170"/>
      <c r="R1028" s="166"/>
      <c r="S1028" s="167"/>
      <c r="T1028" s="168"/>
      <c r="U1028" s="167"/>
      <c r="V1028" s="168"/>
      <c r="W1028" s="169"/>
      <c r="X1028" s="168"/>
      <c r="Y1028" s="169"/>
      <c r="Z1028" s="168"/>
      <c r="AA1028" s="169"/>
      <c r="AB1028" s="168"/>
      <c r="AC1028" s="169"/>
      <c r="AE1028" s="133"/>
    </row>
    <row r="1029" spans="1:31" ht="15.75" hidden="1" outlineLevel="2" x14ac:dyDescent="0.2">
      <c r="A1029" s="25">
        <f>'Утв. ИП 2014-2019'!A1031</f>
        <v>0</v>
      </c>
      <c r="B1029" s="6">
        <f>'Утв. ИП 2014-2019'!B1031</f>
        <v>0</v>
      </c>
      <c r="C1029" s="7" t="str">
        <f>'Утв. ИП 2014-2019'!C1031</f>
        <v>реконструкция</v>
      </c>
      <c r="D1029" s="8"/>
      <c r="E1029" s="8"/>
      <c r="F1029" s="8"/>
      <c r="G1029" s="8"/>
      <c r="H1029" s="8"/>
      <c r="I1029" s="8"/>
      <c r="J1029" s="23"/>
      <c r="K1029" s="170"/>
      <c r="L1029" s="170"/>
      <c r="M1029" s="170"/>
      <c r="N1029" s="170"/>
      <c r="O1029" s="170"/>
      <c r="P1029" s="170"/>
      <c r="Q1029" s="170"/>
      <c r="R1029" s="166"/>
      <c r="S1029" s="167"/>
      <c r="T1029" s="168"/>
      <c r="U1029" s="167"/>
      <c r="V1029" s="168"/>
      <c r="W1029" s="169"/>
      <c r="X1029" s="168"/>
      <c r="Y1029" s="169"/>
      <c r="Z1029" s="168"/>
      <c r="AA1029" s="169"/>
      <c r="AB1029" s="168"/>
      <c r="AC1029" s="169"/>
      <c r="AE1029" s="133"/>
    </row>
    <row r="1030" spans="1:31" ht="15.75" hidden="1" outlineLevel="2" x14ac:dyDescent="0.2">
      <c r="A1030" s="25">
        <f>'Утв. ИП 2014-2019'!A1032</f>
        <v>0</v>
      </c>
      <c r="B1030" s="6">
        <f>'Утв. ИП 2014-2019'!B1032</f>
        <v>0</v>
      </c>
      <c r="C1030" s="7" t="str">
        <f>'Утв. ИП 2014-2019'!C1032</f>
        <v>строительство</v>
      </c>
      <c r="D1030" s="8"/>
      <c r="E1030" s="8"/>
      <c r="F1030" s="8"/>
      <c r="G1030" s="8"/>
      <c r="H1030" s="8"/>
      <c r="I1030" s="8"/>
      <c r="J1030" s="23"/>
      <c r="K1030" s="170"/>
      <c r="L1030" s="170"/>
      <c r="M1030" s="170"/>
      <c r="N1030" s="170"/>
      <c r="O1030" s="170"/>
      <c r="P1030" s="170"/>
      <c r="Q1030" s="170"/>
      <c r="R1030" s="166"/>
      <c r="S1030" s="167"/>
      <c r="T1030" s="168"/>
      <c r="U1030" s="167"/>
      <c r="V1030" s="168"/>
      <c r="W1030" s="169"/>
      <c r="X1030" s="168"/>
      <c r="Y1030" s="169"/>
      <c r="Z1030" s="168"/>
      <c r="AA1030" s="169"/>
      <c r="AB1030" s="168"/>
      <c r="AC1030" s="169"/>
      <c r="AE1030" s="133"/>
    </row>
    <row r="1031" spans="1:31" ht="25.5" hidden="1" outlineLevel="1" collapsed="1" x14ac:dyDescent="0.2">
      <c r="A1031" s="25" t="str">
        <f>'Утв. ИП 2014-2019'!A1033</f>
        <v>1.1.5.2.117/13</v>
      </c>
      <c r="B1031" s="6" t="str">
        <f>'Утв. ИП 2014-2019'!B1033</f>
        <v>3.2.264</v>
      </c>
      <c r="C1031" s="7" t="str">
        <f>'Утв. ИП 2014-2019'!C1033</f>
        <v>Электроснабжение индивидуального жилого дома и хозяйственных построек по адресу: г. Липецк, ул. Репина, д. 47</v>
      </c>
      <c r="D1031" s="8" t="str">
        <f>'Утв. ИП 2014-2019'!K1033</f>
        <v>0,5 км/ 0 МВА</v>
      </c>
      <c r="E1031" s="8"/>
      <c r="F1031" s="8"/>
      <c r="G1031" s="8"/>
      <c r="H1031" s="8"/>
      <c r="I1031" s="8"/>
      <c r="J1031" s="23" t="str">
        <f>'Утв. ИП 2014-2019'!Q1033</f>
        <v>0,5 км/ 0 МВА</v>
      </c>
      <c r="K1031" s="170"/>
      <c r="L1031" s="170"/>
      <c r="M1031" s="170"/>
      <c r="N1031" s="170"/>
      <c r="O1031" s="170"/>
      <c r="P1031" s="170"/>
      <c r="Q1031" s="170"/>
      <c r="R1031" s="166"/>
      <c r="S1031" s="167"/>
      <c r="T1031" s="168"/>
      <c r="U1031" s="167"/>
      <c r="V1031" s="168"/>
      <c r="W1031" s="169"/>
      <c r="X1031" s="168"/>
      <c r="Y1031" s="169"/>
      <c r="Z1031" s="168"/>
      <c r="AA1031" s="169"/>
      <c r="AB1031" s="168"/>
      <c r="AC1031" s="169"/>
      <c r="AE1031" s="133"/>
    </row>
    <row r="1032" spans="1:31" ht="15.75" hidden="1" outlineLevel="2" x14ac:dyDescent="0.2">
      <c r="A1032" s="25">
        <f>'Утв. ИП 2014-2019'!A1034</f>
        <v>0</v>
      </c>
      <c r="B1032" s="6">
        <f>'Утв. ИП 2014-2019'!B1034</f>
        <v>0</v>
      </c>
      <c r="C1032" s="7" t="str">
        <f>'Утв. ИП 2014-2019'!C1034</f>
        <v>реконструкция</v>
      </c>
      <c r="D1032" s="8"/>
      <c r="E1032" s="8"/>
      <c r="F1032" s="8"/>
      <c r="G1032" s="8"/>
      <c r="H1032" s="8"/>
      <c r="I1032" s="8"/>
      <c r="J1032" s="23"/>
      <c r="K1032" s="170"/>
      <c r="L1032" s="170"/>
      <c r="M1032" s="170"/>
      <c r="N1032" s="170"/>
      <c r="O1032" s="170"/>
      <c r="P1032" s="170"/>
      <c r="Q1032" s="170"/>
      <c r="R1032" s="166"/>
      <c r="S1032" s="167"/>
      <c r="T1032" s="168"/>
      <c r="U1032" s="167"/>
      <c r="V1032" s="168"/>
      <c r="W1032" s="169"/>
      <c r="X1032" s="168"/>
      <c r="Y1032" s="169"/>
      <c r="Z1032" s="168"/>
      <c r="AA1032" s="169"/>
      <c r="AB1032" s="168"/>
      <c r="AC1032" s="169"/>
      <c r="AE1032" s="133"/>
    </row>
    <row r="1033" spans="1:31" ht="15.75" hidden="1" outlineLevel="2" x14ac:dyDescent="0.2">
      <c r="A1033" s="25">
        <f>'Утв. ИП 2014-2019'!A1035</f>
        <v>0</v>
      </c>
      <c r="B1033" s="6">
        <f>'Утв. ИП 2014-2019'!B1035</f>
        <v>0</v>
      </c>
      <c r="C1033" s="7" t="str">
        <f>'Утв. ИП 2014-2019'!C1035</f>
        <v>строительство</v>
      </c>
      <c r="D1033" s="8"/>
      <c r="E1033" s="8"/>
      <c r="F1033" s="8"/>
      <c r="G1033" s="8"/>
      <c r="H1033" s="8"/>
      <c r="I1033" s="8"/>
      <c r="J1033" s="23"/>
      <c r="K1033" s="170"/>
      <c r="L1033" s="170"/>
      <c r="M1033" s="170"/>
      <c r="N1033" s="170"/>
      <c r="O1033" s="170"/>
      <c r="P1033" s="170"/>
      <c r="Q1033" s="170"/>
      <c r="R1033" s="166"/>
      <c r="S1033" s="167"/>
      <c r="T1033" s="168"/>
      <c r="U1033" s="167"/>
      <c r="V1033" s="168"/>
      <c r="W1033" s="169"/>
      <c r="X1033" s="168"/>
      <c r="Y1033" s="169"/>
      <c r="Z1033" s="168"/>
      <c r="AA1033" s="169"/>
      <c r="AB1033" s="168"/>
      <c r="AC1033" s="169"/>
      <c r="AE1033" s="133"/>
    </row>
    <row r="1034" spans="1:31" ht="25.5" hidden="1" outlineLevel="1" collapsed="1" x14ac:dyDescent="0.2">
      <c r="A1034" s="25" t="str">
        <f>'Утв. ИП 2014-2019'!A1036</f>
        <v>1.1.5.2.120/13</v>
      </c>
      <c r="B1034" s="6" t="str">
        <f>'Утв. ИП 2014-2019'!B1036</f>
        <v>3.2.265</v>
      </c>
      <c r="C1034" s="7" t="str">
        <f>'Утв. ИП 2014-2019'!C1036</f>
        <v>Электроснабжение жилого дома по адресу: г. Липецк, ул. Варшавская, д. 27</v>
      </c>
      <c r="D1034" s="8" t="str">
        <f>'Утв. ИП 2014-2019'!K1036</f>
        <v>0,0 км/ 0 МВА</v>
      </c>
      <c r="E1034" s="8"/>
      <c r="F1034" s="8"/>
      <c r="G1034" s="8"/>
      <c r="H1034" s="8"/>
      <c r="I1034" s="8"/>
      <c r="J1034" s="23" t="str">
        <f>'Утв. ИП 2014-2019'!Q1036</f>
        <v>0,0 км/ 0 МВА</v>
      </c>
      <c r="K1034" s="170"/>
      <c r="L1034" s="170"/>
      <c r="M1034" s="170"/>
      <c r="N1034" s="170"/>
      <c r="O1034" s="170"/>
      <c r="P1034" s="170"/>
      <c r="Q1034" s="170"/>
      <c r="R1034" s="166"/>
      <c r="S1034" s="167"/>
      <c r="T1034" s="168"/>
      <c r="U1034" s="167"/>
      <c r="V1034" s="168"/>
      <c r="W1034" s="169"/>
      <c r="X1034" s="168"/>
      <c r="Y1034" s="169"/>
      <c r="Z1034" s="168"/>
      <c r="AA1034" s="169"/>
      <c r="AB1034" s="168"/>
      <c r="AC1034" s="169"/>
      <c r="AE1034" s="133"/>
    </row>
    <row r="1035" spans="1:31" ht="15.75" hidden="1" outlineLevel="2" x14ac:dyDescent="0.2">
      <c r="A1035" s="25">
        <f>'Утв. ИП 2014-2019'!A1037</f>
        <v>0</v>
      </c>
      <c r="B1035" s="6">
        <f>'Утв. ИП 2014-2019'!B1037</f>
        <v>0</v>
      </c>
      <c r="C1035" s="7" t="str">
        <f>'Утв. ИП 2014-2019'!C1037</f>
        <v>реконструкция</v>
      </c>
      <c r="D1035" s="8"/>
      <c r="E1035" s="8"/>
      <c r="F1035" s="8"/>
      <c r="G1035" s="8"/>
      <c r="H1035" s="8"/>
      <c r="I1035" s="8"/>
      <c r="J1035" s="23"/>
      <c r="K1035" s="170"/>
      <c r="L1035" s="170"/>
      <c r="M1035" s="170"/>
      <c r="N1035" s="170"/>
      <c r="O1035" s="170"/>
      <c r="P1035" s="170"/>
      <c r="Q1035" s="170"/>
      <c r="R1035" s="166"/>
      <c r="S1035" s="167"/>
      <c r="T1035" s="168"/>
      <c r="U1035" s="167"/>
      <c r="V1035" s="168"/>
      <c r="W1035" s="169"/>
      <c r="X1035" s="168"/>
      <c r="Y1035" s="169"/>
      <c r="Z1035" s="168"/>
      <c r="AA1035" s="169"/>
      <c r="AB1035" s="168"/>
      <c r="AC1035" s="169"/>
      <c r="AE1035" s="133"/>
    </row>
    <row r="1036" spans="1:31" ht="15.75" hidden="1" outlineLevel="2" x14ac:dyDescent="0.2">
      <c r="A1036" s="25">
        <f>'Утв. ИП 2014-2019'!A1038</f>
        <v>0</v>
      </c>
      <c r="B1036" s="6">
        <f>'Утв. ИП 2014-2019'!B1038</f>
        <v>0</v>
      </c>
      <c r="C1036" s="7" t="str">
        <f>'Утв. ИП 2014-2019'!C1038</f>
        <v>строительство</v>
      </c>
      <c r="D1036" s="8"/>
      <c r="E1036" s="8"/>
      <c r="F1036" s="8"/>
      <c r="G1036" s="8"/>
      <c r="H1036" s="8"/>
      <c r="I1036" s="8"/>
      <c r="J1036" s="23"/>
      <c r="K1036" s="170"/>
      <c r="L1036" s="170"/>
      <c r="M1036" s="170"/>
      <c r="N1036" s="170"/>
      <c r="O1036" s="170"/>
      <c r="P1036" s="170"/>
      <c r="Q1036" s="170"/>
      <c r="R1036" s="166"/>
      <c r="S1036" s="167"/>
      <c r="T1036" s="168"/>
      <c r="U1036" s="167"/>
      <c r="V1036" s="168"/>
      <c r="W1036" s="169"/>
      <c r="X1036" s="168"/>
      <c r="Y1036" s="169"/>
      <c r="Z1036" s="168"/>
      <c r="AA1036" s="169"/>
      <c r="AB1036" s="168"/>
      <c r="AC1036" s="169"/>
      <c r="AE1036" s="133"/>
    </row>
    <row r="1037" spans="1:31" ht="25.5" hidden="1" outlineLevel="1" collapsed="1" x14ac:dyDescent="0.2">
      <c r="A1037" s="25" t="str">
        <f>'Утв. ИП 2014-2019'!A1039</f>
        <v>1.1.5.2.121/13</v>
      </c>
      <c r="B1037" s="6" t="str">
        <f>'Утв. ИП 2014-2019'!B1039</f>
        <v>3.2.266</v>
      </c>
      <c r="C1037" s="7" t="str">
        <f>'Утв. ИП 2014-2019'!C1039</f>
        <v>Электроснабжение жилого дома по адресу: г. Липецк, ул. Олимпийская, д. 58</v>
      </c>
      <c r="D1037" s="8" t="str">
        <f>'Утв. ИП 2014-2019'!K1039</f>
        <v>0,0 км/ 0 МВА</v>
      </c>
      <c r="E1037" s="8"/>
      <c r="F1037" s="8"/>
      <c r="G1037" s="8"/>
      <c r="H1037" s="8"/>
      <c r="I1037" s="8"/>
      <c r="J1037" s="23" t="str">
        <f>'Утв. ИП 2014-2019'!Q1039</f>
        <v>0,0 км/ 0 МВА</v>
      </c>
      <c r="K1037" s="170"/>
      <c r="L1037" s="170"/>
      <c r="M1037" s="170"/>
      <c r="N1037" s="170"/>
      <c r="O1037" s="170"/>
      <c r="P1037" s="170"/>
      <c r="Q1037" s="170"/>
      <c r="R1037" s="166"/>
      <c r="S1037" s="167"/>
      <c r="T1037" s="168"/>
      <c r="U1037" s="167"/>
      <c r="V1037" s="168"/>
      <c r="W1037" s="169"/>
      <c r="X1037" s="168"/>
      <c r="Y1037" s="169"/>
      <c r="Z1037" s="168"/>
      <c r="AA1037" s="169"/>
      <c r="AB1037" s="168"/>
      <c r="AC1037" s="169"/>
      <c r="AE1037" s="133"/>
    </row>
    <row r="1038" spans="1:31" ht="15.75" hidden="1" outlineLevel="2" x14ac:dyDescent="0.2">
      <c r="A1038" s="25">
        <f>'Утв. ИП 2014-2019'!A1040</f>
        <v>0</v>
      </c>
      <c r="B1038" s="6">
        <f>'Утв. ИП 2014-2019'!B1040</f>
        <v>0</v>
      </c>
      <c r="C1038" s="7" t="str">
        <f>'Утв. ИП 2014-2019'!C1040</f>
        <v>реконструкция</v>
      </c>
      <c r="D1038" s="8"/>
      <c r="E1038" s="8"/>
      <c r="F1038" s="8"/>
      <c r="G1038" s="8"/>
      <c r="H1038" s="8"/>
      <c r="I1038" s="8"/>
      <c r="J1038" s="23"/>
      <c r="K1038" s="170"/>
      <c r="L1038" s="170"/>
      <c r="M1038" s="170"/>
      <c r="N1038" s="170"/>
      <c r="O1038" s="170"/>
      <c r="P1038" s="170"/>
      <c r="Q1038" s="170"/>
      <c r="R1038" s="166"/>
      <c r="S1038" s="167"/>
      <c r="T1038" s="168"/>
      <c r="U1038" s="167"/>
      <c r="V1038" s="168"/>
      <c r="W1038" s="169"/>
      <c r="X1038" s="168"/>
      <c r="Y1038" s="169"/>
      <c r="Z1038" s="168"/>
      <c r="AA1038" s="169"/>
      <c r="AB1038" s="168"/>
      <c r="AC1038" s="169"/>
      <c r="AE1038" s="133"/>
    </row>
    <row r="1039" spans="1:31" ht="15.75" hidden="1" outlineLevel="2" x14ac:dyDescent="0.2">
      <c r="A1039" s="25">
        <f>'Утв. ИП 2014-2019'!A1041</f>
        <v>0</v>
      </c>
      <c r="B1039" s="6">
        <f>'Утв. ИП 2014-2019'!B1041</f>
        <v>0</v>
      </c>
      <c r="C1039" s="7" t="str">
        <f>'Утв. ИП 2014-2019'!C1041</f>
        <v>строительство</v>
      </c>
      <c r="D1039" s="8"/>
      <c r="E1039" s="8"/>
      <c r="F1039" s="8"/>
      <c r="G1039" s="8"/>
      <c r="H1039" s="8"/>
      <c r="I1039" s="8"/>
      <c r="J1039" s="23"/>
      <c r="K1039" s="170"/>
      <c r="L1039" s="170"/>
      <c r="M1039" s="170"/>
      <c r="N1039" s="170"/>
      <c r="O1039" s="170"/>
      <c r="P1039" s="170"/>
      <c r="Q1039" s="170"/>
      <c r="R1039" s="166"/>
      <c r="S1039" s="167"/>
      <c r="T1039" s="168"/>
      <c r="U1039" s="167"/>
      <c r="V1039" s="168"/>
      <c r="W1039" s="169"/>
      <c r="X1039" s="168"/>
      <c r="Y1039" s="169"/>
      <c r="Z1039" s="168"/>
      <c r="AA1039" s="169"/>
      <c r="AB1039" s="168"/>
      <c r="AC1039" s="169"/>
      <c r="AE1039" s="133"/>
    </row>
    <row r="1040" spans="1:31" ht="25.5" hidden="1" outlineLevel="1" collapsed="1" x14ac:dyDescent="0.2">
      <c r="A1040" s="25" t="str">
        <f>'Утв. ИП 2014-2019'!A1042</f>
        <v>1.1.5.2.122/13</v>
      </c>
      <c r="B1040" s="6" t="str">
        <f>'Утв. ИП 2014-2019'!B1042</f>
        <v>3.2.267</v>
      </c>
      <c r="C1040" s="7" t="str">
        <f>'Утв. ИП 2014-2019'!C1042</f>
        <v>Электроснабжение автостоянки закрытого типа по адресу: г. Липецк, ул. Октябрьская, стр.32</v>
      </c>
      <c r="D1040" s="8"/>
      <c r="E1040" s="8" t="str">
        <f>'Утв. ИП 2014-2019'!L1042</f>
        <v>0,0 км/ 0 МВА</v>
      </c>
      <c r="F1040" s="8"/>
      <c r="G1040" s="8"/>
      <c r="H1040" s="8"/>
      <c r="I1040" s="8"/>
      <c r="J1040" s="23" t="str">
        <f>'Утв. ИП 2014-2019'!Q1042</f>
        <v>0,0 км/ 0 МВА</v>
      </c>
      <c r="K1040" s="170"/>
      <c r="L1040" s="170"/>
      <c r="M1040" s="170"/>
      <c r="N1040" s="170"/>
      <c r="O1040" s="170"/>
      <c r="P1040" s="170"/>
      <c r="Q1040" s="170"/>
      <c r="R1040" s="166"/>
      <c r="S1040" s="167"/>
      <c r="T1040" s="168"/>
      <c r="U1040" s="167"/>
      <c r="V1040" s="168"/>
      <c r="W1040" s="169"/>
      <c r="X1040" s="168"/>
      <c r="Y1040" s="169"/>
      <c r="Z1040" s="168"/>
      <c r="AA1040" s="169"/>
      <c r="AB1040" s="168"/>
      <c r="AC1040" s="169"/>
      <c r="AE1040" s="133"/>
    </row>
    <row r="1041" spans="1:31" ht="15.75" hidden="1" outlineLevel="2" x14ac:dyDescent="0.2">
      <c r="A1041" s="25">
        <f>'Утв. ИП 2014-2019'!A1043</f>
        <v>0</v>
      </c>
      <c r="B1041" s="6">
        <f>'Утв. ИП 2014-2019'!B1043</f>
        <v>0</v>
      </c>
      <c r="C1041" s="7" t="str">
        <f>'Утв. ИП 2014-2019'!C1043</f>
        <v>реконструкция</v>
      </c>
      <c r="D1041" s="8"/>
      <c r="E1041" s="8"/>
      <c r="F1041" s="8"/>
      <c r="G1041" s="8"/>
      <c r="H1041" s="8"/>
      <c r="I1041" s="8"/>
      <c r="J1041" s="23"/>
      <c r="K1041" s="170"/>
      <c r="L1041" s="170"/>
      <c r="M1041" s="170"/>
      <c r="N1041" s="170"/>
      <c r="O1041" s="170"/>
      <c r="P1041" s="170"/>
      <c r="Q1041" s="170"/>
      <c r="R1041" s="166"/>
      <c r="S1041" s="167"/>
      <c r="T1041" s="168"/>
      <c r="U1041" s="167"/>
      <c r="V1041" s="168"/>
      <c r="W1041" s="169"/>
      <c r="X1041" s="168"/>
      <c r="Y1041" s="169"/>
      <c r="Z1041" s="168"/>
      <c r="AA1041" s="169"/>
      <c r="AB1041" s="168"/>
      <c r="AC1041" s="169"/>
      <c r="AE1041" s="133"/>
    </row>
    <row r="1042" spans="1:31" ht="15.75" hidden="1" outlineLevel="2" x14ac:dyDescent="0.2">
      <c r="A1042" s="25">
        <f>'Утв. ИП 2014-2019'!A1044</f>
        <v>0</v>
      </c>
      <c r="B1042" s="6">
        <f>'Утв. ИП 2014-2019'!B1044</f>
        <v>0</v>
      </c>
      <c r="C1042" s="7" t="str">
        <f>'Утв. ИП 2014-2019'!C1044</f>
        <v>строительство</v>
      </c>
      <c r="D1042" s="8"/>
      <c r="E1042" s="8"/>
      <c r="F1042" s="8"/>
      <c r="G1042" s="8"/>
      <c r="H1042" s="8"/>
      <c r="I1042" s="8"/>
      <c r="J1042" s="23"/>
      <c r="K1042" s="170"/>
      <c r="L1042" s="170"/>
      <c r="M1042" s="170"/>
      <c r="N1042" s="170"/>
      <c r="O1042" s="170"/>
      <c r="P1042" s="170"/>
      <c r="Q1042" s="170"/>
      <c r="R1042" s="166"/>
      <c r="S1042" s="167"/>
      <c r="T1042" s="168"/>
      <c r="U1042" s="167"/>
      <c r="V1042" s="168"/>
      <c r="W1042" s="169"/>
      <c r="X1042" s="168"/>
      <c r="Y1042" s="169"/>
      <c r="Z1042" s="168"/>
      <c r="AA1042" s="169"/>
      <c r="AB1042" s="168"/>
      <c r="AC1042" s="169"/>
      <c r="AE1042" s="133"/>
    </row>
    <row r="1043" spans="1:31" ht="25.5" hidden="1" outlineLevel="1" collapsed="1" x14ac:dyDescent="0.2">
      <c r="A1043" s="25" t="str">
        <f>'Утв. ИП 2014-2019'!A1045</f>
        <v>1.1.5.2.123/13</v>
      </c>
      <c r="B1043" s="6" t="str">
        <f>'Утв. ИП 2014-2019'!B1045</f>
        <v>3.2.268</v>
      </c>
      <c r="C1043" s="7" t="str">
        <f>'Утв. ИП 2014-2019'!C1045</f>
        <v>Электроснабжение кирпичного гаража с погребом по адресу: г. Липецк, ГК "Центральный", гараж № 74</v>
      </c>
      <c r="D1043" s="8"/>
      <c r="E1043" s="8" t="str">
        <f>'Утв. ИП 2014-2019'!L1045</f>
        <v>0,1 км/ 0 МВА</v>
      </c>
      <c r="F1043" s="8"/>
      <c r="G1043" s="8"/>
      <c r="H1043" s="8"/>
      <c r="I1043" s="8"/>
      <c r="J1043" s="23" t="str">
        <f>'Утв. ИП 2014-2019'!Q1045</f>
        <v>0,1 км/ 0 МВА</v>
      </c>
      <c r="K1043" s="170"/>
      <c r="L1043" s="170"/>
      <c r="M1043" s="170"/>
      <c r="N1043" s="170"/>
      <c r="O1043" s="170"/>
      <c r="P1043" s="170"/>
      <c r="Q1043" s="170"/>
      <c r="R1043" s="136"/>
      <c r="S1043" s="137"/>
      <c r="T1043" s="128"/>
      <c r="U1043" s="137"/>
      <c r="V1043" s="128"/>
      <c r="W1043" s="49"/>
      <c r="X1043" s="128"/>
      <c r="Y1043" s="49"/>
      <c r="Z1043" s="128"/>
      <c r="AA1043" s="49"/>
      <c r="AB1043" s="128"/>
      <c r="AC1043" s="49"/>
      <c r="AE1043" s="133"/>
    </row>
    <row r="1044" spans="1:31" ht="15.75" hidden="1" outlineLevel="2" x14ac:dyDescent="0.2">
      <c r="A1044" s="25">
        <f>'Утв. ИП 2014-2019'!A1046</f>
        <v>0</v>
      </c>
      <c r="B1044" s="6">
        <f>'Утв. ИП 2014-2019'!B1046</f>
        <v>0</v>
      </c>
      <c r="C1044" s="7" t="str">
        <f>'Утв. ИП 2014-2019'!C1046</f>
        <v>реконструкция</v>
      </c>
      <c r="D1044" s="8"/>
      <c r="E1044" s="8"/>
      <c r="F1044" s="8"/>
      <c r="G1044" s="8"/>
      <c r="H1044" s="8"/>
      <c r="I1044" s="8"/>
      <c r="J1044" s="23"/>
      <c r="K1044" s="170"/>
      <c r="L1044" s="170"/>
      <c r="M1044" s="170"/>
      <c r="N1044" s="170"/>
      <c r="O1044" s="170"/>
      <c r="P1044" s="170"/>
      <c r="Q1044" s="170"/>
      <c r="R1044" s="136"/>
      <c r="S1044" s="137"/>
      <c r="T1044" s="128"/>
      <c r="U1044" s="137"/>
      <c r="V1044" s="128"/>
      <c r="W1044" s="49"/>
      <c r="X1044" s="128"/>
      <c r="Y1044" s="49"/>
      <c r="Z1044" s="128"/>
      <c r="AA1044" s="49"/>
      <c r="AB1044" s="128"/>
      <c r="AC1044" s="49"/>
      <c r="AE1044" s="133"/>
    </row>
    <row r="1045" spans="1:31" ht="15.75" hidden="1" outlineLevel="2" x14ac:dyDescent="0.2">
      <c r="A1045" s="25">
        <f>'Утв. ИП 2014-2019'!A1047</f>
        <v>0</v>
      </c>
      <c r="B1045" s="6">
        <f>'Утв. ИП 2014-2019'!B1047</f>
        <v>0</v>
      </c>
      <c r="C1045" s="7" t="str">
        <f>'Утв. ИП 2014-2019'!C1047</f>
        <v>строительство</v>
      </c>
      <c r="D1045" s="8"/>
      <c r="E1045" s="8"/>
      <c r="F1045" s="8"/>
      <c r="G1045" s="8"/>
      <c r="H1045" s="8"/>
      <c r="I1045" s="8"/>
      <c r="J1045" s="23"/>
      <c r="K1045" s="170"/>
      <c r="L1045" s="170"/>
      <c r="M1045" s="170"/>
      <c r="N1045" s="170"/>
      <c r="O1045" s="170"/>
      <c r="P1045" s="170"/>
      <c r="Q1045" s="170"/>
      <c r="R1045" s="136"/>
      <c r="S1045" s="137"/>
      <c r="T1045" s="128"/>
      <c r="U1045" s="137"/>
      <c r="V1045" s="128"/>
      <c r="W1045" s="49"/>
      <c r="X1045" s="128"/>
      <c r="Y1045" s="49"/>
      <c r="Z1045" s="128"/>
      <c r="AA1045" s="49"/>
      <c r="AB1045" s="128"/>
      <c r="AC1045" s="49"/>
      <c r="AE1045" s="133"/>
    </row>
    <row r="1046" spans="1:31" ht="38.25" hidden="1" outlineLevel="1" collapsed="1" x14ac:dyDescent="0.2">
      <c r="A1046" s="25" t="str">
        <f>'Утв. ИП 2014-2019'!A1048</f>
        <v>1.1.5.2.124/13</v>
      </c>
      <c r="B1046" s="6" t="str">
        <f>'Утв. ИП 2014-2019'!B1048</f>
        <v>3.2.269</v>
      </c>
      <c r="C1046" s="7" t="str">
        <f>'Утв. ИП 2014-2019'!C1048</f>
        <v>Электроснабжение индивидуального жилого дома по адресу: г. Липецк, ул. Известковая, в районе жилого дома № 54 (№ 2 по схеме)</v>
      </c>
      <c r="D1046" s="8" t="str">
        <f>'Утв. ИП 2014-2019'!K1048</f>
        <v>0,5 км/ 0 МВА</v>
      </c>
      <c r="E1046" s="8"/>
      <c r="F1046" s="8"/>
      <c r="G1046" s="8"/>
      <c r="H1046" s="8"/>
      <c r="I1046" s="8"/>
      <c r="J1046" s="23" t="str">
        <f>'Утв. ИП 2014-2019'!Q1048</f>
        <v>0,5 км/ 0 МВА</v>
      </c>
      <c r="K1046" s="170"/>
      <c r="L1046" s="170"/>
      <c r="M1046" s="170"/>
      <c r="N1046" s="170"/>
      <c r="O1046" s="170"/>
      <c r="P1046" s="170"/>
      <c r="Q1046" s="170"/>
      <c r="R1046" s="166"/>
      <c r="S1046" s="167"/>
      <c r="T1046" s="168"/>
      <c r="U1046" s="167"/>
      <c r="V1046" s="168"/>
      <c r="W1046" s="169"/>
      <c r="X1046" s="168"/>
      <c r="Y1046" s="169"/>
      <c r="Z1046" s="168"/>
      <c r="AA1046" s="169"/>
      <c r="AB1046" s="168"/>
      <c r="AC1046" s="169"/>
      <c r="AE1046" s="133"/>
    </row>
    <row r="1047" spans="1:31" ht="15.75" hidden="1" outlineLevel="2" x14ac:dyDescent="0.2">
      <c r="A1047" s="25">
        <f>'Утв. ИП 2014-2019'!A1049</f>
        <v>0</v>
      </c>
      <c r="B1047" s="6">
        <f>'Утв. ИП 2014-2019'!B1049</f>
        <v>0</v>
      </c>
      <c r="C1047" s="7" t="str">
        <f>'Утв. ИП 2014-2019'!C1049</f>
        <v>реконструкция</v>
      </c>
      <c r="D1047" s="8"/>
      <c r="E1047" s="8"/>
      <c r="F1047" s="8"/>
      <c r="G1047" s="8"/>
      <c r="H1047" s="8"/>
      <c r="I1047" s="8"/>
      <c r="J1047" s="23"/>
      <c r="K1047" s="170"/>
      <c r="L1047" s="170"/>
      <c r="M1047" s="170"/>
      <c r="N1047" s="170"/>
      <c r="O1047" s="170"/>
      <c r="P1047" s="170"/>
      <c r="Q1047" s="170"/>
      <c r="R1047" s="166"/>
      <c r="S1047" s="167"/>
      <c r="T1047" s="168"/>
      <c r="U1047" s="167"/>
      <c r="V1047" s="168"/>
      <c r="W1047" s="169"/>
      <c r="X1047" s="168"/>
      <c r="Y1047" s="169"/>
      <c r="Z1047" s="168"/>
      <c r="AA1047" s="169"/>
      <c r="AB1047" s="168"/>
      <c r="AC1047" s="169"/>
      <c r="AE1047" s="133"/>
    </row>
    <row r="1048" spans="1:31" ht="15.75" hidden="1" outlineLevel="2" x14ac:dyDescent="0.2">
      <c r="A1048" s="25">
        <f>'Утв. ИП 2014-2019'!A1050</f>
        <v>0</v>
      </c>
      <c r="B1048" s="6">
        <f>'Утв. ИП 2014-2019'!B1050</f>
        <v>0</v>
      </c>
      <c r="C1048" s="7" t="str">
        <f>'Утв. ИП 2014-2019'!C1050</f>
        <v>строительство</v>
      </c>
      <c r="D1048" s="8"/>
      <c r="E1048" s="8"/>
      <c r="F1048" s="8"/>
      <c r="G1048" s="8"/>
      <c r="H1048" s="8"/>
      <c r="I1048" s="8"/>
      <c r="J1048" s="23"/>
      <c r="K1048" s="170"/>
      <c r="L1048" s="170"/>
      <c r="M1048" s="170"/>
      <c r="N1048" s="170"/>
      <c r="O1048" s="170"/>
      <c r="P1048" s="170"/>
      <c r="Q1048" s="170"/>
      <c r="R1048" s="166"/>
      <c r="S1048" s="167"/>
      <c r="T1048" s="168"/>
      <c r="U1048" s="167"/>
      <c r="V1048" s="168"/>
      <c r="W1048" s="169"/>
      <c r="X1048" s="168"/>
      <c r="Y1048" s="169"/>
      <c r="Z1048" s="168"/>
      <c r="AA1048" s="169"/>
      <c r="AB1048" s="168"/>
      <c r="AC1048" s="169"/>
      <c r="AE1048" s="133"/>
    </row>
    <row r="1049" spans="1:31" ht="25.5" hidden="1" outlineLevel="1" collapsed="1" x14ac:dyDescent="0.2">
      <c r="A1049" s="25" t="str">
        <f>'Утв. ИП 2014-2019'!A1051</f>
        <v>1.1.5.2.125/13</v>
      </c>
      <c r="B1049" s="6" t="str">
        <f>'Утв. ИП 2014-2019'!B1051</f>
        <v>3.2.270</v>
      </c>
      <c r="C1049" s="7" t="str">
        <f>'Утв. ИП 2014-2019'!C1051</f>
        <v>Электроснабжение садового домика по адресу: г. Липецк, СТ "Строитель", участок № 885</v>
      </c>
      <c r="D1049" s="8" t="str">
        <f>'Утв. ИП 2014-2019'!K1051</f>
        <v>0,0 км/ 0 МВА</v>
      </c>
      <c r="E1049" s="8"/>
      <c r="F1049" s="8"/>
      <c r="G1049" s="8"/>
      <c r="H1049" s="8"/>
      <c r="I1049" s="8"/>
      <c r="J1049" s="23" t="str">
        <f>'Утв. ИП 2014-2019'!Q1051</f>
        <v>0,0 км/ 0 МВА</v>
      </c>
      <c r="K1049" s="170"/>
      <c r="L1049" s="170"/>
      <c r="M1049" s="170"/>
      <c r="N1049" s="170"/>
      <c r="O1049" s="170"/>
      <c r="P1049" s="170"/>
      <c r="Q1049" s="170"/>
      <c r="R1049" s="166"/>
      <c r="S1049" s="167"/>
      <c r="T1049" s="168"/>
      <c r="U1049" s="167"/>
      <c r="V1049" s="168"/>
      <c r="W1049" s="169"/>
      <c r="X1049" s="168"/>
      <c r="Y1049" s="169"/>
      <c r="Z1049" s="168"/>
      <c r="AA1049" s="169"/>
      <c r="AB1049" s="168"/>
      <c r="AC1049" s="169"/>
      <c r="AE1049" s="133"/>
    </row>
    <row r="1050" spans="1:31" ht="15.75" hidden="1" outlineLevel="2" x14ac:dyDescent="0.2">
      <c r="A1050" s="25">
        <f>'Утв. ИП 2014-2019'!A1052</f>
        <v>0</v>
      </c>
      <c r="B1050" s="6">
        <f>'Утв. ИП 2014-2019'!B1052</f>
        <v>0</v>
      </c>
      <c r="C1050" s="7" t="str">
        <f>'Утв. ИП 2014-2019'!C1052</f>
        <v>реконструкция</v>
      </c>
      <c r="D1050" s="8"/>
      <c r="E1050" s="8"/>
      <c r="F1050" s="8"/>
      <c r="G1050" s="8"/>
      <c r="H1050" s="8"/>
      <c r="I1050" s="8"/>
      <c r="J1050" s="23"/>
      <c r="K1050" s="170"/>
      <c r="L1050" s="170"/>
      <c r="M1050" s="170"/>
      <c r="N1050" s="170"/>
      <c r="O1050" s="170"/>
      <c r="P1050" s="170"/>
      <c r="Q1050" s="170"/>
      <c r="R1050" s="136"/>
      <c r="S1050" s="137"/>
      <c r="T1050" s="128"/>
      <c r="U1050" s="137"/>
      <c r="V1050" s="128"/>
      <c r="W1050" s="49"/>
      <c r="X1050" s="128"/>
      <c r="Y1050" s="49"/>
      <c r="Z1050" s="128"/>
      <c r="AA1050" s="49"/>
      <c r="AB1050" s="128"/>
      <c r="AC1050" s="49"/>
      <c r="AE1050" s="133"/>
    </row>
    <row r="1051" spans="1:31" ht="15.75" hidden="1" outlineLevel="2" x14ac:dyDescent="0.2">
      <c r="A1051" s="25">
        <f>'Утв. ИП 2014-2019'!A1053</f>
        <v>0</v>
      </c>
      <c r="B1051" s="6">
        <f>'Утв. ИП 2014-2019'!B1053</f>
        <v>0</v>
      </c>
      <c r="C1051" s="7" t="str">
        <f>'Утв. ИП 2014-2019'!C1053</f>
        <v>строительство</v>
      </c>
      <c r="D1051" s="8"/>
      <c r="E1051" s="8"/>
      <c r="F1051" s="8"/>
      <c r="G1051" s="8"/>
      <c r="H1051" s="8"/>
      <c r="I1051" s="8"/>
      <c r="J1051" s="23"/>
      <c r="K1051" s="170"/>
      <c r="L1051" s="170"/>
      <c r="M1051" s="170"/>
      <c r="N1051" s="170"/>
      <c r="O1051" s="170"/>
      <c r="P1051" s="170"/>
      <c r="Q1051" s="170"/>
      <c r="R1051" s="136"/>
      <c r="S1051" s="137"/>
      <c r="T1051" s="128"/>
      <c r="U1051" s="137"/>
      <c r="V1051" s="128"/>
      <c r="W1051" s="49"/>
      <c r="X1051" s="128"/>
      <c r="Y1051" s="49"/>
      <c r="Z1051" s="128"/>
      <c r="AA1051" s="49"/>
      <c r="AB1051" s="128"/>
      <c r="AC1051" s="49"/>
      <c r="AE1051" s="133"/>
    </row>
    <row r="1052" spans="1:31" ht="25.5" hidden="1" outlineLevel="1" collapsed="1" x14ac:dyDescent="0.2">
      <c r="A1052" s="25" t="str">
        <f>'Утв. ИП 2014-2019'!A1054</f>
        <v>1.1.5.2.126/13</v>
      </c>
      <c r="B1052" s="6" t="str">
        <f>'Утв. ИП 2014-2019'!B1054</f>
        <v>3.2.271</v>
      </c>
      <c r="C1052" s="7" t="str">
        <f>'Утв. ИП 2014-2019'!C1054</f>
        <v>Электроснабжение садового домика по адресу: г. Липецк, СНТ "Сокол-2", участок № 413</v>
      </c>
      <c r="D1052" s="8"/>
      <c r="E1052" s="8" t="str">
        <f>'Утв. ИП 2014-2019'!L1054</f>
        <v>0,2 км/ 0 МВА</v>
      </c>
      <c r="F1052" s="8"/>
      <c r="G1052" s="8"/>
      <c r="H1052" s="8"/>
      <c r="I1052" s="8"/>
      <c r="J1052" s="23" t="str">
        <f>'Утв. ИП 2014-2019'!Q1054</f>
        <v>0,2 км/ 0 МВА</v>
      </c>
      <c r="K1052" s="170"/>
      <c r="L1052" s="170"/>
      <c r="M1052" s="170"/>
      <c r="N1052" s="170"/>
      <c r="O1052" s="170"/>
      <c r="P1052" s="170"/>
      <c r="Q1052" s="170"/>
      <c r="R1052" s="136"/>
      <c r="S1052" s="137"/>
      <c r="T1052" s="128"/>
      <c r="U1052" s="137"/>
      <c r="V1052" s="128"/>
      <c r="W1052" s="49"/>
      <c r="X1052" s="128"/>
      <c r="Y1052" s="49"/>
      <c r="Z1052" s="128"/>
      <c r="AA1052" s="49"/>
      <c r="AB1052" s="128"/>
      <c r="AC1052" s="49"/>
      <c r="AE1052" s="133"/>
    </row>
    <row r="1053" spans="1:31" ht="15.75" hidden="1" outlineLevel="2" x14ac:dyDescent="0.2">
      <c r="A1053" s="25">
        <f>'Утв. ИП 2014-2019'!A1055</f>
        <v>0</v>
      </c>
      <c r="B1053" s="6">
        <f>'Утв. ИП 2014-2019'!B1055</f>
        <v>0</v>
      </c>
      <c r="C1053" s="7" t="str">
        <f>'Утв. ИП 2014-2019'!C1055</f>
        <v>реконструкция</v>
      </c>
      <c r="D1053" s="8"/>
      <c r="E1053" s="8"/>
      <c r="F1053" s="8"/>
      <c r="G1053" s="8"/>
      <c r="H1053" s="8"/>
      <c r="I1053" s="8"/>
      <c r="J1053" s="23"/>
      <c r="K1053" s="170"/>
      <c r="L1053" s="170"/>
      <c r="M1053" s="170"/>
      <c r="N1053" s="170"/>
      <c r="O1053" s="170"/>
      <c r="P1053" s="170"/>
      <c r="Q1053" s="170"/>
      <c r="R1053" s="136"/>
      <c r="S1053" s="137"/>
      <c r="T1053" s="128"/>
      <c r="U1053" s="137"/>
      <c r="V1053" s="128"/>
      <c r="W1053" s="49"/>
      <c r="X1053" s="128"/>
      <c r="Y1053" s="49"/>
      <c r="Z1053" s="128"/>
      <c r="AA1053" s="49"/>
      <c r="AB1053" s="128"/>
      <c r="AC1053" s="49"/>
      <c r="AE1053" s="133"/>
    </row>
    <row r="1054" spans="1:31" ht="15.75" hidden="1" outlineLevel="2" x14ac:dyDescent="0.2">
      <c r="A1054" s="25">
        <f>'Утв. ИП 2014-2019'!A1056</f>
        <v>0</v>
      </c>
      <c r="B1054" s="6">
        <f>'Утв. ИП 2014-2019'!B1056</f>
        <v>0</v>
      </c>
      <c r="C1054" s="7" t="str">
        <f>'Утв. ИП 2014-2019'!C1056</f>
        <v>строительство</v>
      </c>
      <c r="D1054" s="8"/>
      <c r="E1054" s="8"/>
      <c r="F1054" s="8"/>
      <c r="G1054" s="8"/>
      <c r="H1054" s="8"/>
      <c r="I1054" s="8"/>
      <c r="J1054" s="23"/>
      <c r="K1054" s="170"/>
      <c r="L1054" s="170"/>
      <c r="M1054" s="170"/>
      <c r="N1054" s="170"/>
      <c r="O1054" s="170"/>
      <c r="P1054" s="170"/>
      <c r="Q1054" s="170"/>
      <c r="R1054" s="136"/>
      <c r="S1054" s="137"/>
      <c r="T1054" s="128"/>
      <c r="U1054" s="137"/>
      <c r="V1054" s="128"/>
      <c r="W1054" s="49"/>
      <c r="X1054" s="128"/>
      <c r="Y1054" s="49"/>
      <c r="Z1054" s="128"/>
      <c r="AA1054" s="49"/>
      <c r="AB1054" s="128"/>
      <c r="AC1054" s="49"/>
      <c r="AE1054" s="133"/>
    </row>
    <row r="1055" spans="1:31" ht="25.5" hidden="1" outlineLevel="1" collapsed="1" x14ac:dyDescent="0.2">
      <c r="A1055" s="25" t="str">
        <f>'Утв. ИП 2014-2019'!A1057</f>
        <v>1.1.5.2.127/13</v>
      </c>
      <c r="B1055" s="6" t="str">
        <f>'Утв. ИП 2014-2019'!B1057</f>
        <v>3.2.272</v>
      </c>
      <c r="C1055" s="7" t="str">
        <f>'Утв. ИП 2014-2019'!C1057</f>
        <v>Электроснабжение лодочной пристани по адресу: г. Липецк, ул. Левобережная, 9</v>
      </c>
      <c r="D1055" s="8"/>
      <c r="E1055" s="8" t="str">
        <f>'Утв. ИП 2014-2019'!L1057</f>
        <v>0,3 км/ 0 МВА</v>
      </c>
      <c r="F1055" s="8"/>
      <c r="G1055" s="8"/>
      <c r="H1055" s="8"/>
      <c r="I1055" s="8"/>
      <c r="J1055" s="23" t="str">
        <f>'Утв. ИП 2014-2019'!Q1057</f>
        <v>0,3 км/ 0 МВА</v>
      </c>
      <c r="K1055" s="170"/>
      <c r="L1055" s="170"/>
      <c r="M1055" s="170"/>
      <c r="N1055" s="170"/>
      <c r="O1055" s="170"/>
      <c r="P1055" s="170"/>
      <c r="Q1055" s="170"/>
      <c r="R1055" s="136"/>
      <c r="S1055" s="137"/>
      <c r="T1055" s="128"/>
      <c r="U1055" s="137"/>
      <c r="V1055" s="128"/>
      <c r="W1055" s="49"/>
      <c r="X1055" s="128"/>
      <c r="Y1055" s="49"/>
      <c r="Z1055" s="128"/>
      <c r="AA1055" s="49"/>
      <c r="AB1055" s="128"/>
      <c r="AC1055" s="49"/>
      <c r="AE1055" s="133"/>
    </row>
    <row r="1056" spans="1:31" ht="15.75" hidden="1" outlineLevel="2" x14ac:dyDescent="0.2">
      <c r="A1056" s="25">
        <f>'Утв. ИП 2014-2019'!A1058</f>
        <v>0</v>
      </c>
      <c r="B1056" s="6">
        <f>'Утв. ИП 2014-2019'!B1058</f>
        <v>0</v>
      </c>
      <c r="C1056" s="7" t="str">
        <f>'Утв. ИП 2014-2019'!C1058</f>
        <v>реконструкция</v>
      </c>
      <c r="D1056" s="8"/>
      <c r="E1056" s="8"/>
      <c r="F1056" s="8"/>
      <c r="G1056" s="8"/>
      <c r="H1056" s="8"/>
      <c r="I1056" s="8"/>
      <c r="J1056" s="23"/>
      <c r="K1056" s="170"/>
      <c r="L1056" s="170"/>
      <c r="M1056" s="170"/>
      <c r="N1056" s="170"/>
      <c r="O1056" s="170"/>
      <c r="P1056" s="170"/>
      <c r="Q1056" s="170"/>
      <c r="R1056" s="136"/>
      <c r="S1056" s="137"/>
      <c r="T1056" s="128"/>
      <c r="U1056" s="137"/>
      <c r="V1056" s="128"/>
      <c r="W1056" s="49"/>
      <c r="X1056" s="128"/>
      <c r="Y1056" s="49"/>
      <c r="Z1056" s="128"/>
      <c r="AA1056" s="49"/>
      <c r="AB1056" s="128"/>
      <c r="AC1056" s="49"/>
      <c r="AE1056" s="133"/>
    </row>
    <row r="1057" spans="1:31" ht="15.75" hidden="1" outlineLevel="2" x14ac:dyDescent="0.2">
      <c r="A1057" s="25">
        <f>'Утв. ИП 2014-2019'!A1059</f>
        <v>0</v>
      </c>
      <c r="B1057" s="6">
        <f>'Утв. ИП 2014-2019'!B1059</f>
        <v>0</v>
      </c>
      <c r="C1057" s="7" t="str">
        <f>'Утв. ИП 2014-2019'!C1059</f>
        <v>строительство</v>
      </c>
      <c r="D1057" s="8"/>
      <c r="E1057" s="8"/>
      <c r="F1057" s="8"/>
      <c r="G1057" s="8"/>
      <c r="H1057" s="8"/>
      <c r="I1057" s="8"/>
      <c r="J1057" s="23"/>
      <c r="K1057" s="170"/>
      <c r="L1057" s="170"/>
      <c r="M1057" s="170"/>
      <c r="N1057" s="170"/>
      <c r="O1057" s="170"/>
      <c r="P1057" s="170"/>
      <c r="Q1057" s="170"/>
      <c r="R1057" s="136"/>
      <c r="S1057" s="137"/>
      <c r="T1057" s="128"/>
      <c r="U1057" s="137"/>
      <c r="V1057" s="128"/>
      <c r="W1057" s="49"/>
      <c r="X1057" s="128"/>
      <c r="Y1057" s="49"/>
      <c r="Z1057" s="128"/>
      <c r="AA1057" s="49"/>
      <c r="AB1057" s="128"/>
      <c r="AC1057" s="49"/>
      <c r="AE1057" s="133"/>
    </row>
    <row r="1058" spans="1:31" ht="25.5" hidden="1" outlineLevel="1" collapsed="1" x14ac:dyDescent="0.2">
      <c r="A1058" s="25" t="str">
        <f>'Утв. ИП 2014-2019'!A1060</f>
        <v>1.1.5.2.128/13</v>
      </c>
      <c r="B1058" s="6" t="str">
        <f>'Утв. ИП 2014-2019'!B1060</f>
        <v>3.2.273</v>
      </c>
      <c r="C1058" s="7" t="str">
        <f>'Утв. ИП 2014-2019'!C1060</f>
        <v>Электроснабжение садовых домиков в СНТ "имени И.В. Мичурина"</v>
      </c>
      <c r="D1058" s="8"/>
      <c r="E1058" s="8" t="str">
        <f>'Утв. ИП 2014-2019'!L1060</f>
        <v>0,5 км/ 0 МВА</v>
      </c>
      <c r="F1058" s="8"/>
      <c r="G1058" s="8"/>
      <c r="H1058" s="8"/>
      <c r="I1058" s="8"/>
      <c r="J1058" s="23" t="str">
        <f>'Утв. ИП 2014-2019'!Q1060</f>
        <v>0,5 км/ 0 МВА</v>
      </c>
      <c r="K1058" s="170"/>
      <c r="L1058" s="170"/>
      <c r="M1058" s="170"/>
      <c r="N1058" s="170"/>
      <c r="O1058" s="170"/>
      <c r="P1058" s="170"/>
      <c r="Q1058" s="170"/>
      <c r="R1058" s="136"/>
      <c r="S1058" s="137"/>
      <c r="T1058" s="128"/>
      <c r="U1058" s="137"/>
      <c r="V1058" s="128"/>
      <c r="W1058" s="49"/>
      <c r="X1058" s="128"/>
      <c r="Y1058" s="49"/>
      <c r="Z1058" s="128"/>
      <c r="AA1058" s="49"/>
      <c r="AB1058" s="128"/>
      <c r="AC1058" s="49"/>
      <c r="AE1058" s="133"/>
    </row>
    <row r="1059" spans="1:31" ht="15.75" hidden="1" outlineLevel="2" x14ac:dyDescent="0.2">
      <c r="A1059" s="25">
        <f>'Утв. ИП 2014-2019'!A1061</f>
        <v>0</v>
      </c>
      <c r="B1059" s="6">
        <f>'Утв. ИП 2014-2019'!B1061</f>
        <v>0</v>
      </c>
      <c r="C1059" s="7" t="str">
        <f>'Утв. ИП 2014-2019'!C1061</f>
        <v>реконструкция</v>
      </c>
      <c r="D1059" s="8"/>
      <c r="E1059" s="8"/>
      <c r="F1059" s="8"/>
      <c r="G1059" s="8"/>
      <c r="H1059" s="8"/>
      <c r="I1059" s="8"/>
      <c r="J1059" s="23"/>
      <c r="K1059" s="170"/>
      <c r="L1059" s="170"/>
      <c r="M1059" s="170"/>
      <c r="N1059" s="170"/>
      <c r="O1059" s="170"/>
      <c r="P1059" s="170"/>
      <c r="Q1059" s="170"/>
      <c r="R1059" s="136"/>
      <c r="S1059" s="137"/>
      <c r="T1059" s="128"/>
      <c r="U1059" s="137"/>
      <c r="V1059" s="128"/>
      <c r="W1059" s="49"/>
      <c r="X1059" s="128"/>
      <c r="Y1059" s="49"/>
      <c r="Z1059" s="128"/>
      <c r="AA1059" s="49"/>
      <c r="AB1059" s="128"/>
      <c r="AC1059" s="49"/>
      <c r="AE1059" s="133"/>
    </row>
    <row r="1060" spans="1:31" ht="15.75" hidden="1" outlineLevel="2" x14ac:dyDescent="0.2">
      <c r="A1060" s="25">
        <f>'Утв. ИП 2014-2019'!A1062</f>
        <v>0</v>
      </c>
      <c r="B1060" s="6">
        <f>'Утв. ИП 2014-2019'!B1062</f>
        <v>0</v>
      </c>
      <c r="C1060" s="7" t="str">
        <f>'Утв. ИП 2014-2019'!C1062</f>
        <v>строительство</v>
      </c>
      <c r="D1060" s="8"/>
      <c r="E1060" s="8"/>
      <c r="F1060" s="8"/>
      <c r="G1060" s="8"/>
      <c r="H1060" s="8"/>
      <c r="I1060" s="8"/>
      <c r="J1060" s="23"/>
      <c r="K1060" s="170"/>
      <c r="L1060" s="170"/>
      <c r="M1060" s="170"/>
      <c r="N1060" s="170"/>
      <c r="O1060" s="170"/>
      <c r="P1060" s="170"/>
      <c r="Q1060" s="170"/>
      <c r="R1060" s="136"/>
      <c r="S1060" s="137"/>
      <c r="T1060" s="128"/>
      <c r="U1060" s="137"/>
      <c r="V1060" s="128"/>
      <c r="W1060" s="49"/>
      <c r="X1060" s="128"/>
      <c r="Y1060" s="49"/>
      <c r="Z1060" s="128"/>
      <c r="AA1060" s="49"/>
      <c r="AB1060" s="128"/>
      <c r="AC1060" s="49"/>
      <c r="AE1060" s="133"/>
    </row>
    <row r="1061" spans="1:31" ht="15.75" hidden="1" outlineLevel="1" collapsed="1" x14ac:dyDescent="0.2">
      <c r="A1061" s="25" t="str">
        <f>'Утв. ИП 2014-2019'!A1063</f>
        <v>1.1.5.2.129/13</v>
      </c>
      <c r="B1061" s="6" t="str">
        <f>'Утв. ИП 2014-2019'!B1063</f>
        <v>3.2.274</v>
      </c>
      <c r="C1061" s="7" t="str">
        <f>'Утв. ИП 2014-2019'!C1063</f>
        <v>Электроснабжение садовых домиков в СНТ "Сокол-2"</v>
      </c>
      <c r="D1061" s="8"/>
      <c r="E1061" s="8" t="str">
        <f>'Утв. ИП 2014-2019'!L1063</f>
        <v>0,1 км/ 0 МВА</v>
      </c>
      <c r="F1061" s="8"/>
      <c r="G1061" s="8"/>
      <c r="H1061" s="8"/>
      <c r="I1061" s="8"/>
      <c r="J1061" s="23" t="str">
        <f>'Утв. ИП 2014-2019'!Q1063</f>
        <v>0,1 км/ 0 МВА</v>
      </c>
      <c r="K1061" s="170"/>
      <c r="L1061" s="170"/>
      <c r="M1061" s="170"/>
      <c r="N1061" s="170"/>
      <c r="O1061" s="170"/>
      <c r="P1061" s="170"/>
      <c r="Q1061" s="170"/>
      <c r="R1061" s="136"/>
      <c r="S1061" s="137"/>
      <c r="T1061" s="128"/>
      <c r="U1061" s="137"/>
      <c r="V1061" s="128"/>
      <c r="W1061" s="49"/>
      <c r="X1061" s="128"/>
      <c r="Y1061" s="49"/>
      <c r="Z1061" s="128"/>
      <c r="AA1061" s="49"/>
      <c r="AB1061" s="128"/>
      <c r="AC1061" s="49"/>
      <c r="AE1061" s="133"/>
    </row>
    <row r="1062" spans="1:31" ht="15.75" hidden="1" outlineLevel="2" x14ac:dyDescent="0.2">
      <c r="A1062" s="25">
        <f>'Утв. ИП 2014-2019'!A1064</f>
        <v>0</v>
      </c>
      <c r="B1062" s="6">
        <f>'Утв. ИП 2014-2019'!B1064</f>
        <v>0</v>
      </c>
      <c r="C1062" s="7" t="str">
        <f>'Утв. ИП 2014-2019'!C1064</f>
        <v>реконструкция</v>
      </c>
      <c r="D1062" s="8"/>
      <c r="E1062" s="8"/>
      <c r="F1062" s="8"/>
      <c r="G1062" s="8"/>
      <c r="H1062" s="8"/>
      <c r="I1062" s="8"/>
      <c r="J1062" s="23"/>
      <c r="K1062" s="170"/>
      <c r="L1062" s="170"/>
      <c r="M1062" s="170"/>
      <c r="N1062" s="170"/>
      <c r="O1062" s="170"/>
      <c r="P1062" s="170"/>
      <c r="Q1062" s="170"/>
      <c r="R1062" s="136"/>
      <c r="S1062" s="137"/>
      <c r="T1062" s="128"/>
      <c r="U1062" s="137"/>
      <c r="V1062" s="128"/>
      <c r="W1062" s="49"/>
      <c r="X1062" s="128"/>
      <c r="Y1062" s="49"/>
      <c r="Z1062" s="128"/>
      <c r="AA1062" s="49"/>
      <c r="AB1062" s="128"/>
      <c r="AC1062" s="49"/>
      <c r="AE1062" s="133"/>
    </row>
    <row r="1063" spans="1:31" ht="15.75" hidden="1" outlineLevel="2" x14ac:dyDescent="0.2">
      <c r="A1063" s="25">
        <f>'Утв. ИП 2014-2019'!A1065</f>
        <v>0</v>
      </c>
      <c r="B1063" s="6">
        <f>'Утв. ИП 2014-2019'!B1065</f>
        <v>0</v>
      </c>
      <c r="C1063" s="7" t="str">
        <f>'Утв. ИП 2014-2019'!C1065</f>
        <v>строительство</v>
      </c>
      <c r="D1063" s="8"/>
      <c r="E1063" s="8"/>
      <c r="F1063" s="8"/>
      <c r="G1063" s="8"/>
      <c r="H1063" s="8"/>
      <c r="I1063" s="8"/>
      <c r="J1063" s="23"/>
      <c r="K1063" s="170"/>
      <c r="L1063" s="170"/>
      <c r="M1063" s="170"/>
      <c r="N1063" s="170"/>
      <c r="O1063" s="170"/>
      <c r="P1063" s="170"/>
      <c r="Q1063" s="170"/>
      <c r="R1063" s="136"/>
      <c r="S1063" s="137"/>
      <c r="T1063" s="128"/>
      <c r="U1063" s="137"/>
      <c r="V1063" s="128"/>
      <c r="W1063" s="49"/>
      <c r="X1063" s="128"/>
      <c r="Y1063" s="49"/>
      <c r="Z1063" s="128"/>
      <c r="AA1063" s="49"/>
      <c r="AB1063" s="128"/>
      <c r="AC1063" s="49"/>
      <c r="AE1063" s="133"/>
    </row>
    <row r="1064" spans="1:31" ht="38.25" hidden="1" outlineLevel="1" collapsed="1" x14ac:dyDescent="0.2">
      <c r="A1064" s="25" t="str">
        <f>'Утв. ИП 2014-2019'!A1066</f>
        <v>1.1.5.2.130/13</v>
      </c>
      <c r="B1064" s="6" t="str">
        <f>'Утв. ИП 2014-2019'!B1066</f>
        <v>3.2.275</v>
      </c>
      <c r="C1064" s="7" t="str">
        <f>'Утв. ИП 2014-2019'!C1066</f>
        <v>Электроснабжение административно-бытового корпуса с автомойкой по адресу: г. Липецк, ул. Ударников, кадастровый № 48:20:0011103:742</v>
      </c>
      <c r="D1064" s="8"/>
      <c r="E1064" s="8" t="str">
        <f>'Утв. ИП 2014-2019'!L1066</f>
        <v>0,0 км/ 0 МВА</v>
      </c>
      <c r="F1064" s="8"/>
      <c r="G1064" s="8"/>
      <c r="H1064" s="8"/>
      <c r="I1064" s="8"/>
      <c r="J1064" s="23" t="str">
        <f>'Утв. ИП 2014-2019'!Q1066</f>
        <v>0,0 км/ 0 МВА</v>
      </c>
      <c r="K1064" s="170"/>
      <c r="L1064" s="170"/>
      <c r="M1064" s="170"/>
      <c r="N1064" s="170"/>
      <c r="O1064" s="170"/>
      <c r="P1064" s="170"/>
      <c r="Q1064" s="170"/>
      <c r="R1064" s="166"/>
      <c r="S1064" s="167"/>
      <c r="T1064" s="168"/>
      <c r="U1064" s="167"/>
      <c r="V1064" s="168"/>
      <c r="W1064" s="169"/>
      <c r="X1064" s="168"/>
      <c r="Y1064" s="169"/>
      <c r="Z1064" s="168"/>
      <c r="AA1064" s="169"/>
      <c r="AB1064" s="168"/>
      <c r="AC1064" s="169"/>
      <c r="AE1064" s="133"/>
    </row>
    <row r="1065" spans="1:31" ht="15.75" hidden="1" outlineLevel="2" x14ac:dyDescent="0.2">
      <c r="A1065" s="25">
        <f>'Утв. ИП 2014-2019'!A1067</f>
        <v>0</v>
      </c>
      <c r="B1065" s="6">
        <f>'Утв. ИП 2014-2019'!B1067</f>
        <v>0</v>
      </c>
      <c r="C1065" s="7" t="str">
        <f>'Утв. ИП 2014-2019'!C1067</f>
        <v>реконструкция</v>
      </c>
      <c r="D1065" s="8"/>
      <c r="E1065" s="8"/>
      <c r="F1065" s="8"/>
      <c r="G1065" s="8"/>
      <c r="H1065" s="8"/>
      <c r="I1065" s="8"/>
      <c r="J1065" s="23"/>
      <c r="K1065" s="170"/>
      <c r="L1065" s="170"/>
      <c r="M1065" s="170"/>
      <c r="N1065" s="170"/>
      <c r="O1065" s="170"/>
      <c r="P1065" s="170"/>
      <c r="Q1065" s="170"/>
      <c r="R1065" s="166"/>
      <c r="S1065" s="167"/>
      <c r="T1065" s="168"/>
      <c r="U1065" s="167"/>
      <c r="V1065" s="168"/>
      <c r="W1065" s="169"/>
      <c r="X1065" s="168"/>
      <c r="Y1065" s="169"/>
      <c r="Z1065" s="168"/>
      <c r="AA1065" s="169"/>
      <c r="AB1065" s="168"/>
      <c r="AC1065" s="169"/>
      <c r="AE1065" s="133"/>
    </row>
    <row r="1066" spans="1:31" ht="15.75" hidden="1" outlineLevel="2" x14ac:dyDescent="0.2">
      <c r="A1066" s="25">
        <f>'Утв. ИП 2014-2019'!A1068</f>
        <v>0</v>
      </c>
      <c r="B1066" s="6">
        <f>'Утв. ИП 2014-2019'!B1068</f>
        <v>0</v>
      </c>
      <c r="C1066" s="7" t="str">
        <f>'Утв. ИП 2014-2019'!C1068</f>
        <v>строительство</v>
      </c>
      <c r="D1066" s="8"/>
      <c r="E1066" s="8"/>
      <c r="F1066" s="8"/>
      <c r="G1066" s="8"/>
      <c r="H1066" s="8"/>
      <c r="I1066" s="8"/>
      <c r="J1066" s="23"/>
      <c r="K1066" s="170"/>
      <c r="L1066" s="170"/>
      <c r="M1066" s="170"/>
      <c r="N1066" s="170"/>
      <c r="O1066" s="170"/>
      <c r="P1066" s="170"/>
      <c r="Q1066" s="170"/>
      <c r="R1066" s="166"/>
      <c r="S1066" s="167"/>
      <c r="T1066" s="168"/>
      <c r="U1066" s="167"/>
      <c r="V1066" s="168"/>
      <c r="W1066" s="169"/>
      <c r="X1066" s="168"/>
      <c r="Y1066" s="169"/>
      <c r="Z1066" s="168"/>
      <c r="AA1066" s="169"/>
      <c r="AB1066" s="168"/>
      <c r="AC1066" s="169"/>
      <c r="AE1066" s="133"/>
    </row>
    <row r="1067" spans="1:31" ht="15.75" hidden="1" outlineLevel="1" collapsed="1" x14ac:dyDescent="0.2">
      <c r="A1067" s="25" t="str">
        <f>'Утв. ИП 2014-2019'!A1069</f>
        <v>1.1.5.2.131/13</v>
      </c>
      <c r="B1067" s="6" t="str">
        <f>'Утв. ИП 2014-2019'!B1069</f>
        <v>3.2.276</v>
      </c>
      <c r="C1067" s="7" t="str">
        <f>'Утв. ИП 2014-2019'!C1069</f>
        <v>Электроснабжение садовых домиков в НТС "Металлург-3"</v>
      </c>
      <c r="D1067" s="8"/>
      <c r="E1067" s="8" t="str">
        <f>'Утв. ИП 2014-2019'!L1069</f>
        <v>0,0 км/ 0 МВА</v>
      </c>
      <c r="F1067" s="8"/>
      <c r="G1067" s="8"/>
      <c r="H1067" s="8"/>
      <c r="I1067" s="8"/>
      <c r="J1067" s="23" t="str">
        <f>'Утв. ИП 2014-2019'!Q1069</f>
        <v>0,0 км/ 0 МВА</v>
      </c>
      <c r="K1067" s="170"/>
      <c r="L1067" s="170"/>
      <c r="M1067" s="170"/>
      <c r="N1067" s="170"/>
      <c r="O1067" s="170"/>
      <c r="P1067" s="170"/>
      <c r="Q1067" s="170"/>
      <c r="R1067" s="136"/>
      <c r="S1067" s="137"/>
      <c r="T1067" s="128"/>
      <c r="U1067" s="137"/>
      <c r="V1067" s="128"/>
      <c r="W1067" s="49"/>
      <c r="X1067" s="128"/>
      <c r="Y1067" s="49"/>
      <c r="Z1067" s="128"/>
      <c r="AA1067" s="49"/>
      <c r="AB1067" s="128"/>
      <c r="AC1067" s="49"/>
      <c r="AE1067" s="133"/>
    </row>
    <row r="1068" spans="1:31" ht="15.75" hidden="1" outlineLevel="2" x14ac:dyDescent="0.2">
      <c r="A1068" s="25">
        <f>'Утв. ИП 2014-2019'!A1070</f>
        <v>0</v>
      </c>
      <c r="B1068" s="6">
        <f>'Утв. ИП 2014-2019'!B1070</f>
        <v>0</v>
      </c>
      <c r="C1068" s="7" t="str">
        <f>'Утв. ИП 2014-2019'!C1070</f>
        <v>реконструкция</v>
      </c>
      <c r="D1068" s="8"/>
      <c r="E1068" s="8"/>
      <c r="F1068" s="8"/>
      <c r="G1068" s="8"/>
      <c r="H1068" s="8"/>
      <c r="I1068" s="8"/>
      <c r="J1068" s="23"/>
      <c r="K1068" s="170"/>
      <c r="L1068" s="170"/>
      <c r="M1068" s="170"/>
      <c r="N1068" s="170"/>
      <c r="O1068" s="170"/>
      <c r="P1068" s="170"/>
      <c r="Q1068" s="170"/>
      <c r="R1068" s="136"/>
      <c r="S1068" s="137"/>
      <c r="T1068" s="128"/>
      <c r="U1068" s="137"/>
      <c r="V1068" s="128"/>
      <c r="W1068" s="49"/>
      <c r="X1068" s="128"/>
      <c r="Y1068" s="49"/>
      <c r="Z1068" s="128"/>
      <c r="AA1068" s="49"/>
      <c r="AB1068" s="128"/>
      <c r="AC1068" s="49"/>
      <c r="AE1068" s="133"/>
    </row>
    <row r="1069" spans="1:31" ht="15.75" hidden="1" outlineLevel="2" x14ac:dyDescent="0.2">
      <c r="A1069" s="25">
        <f>'Утв. ИП 2014-2019'!A1071</f>
        <v>0</v>
      </c>
      <c r="B1069" s="6">
        <f>'Утв. ИП 2014-2019'!B1071</f>
        <v>0</v>
      </c>
      <c r="C1069" s="7" t="str">
        <f>'Утв. ИП 2014-2019'!C1071</f>
        <v>строительство</v>
      </c>
      <c r="D1069" s="8"/>
      <c r="E1069" s="8"/>
      <c r="F1069" s="8"/>
      <c r="G1069" s="8"/>
      <c r="H1069" s="8"/>
      <c r="I1069" s="8"/>
      <c r="J1069" s="23"/>
      <c r="K1069" s="170"/>
      <c r="L1069" s="170"/>
      <c r="M1069" s="170"/>
      <c r="N1069" s="170"/>
      <c r="O1069" s="170"/>
      <c r="P1069" s="170"/>
      <c r="Q1069" s="170"/>
      <c r="R1069" s="136"/>
      <c r="S1069" s="137"/>
      <c r="T1069" s="128"/>
      <c r="U1069" s="137"/>
      <c r="V1069" s="128"/>
      <c r="W1069" s="49"/>
      <c r="X1069" s="128"/>
      <c r="Y1069" s="49"/>
      <c r="Z1069" s="128"/>
      <c r="AA1069" s="49"/>
      <c r="AB1069" s="128"/>
      <c r="AC1069" s="49"/>
      <c r="AE1069" s="133"/>
    </row>
    <row r="1070" spans="1:31" ht="25.5" hidden="1" outlineLevel="1" collapsed="1" x14ac:dyDescent="0.2">
      <c r="A1070" s="25" t="str">
        <f>'Утв. ИП 2014-2019'!A1072</f>
        <v>1.1.5.2.132/13</v>
      </c>
      <c r="B1070" s="6" t="str">
        <f>'Утв. ИП 2014-2019'!B1072</f>
        <v>3.2.277</v>
      </c>
      <c r="C1070" s="7" t="str">
        <f>'Утв. ИП 2014-2019'!C1072</f>
        <v>Электроснабжение жилого дома по адресу: г. Липецк, ул. 2-я Крымская, д. 33</v>
      </c>
      <c r="D1070" s="8"/>
      <c r="E1070" s="8" t="str">
        <f>'Утв. ИП 2014-2019'!L1072</f>
        <v>0,1 км/ 0 МВА</v>
      </c>
      <c r="F1070" s="8"/>
      <c r="G1070" s="8"/>
      <c r="H1070" s="8"/>
      <c r="I1070" s="8"/>
      <c r="J1070" s="23" t="str">
        <f>'Утв. ИП 2014-2019'!Q1072</f>
        <v>0,1 км/ 0 МВА</v>
      </c>
      <c r="K1070" s="170"/>
      <c r="L1070" s="170"/>
      <c r="M1070" s="170"/>
      <c r="N1070" s="170"/>
      <c r="O1070" s="170"/>
      <c r="P1070" s="170"/>
      <c r="Q1070" s="170"/>
      <c r="R1070" s="166"/>
      <c r="S1070" s="167"/>
      <c r="T1070" s="168"/>
      <c r="U1070" s="167"/>
      <c r="V1070" s="168"/>
      <c r="W1070" s="169"/>
      <c r="X1070" s="168"/>
      <c r="Y1070" s="169"/>
      <c r="Z1070" s="168"/>
      <c r="AA1070" s="169"/>
      <c r="AB1070" s="168"/>
      <c r="AC1070" s="169"/>
      <c r="AE1070" s="133"/>
    </row>
    <row r="1071" spans="1:31" ht="15.75" hidden="1" outlineLevel="2" x14ac:dyDescent="0.2">
      <c r="A1071" s="25">
        <f>'Утв. ИП 2014-2019'!A1073</f>
        <v>0</v>
      </c>
      <c r="B1071" s="6">
        <f>'Утв. ИП 2014-2019'!B1073</f>
        <v>0</v>
      </c>
      <c r="C1071" s="7" t="str">
        <f>'Утв. ИП 2014-2019'!C1073</f>
        <v>реконструкция</v>
      </c>
      <c r="D1071" s="8"/>
      <c r="E1071" s="8"/>
      <c r="F1071" s="8"/>
      <c r="G1071" s="8"/>
      <c r="H1071" s="8"/>
      <c r="I1071" s="8"/>
      <c r="J1071" s="23"/>
      <c r="K1071" s="170"/>
      <c r="L1071" s="170"/>
      <c r="M1071" s="170"/>
      <c r="N1071" s="170"/>
      <c r="O1071" s="170"/>
      <c r="P1071" s="170"/>
      <c r="Q1071" s="170"/>
      <c r="R1071" s="166"/>
      <c r="S1071" s="167"/>
      <c r="T1071" s="168"/>
      <c r="U1071" s="167"/>
      <c r="V1071" s="168"/>
      <c r="W1071" s="169"/>
      <c r="X1071" s="168"/>
      <c r="Y1071" s="169"/>
      <c r="Z1071" s="168"/>
      <c r="AA1071" s="169"/>
      <c r="AB1071" s="168"/>
      <c r="AC1071" s="169"/>
      <c r="AE1071" s="133"/>
    </row>
    <row r="1072" spans="1:31" ht="15.75" hidden="1" outlineLevel="2" x14ac:dyDescent="0.2">
      <c r="A1072" s="25">
        <f>'Утв. ИП 2014-2019'!A1074</f>
        <v>0</v>
      </c>
      <c r="B1072" s="6">
        <f>'Утв. ИП 2014-2019'!B1074</f>
        <v>0</v>
      </c>
      <c r="C1072" s="7" t="str">
        <f>'Утв. ИП 2014-2019'!C1074</f>
        <v>строительство</v>
      </c>
      <c r="D1072" s="8"/>
      <c r="E1072" s="8"/>
      <c r="F1072" s="8"/>
      <c r="G1072" s="8"/>
      <c r="H1072" s="8"/>
      <c r="I1072" s="8"/>
      <c r="J1072" s="23"/>
      <c r="K1072" s="170"/>
      <c r="L1072" s="170"/>
      <c r="M1072" s="170"/>
      <c r="N1072" s="170"/>
      <c r="O1072" s="170"/>
      <c r="P1072" s="170"/>
      <c r="Q1072" s="170"/>
      <c r="R1072" s="166"/>
      <c r="S1072" s="167"/>
      <c r="T1072" s="168"/>
      <c r="U1072" s="167"/>
      <c r="V1072" s="168"/>
      <c r="W1072" s="169"/>
      <c r="X1072" s="168"/>
      <c r="Y1072" s="169"/>
      <c r="Z1072" s="168"/>
      <c r="AA1072" s="169"/>
      <c r="AB1072" s="168"/>
      <c r="AC1072" s="169"/>
      <c r="AE1072" s="133"/>
    </row>
    <row r="1073" spans="1:31" ht="25.5" hidden="1" outlineLevel="1" collapsed="1" x14ac:dyDescent="0.2">
      <c r="A1073" s="25" t="str">
        <f>'Утв. ИП 2014-2019'!A1075</f>
        <v>1.1.5.2.133/13</v>
      </c>
      <c r="B1073" s="6" t="str">
        <f>'Утв. ИП 2014-2019'!B1075</f>
        <v>3.2.278</v>
      </c>
      <c r="C1073" s="7" t="str">
        <f>'Утв. ИП 2014-2019'!C1075</f>
        <v>Электроснабжение кирпичного гаража № 45 с погребом по адресу: г. Липецк, ГК № 2 "За рулем", линия № 12</v>
      </c>
      <c r="D1073" s="8"/>
      <c r="E1073" s="8" t="str">
        <f>'Утв. ИП 2014-2019'!L1075</f>
        <v>0,0 км/ 0 МВА</v>
      </c>
      <c r="F1073" s="8"/>
      <c r="G1073" s="8"/>
      <c r="H1073" s="8"/>
      <c r="I1073" s="8"/>
      <c r="J1073" s="23" t="str">
        <f>'Утв. ИП 2014-2019'!Q1075</f>
        <v>0,0 км/ 0 МВА</v>
      </c>
      <c r="K1073" s="170"/>
      <c r="L1073" s="170"/>
      <c r="M1073" s="170"/>
      <c r="N1073" s="170"/>
      <c r="O1073" s="170"/>
      <c r="P1073" s="170"/>
      <c r="Q1073" s="170"/>
      <c r="R1073" s="136"/>
      <c r="S1073" s="137"/>
      <c r="T1073" s="128"/>
      <c r="U1073" s="137"/>
      <c r="V1073" s="128"/>
      <c r="W1073" s="49"/>
      <c r="X1073" s="128"/>
      <c r="Y1073" s="49"/>
      <c r="Z1073" s="128"/>
      <c r="AA1073" s="49"/>
      <c r="AB1073" s="128"/>
      <c r="AC1073" s="49"/>
      <c r="AE1073" s="133"/>
    </row>
    <row r="1074" spans="1:31" ht="15.75" hidden="1" outlineLevel="2" x14ac:dyDescent="0.2">
      <c r="A1074" s="25">
        <f>'Утв. ИП 2014-2019'!A1076</f>
        <v>0</v>
      </c>
      <c r="B1074" s="6">
        <f>'Утв. ИП 2014-2019'!B1076</f>
        <v>0</v>
      </c>
      <c r="C1074" s="7" t="str">
        <f>'Утв. ИП 2014-2019'!C1076</f>
        <v>реконструкция</v>
      </c>
      <c r="D1074" s="8"/>
      <c r="E1074" s="8"/>
      <c r="F1074" s="8"/>
      <c r="G1074" s="8"/>
      <c r="H1074" s="8"/>
      <c r="I1074" s="8"/>
      <c r="J1074" s="23"/>
      <c r="K1074" s="170"/>
      <c r="L1074" s="170"/>
      <c r="M1074" s="170"/>
      <c r="N1074" s="170"/>
      <c r="O1074" s="170"/>
      <c r="P1074" s="170"/>
      <c r="Q1074" s="170"/>
      <c r="R1074" s="136"/>
      <c r="S1074" s="137"/>
      <c r="T1074" s="128"/>
      <c r="U1074" s="137"/>
      <c r="V1074" s="128"/>
      <c r="W1074" s="49"/>
      <c r="X1074" s="128"/>
      <c r="Y1074" s="49"/>
      <c r="Z1074" s="128"/>
      <c r="AA1074" s="49"/>
      <c r="AB1074" s="128"/>
      <c r="AC1074" s="49"/>
      <c r="AE1074" s="133"/>
    </row>
    <row r="1075" spans="1:31" ht="15.75" hidden="1" outlineLevel="2" x14ac:dyDescent="0.2">
      <c r="A1075" s="25">
        <f>'Утв. ИП 2014-2019'!A1077</f>
        <v>0</v>
      </c>
      <c r="B1075" s="6">
        <f>'Утв. ИП 2014-2019'!B1077</f>
        <v>0</v>
      </c>
      <c r="C1075" s="7" t="str">
        <f>'Утв. ИП 2014-2019'!C1077</f>
        <v>строительство</v>
      </c>
      <c r="D1075" s="8"/>
      <c r="E1075" s="8"/>
      <c r="F1075" s="8"/>
      <c r="G1075" s="8"/>
      <c r="H1075" s="8"/>
      <c r="I1075" s="8"/>
      <c r="J1075" s="23"/>
      <c r="K1075" s="170"/>
      <c r="L1075" s="170"/>
      <c r="M1075" s="170"/>
      <c r="N1075" s="170"/>
      <c r="O1075" s="170"/>
      <c r="P1075" s="170"/>
      <c r="Q1075" s="170"/>
      <c r="R1075" s="136"/>
      <c r="S1075" s="137"/>
      <c r="T1075" s="128"/>
      <c r="U1075" s="137"/>
      <c r="V1075" s="128"/>
      <c r="W1075" s="49"/>
      <c r="X1075" s="128"/>
      <c r="Y1075" s="49"/>
      <c r="Z1075" s="128"/>
      <c r="AA1075" s="49"/>
      <c r="AB1075" s="128"/>
      <c r="AC1075" s="49"/>
      <c r="AE1075" s="133"/>
    </row>
    <row r="1076" spans="1:31" ht="25.5" hidden="1" outlineLevel="1" collapsed="1" x14ac:dyDescent="0.2">
      <c r="A1076" s="25" t="str">
        <f>'Утв. ИП 2014-2019'!A1078</f>
        <v>1.1.5.2.134/13</v>
      </c>
      <c r="B1076" s="6" t="str">
        <f>'Утв. ИП 2014-2019'!B1078</f>
        <v>3.2.279</v>
      </c>
      <c r="C1076" s="7" t="str">
        <f>'Утв. ИП 2014-2019'!C1078</f>
        <v>Электроснабжение садового домика по адресу: г. Липецк, СНТ "Сокол-2", участок № 900</v>
      </c>
      <c r="D1076" s="8" t="str">
        <f>'Утв. ИП 2014-2019'!K1078</f>
        <v>0,5 км/ 0 МВА</v>
      </c>
      <c r="E1076" s="8"/>
      <c r="F1076" s="8"/>
      <c r="G1076" s="8"/>
      <c r="H1076" s="8"/>
      <c r="I1076" s="8"/>
      <c r="J1076" s="23" t="str">
        <f>'Утв. ИП 2014-2019'!Q1078</f>
        <v>0,5 км/ 0 МВА</v>
      </c>
      <c r="K1076" s="170"/>
      <c r="L1076" s="170"/>
      <c r="M1076" s="170"/>
      <c r="N1076" s="170"/>
      <c r="O1076" s="170"/>
      <c r="P1076" s="170"/>
      <c r="Q1076" s="170"/>
      <c r="R1076" s="136"/>
      <c r="S1076" s="137"/>
      <c r="T1076" s="128"/>
      <c r="U1076" s="137"/>
      <c r="V1076" s="128"/>
      <c r="W1076" s="49"/>
      <c r="X1076" s="128"/>
      <c r="Y1076" s="49"/>
      <c r="Z1076" s="128"/>
      <c r="AA1076" s="49"/>
      <c r="AB1076" s="128"/>
      <c r="AC1076" s="49"/>
      <c r="AE1076" s="133"/>
    </row>
    <row r="1077" spans="1:31" ht="15.75" hidden="1" outlineLevel="2" x14ac:dyDescent="0.2">
      <c r="A1077" s="25">
        <f>'Утв. ИП 2014-2019'!A1079</f>
        <v>0</v>
      </c>
      <c r="B1077" s="6">
        <f>'Утв. ИП 2014-2019'!B1079</f>
        <v>0</v>
      </c>
      <c r="C1077" s="7" t="str">
        <f>'Утв. ИП 2014-2019'!C1079</f>
        <v>реконструкция</v>
      </c>
      <c r="D1077" s="8"/>
      <c r="E1077" s="8"/>
      <c r="F1077" s="8"/>
      <c r="G1077" s="8"/>
      <c r="H1077" s="8"/>
      <c r="I1077" s="8"/>
      <c r="J1077" s="23"/>
      <c r="K1077" s="170"/>
      <c r="L1077" s="170"/>
      <c r="M1077" s="170"/>
      <c r="N1077" s="170"/>
      <c r="O1077" s="170"/>
      <c r="P1077" s="170"/>
      <c r="Q1077" s="170"/>
      <c r="R1077" s="136"/>
      <c r="S1077" s="137"/>
      <c r="T1077" s="128"/>
      <c r="U1077" s="137"/>
      <c r="V1077" s="128"/>
      <c r="W1077" s="49"/>
      <c r="X1077" s="128"/>
      <c r="Y1077" s="49"/>
      <c r="Z1077" s="128"/>
      <c r="AA1077" s="49"/>
      <c r="AB1077" s="128"/>
      <c r="AC1077" s="49"/>
      <c r="AE1077" s="133"/>
    </row>
    <row r="1078" spans="1:31" ht="15.75" hidden="1" outlineLevel="2" x14ac:dyDescent="0.2">
      <c r="A1078" s="25">
        <f>'Утв. ИП 2014-2019'!A1080</f>
        <v>0</v>
      </c>
      <c r="B1078" s="6">
        <f>'Утв. ИП 2014-2019'!B1080</f>
        <v>0</v>
      </c>
      <c r="C1078" s="7" t="str">
        <f>'Утв. ИП 2014-2019'!C1080</f>
        <v>строительство</v>
      </c>
      <c r="D1078" s="8"/>
      <c r="E1078" s="8"/>
      <c r="F1078" s="8"/>
      <c r="G1078" s="8"/>
      <c r="H1078" s="8"/>
      <c r="I1078" s="8"/>
      <c r="J1078" s="23"/>
      <c r="K1078" s="170"/>
      <c r="L1078" s="170"/>
      <c r="M1078" s="170"/>
      <c r="N1078" s="170"/>
      <c r="O1078" s="170"/>
      <c r="P1078" s="170"/>
      <c r="Q1078" s="170"/>
      <c r="R1078" s="136"/>
      <c r="S1078" s="137"/>
      <c r="T1078" s="128"/>
      <c r="U1078" s="137"/>
      <c r="V1078" s="128"/>
      <c r="W1078" s="49"/>
      <c r="X1078" s="128"/>
      <c r="Y1078" s="49"/>
      <c r="Z1078" s="128"/>
      <c r="AA1078" s="49"/>
      <c r="AB1078" s="128"/>
      <c r="AC1078" s="49"/>
      <c r="AE1078" s="133"/>
    </row>
    <row r="1079" spans="1:31" ht="38.25" hidden="1" outlineLevel="1" collapsed="1" x14ac:dyDescent="0.2">
      <c r="A1079" s="25" t="str">
        <f>'Утв. ИП 2014-2019'!A1081</f>
        <v>1.1.5.2.135/13</v>
      </c>
      <c r="B1079" s="6" t="str">
        <f>'Утв. ИП 2014-2019'!B1081</f>
        <v>3.2.280</v>
      </c>
      <c r="C1079" s="7" t="str">
        <f>'Утв. ИП 2014-2019'!C1081</f>
        <v>Электроснабжение индивидуальный жилой дом по адресу: г. Липецк, с. Сселки, № 372 (по схеме, кадастровый № 48:20:0210301:413)</v>
      </c>
      <c r="D1079" s="8" t="str">
        <f>'Утв. ИП 2014-2019'!K1081</f>
        <v>0,0 км/ 0 МВА</v>
      </c>
      <c r="E1079" s="8"/>
      <c r="F1079" s="8"/>
      <c r="G1079" s="8"/>
      <c r="H1079" s="8"/>
      <c r="I1079" s="8"/>
      <c r="J1079" s="23" t="str">
        <f>'Утв. ИП 2014-2019'!Q1081</f>
        <v>0,0 км/ 0 МВА</v>
      </c>
      <c r="K1079" s="170"/>
      <c r="L1079" s="170"/>
      <c r="M1079" s="170"/>
      <c r="N1079" s="170"/>
      <c r="O1079" s="170"/>
      <c r="P1079" s="170"/>
      <c r="Q1079" s="170"/>
      <c r="R1079" s="136"/>
      <c r="S1079" s="137"/>
      <c r="T1079" s="128"/>
      <c r="U1079" s="137"/>
      <c r="V1079" s="128"/>
      <c r="W1079" s="49"/>
      <c r="X1079" s="128"/>
      <c r="Y1079" s="49"/>
      <c r="Z1079" s="128"/>
      <c r="AA1079" s="49"/>
      <c r="AB1079" s="128"/>
      <c r="AC1079" s="49"/>
      <c r="AE1079" s="133"/>
    </row>
    <row r="1080" spans="1:31" ht="15.75" hidden="1" outlineLevel="2" x14ac:dyDescent="0.2">
      <c r="A1080" s="25">
        <f>'Утв. ИП 2014-2019'!A1082</f>
        <v>0</v>
      </c>
      <c r="B1080" s="6">
        <f>'Утв. ИП 2014-2019'!B1082</f>
        <v>0</v>
      </c>
      <c r="C1080" s="7" t="str">
        <f>'Утв. ИП 2014-2019'!C1082</f>
        <v>реконструкция</v>
      </c>
      <c r="D1080" s="8"/>
      <c r="E1080" s="8"/>
      <c r="F1080" s="8"/>
      <c r="G1080" s="8"/>
      <c r="H1080" s="8"/>
      <c r="I1080" s="8"/>
      <c r="J1080" s="23"/>
      <c r="K1080" s="170"/>
      <c r="L1080" s="170"/>
      <c r="M1080" s="170"/>
      <c r="N1080" s="170"/>
      <c r="O1080" s="170"/>
      <c r="P1080" s="170"/>
      <c r="Q1080" s="170"/>
      <c r="R1080" s="136"/>
      <c r="S1080" s="137"/>
      <c r="T1080" s="128"/>
      <c r="U1080" s="137"/>
      <c r="V1080" s="128"/>
      <c r="W1080" s="49"/>
      <c r="X1080" s="128"/>
      <c r="Y1080" s="49"/>
      <c r="Z1080" s="128"/>
      <c r="AA1080" s="49"/>
      <c r="AB1080" s="128"/>
      <c r="AC1080" s="49"/>
      <c r="AE1080" s="133"/>
    </row>
    <row r="1081" spans="1:31" ht="15.75" hidden="1" outlineLevel="2" x14ac:dyDescent="0.2">
      <c r="A1081" s="25">
        <f>'Утв. ИП 2014-2019'!A1083</f>
        <v>0</v>
      </c>
      <c r="B1081" s="6">
        <f>'Утв. ИП 2014-2019'!B1083</f>
        <v>0</v>
      </c>
      <c r="C1081" s="7" t="str">
        <f>'Утв. ИП 2014-2019'!C1083</f>
        <v>строительство</v>
      </c>
      <c r="D1081" s="8"/>
      <c r="E1081" s="8"/>
      <c r="F1081" s="8"/>
      <c r="G1081" s="8"/>
      <c r="H1081" s="8"/>
      <c r="I1081" s="8"/>
      <c r="J1081" s="23"/>
      <c r="K1081" s="170"/>
      <c r="L1081" s="170"/>
      <c r="M1081" s="170"/>
      <c r="N1081" s="170"/>
      <c r="O1081" s="170"/>
      <c r="P1081" s="170"/>
      <c r="Q1081" s="170"/>
      <c r="R1081" s="136"/>
      <c r="S1081" s="137"/>
      <c r="T1081" s="128"/>
      <c r="U1081" s="137"/>
      <c r="V1081" s="128"/>
      <c r="W1081" s="49"/>
      <c r="X1081" s="128"/>
      <c r="Y1081" s="49"/>
      <c r="Z1081" s="128"/>
      <c r="AA1081" s="49"/>
      <c r="AB1081" s="128"/>
      <c r="AC1081" s="49"/>
      <c r="AE1081" s="133"/>
    </row>
    <row r="1082" spans="1:31" ht="25.5" hidden="1" outlineLevel="1" collapsed="1" x14ac:dyDescent="0.2">
      <c r="A1082" s="25" t="str">
        <f>'Утв. ИП 2014-2019'!A1084</f>
        <v>1.1.5.2.136/13</v>
      </c>
      <c r="B1082" s="6" t="str">
        <f>'Утв. ИП 2014-2019'!B1084</f>
        <v>3.2.281</v>
      </c>
      <c r="C1082" s="7" t="str">
        <f>'Утв. ИП 2014-2019'!C1084</f>
        <v>Электроснабжение садового домика по адресу: г. Липецк, СНТ "Дачный-1", участок № 774</v>
      </c>
      <c r="D1082" s="8"/>
      <c r="E1082" s="8" t="str">
        <f>'Утв. ИП 2014-2019'!L1084</f>
        <v>0,0 км/ 0 МВА</v>
      </c>
      <c r="F1082" s="8"/>
      <c r="G1082" s="8"/>
      <c r="H1082" s="8"/>
      <c r="I1082" s="8"/>
      <c r="J1082" s="23" t="str">
        <f>'Утв. ИП 2014-2019'!Q1084</f>
        <v>0,0 км/ 0 МВА</v>
      </c>
      <c r="K1082" s="170"/>
      <c r="L1082" s="170"/>
      <c r="M1082" s="170"/>
      <c r="N1082" s="170"/>
      <c r="O1082" s="170"/>
      <c r="P1082" s="170"/>
      <c r="Q1082" s="170"/>
      <c r="R1082" s="136"/>
      <c r="S1082" s="137"/>
      <c r="T1082" s="128"/>
      <c r="U1082" s="137"/>
      <c r="V1082" s="128"/>
      <c r="W1082" s="49"/>
      <c r="X1082" s="128"/>
      <c r="Y1082" s="49"/>
      <c r="Z1082" s="128"/>
      <c r="AA1082" s="49"/>
      <c r="AB1082" s="128"/>
      <c r="AC1082" s="49"/>
      <c r="AE1082" s="133"/>
    </row>
    <row r="1083" spans="1:31" ht="15.75" hidden="1" outlineLevel="2" x14ac:dyDescent="0.2">
      <c r="A1083" s="25">
        <f>'Утв. ИП 2014-2019'!A1085</f>
        <v>0</v>
      </c>
      <c r="B1083" s="6">
        <f>'Утв. ИП 2014-2019'!B1085</f>
        <v>0</v>
      </c>
      <c r="C1083" s="7" t="str">
        <f>'Утв. ИП 2014-2019'!C1085</f>
        <v>реконструкция</v>
      </c>
      <c r="D1083" s="8"/>
      <c r="E1083" s="8"/>
      <c r="F1083" s="8"/>
      <c r="G1083" s="8"/>
      <c r="H1083" s="8"/>
      <c r="I1083" s="8"/>
      <c r="J1083" s="23"/>
      <c r="K1083" s="170"/>
      <c r="L1083" s="170"/>
      <c r="M1083" s="170"/>
      <c r="N1083" s="170"/>
      <c r="O1083" s="170"/>
      <c r="P1083" s="170"/>
      <c r="Q1083" s="170"/>
      <c r="R1083" s="136"/>
      <c r="S1083" s="137"/>
      <c r="T1083" s="128"/>
      <c r="U1083" s="137"/>
      <c r="V1083" s="128"/>
      <c r="W1083" s="49"/>
      <c r="X1083" s="128"/>
      <c r="Y1083" s="49"/>
      <c r="Z1083" s="128"/>
      <c r="AA1083" s="49"/>
      <c r="AB1083" s="128"/>
      <c r="AC1083" s="49"/>
      <c r="AE1083" s="133"/>
    </row>
    <row r="1084" spans="1:31" ht="15.75" hidden="1" outlineLevel="2" x14ac:dyDescent="0.2">
      <c r="A1084" s="25">
        <f>'Утв. ИП 2014-2019'!A1086</f>
        <v>0</v>
      </c>
      <c r="B1084" s="6">
        <f>'Утв. ИП 2014-2019'!B1086</f>
        <v>0</v>
      </c>
      <c r="C1084" s="7" t="str">
        <f>'Утв. ИП 2014-2019'!C1086</f>
        <v>строительство</v>
      </c>
      <c r="D1084" s="8"/>
      <c r="E1084" s="8"/>
      <c r="F1084" s="8"/>
      <c r="G1084" s="8"/>
      <c r="H1084" s="8"/>
      <c r="I1084" s="8"/>
      <c r="J1084" s="23"/>
      <c r="K1084" s="170"/>
      <c r="L1084" s="170"/>
      <c r="M1084" s="170"/>
      <c r="N1084" s="170"/>
      <c r="O1084" s="170"/>
      <c r="P1084" s="170"/>
      <c r="Q1084" s="170"/>
      <c r="R1084" s="136"/>
      <c r="S1084" s="137"/>
      <c r="T1084" s="128"/>
      <c r="U1084" s="137"/>
      <c r="V1084" s="128"/>
      <c r="W1084" s="49"/>
      <c r="X1084" s="128"/>
      <c r="Y1084" s="49"/>
      <c r="Z1084" s="128"/>
      <c r="AA1084" s="49"/>
      <c r="AB1084" s="128"/>
      <c r="AC1084" s="49"/>
      <c r="AE1084" s="133"/>
    </row>
    <row r="1085" spans="1:31" ht="25.5" hidden="1" outlineLevel="1" collapsed="1" x14ac:dyDescent="0.2">
      <c r="A1085" s="25" t="str">
        <f>'Утв. ИП 2014-2019'!A1087</f>
        <v>1.1.5.2.137/13</v>
      </c>
      <c r="B1085" s="6" t="str">
        <f>'Утв. ИП 2014-2019'!B1087</f>
        <v>3.2.282</v>
      </c>
      <c r="C1085" s="7" t="str">
        <f>'Утв. ИП 2014-2019'!C1087</f>
        <v>Электроснабжение магазина непродовольственных товаров по адресу: г. Липецк, пр. Мира, д. 21, кв. 10</v>
      </c>
      <c r="D1085" s="8" t="str">
        <f>'Утв. ИП 2014-2019'!K1087</f>
        <v>0,2 км/ 0 МВА</v>
      </c>
      <c r="E1085" s="8"/>
      <c r="F1085" s="8"/>
      <c r="G1085" s="8"/>
      <c r="H1085" s="8"/>
      <c r="I1085" s="8"/>
      <c r="J1085" s="23" t="str">
        <f>'Утв. ИП 2014-2019'!Q1087</f>
        <v>0,2 км/ 0 МВА</v>
      </c>
      <c r="K1085" s="170"/>
      <c r="L1085" s="170"/>
      <c r="M1085" s="170"/>
      <c r="N1085" s="170"/>
      <c r="O1085" s="170"/>
      <c r="P1085" s="170"/>
      <c r="Q1085" s="170"/>
      <c r="R1085" s="136"/>
      <c r="S1085" s="137"/>
      <c r="T1085" s="128"/>
      <c r="U1085" s="137"/>
      <c r="V1085" s="128"/>
      <c r="W1085" s="49"/>
      <c r="X1085" s="128"/>
      <c r="Y1085" s="49"/>
      <c r="Z1085" s="128"/>
      <c r="AA1085" s="49"/>
      <c r="AB1085" s="128"/>
      <c r="AC1085" s="49"/>
      <c r="AE1085" s="133"/>
    </row>
    <row r="1086" spans="1:31" ht="15.75" hidden="1" outlineLevel="2" x14ac:dyDescent="0.2">
      <c r="A1086" s="25">
        <f>'Утв. ИП 2014-2019'!A1088</f>
        <v>0</v>
      </c>
      <c r="B1086" s="6">
        <f>'Утв. ИП 2014-2019'!B1088</f>
        <v>0</v>
      </c>
      <c r="C1086" s="7" t="str">
        <f>'Утв. ИП 2014-2019'!C1088</f>
        <v>реконструкция</v>
      </c>
      <c r="D1086" s="8"/>
      <c r="E1086" s="8"/>
      <c r="F1086" s="8"/>
      <c r="G1086" s="8"/>
      <c r="H1086" s="8"/>
      <c r="I1086" s="8"/>
      <c r="J1086" s="23"/>
      <c r="K1086" s="170"/>
      <c r="L1086" s="170"/>
      <c r="M1086" s="170"/>
      <c r="N1086" s="170"/>
      <c r="O1086" s="170"/>
      <c r="P1086" s="170"/>
      <c r="Q1086" s="170"/>
      <c r="R1086" s="136"/>
      <c r="S1086" s="137"/>
      <c r="T1086" s="128"/>
      <c r="U1086" s="137"/>
      <c r="V1086" s="128"/>
      <c r="W1086" s="49"/>
      <c r="X1086" s="128"/>
      <c r="Y1086" s="49"/>
      <c r="Z1086" s="128"/>
      <c r="AA1086" s="49"/>
      <c r="AB1086" s="128"/>
      <c r="AC1086" s="49"/>
      <c r="AE1086" s="133"/>
    </row>
    <row r="1087" spans="1:31" ht="15.75" hidden="1" outlineLevel="2" x14ac:dyDescent="0.2">
      <c r="A1087" s="25">
        <f>'Утв. ИП 2014-2019'!A1089</f>
        <v>0</v>
      </c>
      <c r="B1087" s="6">
        <f>'Утв. ИП 2014-2019'!B1089</f>
        <v>0</v>
      </c>
      <c r="C1087" s="7" t="str">
        <f>'Утв. ИП 2014-2019'!C1089</f>
        <v>строительство</v>
      </c>
      <c r="D1087" s="8"/>
      <c r="E1087" s="8"/>
      <c r="F1087" s="8"/>
      <c r="G1087" s="8"/>
      <c r="H1087" s="8"/>
      <c r="I1087" s="8"/>
      <c r="J1087" s="23"/>
      <c r="K1087" s="170"/>
      <c r="L1087" s="170"/>
      <c r="M1087" s="170"/>
      <c r="N1087" s="170"/>
      <c r="O1087" s="170"/>
      <c r="P1087" s="170"/>
      <c r="Q1087" s="170"/>
      <c r="R1087" s="136"/>
      <c r="S1087" s="137"/>
      <c r="T1087" s="128"/>
      <c r="U1087" s="137"/>
      <c r="V1087" s="128"/>
      <c r="W1087" s="49"/>
      <c r="X1087" s="128"/>
      <c r="Y1087" s="49"/>
      <c r="Z1087" s="128"/>
      <c r="AA1087" s="49"/>
      <c r="AB1087" s="128"/>
      <c r="AC1087" s="49"/>
      <c r="AE1087" s="133"/>
    </row>
    <row r="1088" spans="1:31" ht="25.5" hidden="1" outlineLevel="1" collapsed="1" x14ac:dyDescent="0.2">
      <c r="A1088" s="25" t="str">
        <f>'Утв. ИП 2014-2019'!A1090</f>
        <v>1.1.5.2.138/13</v>
      </c>
      <c r="B1088" s="6" t="str">
        <f>'Утв. ИП 2014-2019'!B1090</f>
        <v>3.2.283</v>
      </c>
      <c r="C1088" s="7" t="str">
        <f>'Утв. ИП 2014-2019'!C1090</f>
        <v>Электроснабжение СНТ "Дачный-5" по адресу: г. Липецк, поселок Дачный</v>
      </c>
      <c r="D1088" s="8"/>
      <c r="E1088" s="8" t="str">
        <f>'Утв. ИП 2014-2019'!L1090</f>
        <v>0,3 км/ 0 МВА</v>
      </c>
      <c r="F1088" s="8"/>
      <c r="G1088" s="8"/>
      <c r="H1088" s="8"/>
      <c r="I1088" s="8"/>
      <c r="J1088" s="23" t="str">
        <f>'Утв. ИП 2014-2019'!Q1090</f>
        <v>0,3 км/ 0 МВА</v>
      </c>
      <c r="K1088" s="170"/>
      <c r="L1088" s="170"/>
      <c r="M1088" s="170"/>
      <c r="N1088" s="170"/>
      <c r="O1088" s="170"/>
      <c r="P1088" s="170"/>
      <c r="Q1088" s="170"/>
      <c r="R1088" s="136"/>
      <c r="S1088" s="137"/>
      <c r="T1088" s="128"/>
      <c r="U1088" s="137"/>
      <c r="V1088" s="128"/>
      <c r="W1088" s="49"/>
      <c r="X1088" s="128"/>
      <c r="Y1088" s="49"/>
      <c r="Z1088" s="128"/>
      <c r="AA1088" s="49"/>
      <c r="AB1088" s="128"/>
      <c r="AC1088" s="49"/>
      <c r="AE1088" s="133"/>
    </row>
    <row r="1089" spans="1:31" ht="15.75" hidden="1" outlineLevel="2" x14ac:dyDescent="0.2">
      <c r="A1089" s="25">
        <f>'Утв. ИП 2014-2019'!A1091</f>
        <v>0</v>
      </c>
      <c r="B1089" s="6">
        <f>'Утв. ИП 2014-2019'!B1091</f>
        <v>0</v>
      </c>
      <c r="C1089" s="7" t="str">
        <f>'Утв. ИП 2014-2019'!C1091</f>
        <v>реконструкция</v>
      </c>
      <c r="D1089" s="8"/>
      <c r="E1089" s="8"/>
      <c r="F1089" s="8"/>
      <c r="G1089" s="8"/>
      <c r="H1089" s="8"/>
      <c r="I1089" s="8"/>
      <c r="J1089" s="23"/>
      <c r="K1089" s="170"/>
      <c r="L1089" s="170"/>
      <c r="M1089" s="170"/>
      <c r="N1089" s="170"/>
      <c r="O1089" s="170"/>
      <c r="P1089" s="170"/>
      <c r="Q1089" s="170"/>
      <c r="R1089" s="136"/>
      <c r="S1089" s="137"/>
      <c r="T1089" s="128"/>
      <c r="U1089" s="137"/>
      <c r="V1089" s="128"/>
      <c r="W1089" s="49"/>
      <c r="X1089" s="128"/>
      <c r="Y1089" s="49"/>
      <c r="Z1089" s="128"/>
      <c r="AA1089" s="49"/>
      <c r="AB1089" s="128"/>
      <c r="AC1089" s="49"/>
      <c r="AE1089" s="133"/>
    </row>
    <row r="1090" spans="1:31" ht="15.75" hidden="1" outlineLevel="2" x14ac:dyDescent="0.2">
      <c r="A1090" s="25">
        <f>'Утв. ИП 2014-2019'!A1092</f>
        <v>0</v>
      </c>
      <c r="B1090" s="6">
        <f>'Утв. ИП 2014-2019'!B1092</f>
        <v>0</v>
      </c>
      <c r="C1090" s="7" t="str">
        <f>'Утв. ИП 2014-2019'!C1092</f>
        <v>строительство</v>
      </c>
      <c r="D1090" s="8"/>
      <c r="E1090" s="8"/>
      <c r="F1090" s="8"/>
      <c r="G1090" s="8"/>
      <c r="H1090" s="8"/>
      <c r="I1090" s="8"/>
      <c r="J1090" s="23"/>
      <c r="K1090" s="170"/>
      <c r="L1090" s="170"/>
      <c r="M1090" s="170"/>
      <c r="N1090" s="170"/>
      <c r="O1090" s="170"/>
      <c r="P1090" s="170"/>
      <c r="Q1090" s="170"/>
      <c r="R1090" s="136"/>
      <c r="S1090" s="137"/>
      <c r="T1090" s="128"/>
      <c r="U1090" s="137"/>
      <c r="V1090" s="128"/>
      <c r="W1090" s="49"/>
      <c r="X1090" s="128"/>
      <c r="Y1090" s="49"/>
      <c r="Z1090" s="128"/>
      <c r="AA1090" s="49"/>
      <c r="AB1090" s="128"/>
      <c r="AC1090" s="49"/>
      <c r="AE1090" s="133"/>
    </row>
    <row r="1091" spans="1:31" ht="25.5" hidden="1" outlineLevel="1" collapsed="1" x14ac:dyDescent="0.2">
      <c r="A1091" s="25" t="str">
        <f>'Утв. ИП 2014-2019'!A1093</f>
        <v>1.1.5.2.139/13</v>
      </c>
      <c r="B1091" s="6" t="str">
        <f>'Утв. ИП 2014-2019'!B1093</f>
        <v>3.2.284</v>
      </c>
      <c r="C1091" s="7" t="str">
        <f>'Утв. ИП 2014-2019'!C1093</f>
        <v>Электроснабжение индивидуального жилого дома по адресу: г. Липецк, ул. Свободный Сокол, дом № 60 а</v>
      </c>
      <c r="D1091" s="8" t="str">
        <f>'Утв. ИП 2014-2019'!K1093</f>
        <v>0,5 км/ 0 МВА</v>
      </c>
      <c r="E1091" s="8"/>
      <c r="F1091" s="8"/>
      <c r="G1091" s="8"/>
      <c r="H1091" s="8"/>
      <c r="I1091" s="8"/>
      <c r="J1091" s="23" t="str">
        <f>'Утв. ИП 2014-2019'!Q1093</f>
        <v>0,5 км/ 0 МВА</v>
      </c>
      <c r="K1091" s="170"/>
      <c r="L1091" s="170"/>
      <c r="M1091" s="170"/>
      <c r="N1091" s="170"/>
      <c r="O1091" s="170"/>
      <c r="P1091" s="170"/>
      <c r="Q1091" s="170"/>
      <c r="R1091" s="136"/>
      <c r="S1091" s="137"/>
      <c r="T1091" s="128"/>
      <c r="U1091" s="137"/>
      <c r="V1091" s="128"/>
      <c r="W1091" s="49"/>
      <c r="X1091" s="128"/>
      <c r="Y1091" s="49"/>
      <c r="Z1091" s="128"/>
      <c r="AA1091" s="49"/>
      <c r="AB1091" s="128"/>
      <c r="AC1091" s="49"/>
      <c r="AE1091" s="133"/>
    </row>
    <row r="1092" spans="1:31" ht="15.75" hidden="1" outlineLevel="2" x14ac:dyDescent="0.2">
      <c r="A1092" s="25">
        <f>'Утв. ИП 2014-2019'!A1094</f>
        <v>0</v>
      </c>
      <c r="B1092" s="6">
        <f>'Утв. ИП 2014-2019'!B1094</f>
        <v>0</v>
      </c>
      <c r="C1092" s="7" t="str">
        <f>'Утв. ИП 2014-2019'!C1094</f>
        <v>реконструкция</v>
      </c>
      <c r="D1092" s="8"/>
      <c r="E1092" s="8"/>
      <c r="F1092" s="8"/>
      <c r="G1092" s="8"/>
      <c r="H1092" s="8"/>
      <c r="I1092" s="8"/>
      <c r="J1092" s="23"/>
      <c r="K1092" s="170"/>
      <c r="L1092" s="170"/>
      <c r="M1092" s="170"/>
      <c r="N1092" s="170"/>
      <c r="O1092" s="170"/>
      <c r="P1092" s="170"/>
      <c r="Q1092" s="170"/>
      <c r="R1092" s="136"/>
      <c r="S1092" s="137"/>
      <c r="T1092" s="128"/>
      <c r="U1092" s="137"/>
      <c r="V1092" s="128"/>
      <c r="W1092" s="49"/>
      <c r="X1092" s="128"/>
      <c r="Y1092" s="49"/>
      <c r="Z1092" s="128"/>
      <c r="AA1092" s="49"/>
      <c r="AB1092" s="128"/>
      <c r="AC1092" s="49"/>
      <c r="AE1092" s="133"/>
    </row>
    <row r="1093" spans="1:31" ht="15.75" hidden="1" outlineLevel="2" x14ac:dyDescent="0.2">
      <c r="A1093" s="25">
        <f>'Утв. ИП 2014-2019'!A1095</f>
        <v>0</v>
      </c>
      <c r="B1093" s="6">
        <f>'Утв. ИП 2014-2019'!B1095</f>
        <v>0</v>
      </c>
      <c r="C1093" s="7" t="str">
        <f>'Утв. ИП 2014-2019'!C1095</f>
        <v>строительство</v>
      </c>
      <c r="D1093" s="8"/>
      <c r="E1093" s="8"/>
      <c r="F1093" s="8"/>
      <c r="G1093" s="8"/>
      <c r="H1093" s="8"/>
      <c r="I1093" s="8"/>
      <c r="J1093" s="23"/>
      <c r="K1093" s="170"/>
      <c r="L1093" s="170"/>
      <c r="M1093" s="170"/>
      <c r="N1093" s="170"/>
      <c r="O1093" s="170"/>
      <c r="P1093" s="170"/>
      <c r="Q1093" s="170"/>
      <c r="R1093" s="136"/>
      <c r="S1093" s="137"/>
      <c r="T1093" s="128"/>
      <c r="U1093" s="137"/>
      <c r="V1093" s="128"/>
      <c r="W1093" s="49"/>
      <c r="X1093" s="128"/>
      <c r="Y1093" s="49"/>
      <c r="Z1093" s="128"/>
      <c r="AA1093" s="49"/>
      <c r="AB1093" s="128"/>
      <c r="AC1093" s="49"/>
      <c r="AE1093" s="133"/>
    </row>
    <row r="1094" spans="1:31" ht="25.5" hidden="1" outlineLevel="1" collapsed="1" x14ac:dyDescent="0.2">
      <c r="A1094" s="25" t="str">
        <f>'Утв. ИП 2014-2019'!A1096</f>
        <v>1.1.5.2.140/13</v>
      </c>
      <c r="B1094" s="6" t="str">
        <f>'Утв. ИП 2014-2019'!B1096</f>
        <v>3.2.285</v>
      </c>
      <c r="C1094" s="7" t="str">
        <f>'Утв. ИП 2014-2019'!C1096</f>
        <v>Электроснабжение жилого дома по адресу: г. Липецк, ул. Черешневая, д. № 47 (по схеме)</v>
      </c>
      <c r="D1094" s="8" t="str">
        <f>'Утв. ИП 2014-2019'!K1096</f>
        <v>0,1 км/ 0 МВА</v>
      </c>
      <c r="E1094" s="8"/>
      <c r="F1094" s="8"/>
      <c r="G1094" s="8"/>
      <c r="H1094" s="8"/>
      <c r="I1094" s="8"/>
      <c r="J1094" s="23" t="str">
        <f>'Утв. ИП 2014-2019'!Q1096</f>
        <v>0,1 км/ 0 МВА</v>
      </c>
      <c r="K1094" s="170"/>
      <c r="L1094" s="170"/>
      <c r="M1094" s="170"/>
      <c r="N1094" s="170"/>
      <c r="O1094" s="170"/>
      <c r="P1094" s="170"/>
      <c r="Q1094" s="170"/>
      <c r="R1094" s="136"/>
      <c r="S1094" s="137"/>
      <c r="T1094" s="128"/>
      <c r="U1094" s="137"/>
      <c r="V1094" s="128"/>
      <c r="W1094" s="49"/>
      <c r="X1094" s="128"/>
      <c r="Y1094" s="49"/>
      <c r="Z1094" s="128"/>
      <c r="AA1094" s="49"/>
      <c r="AB1094" s="128"/>
      <c r="AC1094" s="49"/>
      <c r="AE1094" s="133"/>
    </row>
    <row r="1095" spans="1:31" ht="15.75" hidden="1" outlineLevel="2" x14ac:dyDescent="0.2">
      <c r="A1095" s="25">
        <f>'Утв. ИП 2014-2019'!A1097</f>
        <v>0</v>
      </c>
      <c r="B1095" s="6">
        <f>'Утв. ИП 2014-2019'!B1097</f>
        <v>0</v>
      </c>
      <c r="C1095" s="7" t="str">
        <f>'Утв. ИП 2014-2019'!C1097</f>
        <v>реконструкция</v>
      </c>
      <c r="D1095" s="8"/>
      <c r="E1095" s="8"/>
      <c r="F1095" s="8"/>
      <c r="G1095" s="8"/>
      <c r="H1095" s="8"/>
      <c r="I1095" s="8"/>
      <c r="J1095" s="23"/>
      <c r="K1095" s="170"/>
      <c r="L1095" s="170"/>
      <c r="M1095" s="170"/>
      <c r="N1095" s="170"/>
      <c r="O1095" s="170"/>
      <c r="P1095" s="170"/>
      <c r="Q1095" s="170"/>
      <c r="R1095" s="136"/>
      <c r="S1095" s="137"/>
      <c r="T1095" s="128"/>
      <c r="U1095" s="137"/>
      <c r="V1095" s="128"/>
      <c r="W1095" s="49"/>
      <c r="X1095" s="128"/>
      <c r="Y1095" s="49"/>
      <c r="Z1095" s="128"/>
      <c r="AA1095" s="49"/>
      <c r="AB1095" s="128"/>
      <c r="AC1095" s="49"/>
      <c r="AE1095" s="133"/>
    </row>
    <row r="1096" spans="1:31" ht="15.75" hidden="1" outlineLevel="2" x14ac:dyDescent="0.2">
      <c r="A1096" s="25">
        <f>'Утв. ИП 2014-2019'!A1098</f>
        <v>0</v>
      </c>
      <c r="B1096" s="6">
        <f>'Утв. ИП 2014-2019'!B1098</f>
        <v>0</v>
      </c>
      <c r="C1096" s="7" t="str">
        <f>'Утв. ИП 2014-2019'!C1098</f>
        <v>строительство</v>
      </c>
      <c r="D1096" s="8"/>
      <c r="E1096" s="8"/>
      <c r="F1096" s="8"/>
      <c r="G1096" s="8"/>
      <c r="H1096" s="8"/>
      <c r="I1096" s="8"/>
      <c r="J1096" s="23"/>
      <c r="K1096" s="170"/>
      <c r="L1096" s="170"/>
      <c r="M1096" s="170"/>
      <c r="N1096" s="170"/>
      <c r="O1096" s="170"/>
      <c r="P1096" s="170"/>
      <c r="Q1096" s="170"/>
      <c r="R1096" s="136"/>
      <c r="S1096" s="137"/>
      <c r="T1096" s="128"/>
      <c r="U1096" s="137"/>
      <c r="V1096" s="128"/>
      <c r="W1096" s="49"/>
      <c r="X1096" s="128"/>
      <c r="Y1096" s="49"/>
      <c r="Z1096" s="128"/>
      <c r="AA1096" s="49"/>
      <c r="AB1096" s="128"/>
      <c r="AC1096" s="49"/>
      <c r="AE1096" s="133"/>
    </row>
    <row r="1097" spans="1:31" ht="25.5" hidden="1" outlineLevel="1" collapsed="1" x14ac:dyDescent="0.2">
      <c r="A1097" s="25" t="str">
        <f>'Утв. ИП 2014-2019'!A1099</f>
        <v>1.1.5.2.141/13</v>
      </c>
      <c r="B1097" s="6" t="str">
        <f>'Утв. ИП 2014-2019'!B1099</f>
        <v>3.2.286</v>
      </c>
      <c r="C1097" s="7" t="str">
        <f>'Утв. ИП 2014-2019'!C1099</f>
        <v>Электроснабжение жилых домов по адресу: г. Липецк, проезд Боевой</v>
      </c>
      <c r="D1097" s="8"/>
      <c r="E1097" s="8" t="str">
        <f>'Утв. ИП 2014-2019'!L1099</f>
        <v>0,0 км/ 0 МВА</v>
      </c>
      <c r="F1097" s="8"/>
      <c r="G1097" s="8"/>
      <c r="H1097" s="8"/>
      <c r="I1097" s="8"/>
      <c r="J1097" s="23" t="str">
        <f>'Утв. ИП 2014-2019'!Q1099</f>
        <v>0,0 км/ 0 МВА</v>
      </c>
      <c r="K1097" s="170"/>
      <c r="L1097" s="170"/>
      <c r="M1097" s="170"/>
      <c r="N1097" s="170"/>
      <c r="O1097" s="170"/>
      <c r="P1097" s="170"/>
      <c r="Q1097" s="170"/>
      <c r="R1097" s="166"/>
      <c r="S1097" s="167"/>
      <c r="T1097" s="168"/>
      <c r="U1097" s="167"/>
      <c r="V1097" s="168"/>
      <c r="W1097" s="169"/>
      <c r="X1097" s="168"/>
      <c r="Y1097" s="169"/>
      <c r="Z1097" s="168"/>
      <c r="AA1097" s="169"/>
      <c r="AB1097" s="168"/>
      <c r="AC1097" s="169"/>
      <c r="AE1097" s="133"/>
    </row>
    <row r="1098" spans="1:31" ht="15.75" hidden="1" outlineLevel="2" x14ac:dyDescent="0.2">
      <c r="A1098" s="25">
        <f>'Утв. ИП 2014-2019'!A1100</f>
        <v>0</v>
      </c>
      <c r="B1098" s="6">
        <f>'Утв. ИП 2014-2019'!B1100</f>
        <v>0</v>
      </c>
      <c r="C1098" s="7" t="str">
        <f>'Утв. ИП 2014-2019'!C1100</f>
        <v>реконструкция</v>
      </c>
      <c r="D1098" s="8"/>
      <c r="E1098" s="8"/>
      <c r="F1098" s="8"/>
      <c r="G1098" s="8"/>
      <c r="H1098" s="8"/>
      <c r="I1098" s="8"/>
      <c r="J1098" s="23"/>
      <c r="K1098" s="170"/>
      <c r="L1098" s="170"/>
      <c r="M1098" s="170"/>
      <c r="N1098" s="170"/>
      <c r="O1098" s="170"/>
      <c r="P1098" s="170"/>
      <c r="Q1098" s="170"/>
      <c r="R1098" s="166"/>
      <c r="S1098" s="167"/>
      <c r="T1098" s="168"/>
      <c r="U1098" s="167"/>
      <c r="V1098" s="168"/>
      <c r="W1098" s="169"/>
      <c r="X1098" s="168"/>
      <c r="Y1098" s="169"/>
      <c r="Z1098" s="168"/>
      <c r="AA1098" s="169"/>
      <c r="AB1098" s="168"/>
      <c r="AC1098" s="169"/>
      <c r="AE1098" s="133"/>
    </row>
    <row r="1099" spans="1:31" ht="15.75" hidden="1" outlineLevel="2" x14ac:dyDescent="0.2">
      <c r="A1099" s="25">
        <f>'Утв. ИП 2014-2019'!A1101</f>
        <v>0</v>
      </c>
      <c r="B1099" s="6">
        <f>'Утв. ИП 2014-2019'!B1101</f>
        <v>0</v>
      </c>
      <c r="C1099" s="7" t="str">
        <f>'Утв. ИП 2014-2019'!C1101</f>
        <v>строительство</v>
      </c>
      <c r="D1099" s="8"/>
      <c r="E1099" s="8"/>
      <c r="F1099" s="8"/>
      <c r="G1099" s="8"/>
      <c r="H1099" s="8"/>
      <c r="I1099" s="8"/>
      <c r="J1099" s="23"/>
      <c r="K1099" s="170"/>
      <c r="L1099" s="170"/>
      <c r="M1099" s="170"/>
      <c r="N1099" s="170"/>
      <c r="O1099" s="170"/>
      <c r="P1099" s="170"/>
      <c r="Q1099" s="170"/>
      <c r="R1099" s="166"/>
      <c r="S1099" s="167"/>
      <c r="T1099" s="168"/>
      <c r="U1099" s="167"/>
      <c r="V1099" s="168"/>
      <c r="W1099" s="169"/>
      <c r="X1099" s="168"/>
      <c r="Y1099" s="169"/>
      <c r="Z1099" s="168"/>
      <c r="AA1099" s="169"/>
      <c r="AB1099" s="168"/>
      <c r="AC1099" s="169"/>
      <c r="AE1099" s="133"/>
    </row>
    <row r="1100" spans="1:31" ht="15.75" hidden="1" outlineLevel="1" collapsed="1" x14ac:dyDescent="0.2">
      <c r="A1100" s="25" t="str">
        <f>'Утв. ИП 2014-2019'!A1102</f>
        <v>1.1.5.2.142/13</v>
      </c>
      <c r="B1100" s="6" t="str">
        <f>'Утв. ИП 2014-2019'!B1102</f>
        <v>3.2.287</v>
      </c>
      <c r="C1100" s="7" t="str">
        <f>'Утв. ИП 2014-2019'!C1102</f>
        <v>Электроснабжение садовых домиков в СНТ "Дачный-1"</v>
      </c>
      <c r="D1100" s="8"/>
      <c r="E1100" s="8" t="str">
        <f>'Утв. ИП 2014-2019'!L1102</f>
        <v>0,0 км/ 0 МВА</v>
      </c>
      <c r="F1100" s="8"/>
      <c r="G1100" s="8"/>
      <c r="H1100" s="8"/>
      <c r="I1100" s="8"/>
      <c r="J1100" s="23" t="str">
        <f>'Утв. ИП 2014-2019'!Q1102</f>
        <v>0,0 км/ 0 МВА</v>
      </c>
      <c r="K1100" s="170"/>
      <c r="L1100" s="170"/>
      <c r="M1100" s="170"/>
      <c r="N1100" s="170"/>
      <c r="O1100" s="170"/>
      <c r="P1100" s="170"/>
      <c r="Q1100" s="170"/>
      <c r="R1100" s="166"/>
      <c r="S1100" s="167"/>
      <c r="T1100" s="168"/>
      <c r="U1100" s="167"/>
      <c r="V1100" s="168"/>
      <c r="W1100" s="169"/>
      <c r="X1100" s="168"/>
      <c r="Y1100" s="169"/>
      <c r="Z1100" s="168"/>
      <c r="AA1100" s="169"/>
      <c r="AB1100" s="168"/>
      <c r="AC1100" s="169"/>
      <c r="AE1100" s="133"/>
    </row>
    <row r="1101" spans="1:31" ht="15.75" hidden="1" outlineLevel="2" x14ac:dyDescent="0.2">
      <c r="A1101" s="25">
        <f>'Утв. ИП 2014-2019'!A1103</f>
        <v>0</v>
      </c>
      <c r="B1101" s="6">
        <f>'Утв. ИП 2014-2019'!B1103</f>
        <v>0</v>
      </c>
      <c r="C1101" s="7" t="str">
        <f>'Утв. ИП 2014-2019'!C1103</f>
        <v>реконструкция</v>
      </c>
      <c r="D1101" s="8"/>
      <c r="E1101" s="8"/>
      <c r="F1101" s="8"/>
      <c r="G1101" s="8"/>
      <c r="H1101" s="8"/>
      <c r="I1101" s="8"/>
      <c r="J1101" s="23"/>
      <c r="K1101" s="170"/>
      <c r="L1101" s="170"/>
      <c r="M1101" s="170"/>
      <c r="N1101" s="170"/>
      <c r="O1101" s="170"/>
      <c r="P1101" s="170"/>
      <c r="Q1101" s="170"/>
      <c r="R1101" s="136"/>
      <c r="S1101" s="137"/>
      <c r="T1101" s="128"/>
      <c r="U1101" s="137"/>
      <c r="V1101" s="128"/>
      <c r="W1101" s="49"/>
      <c r="X1101" s="128"/>
      <c r="Y1101" s="49"/>
      <c r="Z1101" s="128"/>
      <c r="AA1101" s="49"/>
      <c r="AB1101" s="128"/>
      <c r="AC1101" s="49"/>
      <c r="AE1101" s="133"/>
    </row>
    <row r="1102" spans="1:31" ht="15.75" hidden="1" outlineLevel="2" x14ac:dyDescent="0.2">
      <c r="A1102" s="25">
        <f>'Утв. ИП 2014-2019'!A1104</f>
        <v>0</v>
      </c>
      <c r="B1102" s="6">
        <f>'Утв. ИП 2014-2019'!B1104</f>
        <v>0</v>
      </c>
      <c r="C1102" s="7" t="str">
        <f>'Утв. ИП 2014-2019'!C1104</f>
        <v>строительство</v>
      </c>
      <c r="D1102" s="8"/>
      <c r="E1102" s="8"/>
      <c r="F1102" s="8"/>
      <c r="G1102" s="8"/>
      <c r="H1102" s="8"/>
      <c r="I1102" s="8"/>
      <c r="J1102" s="23"/>
      <c r="K1102" s="170"/>
      <c r="L1102" s="170"/>
      <c r="M1102" s="170"/>
      <c r="N1102" s="170"/>
      <c r="O1102" s="170"/>
      <c r="P1102" s="170"/>
      <c r="Q1102" s="170"/>
      <c r="R1102" s="136"/>
      <c r="S1102" s="137"/>
      <c r="T1102" s="128"/>
      <c r="U1102" s="137"/>
      <c r="V1102" s="128"/>
      <c r="W1102" s="49"/>
      <c r="X1102" s="128"/>
      <c r="Y1102" s="49"/>
      <c r="Z1102" s="128"/>
      <c r="AA1102" s="49"/>
      <c r="AB1102" s="128"/>
      <c r="AC1102" s="49"/>
      <c r="AE1102" s="133"/>
    </row>
    <row r="1103" spans="1:31" ht="38.25" hidden="1" outlineLevel="1" collapsed="1" x14ac:dyDescent="0.2">
      <c r="A1103" s="25" t="str">
        <f>'Утв. ИП 2014-2019'!A1105</f>
        <v>1.1.5.2.143/13</v>
      </c>
      <c r="B1103" s="6" t="str">
        <f>'Утв. ИП 2014-2019'!B1105</f>
        <v>3.2.288</v>
      </c>
      <c r="C1103" s="7" t="str">
        <f>'Утв. ИП 2014-2019'!C1105</f>
        <v>Электроснабжение индивидуального жилого дом по адресу: г. Липецк, район ул. Брусничная (кадастровый № 48:20:00000000:24407)</v>
      </c>
      <c r="D1103" s="8"/>
      <c r="E1103" s="8" t="str">
        <f>'Утв. ИП 2014-2019'!L1105</f>
        <v>0,1 км/ 0 МВА</v>
      </c>
      <c r="F1103" s="8"/>
      <c r="G1103" s="8"/>
      <c r="H1103" s="8"/>
      <c r="I1103" s="8"/>
      <c r="J1103" s="23" t="str">
        <f>'Утв. ИП 2014-2019'!Q1105</f>
        <v>0,1 км/ 0 МВА</v>
      </c>
      <c r="K1103" s="170"/>
      <c r="L1103" s="170"/>
      <c r="M1103" s="170"/>
      <c r="N1103" s="170"/>
      <c r="O1103" s="170"/>
      <c r="P1103" s="170"/>
      <c r="Q1103" s="170"/>
      <c r="R1103" s="136"/>
      <c r="S1103" s="137"/>
      <c r="T1103" s="128"/>
      <c r="U1103" s="137"/>
      <c r="V1103" s="128"/>
      <c r="W1103" s="49"/>
      <c r="X1103" s="128"/>
      <c r="Y1103" s="49"/>
      <c r="Z1103" s="128"/>
      <c r="AA1103" s="49"/>
      <c r="AB1103" s="128"/>
      <c r="AC1103" s="49"/>
      <c r="AE1103" s="133"/>
    </row>
    <row r="1104" spans="1:31" ht="15.75" hidden="1" outlineLevel="2" x14ac:dyDescent="0.2">
      <c r="A1104" s="25">
        <f>'Утв. ИП 2014-2019'!A1106</f>
        <v>0</v>
      </c>
      <c r="B1104" s="6">
        <f>'Утв. ИП 2014-2019'!B1106</f>
        <v>0</v>
      </c>
      <c r="C1104" s="7" t="str">
        <f>'Утв. ИП 2014-2019'!C1106</f>
        <v>реконструкция</v>
      </c>
      <c r="D1104" s="8"/>
      <c r="E1104" s="8"/>
      <c r="F1104" s="8"/>
      <c r="G1104" s="8"/>
      <c r="H1104" s="8"/>
      <c r="I1104" s="8"/>
      <c r="J1104" s="23"/>
      <c r="K1104" s="170"/>
      <c r="L1104" s="170"/>
      <c r="M1104" s="170"/>
      <c r="N1104" s="170"/>
      <c r="O1104" s="170"/>
      <c r="P1104" s="170"/>
      <c r="Q1104" s="170"/>
      <c r="R1104" s="136"/>
      <c r="S1104" s="137"/>
      <c r="T1104" s="128"/>
      <c r="U1104" s="137"/>
      <c r="V1104" s="128"/>
      <c r="W1104" s="49"/>
      <c r="X1104" s="128"/>
      <c r="Y1104" s="49"/>
      <c r="Z1104" s="128"/>
      <c r="AA1104" s="49"/>
      <c r="AB1104" s="128"/>
      <c r="AC1104" s="49"/>
      <c r="AE1104" s="133"/>
    </row>
    <row r="1105" spans="1:31" ht="15.75" hidden="1" outlineLevel="2" x14ac:dyDescent="0.2">
      <c r="A1105" s="25">
        <f>'Утв. ИП 2014-2019'!A1107</f>
        <v>0</v>
      </c>
      <c r="B1105" s="6">
        <f>'Утв. ИП 2014-2019'!B1107</f>
        <v>0</v>
      </c>
      <c r="C1105" s="7" t="str">
        <f>'Утв. ИП 2014-2019'!C1107</f>
        <v>строительство</v>
      </c>
      <c r="D1105" s="8"/>
      <c r="E1105" s="8"/>
      <c r="F1105" s="8"/>
      <c r="G1105" s="8"/>
      <c r="H1105" s="8"/>
      <c r="I1105" s="8"/>
      <c r="J1105" s="23"/>
      <c r="K1105" s="170"/>
      <c r="L1105" s="170"/>
      <c r="M1105" s="170"/>
      <c r="N1105" s="170"/>
      <c r="O1105" s="170"/>
      <c r="P1105" s="170"/>
      <c r="Q1105" s="170"/>
      <c r="R1105" s="136"/>
      <c r="S1105" s="137"/>
      <c r="T1105" s="128"/>
      <c r="U1105" s="137"/>
      <c r="V1105" s="128"/>
      <c r="W1105" s="49"/>
      <c r="X1105" s="128"/>
      <c r="Y1105" s="49"/>
      <c r="Z1105" s="128"/>
      <c r="AA1105" s="49"/>
      <c r="AB1105" s="128"/>
      <c r="AC1105" s="49"/>
      <c r="AE1105" s="133"/>
    </row>
    <row r="1106" spans="1:31" ht="25.5" hidden="1" outlineLevel="1" collapsed="1" x14ac:dyDescent="0.2">
      <c r="A1106" s="25" t="str">
        <f>'Утв. ИП 2014-2019'!A1108</f>
        <v>1.1.5.2.144/13</v>
      </c>
      <c r="B1106" s="6" t="str">
        <f>'Утв. ИП 2014-2019'!B1108</f>
        <v>3.2.289</v>
      </c>
      <c r="C1106" s="7" t="str">
        <f>'Утв. ИП 2014-2019'!C1108</f>
        <v>Электроснабжение индивидуального жилого дома по адресу: г. Липецк, с. Сселки, зем. уч. №79 ( по схеме)</v>
      </c>
      <c r="D1106" s="8" t="str">
        <f>'Утв. ИП 2014-2019'!K1108</f>
        <v>0,0 км/ 0 МВА</v>
      </c>
      <c r="E1106" s="8"/>
      <c r="F1106" s="8"/>
      <c r="G1106" s="8"/>
      <c r="H1106" s="8"/>
      <c r="I1106" s="8"/>
      <c r="J1106" s="23" t="str">
        <f>'Утв. ИП 2014-2019'!Q1108</f>
        <v>0,0 км/ 0 МВА</v>
      </c>
      <c r="K1106" s="170"/>
      <c r="L1106" s="170"/>
      <c r="M1106" s="170"/>
      <c r="N1106" s="170"/>
      <c r="O1106" s="170"/>
      <c r="P1106" s="170"/>
      <c r="Q1106" s="170"/>
      <c r="R1106" s="136"/>
      <c r="S1106" s="137"/>
      <c r="T1106" s="128"/>
      <c r="U1106" s="137"/>
      <c r="V1106" s="128"/>
      <c r="W1106" s="49"/>
      <c r="X1106" s="128"/>
      <c r="Y1106" s="49"/>
      <c r="Z1106" s="128"/>
      <c r="AA1106" s="49"/>
      <c r="AB1106" s="128"/>
      <c r="AC1106" s="49"/>
      <c r="AE1106" s="133"/>
    </row>
    <row r="1107" spans="1:31" ht="15.75" hidden="1" outlineLevel="2" x14ac:dyDescent="0.2">
      <c r="A1107" s="25">
        <f>'Утв. ИП 2014-2019'!A1109</f>
        <v>0</v>
      </c>
      <c r="B1107" s="6">
        <f>'Утв. ИП 2014-2019'!B1109</f>
        <v>0</v>
      </c>
      <c r="C1107" s="7" t="str">
        <f>'Утв. ИП 2014-2019'!C1109</f>
        <v>реконструкция</v>
      </c>
      <c r="D1107" s="8"/>
      <c r="E1107" s="8"/>
      <c r="F1107" s="8"/>
      <c r="G1107" s="8"/>
      <c r="H1107" s="8"/>
      <c r="I1107" s="8"/>
      <c r="J1107" s="23"/>
      <c r="K1107" s="170"/>
      <c r="L1107" s="170"/>
      <c r="M1107" s="170"/>
      <c r="N1107" s="170"/>
      <c r="O1107" s="170"/>
      <c r="P1107" s="170"/>
      <c r="Q1107" s="170"/>
      <c r="R1107" s="136"/>
      <c r="S1107" s="137"/>
      <c r="T1107" s="128"/>
      <c r="U1107" s="137"/>
      <c r="V1107" s="128"/>
      <c r="W1107" s="49"/>
      <c r="X1107" s="128"/>
      <c r="Y1107" s="49"/>
      <c r="Z1107" s="128"/>
      <c r="AA1107" s="49"/>
      <c r="AB1107" s="128"/>
      <c r="AC1107" s="49"/>
      <c r="AE1107" s="133"/>
    </row>
    <row r="1108" spans="1:31" ht="15.75" hidden="1" outlineLevel="2" x14ac:dyDescent="0.2">
      <c r="A1108" s="25">
        <f>'Утв. ИП 2014-2019'!A1110</f>
        <v>0</v>
      </c>
      <c r="B1108" s="6">
        <f>'Утв. ИП 2014-2019'!B1110</f>
        <v>0</v>
      </c>
      <c r="C1108" s="7" t="str">
        <f>'Утв. ИП 2014-2019'!C1110</f>
        <v>строительство</v>
      </c>
      <c r="D1108" s="8"/>
      <c r="E1108" s="8"/>
      <c r="F1108" s="8"/>
      <c r="G1108" s="8"/>
      <c r="H1108" s="8"/>
      <c r="I1108" s="8"/>
      <c r="J1108" s="23"/>
      <c r="K1108" s="170"/>
      <c r="L1108" s="170"/>
      <c r="M1108" s="170"/>
      <c r="N1108" s="170"/>
      <c r="O1108" s="170"/>
      <c r="P1108" s="170"/>
      <c r="Q1108" s="170"/>
      <c r="R1108" s="136"/>
      <c r="S1108" s="137"/>
      <c r="T1108" s="128"/>
      <c r="U1108" s="137"/>
      <c r="V1108" s="128"/>
      <c r="W1108" s="49"/>
      <c r="X1108" s="128"/>
      <c r="Y1108" s="49"/>
      <c r="Z1108" s="128"/>
      <c r="AA1108" s="49"/>
      <c r="AB1108" s="128"/>
      <c r="AC1108" s="49"/>
      <c r="AE1108" s="133"/>
    </row>
    <row r="1109" spans="1:31" ht="25.5" hidden="1" outlineLevel="1" collapsed="1" x14ac:dyDescent="0.2">
      <c r="A1109" s="25" t="str">
        <f>'Утв. ИП 2014-2019'!A1111</f>
        <v>1.1.5.2.145/13</v>
      </c>
      <c r="B1109" s="6" t="str">
        <f>'Утв. ИП 2014-2019'!B1111</f>
        <v>3.2.290</v>
      </c>
      <c r="C1109" s="7" t="str">
        <f>'Утв. ИП 2014-2019'!C1111</f>
        <v>Электроснабжение садового домика по адресу: ПОПиИ "Сокол-1", уч. № 623,</v>
      </c>
      <c r="D1109" s="8" t="str">
        <f>'Утв. ИП 2014-2019'!K1111</f>
        <v>0,5 км/ 0 МВА</v>
      </c>
      <c r="E1109" s="8"/>
      <c r="F1109" s="8"/>
      <c r="G1109" s="8"/>
      <c r="H1109" s="8"/>
      <c r="I1109" s="8"/>
      <c r="J1109" s="23" t="str">
        <f>'Утв. ИП 2014-2019'!Q1111</f>
        <v>0,5 км/ 0 МВА</v>
      </c>
      <c r="K1109" s="170"/>
      <c r="L1109" s="170"/>
      <c r="M1109" s="170"/>
      <c r="N1109" s="170"/>
      <c r="O1109" s="170"/>
      <c r="P1109" s="170"/>
      <c r="Q1109" s="170"/>
      <c r="R1109" s="136"/>
      <c r="S1109" s="137"/>
      <c r="T1109" s="128"/>
      <c r="U1109" s="137"/>
      <c r="V1109" s="128"/>
      <c r="W1109" s="49"/>
      <c r="X1109" s="128"/>
      <c r="Y1109" s="49"/>
      <c r="Z1109" s="128"/>
      <c r="AA1109" s="49"/>
      <c r="AB1109" s="128"/>
      <c r="AC1109" s="49"/>
      <c r="AE1109" s="133"/>
    </row>
    <row r="1110" spans="1:31" ht="15.75" hidden="1" outlineLevel="2" x14ac:dyDescent="0.2">
      <c r="A1110" s="25">
        <f>'Утв. ИП 2014-2019'!A1112</f>
        <v>0</v>
      </c>
      <c r="B1110" s="6">
        <f>'Утв. ИП 2014-2019'!B1112</f>
        <v>0</v>
      </c>
      <c r="C1110" s="7" t="str">
        <f>'Утв. ИП 2014-2019'!C1112</f>
        <v>реконструкция</v>
      </c>
      <c r="D1110" s="8"/>
      <c r="E1110" s="8"/>
      <c r="F1110" s="8"/>
      <c r="G1110" s="8"/>
      <c r="H1110" s="8"/>
      <c r="I1110" s="8"/>
      <c r="J1110" s="23"/>
      <c r="K1110" s="170"/>
      <c r="L1110" s="170"/>
      <c r="M1110" s="170"/>
      <c r="N1110" s="170"/>
      <c r="O1110" s="170"/>
      <c r="P1110" s="170"/>
      <c r="Q1110" s="170"/>
      <c r="R1110" s="136"/>
      <c r="S1110" s="137"/>
      <c r="T1110" s="128"/>
      <c r="U1110" s="137"/>
      <c r="V1110" s="128"/>
      <c r="W1110" s="49"/>
      <c r="X1110" s="128"/>
      <c r="Y1110" s="49"/>
      <c r="Z1110" s="128"/>
      <c r="AA1110" s="49"/>
      <c r="AB1110" s="128"/>
      <c r="AC1110" s="49"/>
      <c r="AE1110" s="133"/>
    </row>
    <row r="1111" spans="1:31" ht="15.75" hidden="1" outlineLevel="2" x14ac:dyDescent="0.2">
      <c r="A1111" s="25">
        <f>'Утв. ИП 2014-2019'!A1113</f>
        <v>0</v>
      </c>
      <c r="B1111" s="6">
        <f>'Утв. ИП 2014-2019'!B1113</f>
        <v>0</v>
      </c>
      <c r="C1111" s="7" t="str">
        <f>'Утв. ИП 2014-2019'!C1113</f>
        <v>строительство</v>
      </c>
      <c r="D1111" s="8"/>
      <c r="E1111" s="8"/>
      <c r="F1111" s="8"/>
      <c r="G1111" s="8"/>
      <c r="H1111" s="8"/>
      <c r="I1111" s="8"/>
      <c r="J1111" s="23"/>
      <c r="K1111" s="170"/>
      <c r="L1111" s="170"/>
      <c r="M1111" s="170"/>
      <c r="N1111" s="170"/>
      <c r="O1111" s="170"/>
      <c r="P1111" s="170"/>
      <c r="Q1111" s="170"/>
      <c r="R1111" s="136"/>
      <c r="S1111" s="137"/>
      <c r="T1111" s="128"/>
      <c r="U1111" s="137"/>
      <c r="V1111" s="128"/>
      <c r="W1111" s="49"/>
      <c r="X1111" s="128"/>
      <c r="Y1111" s="49"/>
      <c r="Z1111" s="128"/>
      <c r="AA1111" s="49"/>
      <c r="AB1111" s="128"/>
      <c r="AC1111" s="49"/>
      <c r="AE1111" s="133"/>
    </row>
    <row r="1112" spans="1:31" ht="25.5" hidden="1" outlineLevel="1" collapsed="1" x14ac:dyDescent="0.2">
      <c r="A1112" s="25" t="str">
        <f>'Утв. ИП 2014-2019'!A1114</f>
        <v>1.1.5.2.146/13</v>
      </c>
      <c r="B1112" s="6" t="str">
        <f>'Утв. ИП 2014-2019'!B1114</f>
        <v>3.2.291</v>
      </c>
      <c r="C1112" s="7" t="str">
        <f>'Утв. ИП 2014-2019'!C1114</f>
        <v>Электроснабжение гаража с мастерской по адресу: г. Липецк, ул. им. Д. Бедного, строительный 66 а</v>
      </c>
      <c r="D1112" s="8"/>
      <c r="E1112" s="8" t="str">
        <f>'Утв. ИП 2014-2019'!L1114</f>
        <v>0,4 км/ 0 МВА</v>
      </c>
      <c r="F1112" s="8"/>
      <c r="G1112" s="8"/>
      <c r="H1112" s="8"/>
      <c r="I1112" s="8"/>
      <c r="J1112" s="23" t="str">
        <f>'Утв. ИП 2014-2019'!Q1114</f>
        <v>0,4 км/ 0 МВА</v>
      </c>
      <c r="K1112" s="170"/>
      <c r="L1112" s="170"/>
      <c r="M1112" s="170"/>
      <c r="N1112" s="170"/>
      <c r="O1112" s="170"/>
      <c r="P1112" s="170"/>
      <c r="Q1112" s="170"/>
      <c r="R1112" s="166"/>
      <c r="S1112" s="167"/>
      <c r="T1112" s="168"/>
      <c r="U1112" s="167"/>
      <c r="V1112" s="168"/>
      <c r="W1112" s="169"/>
      <c r="X1112" s="168"/>
      <c r="Y1112" s="169"/>
      <c r="Z1112" s="168"/>
      <c r="AA1112" s="169"/>
      <c r="AB1112" s="168"/>
      <c r="AC1112" s="169"/>
      <c r="AE1112" s="133"/>
    </row>
    <row r="1113" spans="1:31" ht="15.75" hidden="1" outlineLevel="2" x14ac:dyDescent="0.2">
      <c r="A1113" s="25">
        <f>'Утв. ИП 2014-2019'!A1115</f>
        <v>0</v>
      </c>
      <c r="B1113" s="6">
        <f>'Утв. ИП 2014-2019'!B1115</f>
        <v>0</v>
      </c>
      <c r="C1113" s="7" t="str">
        <f>'Утв. ИП 2014-2019'!C1115</f>
        <v>реконструкция</v>
      </c>
      <c r="D1113" s="8"/>
      <c r="E1113" s="8"/>
      <c r="F1113" s="8"/>
      <c r="G1113" s="8"/>
      <c r="H1113" s="8"/>
      <c r="I1113" s="8"/>
      <c r="J1113" s="23"/>
      <c r="K1113" s="170"/>
      <c r="L1113" s="170"/>
      <c r="M1113" s="170"/>
      <c r="N1113" s="170"/>
      <c r="O1113" s="170"/>
      <c r="P1113" s="170"/>
      <c r="Q1113" s="170"/>
      <c r="R1113" s="166"/>
      <c r="S1113" s="167"/>
      <c r="T1113" s="168"/>
      <c r="U1113" s="167"/>
      <c r="V1113" s="168"/>
      <c r="W1113" s="169"/>
      <c r="X1113" s="168"/>
      <c r="Y1113" s="169"/>
      <c r="Z1113" s="168"/>
      <c r="AA1113" s="169"/>
      <c r="AB1113" s="168"/>
      <c r="AC1113" s="169"/>
      <c r="AE1113" s="133"/>
    </row>
    <row r="1114" spans="1:31" ht="15.75" hidden="1" outlineLevel="2" x14ac:dyDescent="0.2">
      <c r="A1114" s="25">
        <f>'Утв. ИП 2014-2019'!A1116</f>
        <v>0</v>
      </c>
      <c r="B1114" s="6">
        <f>'Утв. ИП 2014-2019'!B1116</f>
        <v>0</v>
      </c>
      <c r="C1114" s="7" t="str">
        <f>'Утв. ИП 2014-2019'!C1116</f>
        <v>строительство</v>
      </c>
      <c r="D1114" s="8"/>
      <c r="E1114" s="8"/>
      <c r="F1114" s="8"/>
      <c r="G1114" s="8"/>
      <c r="H1114" s="8"/>
      <c r="I1114" s="8"/>
      <c r="J1114" s="23"/>
      <c r="K1114" s="170"/>
      <c r="L1114" s="170"/>
      <c r="M1114" s="170"/>
      <c r="N1114" s="170"/>
      <c r="O1114" s="170"/>
      <c r="P1114" s="170"/>
      <c r="Q1114" s="170"/>
      <c r="R1114" s="166"/>
      <c r="S1114" s="167"/>
      <c r="T1114" s="168"/>
      <c r="U1114" s="167"/>
      <c r="V1114" s="168"/>
      <c r="W1114" s="169"/>
      <c r="X1114" s="168"/>
      <c r="Y1114" s="169"/>
      <c r="Z1114" s="168"/>
      <c r="AA1114" s="169"/>
      <c r="AB1114" s="168"/>
      <c r="AC1114" s="169"/>
      <c r="AE1114" s="133"/>
    </row>
    <row r="1115" spans="1:31" ht="25.5" hidden="1" outlineLevel="1" collapsed="1" x14ac:dyDescent="0.2">
      <c r="A1115" s="25" t="str">
        <f>'Утв. ИП 2014-2019'!A1117</f>
        <v>1.1.5.2.147/13</v>
      </c>
      <c r="B1115" s="6" t="str">
        <f>'Утв. ИП 2014-2019'!B1117</f>
        <v>3.2.292</v>
      </c>
      <c r="C1115" s="7" t="str">
        <f>'Утв. ИП 2014-2019'!C1117</f>
        <v>Электроснабжение садового домика по адресу: НТС "Металлург-3", улица 41-1, земельный участок № 13</v>
      </c>
      <c r="D1115" s="8"/>
      <c r="E1115" s="8" t="str">
        <f>'Утв. ИП 2014-2019'!L1117</f>
        <v>0,1 км/ 0 МВА</v>
      </c>
      <c r="F1115" s="8"/>
      <c r="G1115" s="8"/>
      <c r="H1115" s="8"/>
      <c r="I1115" s="8"/>
      <c r="J1115" s="23" t="str">
        <f>'Утв. ИП 2014-2019'!Q1117</f>
        <v>0,1 км/ 0 МВА</v>
      </c>
      <c r="K1115" s="170"/>
      <c r="L1115" s="170"/>
      <c r="M1115" s="170"/>
      <c r="N1115" s="170"/>
      <c r="O1115" s="170"/>
      <c r="P1115" s="170"/>
      <c r="Q1115" s="170"/>
      <c r="R1115" s="166"/>
      <c r="S1115" s="167"/>
      <c r="T1115" s="168"/>
      <c r="U1115" s="167"/>
      <c r="V1115" s="168"/>
      <c r="W1115" s="169"/>
      <c r="X1115" s="168"/>
      <c r="Y1115" s="169"/>
      <c r="Z1115" s="168"/>
      <c r="AA1115" s="169"/>
      <c r="AB1115" s="168"/>
      <c r="AC1115" s="169"/>
      <c r="AE1115" s="133"/>
    </row>
    <row r="1116" spans="1:31" ht="15.75" hidden="1" outlineLevel="2" x14ac:dyDescent="0.2">
      <c r="A1116" s="25">
        <f>'Утв. ИП 2014-2019'!A1118</f>
        <v>0</v>
      </c>
      <c r="B1116" s="6">
        <f>'Утв. ИП 2014-2019'!B1118</f>
        <v>0</v>
      </c>
      <c r="C1116" s="7" t="str">
        <f>'Утв. ИП 2014-2019'!C1118</f>
        <v>реконструкция</v>
      </c>
      <c r="D1116" s="8"/>
      <c r="E1116" s="8"/>
      <c r="F1116" s="8"/>
      <c r="G1116" s="8"/>
      <c r="H1116" s="8"/>
      <c r="I1116" s="8"/>
      <c r="J1116" s="23"/>
      <c r="K1116" s="170"/>
      <c r="L1116" s="170"/>
      <c r="M1116" s="170"/>
      <c r="N1116" s="170"/>
      <c r="O1116" s="170"/>
      <c r="P1116" s="170"/>
      <c r="Q1116" s="170"/>
      <c r="R1116" s="166"/>
      <c r="S1116" s="167"/>
      <c r="T1116" s="168"/>
      <c r="U1116" s="167"/>
      <c r="V1116" s="168"/>
      <c r="W1116" s="169"/>
      <c r="X1116" s="168"/>
      <c r="Y1116" s="169"/>
      <c r="Z1116" s="168"/>
      <c r="AA1116" s="169"/>
      <c r="AB1116" s="168"/>
      <c r="AC1116" s="169"/>
      <c r="AE1116" s="133"/>
    </row>
    <row r="1117" spans="1:31" ht="15.75" hidden="1" outlineLevel="2" x14ac:dyDescent="0.2">
      <c r="A1117" s="25">
        <f>'Утв. ИП 2014-2019'!A1119</f>
        <v>0</v>
      </c>
      <c r="B1117" s="6">
        <f>'Утв. ИП 2014-2019'!B1119</f>
        <v>0</v>
      </c>
      <c r="C1117" s="7" t="str">
        <f>'Утв. ИП 2014-2019'!C1119</f>
        <v>строительство</v>
      </c>
      <c r="D1117" s="8"/>
      <c r="E1117" s="8"/>
      <c r="F1117" s="8"/>
      <c r="G1117" s="8"/>
      <c r="H1117" s="8"/>
      <c r="I1117" s="8"/>
      <c r="J1117" s="23"/>
      <c r="K1117" s="170"/>
      <c r="L1117" s="170"/>
      <c r="M1117" s="170"/>
      <c r="N1117" s="170"/>
      <c r="O1117" s="170"/>
      <c r="P1117" s="170"/>
      <c r="Q1117" s="170"/>
      <c r="R1117" s="166"/>
      <c r="S1117" s="167"/>
      <c r="T1117" s="168"/>
      <c r="U1117" s="167"/>
      <c r="V1117" s="168"/>
      <c r="W1117" s="169"/>
      <c r="X1117" s="168"/>
      <c r="Y1117" s="169"/>
      <c r="Z1117" s="168"/>
      <c r="AA1117" s="169"/>
      <c r="AB1117" s="168"/>
      <c r="AC1117" s="169"/>
      <c r="AE1117" s="133"/>
    </row>
    <row r="1118" spans="1:31" ht="25.5" hidden="1" outlineLevel="1" collapsed="1" x14ac:dyDescent="0.2">
      <c r="A1118" s="25" t="str">
        <f>'Утв. ИП 2014-2019'!A1120</f>
        <v>1.1.5.2.148/13</v>
      </c>
      <c r="B1118" s="6" t="str">
        <f>'Утв. ИП 2014-2019'!B1120</f>
        <v>3.2.293</v>
      </c>
      <c r="C1118" s="7" t="str">
        <f>'Утв. ИП 2014-2019'!C1120</f>
        <v>Электроснабжение жилого дома по адресу: г. Липецк, ул. Шаумяна, дом 22</v>
      </c>
      <c r="D1118" s="8"/>
      <c r="E1118" s="8" t="str">
        <f>'Утв. ИП 2014-2019'!L1120</f>
        <v>0,1 км/ 0 МВА</v>
      </c>
      <c r="F1118" s="8"/>
      <c r="G1118" s="8"/>
      <c r="H1118" s="8"/>
      <c r="I1118" s="8"/>
      <c r="J1118" s="23" t="str">
        <f>'Утв. ИП 2014-2019'!Q1120</f>
        <v>0,1 км/ 0 МВА</v>
      </c>
      <c r="K1118" s="170"/>
      <c r="L1118" s="170"/>
      <c r="M1118" s="170"/>
      <c r="N1118" s="170"/>
      <c r="O1118" s="170"/>
      <c r="P1118" s="170"/>
      <c r="Q1118" s="170"/>
      <c r="R1118" s="166"/>
      <c r="S1118" s="167"/>
      <c r="T1118" s="168"/>
      <c r="U1118" s="167"/>
      <c r="V1118" s="168"/>
      <c r="W1118" s="169"/>
      <c r="X1118" s="168"/>
      <c r="Y1118" s="169"/>
      <c r="Z1118" s="168"/>
      <c r="AA1118" s="169"/>
      <c r="AB1118" s="168"/>
      <c r="AC1118" s="169"/>
      <c r="AE1118" s="133"/>
    </row>
    <row r="1119" spans="1:31" ht="15.75" hidden="1" outlineLevel="2" x14ac:dyDescent="0.2">
      <c r="A1119" s="25">
        <f>'Утв. ИП 2014-2019'!A1121</f>
        <v>0</v>
      </c>
      <c r="B1119" s="6">
        <f>'Утв. ИП 2014-2019'!B1121</f>
        <v>0</v>
      </c>
      <c r="C1119" s="7" t="str">
        <f>'Утв. ИП 2014-2019'!C1121</f>
        <v>реконструкция</v>
      </c>
      <c r="D1119" s="8"/>
      <c r="E1119" s="8"/>
      <c r="F1119" s="8"/>
      <c r="G1119" s="8"/>
      <c r="H1119" s="8"/>
      <c r="I1119" s="8"/>
      <c r="J1119" s="23"/>
      <c r="K1119" s="170"/>
      <c r="L1119" s="170"/>
      <c r="M1119" s="170"/>
      <c r="N1119" s="170"/>
      <c r="O1119" s="170"/>
      <c r="P1119" s="170"/>
      <c r="Q1119" s="170"/>
      <c r="R1119" s="166"/>
      <c r="S1119" s="167"/>
      <c r="T1119" s="168"/>
      <c r="U1119" s="167"/>
      <c r="V1119" s="168"/>
      <c r="W1119" s="169"/>
      <c r="X1119" s="168"/>
      <c r="Y1119" s="169"/>
      <c r="Z1119" s="168"/>
      <c r="AA1119" s="169"/>
      <c r="AB1119" s="168"/>
      <c r="AC1119" s="169"/>
      <c r="AE1119" s="133"/>
    </row>
    <row r="1120" spans="1:31" ht="15.75" hidden="1" outlineLevel="2" x14ac:dyDescent="0.2">
      <c r="A1120" s="25">
        <f>'Утв. ИП 2014-2019'!A1122</f>
        <v>0</v>
      </c>
      <c r="B1120" s="6">
        <f>'Утв. ИП 2014-2019'!B1122</f>
        <v>0</v>
      </c>
      <c r="C1120" s="7" t="str">
        <f>'Утв. ИП 2014-2019'!C1122</f>
        <v>строительство</v>
      </c>
      <c r="D1120" s="8"/>
      <c r="E1120" s="8"/>
      <c r="F1120" s="8"/>
      <c r="G1120" s="8"/>
      <c r="H1120" s="8"/>
      <c r="I1120" s="8"/>
      <c r="J1120" s="23"/>
      <c r="K1120" s="170"/>
      <c r="L1120" s="170"/>
      <c r="M1120" s="170"/>
      <c r="N1120" s="170"/>
      <c r="O1120" s="170"/>
      <c r="P1120" s="170"/>
      <c r="Q1120" s="170"/>
      <c r="R1120" s="166"/>
      <c r="S1120" s="167"/>
      <c r="T1120" s="168"/>
      <c r="U1120" s="167"/>
      <c r="V1120" s="168"/>
      <c r="W1120" s="169"/>
      <c r="X1120" s="168"/>
      <c r="Y1120" s="169"/>
      <c r="Z1120" s="168"/>
      <c r="AA1120" s="169"/>
      <c r="AB1120" s="168"/>
      <c r="AC1120" s="169"/>
      <c r="AE1120" s="133"/>
    </row>
    <row r="1121" spans="1:31" ht="25.5" hidden="1" outlineLevel="1" collapsed="1" x14ac:dyDescent="0.2">
      <c r="A1121" s="25" t="str">
        <f>'Утв. ИП 2014-2019'!A1123</f>
        <v>1.1.5.2.149/13</v>
      </c>
      <c r="B1121" s="6" t="str">
        <f>'Утв. ИП 2014-2019'!B1123</f>
        <v>3.2.294</v>
      </c>
      <c r="C1121" s="7" t="str">
        <f>'Утв. ИП 2014-2019'!C1123</f>
        <v>Электроснабжение 1/2 доли садового домика по адресу: г. Липецк, СНТ "Горняк", участок № 119</v>
      </c>
      <c r="D1121" s="8"/>
      <c r="E1121" s="8" t="str">
        <f>'Утв. ИП 2014-2019'!L1123</f>
        <v>0,1 км/ 0 МВА</v>
      </c>
      <c r="F1121" s="8"/>
      <c r="G1121" s="8"/>
      <c r="H1121" s="8"/>
      <c r="I1121" s="8"/>
      <c r="J1121" s="23" t="str">
        <f>'Утв. ИП 2014-2019'!Q1123</f>
        <v>0,1 км/ 0 МВА</v>
      </c>
      <c r="K1121" s="170"/>
      <c r="L1121" s="170"/>
      <c r="M1121" s="170"/>
      <c r="N1121" s="170"/>
      <c r="O1121" s="170"/>
      <c r="P1121" s="170"/>
      <c r="Q1121" s="170"/>
      <c r="R1121" s="136"/>
      <c r="S1121" s="137"/>
      <c r="T1121" s="128"/>
      <c r="U1121" s="137"/>
      <c r="V1121" s="128"/>
      <c r="W1121" s="49"/>
      <c r="X1121" s="128"/>
      <c r="Y1121" s="49"/>
      <c r="Z1121" s="128"/>
      <c r="AA1121" s="49"/>
      <c r="AB1121" s="128"/>
      <c r="AC1121" s="49"/>
      <c r="AE1121" s="133"/>
    </row>
    <row r="1122" spans="1:31" ht="15.75" hidden="1" outlineLevel="2" x14ac:dyDescent="0.2">
      <c r="A1122" s="25">
        <f>'Утв. ИП 2014-2019'!A1124</f>
        <v>0</v>
      </c>
      <c r="B1122" s="6">
        <f>'Утв. ИП 2014-2019'!B1124</f>
        <v>0</v>
      </c>
      <c r="C1122" s="7" t="str">
        <f>'Утв. ИП 2014-2019'!C1124</f>
        <v>реконструкция</v>
      </c>
      <c r="D1122" s="8"/>
      <c r="E1122" s="8"/>
      <c r="F1122" s="8"/>
      <c r="G1122" s="8"/>
      <c r="H1122" s="8"/>
      <c r="I1122" s="8"/>
      <c r="J1122" s="23"/>
      <c r="K1122" s="170"/>
      <c r="L1122" s="170"/>
      <c r="M1122" s="170"/>
      <c r="N1122" s="170"/>
      <c r="O1122" s="170"/>
      <c r="P1122" s="170"/>
      <c r="Q1122" s="170"/>
      <c r="R1122" s="136"/>
      <c r="S1122" s="137"/>
      <c r="T1122" s="128"/>
      <c r="U1122" s="137"/>
      <c r="V1122" s="128"/>
      <c r="W1122" s="49"/>
      <c r="X1122" s="128"/>
      <c r="Y1122" s="49"/>
      <c r="Z1122" s="128"/>
      <c r="AA1122" s="49"/>
      <c r="AB1122" s="128"/>
      <c r="AC1122" s="49"/>
      <c r="AE1122" s="133"/>
    </row>
    <row r="1123" spans="1:31" ht="15.75" hidden="1" outlineLevel="2" x14ac:dyDescent="0.2">
      <c r="A1123" s="25">
        <f>'Утв. ИП 2014-2019'!A1125</f>
        <v>0</v>
      </c>
      <c r="B1123" s="6">
        <f>'Утв. ИП 2014-2019'!B1125</f>
        <v>0</v>
      </c>
      <c r="C1123" s="7" t="str">
        <f>'Утв. ИП 2014-2019'!C1125</f>
        <v>строительство</v>
      </c>
      <c r="D1123" s="8"/>
      <c r="E1123" s="8"/>
      <c r="F1123" s="8"/>
      <c r="G1123" s="8"/>
      <c r="H1123" s="8"/>
      <c r="I1123" s="8"/>
      <c r="J1123" s="23"/>
      <c r="K1123" s="170"/>
      <c r="L1123" s="170"/>
      <c r="M1123" s="170"/>
      <c r="N1123" s="170"/>
      <c r="O1123" s="170"/>
      <c r="P1123" s="170"/>
      <c r="Q1123" s="170"/>
      <c r="R1123" s="136"/>
      <c r="S1123" s="137"/>
      <c r="T1123" s="128"/>
      <c r="U1123" s="137"/>
      <c r="V1123" s="128"/>
      <c r="W1123" s="49"/>
      <c r="X1123" s="128"/>
      <c r="Y1123" s="49"/>
      <c r="Z1123" s="128"/>
      <c r="AA1123" s="49"/>
      <c r="AB1123" s="128"/>
      <c r="AC1123" s="49"/>
      <c r="AE1123" s="133"/>
    </row>
    <row r="1124" spans="1:31" ht="25.5" hidden="1" outlineLevel="1" collapsed="1" x14ac:dyDescent="0.2">
      <c r="A1124" s="25" t="str">
        <f>'Утв. ИП 2014-2019'!A1126</f>
        <v>1.1.5.2.150/13</v>
      </c>
      <c r="B1124" s="6" t="str">
        <f>'Утв. ИП 2014-2019'!B1126</f>
        <v>3.2.295</v>
      </c>
      <c r="C1124" s="7" t="str">
        <f>'Утв. ИП 2014-2019'!C1126</f>
        <v>Электроснабжение жилого дома по адресу: г. Липецк, ул. Байкальская, дом № 17</v>
      </c>
      <c r="D1124" s="8" t="str">
        <f>'Утв. ИП 2014-2019'!K1126</f>
        <v>0,2 км/ 0 МВА</v>
      </c>
      <c r="E1124" s="8"/>
      <c r="F1124" s="8"/>
      <c r="G1124" s="8"/>
      <c r="H1124" s="8"/>
      <c r="I1124" s="8"/>
      <c r="J1124" s="23" t="str">
        <f>'Утв. ИП 2014-2019'!Q1126</f>
        <v>0,2 км/ 0 МВА</v>
      </c>
      <c r="K1124" s="170"/>
      <c r="L1124" s="170"/>
      <c r="M1124" s="170"/>
      <c r="N1124" s="170"/>
      <c r="O1124" s="170"/>
      <c r="P1124" s="170"/>
      <c r="Q1124" s="170"/>
      <c r="R1124" s="136"/>
      <c r="S1124" s="137"/>
      <c r="T1124" s="128"/>
      <c r="U1124" s="137"/>
      <c r="V1124" s="128"/>
      <c r="W1124" s="49"/>
      <c r="X1124" s="128"/>
      <c r="Y1124" s="49"/>
      <c r="Z1124" s="128"/>
      <c r="AA1124" s="49"/>
      <c r="AB1124" s="128"/>
      <c r="AC1124" s="49"/>
      <c r="AE1124" s="133"/>
    </row>
    <row r="1125" spans="1:31" ht="15.75" hidden="1" outlineLevel="2" x14ac:dyDescent="0.2">
      <c r="A1125" s="25">
        <f>'Утв. ИП 2014-2019'!A1127</f>
        <v>0</v>
      </c>
      <c r="B1125" s="6">
        <f>'Утв. ИП 2014-2019'!B1127</f>
        <v>0</v>
      </c>
      <c r="C1125" s="7" t="str">
        <f>'Утв. ИП 2014-2019'!C1127</f>
        <v>реконструкция</v>
      </c>
      <c r="D1125" s="8"/>
      <c r="E1125" s="8"/>
      <c r="F1125" s="8"/>
      <c r="G1125" s="8"/>
      <c r="H1125" s="8"/>
      <c r="I1125" s="8"/>
      <c r="J1125" s="23"/>
      <c r="K1125" s="170"/>
      <c r="L1125" s="170"/>
      <c r="M1125" s="170"/>
      <c r="N1125" s="170"/>
      <c r="O1125" s="170"/>
      <c r="P1125" s="170"/>
      <c r="Q1125" s="170"/>
      <c r="R1125" s="136"/>
      <c r="S1125" s="137"/>
      <c r="T1125" s="128"/>
      <c r="U1125" s="137"/>
      <c r="V1125" s="128"/>
      <c r="W1125" s="49"/>
      <c r="X1125" s="128"/>
      <c r="Y1125" s="49"/>
      <c r="Z1125" s="128"/>
      <c r="AA1125" s="49"/>
      <c r="AB1125" s="128"/>
      <c r="AC1125" s="49"/>
      <c r="AE1125" s="133"/>
    </row>
    <row r="1126" spans="1:31" ht="15.75" hidden="1" outlineLevel="2" x14ac:dyDescent="0.2">
      <c r="A1126" s="25">
        <f>'Утв. ИП 2014-2019'!A1128</f>
        <v>0</v>
      </c>
      <c r="B1126" s="6">
        <f>'Утв. ИП 2014-2019'!B1128</f>
        <v>0</v>
      </c>
      <c r="C1126" s="7" t="str">
        <f>'Утв. ИП 2014-2019'!C1128</f>
        <v>строительство</v>
      </c>
      <c r="D1126" s="8"/>
      <c r="E1126" s="8"/>
      <c r="F1126" s="8"/>
      <c r="G1126" s="8"/>
      <c r="H1126" s="8"/>
      <c r="I1126" s="8"/>
      <c r="J1126" s="23"/>
      <c r="K1126" s="170"/>
      <c r="L1126" s="170"/>
      <c r="M1126" s="170"/>
      <c r="N1126" s="170"/>
      <c r="O1126" s="170"/>
      <c r="P1126" s="170"/>
      <c r="Q1126" s="170"/>
      <c r="R1126" s="136"/>
      <c r="S1126" s="137"/>
      <c r="T1126" s="128"/>
      <c r="U1126" s="137"/>
      <c r="V1126" s="128"/>
      <c r="W1126" s="49"/>
      <c r="X1126" s="128"/>
      <c r="Y1126" s="49"/>
      <c r="Z1126" s="128"/>
      <c r="AA1126" s="49"/>
      <c r="AB1126" s="128"/>
      <c r="AC1126" s="49"/>
      <c r="AE1126" s="133"/>
    </row>
    <row r="1127" spans="1:31" ht="38.25" hidden="1" outlineLevel="1" collapsed="1" x14ac:dyDescent="0.2">
      <c r="A1127" s="25" t="str">
        <f>'Утв. ИП 2014-2019'!A1129</f>
        <v>1.1.5.2.151/13</v>
      </c>
      <c r="B1127" s="6" t="str">
        <f>'Утв. ИП 2014-2019'!B1129</f>
        <v>3.2.296</v>
      </c>
      <c r="C1127" s="7" t="str">
        <f>'Утв. ИП 2014-2019'!C1129</f>
        <v>Электроснабжение садового домика по адресу: г. Липецк, садоводческое объединение коллективного партнерства "Сокол-2", участок № 922</v>
      </c>
      <c r="D1127" s="8"/>
      <c r="E1127" s="8" t="str">
        <f>'Утв. ИП 2014-2019'!L1129</f>
        <v>0,1 км/ 0 МВА</v>
      </c>
      <c r="F1127" s="8"/>
      <c r="G1127" s="8"/>
      <c r="H1127" s="8"/>
      <c r="I1127" s="8"/>
      <c r="J1127" s="23" t="str">
        <f>'Утв. ИП 2014-2019'!Q1129</f>
        <v>0,1 км/ 0 МВА</v>
      </c>
      <c r="K1127" s="170"/>
      <c r="L1127" s="170"/>
      <c r="M1127" s="170"/>
      <c r="N1127" s="170"/>
      <c r="O1127" s="170"/>
      <c r="P1127" s="170"/>
      <c r="Q1127" s="170"/>
      <c r="R1127" s="136"/>
      <c r="S1127" s="137"/>
      <c r="T1127" s="128"/>
      <c r="U1127" s="137"/>
      <c r="V1127" s="128"/>
      <c r="W1127" s="49"/>
      <c r="X1127" s="128"/>
      <c r="Y1127" s="49"/>
      <c r="Z1127" s="128"/>
      <c r="AA1127" s="49"/>
      <c r="AB1127" s="128"/>
      <c r="AC1127" s="49"/>
      <c r="AE1127" s="133"/>
    </row>
    <row r="1128" spans="1:31" ht="15.75" hidden="1" outlineLevel="2" x14ac:dyDescent="0.2">
      <c r="A1128" s="25">
        <f>'Утв. ИП 2014-2019'!A1130</f>
        <v>0</v>
      </c>
      <c r="B1128" s="6">
        <f>'Утв. ИП 2014-2019'!B1130</f>
        <v>0</v>
      </c>
      <c r="C1128" s="7" t="str">
        <f>'Утв. ИП 2014-2019'!C1130</f>
        <v>реконструкция</v>
      </c>
      <c r="D1128" s="8"/>
      <c r="E1128" s="8"/>
      <c r="F1128" s="8"/>
      <c r="G1128" s="8"/>
      <c r="H1128" s="8"/>
      <c r="I1128" s="8"/>
      <c r="J1128" s="23"/>
      <c r="K1128" s="170"/>
      <c r="L1128" s="170"/>
      <c r="M1128" s="170"/>
      <c r="N1128" s="170"/>
      <c r="O1128" s="170"/>
      <c r="P1128" s="170"/>
      <c r="Q1128" s="170"/>
      <c r="R1128" s="136"/>
      <c r="S1128" s="137"/>
      <c r="T1128" s="128"/>
      <c r="U1128" s="137"/>
      <c r="V1128" s="128"/>
      <c r="W1128" s="49"/>
      <c r="X1128" s="128"/>
      <c r="Y1128" s="49"/>
      <c r="Z1128" s="128"/>
      <c r="AA1128" s="49"/>
      <c r="AB1128" s="128"/>
      <c r="AC1128" s="49"/>
      <c r="AE1128" s="133"/>
    </row>
    <row r="1129" spans="1:31" ht="15.75" hidden="1" outlineLevel="2" x14ac:dyDescent="0.2">
      <c r="A1129" s="25">
        <f>'Утв. ИП 2014-2019'!A1131</f>
        <v>0</v>
      </c>
      <c r="B1129" s="6">
        <f>'Утв. ИП 2014-2019'!B1131</f>
        <v>0</v>
      </c>
      <c r="C1129" s="7" t="str">
        <f>'Утв. ИП 2014-2019'!C1131</f>
        <v>строительство</v>
      </c>
      <c r="D1129" s="8"/>
      <c r="E1129" s="8"/>
      <c r="F1129" s="8"/>
      <c r="G1129" s="8"/>
      <c r="H1129" s="8"/>
      <c r="I1129" s="8"/>
      <c r="J1129" s="23"/>
      <c r="K1129" s="170"/>
      <c r="L1129" s="170"/>
      <c r="M1129" s="170"/>
      <c r="N1129" s="170"/>
      <c r="O1129" s="170"/>
      <c r="P1129" s="170"/>
      <c r="Q1129" s="170"/>
      <c r="R1129" s="136"/>
      <c r="S1129" s="137"/>
      <c r="T1129" s="128"/>
      <c r="U1129" s="137"/>
      <c r="V1129" s="128"/>
      <c r="W1129" s="49"/>
      <c r="X1129" s="128"/>
      <c r="Y1129" s="49"/>
      <c r="Z1129" s="128"/>
      <c r="AA1129" s="49"/>
      <c r="AB1129" s="128"/>
      <c r="AC1129" s="49"/>
      <c r="AE1129" s="133"/>
    </row>
    <row r="1130" spans="1:31" ht="25.5" hidden="1" outlineLevel="1" collapsed="1" x14ac:dyDescent="0.2">
      <c r="A1130" s="25" t="str">
        <f>'Утв. ИП 2014-2019'!A1132</f>
        <v>1.1.5.2.152/13</v>
      </c>
      <c r="B1130" s="6" t="str">
        <f>'Утв. ИП 2014-2019'!B1132</f>
        <v>3.2.297</v>
      </c>
      <c r="C1130" s="7" t="str">
        <f>'Утв. ИП 2014-2019'!C1132</f>
        <v>Электроснабжение индивидуального жилого дома по адресу: г. Липецк, ул. Индустриальная, д. 236</v>
      </c>
      <c r="D1130" s="8" t="str">
        <f>'Утв. ИП 2014-2019'!K1132</f>
        <v>0,1 км/ 0 МВА</v>
      </c>
      <c r="E1130" s="8"/>
      <c r="F1130" s="8"/>
      <c r="G1130" s="8"/>
      <c r="H1130" s="8"/>
      <c r="I1130" s="8"/>
      <c r="J1130" s="23" t="str">
        <f>'Утв. ИП 2014-2019'!Q1132</f>
        <v>0,1 км/ 0 МВА</v>
      </c>
      <c r="K1130" s="170"/>
      <c r="L1130" s="170"/>
      <c r="M1130" s="170"/>
      <c r="N1130" s="170"/>
      <c r="O1130" s="170"/>
      <c r="P1130" s="170"/>
      <c r="Q1130" s="170"/>
      <c r="R1130" s="166"/>
      <c r="S1130" s="167"/>
      <c r="T1130" s="168"/>
      <c r="U1130" s="167"/>
      <c r="V1130" s="168"/>
      <c r="W1130" s="169"/>
      <c r="X1130" s="168"/>
      <c r="Y1130" s="169"/>
      <c r="Z1130" s="168"/>
      <c r="AA1130" s="169"/>
      <c r="AB1130" s="168"/>
      <c r="AC1130" s="169"/>
      <c r="AE1130" s="133"/>
    </row>
    <row r="1131" spans="1:31" ht="15.75" hidden="1" outlineLevel="2" x14ac:dyDescent="0.2">
      <c r="A1131" s="25">
        <f>'Утв. ИП 2014-2019'!A1133</f>
        <v>0</v>
      </c>
      <c r="B1131" s="6">
        <f>'Утв. ИП 2014-2019'!B1133</f>
        <v>0</v>
      </c>
      <c r="C1131" s="7" t="str">
        <f>'Утв. ИП 2014-2019'!C1133</f>
        <v>реконструкция</v>
      </c>
      <c r="D1131" s="8"/>
      <c r="E1131" s="8"/>
      <c r="F1131" s="8"/>
      <c r="G1131" s="8"/>
      <c r="H1131" s="8"/>
      <c r="I1131" s="8"/>
      <c r="J1131" s="23"/>
      <c r="K1131" s="170"/>
      <c r="L1131" s="170"/>
      <c r="M1131" s="170"/>
      <c r="N1131" s="170"/>
      <c r="O1131" s="170"/>
      <c r="P1131" s="170"/>
      <c r="Q1131" s="170"/>
      <c r="R1131" s="166"/>
      <c r="S1131" s="167"/>
      <c r="T1131" s="168"/>
      <c r="U1131" s="167"/>
      <c r="V1131" s="168"/>
      <c r="W1131" s="169"/>
      <c r="X1131" s="168"/>
      <c r="Y1131" s="169"/>
      <c r="Z1131" s="168"/>
      <c r="AA1131" s="169"/>
      <c r="AB1131" s="168"/>
      <c r="AC1131" s="169"/>
      <c r="AE1131" s="133"/>
    </row>
    <row r="1132" spans="1:31" ht="15.75" hidden="1" outlineLevel="2" x14ac:dyDescent="0.2">
      <c r="A1132" s="25">
        <f>'Утв. ИП 2014-2019'!A1134</f>
        <v>0</v>
      </c>
      <c r="B1132" s="6">
        <f>'Утв. ИП 2014-2019'!B1134</f>
        <v>0</v>
      </c>
      <c r="C1132" s="7" t="str">
        <f>'Утв. ИП 2014-2019'!C1134</f>
        <v>строительство</v>
      </c>
      <c r="D1132" s="8"/>
      <c r="E1132" s="8"/>
      <c r="F1132" s="8"/>
      <c r="G1132" s="8"/>
      <c r="H1132" s="8"/>
      <c r="I1132" s="8"/>
      <c r="J1132" s="23"/>
      <c r="K1132" s="170"/>
      <c r="L1132" s="170"/>
      <c r="M1132" s="170"/>
      <c r="N1132" s="170"/>
      <c r="O1132" s="170"/>
      <c r="P1132" s="170"/>
      <c r="Q1132" s="170"/>
      <c r="R1132" s="166"/>
      <c r="S1132" s="167"/>
      <c r="T1132" s="168"/>
      <c r="U1132" s="167"/>
      <c r="V1132" s="168"/>
      <c r="W1132" s="169"/>
      <c r="X1132" s="168"/>
      <c r="Y1132" s="169"/>
      <c r="Z1132" s="168"/>
      <c r="AA1132" s="169"/>
      <c r="AB1132" s="168"/>
      <c r="AC1132" s="169"/>
      <c r="AE1132" s="133"/>
    </row>
    <row r="1133" spans="1:31" ht="25.5" hidden="1" outlineLevel="1" collapsed="1" x14ac:dyDescent="0.2">
      <c r="A1133" s="25" t="str">
        <f>'Утв. ИП 2014-2019'!A1135</f>
        <v>1.1.5.2.153/13</v>
      </c>
      <c r="B1133" s="6" t="str">
        <f>'Утв. ИП 2014-2019'!B1135</f>
        <v>3.2.298</v>
      </c>
      <c r="C1133" s="7" t="str">
        <f>'Утв. ИП 2014-2019'!C1135</f>
        <v>Электроснабжение административного здания по адресу: г. Липецк, ул. 50 лет НЛМК</v>
      </c>
      <c r="D1133" s="8"/>
      <c r="E1133" s="8" t="str">
        <f>'Утв. ИП 2014-2019'!L1135</f>
        <v>0,4 км/ 0 МВА</v>
      </c>
      <c r="F1133" s="8"/>
      <c r="G1133" s="8"/>
      <c r="H1133" s="8"/>
      <c r="I1133" s="8"/>
      <c r="J1133" s="23" t="str">
        <f>'Утв. ИП 2014-2019'!Q1135</f>
        <v>0,4 км/ 0 МВА</v>
      </c>
      <c r="K1133" s="170"/>
      <c r="L1133" s="170"/>
      <c r="M1133" s="170"/>
      <c r="N1133" s="170"/>
      <c r="O1133" s="170"/>
      <c r="P1133" s="170"/>
      <c r="Q1133" s="170"/>
      <c r="R1133" s="166"/>
      <c r="S1133" s="167"/>
      <c r="T1133" s="168"/>
      <c r="U1133" s="167"/>
      <c r="V1133" s="168"/>
      <c r="W1133" s="169"/>
      <c r="X1133" s="168"/>
      <c r="Y1133" s="169"/>
      <c r="Z1133" s="168"/>
      <c r="AA1133" s="169"/>
      <c r="AB1133" s="168"/>
      <c r="AC1133" s="169"/>
      <c r="AE1133" s="133"/>
    </row>
    <row r="1134" spans="1:31" ht="15.75" hidden="1" outlineLevel="2" x14ac:dyDescent="0.2">
      <c r="A1134" s="25">
        <f>'Утв. ИП 2014-2019'!A1136</f>
        <v>0</v>
      </c>
      <c r="B1134" s="6">
        <f>'Утв. ИП 2014-2019'!B1136</f>
        <v>0</v>
      </c>
      <c r="C1134" s="7" t="str">
        <f>'Утв. ИП 2014-2019'!C1136</f>
        <v>реконструкция</v>
      </c>
      <c r="D1134" s="8"/>
      <c r="E1134" s="8"/>
      <c r="F1134" s="8"/>
      <c r="G1134" s="8"/>
      <c r="H1134" s="8"/>
      <c r="I1134" s="8"/>
      <c r="J1134" s="23"/>
      <c r="K1134" s="170"/>
      <c r="L1134" s="170"/>
      <c r="M1134" s="170"/>
      <c r="N1134" s="170"/>
      <c r="O1134" s="170"/>
      <c r="P1134" s="170"/>
      <c r="Q1134" s="170"/>
      <c r="R1134" s="166"/>
      <c r="S1134" s="167"/>
      <c r="T1134" s="168"/>
      <c r="U1134" s="167"/>
      <c r="V1134" s="168"/>
      <c r="W1134" s="169"/>
      <c r="X1134" s="168"/>
      <c r="Y1134" s="169"/>
      <c r="Z1134" s="168"/>
      <c r="AA1134" s="169"/>
      <c r="AB1134" s="168"/>
      <c r="AC1134" s="169"/>
      <c r="AE1134" s="133"/>
    </row>
    <row r="1135" spans="1:31" ht="15.75" hidden="1" outlineLevel="2" x14ac:dyDescent="0.2">
      <c r="A1135" s="25">
        <f>'Утв. ИП 2014-2019'!A1137</f>
        <v>0</v>
      </c>
      <c r="B1135" s="6">
        <f>'Утв. ИП 2014-2019'!B1137</f>
        <v>0</v>
      </c>
      <c r="C1135" s="7" t="str">
        <f>'Утв. ИП 2014-2019'!C1137</f>
        <v>строительство</v>
      </c>
      <c r="D1135" s="8"/>
      <c r="E1135" s="8"/>
      <c r="F1135" s="8"/>
      <c r="G1135" s="8"/>
      <c r="H1135" s="8"/>
      <c r="I1135" s="8"/>
      <c r="J1135" s="23"/>
      <c r="K1135" s="170"/>
      <c r="L1135" s="170"/>
      <c r="M1135" s="170"/>
      <c r="N1135" s="170"/>
      <c r="O1135" s="170"/>
      <c r="P1135" s="170"/>
      <c r="Q1135" s="170"/>
      <c r="R1135" s="166"/>
      <c r="S1135" s="167"/>
      <c r="T1135" s="168"/>
      <c r="U1135" s="167"/>
      <c r="V1135" s="168"/>
      <c r="W1135" s="169"/>
      <c r="X1135" s="168"/>
      <c r="Y1135" s="169"/>
      <c r="Z1135" s="168"/>
      <c r="AA1135" s="169"/>
      <c r="AB1135" s="168"/>
      <c r="AC1135" s="169"/>
      <c r="AE1135" s="133"/>
    </row>
    <row r="1136" spans="1:31" ht="25.5" hidden="1" outlineLevel="1" collapsed="1" x14ac:dyDescent="0.2">
      <c r="A1136" s="25" t="str">
        <f>'Утв. ИП 2014-2019'!A1138</f>
        <v>1.1.5.2.154/13</v>
      </c>
      <c r="B1136" s="6" t="str">
        <f>'Утв. ИП 2014-2019'!B1138</f>
        <v>3.2.299</v>
      </c>
      <c r="C1136" s="7" t="str">
        <f>'Утв. ИП 2014-2019'!C1138</f>
        <v>Электроснабжение нежилого помещения по "почтовый адрес ориентира: г. Липецк, ул. Суворова, дом № 30"</v>
      </c>
      <c r="D1136" s="8"/>
      <c r="E1136" s="8" t="str">
        <f>'Утв. ИП 2014-2019'!L1138</f>
        <v>0,2 км/ 0 МВА</v>
      </c>
      <c r="F1136" s="8"/>
      <c r="G1136" s="8"/>
      <c r="H1136" s="8"/>
      <c r="I1136" s="8"/>
      <c r="J1136" s="23" t="str">
        <f>'Утв. ИП 2014-2019'!Q1138</f>
        <v>0,2 км/ 0 МВА</v>
      </c>
      <c r="K1136" s="170"/>
      <c r="L1136" s="170"/>
      <c r="M1136" s="170"/>
      <c r="N1136" s="170"/>
      <c r="O1136" s="170"/>
      <c r="P1136" s="170"/>
      <c r="Q1136" s="170"/>
      <c r="R1136" s="166"/>
      <c r="S1136" s="167"/>
      <c r="T1136" s="168"/>
      <c r="U1136" s="167"/>
      <c r="V1136" s="168"/>
      <c r="W1136" s="169"/>
      <c r="X1136" s="168"/>
      <c r="Y1136" s="169"/>
      <c r="Z1136" s="168"/>
      <c r="AA1136" s="169"/>
      <c r="AB1136" s="168"/>
      <c r="AC1136" s="169"/>
      <c r="AE1136" s="133"/>
    </row>
    <row r="1137" spans="1:31" ht="15.75" hidden="1" outlineLevel="2" x14ac:dyDescent="0.2">
      <c r="A1137" s="25">
        <f>'Утв. ИП 2014-2019'!A1139</f>
        <v>0</v>
      </c>
      <c r="B1137" s="6">
        <f>'Утв. ИП 2014-2019'!B1139</f>
        <v>0</v>
      </c>
      <c r="C1137" s="7" t="str">
        <f>'Утв. ИП 2014-2019'!C1139</f>
        <v>реконструкция</v>
      </c>
      <c r="D1137" s="8"/>
      <c r="E1137" s="8"/>
      <c r="F1137" s="8"/>
      <c r="G1137" s="8"/>
      <c r="H1137" s="8"/>
      <c r="I1137" s="8"/>
      <c r="J1137" s="23"/>
      <c r="K1137" s="170"/>
      <c r="L1137" s="170"/>
      <c r="M1137" s="170"/>
      <c r="N1137" s="170"/>
      <c r="O1137" s="170"/>
      <c r="P1137" s="170"/>
      <c r="Q1137" s="170"/>
      <c r="R1137" s="166"/>
      <c r="S1137" s="167"/>
      <c r="T1137" s="168"/>
      <c r="U1137" s="167"/>
      <c r="V1137" s="168"/>
      <c r="W1137" s="169"/>
      <c r="X1137" s="168"/>
      <c r="Y1137" s="169"/>
      <c r="Z1137" s="168"/>
      <c r="AA1137" s="169"/>
      <c r="AB1137" s="168"/>
      <c r="AC1137" s="169"/>
      <c r="AE1137" s="133"/>
    </row>
    <row r="1138" spans="1:31" ht="15.75" hidden="1" outlineLevel="2" x14ac:dyDescent="0.2">
      <c r="A1138" s="25">
        <f>'Утв. ИП 2014-2019'!A1140</f>
        <v>0</v>
      </c>
      <c r="B1138" s="6">
        <f>'Утв. ИП 2014-2019'!B1140</f>
        <v>0</v>
      </c>
      <c r="C1138" s="7" t="str">
        <f>'Утв. ИП 2014-2019'!C1140</f>
        <v>строительство</v>
      </c>
      <c r="D1138" s="8"/>
      <c r="E1138" s="8"/>
      <c r="F1138" s="8"/>
      <c r="G1138" s="8"/>
      <c r="H1138" s="8"/>
      <c r="I1138" s="8"/>
      <c r="J1138" s="23"/>
      <c r="K1138" s="170"/>
      <c r="L1138" s="170"/>
      <c r="M1138" s="170"/>
      <c r="N1138" s="170"/>
      <c r="O1138" s="170"/>
      <c r="P1138" s="170"/>
      <c r="Q1138" s="170"/>
      <c r="R1138" s="166"/>
      <c r="S1138" s="167"/>
      <c r="T1138" s="168"/>
      <c r="U1138" s="167"/>
      <c r="V1138" s="168"/>
      <c r="W1138" s="169"/>
      <c r="X1138" s="168"/>
      <c r="Y1138" s="169"/>
      <c r="Z1138" s="168"/>
      <c r="AA1138" s="169"/>
      <c r="AB1138" s="168"/>
      <c r="AC1138" s="169"/>
      <c r="AE1138" s="133"/>
    </row>
    <row r="1139" spans="1:31" ht="25.5" hidden="1" outlineLevel="1" collapsed="1" x14ac:dyDescent="0.2">
      <c r="A1139" s="25" t="str">
        <f>'Утв. ИП 2014-2019'!A1141</f>
        <v>1.1.5.2.155/13</v>
      </c>
      <c r="B1139" s="6" t="str">
        <f>'Утв. ИП 2014-2019'!B1141</f>
        <v>3.2.300</v>
      </c>
      <c r="C1139" s="7" t="str">
        <f>'Утв. ИП 2014-2019'!C1141</f>
        <v>Электроснабжение индивидуального жилого дома по адресу: г. Липецк, ул. Карбышева, д. 33 (по схеме)</v>
      </c>
      <c r="D1139" s="8" t="str">
        <f>'Утв. ИП 2014-2019'!K1141</f>
        <v>0,3 км/ 0 МВА</v>
      </c>
      <c r="E1139" s="8"/>
      <c r="F1139" s="8"/>
      <c r="G1139" s="8"/>
      <c r="H1139" s="8"/>
      <c r="I1139" s="8"/>
      <c r="J1139" s="23" t="str">
        <f>'Утв. ИП 2014-2019'!Q1141</f>
        <v>0,3 км/ 0 МВА</v>
      </c>
      <c r="K1139" s="170"/>
      <c r="L1139" s="170"/>
      <c r="M1139" s="170"/>
      <c r="N1139" s="170"/>
      <c r="O1139" s="170"/>
      <c r="P1139" s="170"/>
      <c r="Q1139" s="170"/>
      <c r="R1139" s="166"/>
      <c r="S1139" s="167"/>
      <c r="T1139" s="168"/>
      <c r="U1139" s="167"/>
      <c r="V1139" s="168"/>
      <c r="W1139" s="169"/>
      <c r="X1139" s="168"/>
      <c r="Y1139" s="169"/>
      <c r="Z1139" s="168"/>
      <c r="AA1139" s="169"/>
      <c r="AB1139" s="168"/>
      <c r="AC1139" s="169"/>
      <c r="AE1139" s="133"/>
    </row>
    <row r="1140" spans="1:31" ht="15.75" hidden="1" outlineLevel="2" x14ac:dyDescent="0.2">
      <c r="A1140" s="25">
        <f>'Утв. ИП 2014-2019'!A1142</f>
        <v>0</v>
      </c>
      <c r="B1140" s="6">
        <f>'Утв. ИП 2014-2019'!B1142</f>
        <v>0</v>
      </c>
      <c r="C1140" s="7" t="str">
        <f>'Утв. ИП 2014-2019'!C1142</f>
        <v>реконструкция</v>
      </c>
      <c r="D1140" s="8"/>
      <c r="E1140" s="8"/>
      <c r="F1140" s="8"/>
      <c r="G1140" s="8"/>
      <c r="H1140" s="8"/>
      <c r="I1140" s="8"/>
      <c r="J1140" s="23"/>
      <c r="K1140" s="170"/>
      <c r="L1140" s="170"/>
      <c r="M1140" s="170"/>
      <c r="N1140" s="170"/>
      <c r="O1140" s="170"/>
      <c r="P1140" s="170"/>
      <c r="Q1140" s="170"/>
      <c r="R1140" s="166"/>
      <c r="S1140" s="167"/>
      <c r="T1140" s="168"/>
      <c r="U1140" s="167"/>
      <c r="V1140" s="168"/>
      <c r="W1140" s="169"/>
      <c r="X1140" s="168"/>
      <c r="Y1140" s="169"/>
      <c r="Z1140" s="168"/>
      <c r="AA1140" s="169"/>
      <c r="AB1140" s="168"/>
      <c r="AC1140" s="169"/>
      <c r="AE1140" s="133"/>
    </row>
    <row r="1141" spans="1:31" ht="15.75" hidden="1" outlineLevel="2" x14ac:dyDescent="0.2">
      <c r="A1141" s="25">
        <f>'Утв. ИП 2014-2019'!A1143</f>
        <v>0</v>
      </c>
      <c r="B1141" s="6">
        <f>'Утв. ИП 2014-2019'!B1143</f>
        <v>0</v>
      </c>
      <c r="C1141" s="7" t="str">
        <f>'Утв. ИП 2014-2019'!C1143</f>
        <v>строительство</v>
      </c>
      <c r="D1141" s="8"/>
      <c r="E1141" s="8"/>
      <c r="F1141" s="8"/>
      <c r="G1141" s="8"/>
      <c r="H1141" s="8"/>
      <c r="I1141" s="8"/>
      <c r="J1141" s="23"/>
      <c r="K1141" s="170"/>
      <c r="L1141" s="170"/>
      <c r="M1141" s="170"/>
      <c r="N1141" s="170"/>
      <c r="O1141" s="170"/>
      <c r="P1141" s="170"/>
      <c r="Q1141" s="170"/>
      <c r="R1141" s="166"/>
      <c r="S1141" s="167"/>
      <c r="T1141" s="168"/>
      <c r="U1141" s="167"/>
      <c r="V1141" s="168"/>
      <c r="W1141" s="169"/>
      <c r="X1141" s="168"/>
      <c r="Y1141" s="169"/>
      <c r="Z1141" s="168"/>
      <c r="AA1141" s="169"/>
      <c r="AB1141" s="168"/>
      <c r="AC1141" s="169"/>
      <c r="AE1141" s="133"/>
    </row>
    <row r="1142" spans="1:31" ht="25.5" hidden="1" outlineLevel="1" collapsed="1" x14ac:dyDescent="0.2">
      <c r="A1142" s="25" t="str">
        <f>'Утв. ИП 2014-2019'!A1144</f>
        <v>1.1.5.2.156/13</v>
      </c>
      <c r="B1142" s="6" t="str">
        <f>'Утв. ИП 2014-2019'!B1144</f>
        <v>3.2.301</v>
      </c>
      <c r="C1142" s="7" t="str">
        <f>'Утв. ИП 2014-2019'!C1144</f>
        <v>Электроснабжение садового домика по адресу: г. Липецк, СНП "Спутник", массив I, участок № 228</v>
      </c>
      <c r="D1142" s="8" t="str">
        <f>'Утв. ИП 2014-2019'!K1144</f>
        <v>0,5 км/ 0 МВА</v>
      </c>
      <c r="E1142" s="8"/>
      <c r="F1142" s="8"/>
      <c r="G1142" s="8"/>
      <c r="H1142" s="8"/>
      <c r="I1142" s="8"/>
      <c r="J1142" s="23" t="str">
        <f>'Утв. ИП 2014-2019'!Q1144</f>
        <v>0,5 км/ 0 МВА</v>
      </c>
      <c r="K1142" s="170"/>
      <c r="L1142" s="170"/>
      <c r="M1142" s="170"/>
      <c r="N1142" s="170"/>
      <c r="O1142" s="170"/>
      <c r="P1142" s="170"/>
      <c r="Q1142" s="170"/>
      <c r="R1142" s="136"/>
      <c r="S1142" s="137"/>
      <c r="T1142" s="128"/>
      <c r="U1142" s="137"/>
      <c r="V1142" s="128"/>
      <c r="W1142" s="49"/>
      <c r="X1142" s="128"/>
      <c r="Y1142" s="49"/>
      <c r="Z1142" s="128"/>
      <c r="AA1142" s="49"/>
      <c r="AB1142" s="128"/>
      <c r="AC1142" s="49"/>
      <c r="AE1142" s="133"/>
    </row>
    <row r="1143" spans="1:31" ht="15.75" hidden="1" outlineLevel="2" x14ac:dyDescent="0.2">
      <c r="A1143" s="25">
        <f>'Утв. ИП 2014-2019'!A1145</f>
        <v>0</v>
      </c>
      <c r="B1143" s="6">
        <f>'Утв. ИП 2014-2019'!B1145</f>
        <v>0</v>
      </c>
      <c r="C1143" s="7" t="str">
        <f>'Утв. ИП 2014-2019'!C1145</f>
        <v>реконструкция</v>
      </c>
      <c r="D1143" s="8"/>
      <c r="E1143" s="8"/>
      <c r="F1143" s="8"/>
      <c r="G1143" s="8"/>
      <c r="H1143" s="8"/>
      <c r="I1143" s="8"/>
      <c r="J1143" s="23"/>
      <c r="K1143" s="170"/>
      <c r="L1143" s="170"/>
      <c r="M1143" s="170"/>
      <c r="N1143" s="170"/>
      <c r="O1143" s="170"/>
      <c r="P1143" s="170"/>
      <c r="Q1143" s="170"/>
      <c r="R1143" s="136"/>
      <c r="S1143" s="137"/>
      <c r="T1143" s="128"/>
      <c r="U1143" s="137"/>
      <c r="V1143" s="128"/>
      <c r="W1143" s="49"/>
      <c r="X1143" s="128"/>
      <c r="Y1143" s="49"/>
      <c r="Z1143" s="128"/>
      <c r="AA1143" s="49"/>
      <c r="AB1143" s="128"/>
      <c r="AC1143" s="49"/>
      <c r="AE1143" s="133"/>
    </row>
    <row r="1144" spans="1:31" ht="15.75" hidden="1" outlineLevel="2" x14ac:dyDescent="0.2">
      <c r="A1144" s="25">
        <f>'Утв. ИП 2014-2019'!A1146</f>
        <v>0</v>
      </c>
      <c r="B1144" s="6">
        <f>'Утв. ИП 2014-2019'!B1146</f>
        <v>0</v>
      </c>
      <c r="C1144" s="7" t="str">
        <f>'Утв. ИП 2014-2019'!C1146</f>
        <v>строительство</v>
      </c>
      <c r="D1144" s="8"/>
      <c r="E1144" s="8"/>
      <c r="F1144" s="8"/>
      <c r="G1144" s="8"/>
      <c r="H1144" s="8"/>
      <c r="I1144" s="8"/>
      <c r="J1144" s="23"/>
      <c r="K1144" s="170"/>
      <c r="L1144" s="170"/>
      <c r="M1144" s="170"/>
      <c r="N1144" s="170"/>
      <c r="O1144" s="170"/>
      <c r="P1144" s="170"/>
      <c r="Q1144" s="170"/>
      <c r="R1144" s="136"/>
      <c r="S1144" s="137"/>
      <c r="T1144" s="128"/>
      <c r="U1144" s="137"/>
      <c r="V1144" s="128"/>
      <c r="W1144" s="49"/>
      <c r="X1144" s="128"/>
      <c r="Y1144" s="49"/>
      <c r="Z1144" s="128"/>
      <c r="AA1144" s="49"/>
      <c r="AB1144" s="128"/>
      <c r="AC1144" s="49"/>
      <c r="AE1144" s="133"/>
    </row>
    <row r="1145" spans="1:31" ht="15.75" hidden="1" outlineLevel="1" collapsed="1" x14ac:dyDescent="0.2">
      <c r="A1145" s="25" t="str">
        <f>'Утв. ИП 2014-2019'!A1147</f>
        <v>1.1.5.2.157/13</v>
      </c>
      <c r="B1145" s="6" t="str">
        <f>'Утв. ИП 2014-2019'!B1147</f>
        <v>3.2.302</v>
      </c>
      <c r="C1145" s="7" t="str">
        <f>'Утв. ИП 2014-2019'!C1147</f>
        <v>Электроснабжение садовых домиков в СНП "Спутник"</v>
      </c>
      <c r="D1145" s="8"/>
      <c r="E1145" s="8" t="str">
        <f>'Утв. ИП 2014-2019'!L1147</f>
        <v>0,1 км/ 0 МВА</v>
      </c>
      <c r="F1145" s="8"/>
      <c r="G1145" s="8"/>
      <c r="H1145" s="8"/>
      <c r="I1145" s="8"/>
      <c r="J1145" s="23" t="str">
        <f>'Утв. ИП 2014-2019'!Q1147</f>
        <v>0,1 км/ 0 МВА</v>
      </c>
      <c r="K1145" s="170"/>
      <c r="L1145" s="170"/>
      <c r="M1145" s="170"/>
      <c r="N1145" s="170"/>
      <c r="O1145" s="170"/>
      <c r="P1145" s="170"/>
      <c r="Q1145" s="170"/>
      <c r="R1145" s="136"/>
      <c r="S1145" s="137"/>
      <c r="T1145" s="128"/>
      <c r="U1145" s="137"/>
      <c r="V1145" s="128"/>
      <c r="W1145" s="49"/>
      <c r="X1145" s="128"/>
      <c r="Y1145" s="49"/>
      <c r="Z1145" s="128"/>
      <c r="AA1145" s="49"/>
      <c r="AB1145" s="128"/>
      <c r="AC1145" s="49"/>
      <c r="AE1145" s="133"/>
    </row>
    <row r="1146" spans="1:31" ht="15.75" hidden="1" outlineLevel="2" x14ac:dyDescent="0.2">
      <c r="A1146" s="25">
        <f>'Утв. ИП 2014-2019'!A1148</f>
        <v>0</v>
      </c>
      <c r="B1146" s="6">
        <f>'Утв. ИП 2014-2019'!B1148</f>
        <v>0</v>
      </c>
      <c r="C1146" s="7" t="str">
        <f>'Утв. ИП 2014-2019'!C1148</f>
        <v>реконструкция</v>
      </c>
      <c r="D1146" s="8"/>
      <c r="E1146" s="8"/>
      <c r="F1146" s="8"/>
      <c r="G1146" s="8"/>
      <c r="H1146" s="8"/>
      <c r="I1146" s="8"/>
      <c r="J1146" s="23"/>
      <c r="K1146" s="170"/>
      <c r="L1146" s="170"/>
      <c r="M1146" s="170"/>
      <c r="N1146" s="170"/>
      <c r="O1146" s="170"/>
      <c r="P1146" s="170"/>
      <c r="Q1146" s="170"/>
      <c r="R1146" s="136"/>
      <c r="S1146" s="137"/>
      <c r="T1146" s="128"/>
      <c r="U1146" s="137"/>
      <c r="V1146" s="128"/>
      <c r="W1146" s="49"/>
      <c r="X1146" s="128"/>
      <c r="Y1146" s="49"/>
      <c r="Z1146" s="128"/>
      <c r="AA1146" s="49"/>
      <c r="AB1146" s="128"/>
      <c r="AC1146" s="49"/>
      <c r="AE1146" s="133"/>
    </row>
    <row r="1147" spans="1:31" ht="15.75" hidden="1" outlineLevel="2" x14ac:dyDescent="0.2">
      <c r="A1147" s="25">
        <f>'Утв. ИП 2014-2019'!A1149</f>
        <v>0</v>
      </c>
      <c r="B1147" s="6">
        <f>'Утв. ИП 2014-2019'!B1149</f>
        <v>0</v>
      </c>
      <c r="C1147" s="7" t="str">
        <f>'Утв. ИП 2014-2019'!C1149</f>
        <v>строительство</v>
      </c>
      <c r="D1147" s="8"/>
      <c r="E1147" s="8"/>
      <c r="F1147" s="8"/>
      <c r="G1147" s="8"/>
      <c r="H1147" s="8"/>
      <c r="I1147" s="8"/>
      <c r="J1147" s="23"/>
      <c r="K1147" s="170"/>
      <c r="L1147" s="170"/>
      <c r="M1147" s="170"/>
      <c r="N1147" s="170"/>
      <c r="O1147" s="170"/>
      <c r="P1147" s="170"/>
      <c r="Q1147" s="170"/>
      <c r="R1147" s="136"/>
      <c r="S1147" s="137"/>
      <c r="T1147" s="128"/>
      <c r="U1147" s="137"/>
      <c r="V1147" s="128"/>
      <c r="W1147" s="49"/>
      <c r="X1147" s="128"/>
      <c r="Y1147" s="49"/>
      <c r="Z1147" s="128"/>
      <c r="AA1147" s="49"/>
      <c r="AB1147" s="128"/>
      <c r="AC1147" s="49"/>
      <c r="AE1147" s="133"/>
    </row>
    <row r="1148" spans="1:31" ht="25.5" hidden="1" outlineLevel="1" collapsed="1" x14ac:dyDescent="0.2">
      <c r="A1148" s="25" t="str">
        <f>'Утв. ИП 2014-2019'!A1150</f>
        <v>1.1.5.2.158/13</v>
      </c>
      <c r="B1148" s="6" t="str">
        <f>'Утв. ИП 2014-2019'!B1150</f>
        <v>3.2.303</v>
      </c>
      <c r="C1148" s="7" t="str">
        <f>'Утв. ИП 2014-2019'!C1150</f>
        <v>Электроснабжение здания бывшей насосной станции по адресу: г. Липецк, ул. Жуковского, сооружение 7</v>
      </c>
      <c r="D1148" s="8" t="str">
        <f>'Утв. ИП 2014-2019'!K1150</f>
        <v>0,0 км/ 0 МВА</v>
      </c>
      <c r="E1148" s="8"/>
      <c r="F1148" s="8"/>
      <c r="G1148" s="8"/>
      <c r="H1148" s="8"/>
      <c r="I1148" s="8"/>
      <c r="J1148" s="23" t="str">
        <f>'Утв. ИП 2014-2019'!Q1150</f>
        <v>0,0 км/ 0 МВА</v>
      </c>
      <c r="K1148" s="170"/>
      <c r="L1148" s="170"/>
      <c r="M1148" s="170"/>
      <c r="N1148" s="170"/>
      <c r="O1148" s="170"/>
      <c r="P1148" s="170"/>
      <c r="Q1148" s="170"/>
      <c r="R1148" s="166"/>
      <c r="S1148" s="167"/>
      <c r="T1148" s="168"/>
      <c r="U1148" s="167"/>
      <c r="V1148" s="168"/>
      <c r="W1148" s="169"/>
      <c r="X1148" s="168"/>
      <c r="Y1148" s="169"/>
      <c r="Z1148" s="168"/>
      <c r="AA1148" s="169"/>
      <c r="AB1148" s="168"/>
      <c r="AC1148" s="169"/>
      <c r="AE1148" s="133"/>
    </row>
    <row r="1149" spans="1:31" ht="15.75" hidden="1" outlineLevel="2" x14ac:dyDescent="0.2">
      <c r="A1149" s="25">
        <f>'Утв. ИП 2014-2019'!A1151</f>
        <v>0</v>
      </c>
      <c r="B1149" s="6">
        <f>'Утв. ИП 2014-2019'!B1151</f>
        <v>0</v>
      </c>
      <c r="C1149" s="7" t="str">
        <f>'Утв. ИП 2014-2019'!C1151</f>
        <v>реконструкция</v>
      </c>
      <c r="D1149" s="8"/>
      <c r="E1149" s="8"/>
      <c r="F1149" s="8"/>
      <c r="G1149" s="8"/>
      <c r="H1149" s="8"/>
      <c r="I1149" s="8"/>
      <c r="J1149" s="23"/>
      <c r="K1149" s="170"/>
      <c r="L1149" s="170"/>
      <c r="M1149" s="170"/>
      <c r="N1149" s="170"/>
      <c r="O1149" s="170"/>
      <c r="P1149" s="170"/>
      <c r="Q1149" s="170"/>
      <c r="R1149" s="166"/>
      <c r="S1149" s="167"/>
      <c r="T1149" s="168"/>
      <c r="U1149" s="167"/>
      <c r="V1149" s="168"/>
      <c r="W1149" s="169"/>
      <c r="X1149" s="168"/>
      <c r="Y1149" s="169"/>
      <c r="Z1149" s="168"/>
      <c r="AA1149" s="169"/>
      <c r="AB1149" s="168"/>
      <c r="AC1149" s="169"/>
      <c r="AE1149" s="133"/>
    </row>
    <row r="1150" spans="1:31" ht="15.75" hidden="1" outlineLevel="2" x14ac:dyDescent="0.2">
      <c r="A1150" s="25">
        <f>'Утв. ИП 2014-2019'!A1152</f>
        <v>0</v>
      </c>
      <c r="B1150" s="6">
        <f>'Утв. ИП 2014-2019'!B1152</f>
        <v>0</v>
      </c>
      <c r="C1150" s="7" t="str">
        <f>'Утв. ИП 2014-2019'!C1152</f>
        <v>строительство</v>
      </c>
      <c r="D1150" s="8"/>
      <c r="E1150" s="8"/>
      <c r="F1150" s="8"/>
      <c r="G1150" s="8"/>
      <c r="H1150" s="8"/>
      <c r="I1150" s="8"/>
      <c r="J1150" s="23"/>
      <c r="K1150" s="170"/>
      <c r="L1150" s="170"/>
      <c r="M1150" s="170"/>
      <c r="N1150" s="170"/>
      <c r="O1150" s="170"/>
      <c r="P1150" s="170"/>
      <c r="Q1150" s="170"/>
      <c r="R1150" s="166"/>
      <c r="S1150" s="167"/>
      <c r="T1150" s="168"/>
      <c r="U1150" s="167"/>
      <c r="V1150" s="168"/>
      <c r="W1150" s="169"/>
      <c r="X1150" s="168"/>
      <c r="Y1150" s="169"/>
      <c r="Z1150" s="168"/>
      <c r="AA1150" s="169"/>
      <c r="AB1150" s="168"/>
      <c r="AC1150" s="169"/>
      <c r="AE1150" s="133"/>
    </row>
    <row r="1151" spans="1:31" ht="25.5" hidden="1" outlineLevel="1" collapsed="1" x14ac:dyDescent="0.2">
      <c r="A1151" s="25" t="str">
        <f>'Утв. ИП 2014-2019'!A1153</f>
        <v>1.1.5.2.159/13</v>
      </c>
      <c r="B1151" s="6" t="str">
        <f>'Утв. ИП 2014-2019'!B1153</f>
        <v>3.2.304</v>
      </c>
      <c r="C1151" s="7" t="str">
        <f>'Утв. ИП 2014-2019'!C1153</f>
        <v>Электроснабжение жилого дома по адресу: г. Липецк, ул. Липецкая, дом № 93</v>
      </c>
      <c r="D1151" s="8"/>
      <c r="E1151" s="8" t="str">
        <f>'Утв. ИП 2014-2019'!L1153</f>
        <v>0,0 км/ 0 МВА</v>
      </c>
      <c r="F1151" s="8"/>
      <c r="G1151" s="8"/>
      <c r="H1151" s="8"/>
      <c r="I1151" s="8"/>
      <c r="J1151" s="23" t="str">
        <f>'Утв. ИП 2014-2019'!Q1153</f>
        <v>0,0 км/ 0 МВА</v>
      </c>
      <c r="K1151" s="170"/>
      <c r="L1151" s="170"/>
      <c r="M1151" s="170"/>
      <c r="N1151" s="170"/>
      <c r="O1151" s="170"/>
      <c r="P1151" s="170"/>
      <c r="Q1151" s="170"/>
      <c r="R1151" s="166"/>
      <c r="S1151" s="167"/>
      <c r="T1151" s="168"/>
      <c r="U1151" s="167"/>
      <c r="V1151" s="168"/>
      <c r="W1151" s="169"/>
      <c r="X1151" s="168"/>
      <c r="Y1151" s="169"/>
      <c r="Z1151" s="168"/>
      <c r="AA1151" s="169"/>
      <c r="AB1151" s="168"/>
      <c r="AC1151" s="169"/>
      <c r="AE1151" s="133"/>
    </row>
    <row r="1152" spans="1:31" ht="15.75" hidden="1" outlineLevel="2" x14ac:dyDescent="0.2">
      <c r="A1152" s="25">
        <f>'Утв. ИП 2014-2019'!A1154</f>
        <v>0</v>
      </c>
      <c r="B1152" s="6">
        <f>'Утв. ИП 2014-2019'!B1154</f>
        <v>0</v>
      </c>
      <c r="C1152" s="7" t="str">
        <f>'Утв. ИП 2014-2019'!C1154</f>
        <v>реконструкция</v>
      </c>
      <c r="D1152" s="8"/>
      <c r="E1152" s="8"/>
      <c r="F1152" s="8"/>
      <c r="G1152" s="8"/>
      <c r="H1152" s="8"/>
      <c r="I1152" s="8"/>
      <c r="J1152" s="23"/>
      <c r="K1152" s="170"/>
      <c r="L1152" s="170"/>
      <c r="M1152" s="170"/>
      <c r="N1152" s="170"/>
      <c r="O1152" s="170"/>
      <c r="P1152" s="170"/>
      <c r="Q1152" s="170"/>
      <c r="R1152" s="166"/>
      <c r="S1152" s="167"/>
      <c r="T1152" s="168"/>
      <c r="U1152" s="167"/>
      <c r="V1152" s="168"/>
      <c r="W1152" s="169"/>
      <c r="X1152" s="168"/>
      <c r="Y1152" s="169"/>
      <c r="Z1152" s="168"/>
      <c r="AA1152" s="169"/>
      <c r="AB1152" s="168"/>
      <c r="AC1152" s="169"/>
      <c r="AE1152" s="133"/>
    </row>
    <row r="1153" spans="1:31" ht="15.75" hidden="1" outlineLevel="2" x14ac:dyDescent="0.2">
      <c r="A1153" s="25">
        <f>'Утв. ИП 2014-2019'!A1155</f>
        <v>0</v>
      </c>
      <c r="B1153" s="6">
        <f>'Утв. ИП 2014-2019'!B1155</f>
        <v>0</v>
      </c>
      <c r="C1153" s="7" t="str">
        <f>'Утв. ИП 2014-2019'!C1155</f>
        <v>строительство</v>
      </c>
      <c r="D1153" s="8"/>
      <c r="E1153" s="8"/>
      <c r="F1153" s="8"/>
      <c r="G1153" s="8"/>
      <c r="H1153" s="8"/>
      <c r="I1153" s="8"/>
      <c r="J1153" s="23"/>
      <c r="K1153" s="170"/>
      <c r="L1153" s="170"/>
      <c r="M1153" s="170"/>
      <c r="N1153" s="170"/>
      <c r="O1153" s="170"/>
      <c r="P1153" s="170"/>
      <c r="Q1153" s="170"/>
      <c r="R1153" s="166"/>
      <c r="S1153" s="167"/>
      <c r="T1153" s="168"/>
      <c r="U1153" s="167"/>
      <c r="V1153" s="168"/>
      <c r="W1153" s="169"/>
      <c r="X1153" s="168"/>
      <c r="Y1153" s="169"/>
      <c r="Z1153" s="168"/>
      <c r="AA1153" s="169"/>
      <c r="AB1153" s="168"/>
      <c r="AC1153" s="169"/>
      <c r="AE1153" s="133"/>
    </row>
    <row r="1154" spans="1:31" ht="38.25" hidden="1" outlineLevel="1" collapsed="1" x14ac:dyDescent="0.2">
      <c r="A1154" s="25" t="str">
        <f>'Утв. ИП 2014-2019'!A1156</f>
        <v>1.1.5.2.160/13</v>
      </c>
      <c r="B1154" s="6" t="str">
        <f>'Утв. ИП 2014-2019'!B1156</f>
        <v>3.2.305</v>
      </c>
      <c r="C1154" s="7" t="str">
        <f>'Утв. ИП 2014-2019'!C1156</f>
        <v>Электроснабжение садового домика по адресу: г. Липецк, потребительское общество пенсионеров и инвалидов "Сокол-1", участок № 520</v>
      </c>
      <c r="D1154" s="8"/>
      <c r="E1154" s="8" t="str">
        <f>'Утв. ИП 2014-2019'!L1156</f>
        <v>0,1 км/ 0 МВА</v>
      </c>
      <c r="F1154" s="8"/>
      <c r="G1154" s="8"/>
      <c r="H1154" s="8"/>
      <c r="I1154" s="8"/>
      <c r="J1154" s="23" t="str">
        <f>'Утв. ИП 2014-2019'!Q1156</f>
        <v>0,1 км/ 0 МВА</v>
      </c>
      <c r="K1154" s="170"/>
      <c r="L1154" s="170"/>
      <c r="M1154" s="170"/>
      <c r="N1154" s="170"/>
      <c r="O1154" s="170"/>
      <c r="P1154" s="170"/>
      <c r="Q1154" s="170"/>
      <c r="R1154" s="136"/>
      <c r="S1154" s="137"/>
      <c r="T1154" s="128"/>
      <c r="U1154" s="137"/>
      <c r="V1154" s="128"/>
      <c r="W1154" s="49"/>
      <c r="X1154" s="128"/>
      <c r="Y1154" s="49"/>
      <c r="Z1154" s="128"/>
      <c r="AA1154" s="49"/>
      <c r="AB1154" s="128"/>
      <c r="AC1154" s="49"/>
      <c r="AE1154" s="133"/>
    </row>
    <row r="1155" spans="1:31" ht="15.75" hidden="1" outlineLevel="2" x14ac:dyDescent="0.2">
      <c r="A1155" s="25">
        <f>'Утв. ИП 2014-2019'!A1157</f>
        <v>0</v>
      </c>
      <c r="B1155" s="6">
        <f>'Утв. ИП 2014-2019'!B1157</f>
        <v>0</v>
      </c>
      <c r="C1155" s="7" t="str">
        <f>'Утв. ИП 2014-2019'!C1157</f>
        <v>реконструкция</v>
      </c>
      <c r="D1155" s="8"/>
      <c r="E1155" s="8"/>
      <c r="F1155" s="8"/>
      <c r="G1155" s="8"/>
      <c r="H1155" s="8"/>
      <c r="I1155" s="8"/>
      <c r="J1155" s="23"/>
      <c r="K1155" s="170"/>
      <c r="L1155" s="170"/>
      <c r="M1155" s="170"/>
      <c r="N1155" s="170"/>
      <c r="O1155" s="170"/>
      <c r="P1155" s="170"/>
      <c r="Q1155" s="170"/>
      <c r="R1155" s="136"/>
      <c r="S1155" s="137"/>
      <c r="T1155" s="128"/>
      <c r="U1155" s="137"/>
      <c r="V1155" s="128"/>
      <c r="W1155" s="49"/>
      <c r="X1155" s="128"/>
      <c r="Y1155" s="49"/>
      <c r="Z1155" s="128"/>
      <c r="AA1155" s="49"/>
      <c r="AB1155" s="128"/>
      <c r="AC1155" s="49"/>
      <c r="AE1155" s="133"/>
    </row>
    <row r="1156" spans="1:31" ht="15.75" hidden="1" outlineLevel="2" x14ac:dyDescent="0.2">
      <c r="A1156" s="25">
        <f>'Утв. ИП 2014-2019'!A1158</f>
        <v>0</v>
      </c>
      <c r="B1156" s="6">
        <f>'Утв. ИП 2014-2019'!B1158</f>
        <v>0</v>
      </c>
      <c r="C1156" s="7" t="str">
        <f>'Утв. ИП 2014-2019'!C1158</f>
        <v>строительство</v>
      </c>
      <c r="D1156" s="8"/>
      <c r="E1156" s="8"/>
      <c r="F1156" s="8"/>
      <c r="G1156" s="8"/>
      <c r="H1156" s="8"/>
      <c r="I1156" s="8"/>
      <c r="J1156" s="23"/>
      <c r="K1156" s="170"/>
      <c r="L1156" s="170"/>
      <c r="M1156" s="170"/>
      <c r="N1156" s="170"/>
      <c r="O1156" s="170"/>
      <c r="P1156" s="170"/>
      <c r="Q1156" s="170"/>
      <c r="R1156" s="136"/>
      <c r="S1156" s="137"/>
      <c r="T1156" s="128"/>
      <c r="U1156" s="137"/>
      <c r="V1156" s="128"/>
      <c r="W1156" s="49"/>
      <c r="X1156" s="128"/>
      <c r="Y1156" s="49"/>
      <c r="Z1156" s="128"/>
      <c r="AA1156" s="49"/>
      <c r="AB1156" s="128"/>
      <c r="AC1156" s="49"/>
      <c r="AE1156" s="133"/>
    </row>
    <row r="1157" spans="1:31" ht="25.5" hidden="1" outlineLevel="1" collapsed="1" x14ac:dyDescent="0.2">
      <c r="A1157" s="25" t="str">
        <f>'Утв. ИП 2014-2019'!A1159</f>
        <v>1.1.5.2.161/13</v>
      </c>
      <c r="B1157" s="6" t="str">
        <f>'Утв. ИП 2014-2019'!B1159</f>
        <v>3.2.306</v>
      </c>
      <c r="C1157" s="7" t="str">
        <f>'Утв. ИП 2014-2019'!C1159</f>
        <v>Электроснабжение индивидуального жилого дома по адресу: г. Липецк, ул. Базарная, д. 6 б</v>
      </c>
      <c r="D1157" s="8"/>
      <c r="E1157" s="8" t="str">
        <f>'Утв. ИП 2014-2019'!L1159</f>
        <v>0,0 км/ 0 МВА</v>
      </c>
      <c r="F1157" s="8"/>
      <c r="G1157" s="8"/>
      <c r="H1157" s="8"/>
      <c r="I1157" s="8"/>
      <c r="J1157" s="23" t="str">
        <f>'Утв. ИП 2014-2019'!Q1159</f>
        <v>0,0 км/ 0 МВА</v>
      </c>
      <c r="K1157" s="170"/>
      <c r="L1157" s="170"/>
      <c r="M1157" s="170"/>
      <c r="N1157" s="170"/>
      <c r="O1157" s="170"/>
      <c r="P1157" s="170"/>
      <c r="Q1157" s="170"/>
      <c r="R1157" s="136"/>
      <c r="S1157" s="137"/>
      <c r="T1157" s="128"/>
      <c r="U1157" s="137"/>
      <c r="V1157" s="128"/>
      <c r="W1157" s="49"/>
      <c r="X1157" s="128"/>
      <c r="Y1157" s="49"/>
      <c r="Z1157" s="128"/>
      <c r="AA1157" s="49"/>
      <c r="AB1157" s="128"/>
      <c r="AC1157" s="49"/>
      <c r="AE1157" s="133"/>
    </row>
    <row r="1158" spans="1:31" ht="15.75" hidden="1" outlineLevel="2" x14ac:dyDescent="0.2">
      <c r="A1158" s="25">
        <f>'Утв. ИП 2014-2019'!A1160</f>
        <v>0</v>
      </c>
      <c r="B1158" s="6">
        <f>'Утв. ИП 2014-2019'!B1160</f>
        <v>0</v>
      </c>
      <c r="C1158" s="7" t="str">
        <f>'Утв. ИП 2014-2019'!C1160</f>
        <v>реконструкция</v>
      </c>
      <c r="D1158" s="8"/>
      <c r="E1158" s="8"/>
      <c r="F1158" s="8"/>
      <c r="G1158" s="8"/>
      <c r="H1158" s="8"/>
      <c r="I1158" s="8"/>
      <c r="J1158" s="23"/>
      <c r="K1158" s="170"/>
      <c r="L1158" s="170"/>
      <c r="M1158" s="170"/>
      <c r="N1158" s="170"/>
      <c r="O1158" s="170"/>
      <c r="P1158" s="170"/>
      <c r="Q1158" s="170"/>
      <c r="R1158" s="136"/>
      <c r="S1158" s="137"/>
      <c r="T1158" s="128"/>
      <c r="U1158" s="137"/>
      <c r="V1158" s="128"/>
      <c r="W1158" s="49"/>
      <c r="X1158" s="128"/>
      <c r="Y1158" s="49"/>
      <c r="Z1158" s="128"/>
      <c r="AA1158" s="49"/>
      <c r="AB1158" s="128"/>
      <c r="AC1158" s="49"/>
      <c r="AE1158" s="133"/>
    </row>
    <row r="1159" spans="1:31" ht="15.75" hidden="1" outlineLevel="2" x14ac:dyDescent="0.2">
      <c r="A1159" s="25">
        <f>'Утв. ИП 2014-2019'!A1161</f>
        <v>0</v>
      </c>
      <c r="B1159" s="6">
        <f>'Утв. ИП 2014-2019'!B1161</f>
        <v>0</v>
      </c>
      <c r="C1159" s="7" t="str">
        <f>'Утв. ИП 2014-2019'!C1161</f>
        <v>строительство</v>
      </c>
      <c r="D1159" s="8"/>
      <c r="E1159" s="8"/>
      <c r="F1159" s="8"/>
      <c r="G1159" s="8"/>
      <c r="H1159" s="8"/>
      <c r="I1159" s="8"/>
      <c r="J1159" s="23"/>
      <c r="K1159" s="170"/>
      <c r="L1159" s="170"/>
      <c r="M1159" s="170"/>
      <c r="N1159" s="170"/>
      <c r="O1159" s="170"/>
      <c r="P1159" s="170"/>
      <c r="Q1159" s="170"/>
      <c r="R1159" s="136"/>
      <c r="S1159" s="137"/>
      <c r="T1159" s="128"/>
      <c r="U1159" s="137"/>
      <c r="V1159" s="128"/>
      <c r="W1159" s="49"/>
      <c r="X1159" s="128"/>
      <c r="Y1159" s="49"/>
      <c r="Z1159" s="128"/>
      <c r="AA1159" s="49"/>
      <c r="AB1159" s="128"/>
      <c r="AC1159" s="49"/>
      <c r="AE1159" s="133"/>
    </row>
    <row r="1160" spans="1:31" ht="25.5" hidden="1" outlineLevel="1" collapsed="1" x14ac:dyDescent="0.2">
      <c r="A1160" s="25" t="str">
        <f>'Утв. ИП 2014-2019'!A1162</f>
        <v>1.1.5.2.162/13</v>
      </c>
      <c r="B1160" s="6" t="str">
        <f>'Утв. ИП 2014-2019'!B1162</f>
        <v>3.2.307</v>
      </c>
      <c r="C1160" s="7" t="str">
        <f>'Утв. ИП 2014-2019'!C1162</f>
        <v>Электроснабжение индивидуального жилого дома по адресу: г. Липецк, ПОПиИ "Сокол-1", участок № 136</v>
      </c>
      <c r="D1160" s="8"/>
      <c r="E1160" s="8" t="str">
        <f>'Утв. ИП 2014-2019'!L1162</f>
        <v>0,0 км/ 0 МВА</v>
      </c>
      <c r="F1160" s="8"/>
      <c r="G1160" s="8"/>
      <c r="H1160" s="8"/>
      <c r="I1160" s="8"/>
      <c r="J1160" s="23" t="str">
        <f>'Утв. ИП 2014-2019'!Q1162</f>
        <v>0,0 км/ 0 МВА</v>
      </c>
      <c r="K1160" s="170"/>
      <c r="L1160" s="170"/>
      <c r="M1160" s="170"/>
      <c r="N1160" s="170"/>
      <c r="O1160" s="170"/>
      <c r="P1160" s="170"/>
      <c r="Q1160" s="170"/>
      <c r="R1160" s="136"/>
      <c r="S1160" s="137"/>
      <c r="T1160" s="128"/>
      <c r="U1160" s="137"/>
      <c r="V1160" s="128"/>
      <c r="W1160" s="49"/>
      <c r="X1160" s="128"/>
      <c r="Y1160" s="49"/>
      <c r="Z1160" s="128"/>
      <c r="AA1160" s="49"/>
      <c r="AB1160" s="128"/>
      <c r="AC1160" s="49"/>
      <c r="AE1160" s="133"/>
    </row>
    <row r="1161" spans="1:31" ht="15.75" hidden="1" outlineLevel="2" x14ac:dyDescent="0.2">
      <c r="A1161" s="25">
        <f>'Утв. ИП 2014-2019'!A1163</f>
        <v>0</v>
      </c>
      <c r="B1161" s="6">
        <f>'Утв. ИП 2014-2019'!B1163</f>
        <v>0</v>
      </c>
      <c r="C1161" s="7" t="str">
        <f>'Утв. ИП 2014-2019'!C1163</f>
        <v>реконструкция</v>
      </c>
      <c r="D1161" s="8"/>
      <c r="E1161" s="8"/>
      <c r="F1161" s="8"/>
      <c r="G1161" s="8"/>
      <c r="H1161" s="8"/>
      <c r="I1161" s="8"/>
      <c r="J1161" s="23"/>
      <c r="K1161" s="170"/>
      <c r="L1161" s="170"/>
      <c r="M1161" s="170"/>
      <c r="N1161" s="170"/>
      <c r="O1161" s="170"/>
      <c r="P1161" s="170"/>
      <c r="Q1161" s="170"/>
      <c r="R1161" s="136"/>
      <c r="S1161" s="137"/>
      <c r="T1161" s="128"/>
      <c r="U1161" s="137"/>
      <c r="V1161" s="128"/>
      <c r="W1161" s="49"/>
      <c r="X1161" s="128"/>
      <c r="Y1161" s="49"/>
      <c r="Z1161" s="128"/>
      <c r="AA1161" s="49"/>
      <c r="AB1161" s="128"/>
      <c r="AC1161" s="49"/>
      <c r="AE1161" s="133"/>
    </row>
    <row r="1162" spans="1:31" ht="15.75" hidden="1" outlineLevel="2" x14ac:dyDescent="0.2">
      <c r="A1162" s="25">
        <f>'Утв. ИП 2014-2019'!A1164</f>
        <v>0</v>
      </c>
      <c r="B1162" s="6">
        <f>'Утв. ИП 2014-2019'!B1164</f>
        <v>0</v>
      </c>
      <c r="C1162" s="7" t="str">
        <f>'Утв. ИП 2014-2019'!C1164</f>
        <v>строительство</v>
      </c>
      <c r="D1162" s="8"/>
      <c r="E1162" s="8"/>
      <c r="F1162" s="8"/>
      <c r="G1162" s="8"/>
      <c r="H1162" s="8"/>
      <c r="I1162" s="8"/>
      <c r="J1162" s="23"/>
      <c r="K1162" s="170"/>
      <c r="L1162" s="170"/>
      <c r="M1162" s="170"/>
      <c r="N1162" s="170"/>
      <c r="O1162" s="170"/>
      <c r="P1162" s="170"/>
      <c r="Q1162" s="170"/>
      <c r="R1162" s="136"/>
      <c r="S1162" s="137"/>
      <c r="T1162" s="128"/>
      <c r="U1162" s="137"/>
      <c r="V1162" s="128"/>
      <c r="W1162" s="49"/>
      <c r="X1162" s="128"/>
      <c r="Y1162" s="49"/>
      <c r="Z1162" s="128"/>
      <c r="AA1162" s="49"/>
      <c r="AB1162" s="128"/>
      <c r="AC1162" s="49"/>
      <c r="AE1162" s="133"/>
    </row>
    <row r="1163" spans="1:31" ht="25.5" hidden="1" outlineLevel="1" collapsed="1" x14ac:dyDescent="0.2">
      <c r="A1163" s="25" t="str">
        <f>'Утв. ИП 2014-2019'!A1165</f>
        <v>1.1.5.2.163/13</v>
      </c>
      <c r="B1163" s="6" t="str">
        <f>'Утв. ИП 2014-2019'!B1165</f>
        <v>3.2.308</v>
      </c>
      <c r="C1163" s="7" t="str">
        <f>'Утв. ИП 2014-2019'!C1165</f>
        <v xml:space="preserve">Электроснабжение садового домика по адресу: г. Липецк, ПОПиИ "Сокол-1", участок № 132 </v>
      </c>
      <c r="D1163" s="8" t="str">
        <f>'Утв. ИП 2014-2019'!K1165</f>
        <v>0,1 км/ 0 МВА</v>
      </c>
      <c r="E1163" s="8"/>
      <c r="F1163" s="8"/>
      <c r="G1163" s="8"/>
      <c r="H1163" s="8"/>
      <c r="I1163" s="8"/>
      <c r="J1163" s="23" t="str">
        <f>'Утв. ИП 2014-2019'!Q1165</f>
        <v>0,1 км/ 0 МВА</v>
      </c>
      <c r="K1163" s="170"/>
      <c r="L1163" s="170"/>
      <c r="M1163" s="170"/>
      <c r="N1163" s="170"/>
      <c r="O1163" s="170"/>
      <c r="P1163" s="170"/>
      <c r="Q1163" s="170"/>
      <c r="R1163" s="136"/>
      <c r="S1163" s="137"/>
      <c r="T1163" s="128"/>
      <c r="U1163" s="137"/>
      <c r="V1163" s="128"/>
      <c r="W1163" s="49"/>
      <c r="X1163" s="128"/>
      <c r="Y1163" s="49"/>
      <c r="Z1163" s="128"/>
      <c r="AA1163" s="49"/>
      <c r="AB1163" s="128"/>
      <c r="AC1163" s="49"/>
      <c r="AE1163" s="133"/>
    </row>
    <row r="1164" spans="1:31" ht="15.75" hidden="1" outlineLevel="2" x14ac:dyDescent="0.2">
      <c r="A1164" s="25">
        <f>'Утв. ИП 2014-2019'!A1166</f>
        <v>0</v>
      </c>
      <c r="B1164" s="6">
        <f>'Утв. ИП 2014-2019'!B1166</f>
        <v>0</v>
      </c>
      <c r="C1164" s="7" t="str">
        <f>'Утв. ИП 2014-2019'!C1166</f>
        <v>реконструкция</v>
      </c>
      <c r="D1164" s="8"/>
      <c r="E1164" s="8"/>
      <c r="F1164" s="8"/>
      <c r="G1164" s="8"/>
      <c r="H1164" s="8"/>
      <c r="I1164" s="8"/>
      <c r="J1164" s="23"/>
      <c r="K1164" s="170"/>
      <c r="L1164" s="170"/>
      <c r="M1164" s="170"/>
      <c r="N1164" s="170"/>
      <c r="O1164" s="170"/>
      <c r="P1164" s="170"/>
      <c r="Q1164" s="170"/>
      <c r="R1164" s="136"/>
      <c r="S1164" s="137"/>
      <c r="T1164" s="128"/>
      <c r="U1164" s="137"/>
      <c r="V1164" s="128"/>
      <c r="W1164" s="49"/>
      <c r="X1164" s="128"/>
      <c r="Y1164" s="49"/>
      <c r="Z1164" s="128"/>
      <c r="AA1164" s="49"/>
      <c r="AB1164" s="128"/>
      <c r="AC1164" s="49"/>
      <c r="AE1164" s="133"/>
    </row>
    <row r="1165" spans="1:31" ht="15.75" hidden="1" outlineLevel="2" x14ac:dyDescent="0.2">
      <c r="A1165" s="25">
        <f>'Утв. ИП 2014-2019'!A1167</f>
        <v>0</v>
      </c>
      <c r="B1165" s="6">
        <f>'Утв. ИП 2014-2019'!B1167</f>
        <v>0</v>
      </c>
      <c r="C1165" s="7" t="str">
        <f>'Утв. ИП 2014-2019'!C1167</f>
        <v>строительство</v>
      </c>
      <c r="D1165" s="8"/>
      <c r="E1165" s="8"/>
      <c r="F1165" s="8"/>
      <c r="G1165" s="8"/>
      <c r="H1165" s="8"/>
      <c r="I1165" s="8"/>
      <c r="J1165" s="23"/>
      <c r="K1165" s="170"/>
      <c r="L1165" s="170"/>
      <c r="M1165" s="170"/>
      <c r="N1165" s="170"/>
      <c r="O1165" s="170"/>
      <c r="P1165" s="170"/>
      <c r="Q1165" s="170"/>
      <c r="R1165" s="136"/>
      <c r="S1165" s="137"/>
      <c r="T1165" s="128"/>
      <c r="U1165" s="137"/>
      <c r="V1165" s="128"/>
      <c r="W1165" s="49"/>
      <c r="X1165" s="128"/>
      <c r="Y1165" s="49"/>
      <c r="Z1165" s="128"/>
      <c r="AA1165" s="49"/>
      <c r="AB1165" s="128"/>
      <c r="AC1165" s="49"/>
      <c r="AE1165" s="133"/>
    </row>
    <row r="1166" spans="1:31" ht="25.5" hidden="1" outlineLevel="1" collapsed="1" x14ac:dyDescent="0.2">
      <c r="A1166" s="25" t="str">
        <f>'Утв. ИП 2014-2019'!A1168</f>
        <v>1.1.5.2.164/13</v>
      </c>
      <c r="B1166" s="6" t="str">
        <f>'Утв. ИП 2014-2019'!B1168</f>
        <v>3.2.309</v>
      </c>
      <c r="C1166" s="7" t="str">
        <f>'Утв. ИП 2014-2019'!C1168</f>
        <v>Электроснабжение кирпичного жилого дома с пристройкой по адресу: г. Липецк, ул. Дарвина, дом 104</v>
      </c>
      <c r="D1166" s="8"/>
      <c r="E1166" s="8" t="str">
        <f>'Утв. ИП 2014-2019'!L1168</f>
        <v>0,12 км/ 0 МВА</v>
      </c>
      <c r="F1166" s="8"/>
      <c r="G1166" s="8"/>
      <c r="H1166" s="8"/>
      <c r="I1166" s="8"/>
      <c r="J1166" s="23" t="str">
        <f>'Утв. ИП 2014-2019'!Q1168</f>
        <v>0,12 км/ 0 МВА</v>
      </c>
      <c r="K1166" s="170"/>
      <c r="L1166" s="170"/>
      <c r="M1166" s="170"/>
      <c r="N1166" s="170"/>
      <c r="O1166" s="170"/>
      <c r="P1166" s="170"/>
      <c r="Q1166" s="170"/>
      <c r="R1166" s="136"/>
      <c r="S1166" s="137"/>
      <c r="T1166" s="128"/>
      <c r="U1166" s="137"/>
      <c r="V1166" s="128"/>
      <c r="W1166" s="49"/>
      <c r="X1166" s="128"/>
      <c r="Y1166" s="49"/>
      <c r="Z1166" s="128"/>
      <c r="AA1166" s="49"/>
      <c r="AB1166" s="128"/>
      <c r="AC1166" s="49"/>
      <c r="AE1166" s="133"/>
    </row>
    <row r="1167" spans="1:31" ht="15.75" hidden="1" outlineLevel="2" x14ac:dyDescent="0.2">
      <c r="A1167" s="25">
        <f>'Утв. ИП 2014-2019'!A1169</f>
        <v>0</v>
      </c>
      <c r="B1167" s="6">
        <f>'Утв. ИП 2014-2019'!B1169</f>
        <v>0</v>
      </c>
      <c r="C1167" s="7" t="str">
        <f>'Утв. ИП 2014-2019'!C1169</f>
        <v>реконструкция</v>
      </c>
      <c r="D1167" s="8"/>
      <c r="E1167" s="8"/>
      <c r="F1167" s="8"/>
      <c r="G1167" s="8"/>
      <c r="H1167" s="8"/>
      <c r="I1167" s="8"/>
      <c r="J1167" s="23"/>
      <c r="K1167" s="170"/>
      <c r="L1167" s="170"/>
      <c r="M1167" s="170"/>
      <c r="N1167" s="170"/>
      <c r="O1167" s="170"/>
      <c r="P1167" s="170"/>
      <c r="Q1167" s="170"/>
      <c r="R1167" s="136"/>
      <c r="S1167" s="137"/>
      <c r="T1167" s="128"/>
      <c r="U1167" s="137"/>
      <c r="V1167" s="128"/>
      <c r="W1167" s="49"/>
      <c r="X1167" s="128"/>
      <c r="Y1167" s="49"/>
      <c r="Z1167" s="128"/>
      <c r="AA1167" s="49"/>
      <c r="AB1167" s="128"/>
      <c r="AC1167" s="49"/>
      <c r="AE1167" s="133"/>
    </row>
    <row r="1168" spans="1:31" ht="15.75" hidden="1" outlineLevel="2" x14ac:dyDescent="0.2">
      <c r="A1168" s="25">
        <f>'Утв. ИП 2014-2019'!A1170</f>
        <v>0</v>
      </c>
      <c r="B1168" s="6">
        <f>'Утв. ИП 2014-2019'!B1170</f>
        <v>0</v>
      </c>
      <c r="C1168" s="7" t="str">
        <f>'Утв. ИП 2014-2019'!C1170</f>
        <v>строительство</v>
      </c>
      <c r="D1168" s="8"/>
      <c r="E1168" s="8"/>
      <c r="F1168" s="8"/>
      <c r="G1168" s="8"/>
      <c r="H1168" s="8"/>
      <c r="I1168" s="8"/>
      <c r="J1168" s="23"/>
      <c r="K1168" s="170"/>
      <c r="L1168" s="170"/>
      <c r="M1168" s="170"/>
      <c r="N1168" s="170"/>
      <c r="O1168" s="170"/>
      <c r="P1168" s="170"/>
      <c r="Q1168" s="170"/>
      <c r="R1168" s="136"/>
      <c r="S1168" s="137"/>
      <c r="T1168" s="128"/>
      <c r="U1168" s="137"/>
      <c r="V1168" s="128"/>
      <c r="W1168" s="49"/>
      <c r="X1168" s="128"/>
      <c r="Y1168" s="49"/>
      <c r="Z1168" s="128"/>
      <c r="AA1168" s="49"/>
      <c r="AB1168" s="128"/>
      <c r="AC1168" s="49"/>
      <c r="AE1168" s="133"/>
    </row>
    <row r="1169" spans="1:31" ht="15.75" hidden="1" outlineLevel="1" collapsed="1" x14ac:dyDescent="0.2">
      <c r="A1169" s="25" t="str">
        <f>'Утв. ИП 2014-2019'!A1171</f>
        <v>1.1.5.2.165/13</v>
      </c>
      <c r="B1169" s="6" t="str">
        <f>'Утв. ИП 2014-2019'!B1171</f>
        <v>3.2.310</v>
      </c>
      <c r="C1169" s="7" t="str">
        <f>'Утв. ИП 2014-2019'!C1171</f>
        <v>Электроснабжение объектов в районе ул. Ковалева</v>
      </c>
      <c r="D1169" s="8"/>
      <c r="E1169" s="8" t="str">
        <f>'Утв. ИП 2014-2019'!L1171</f>
        <v>0,0 км/ 0 МВА</v>
      </c>
      <c r="F1169" s="8"/>
      <c r="G1169" s="8"/>
      <c r="H1169" s="8"/>
      <c r="I1169" s="8"/>
      <c r="J1169" s="23" t="str">
        <f>'Утв. ИП 2014-2019'!Q1171</f>
        <v>0,0 км/ 0 МВА</v>
      </c>
      <c r="K1169" s="170"/>
      <c r="L1169" s="170"/>
      <c r="M1169" s="170"/>
      <c r="N1169" s="170"/>
      <c r="O1169" s="170"/>
      <c r="P1169" s="170"/>
      <c r="Q1169" s="170"/>
      <c r="R1169" s="166"/>
      <c r="S1169" s="167"/>
      <c r="T1169" s="168"/>
      <c r="U1169" s="167"/>
      <c r="V1169" s="168"/>
      <c r="W1169" s="169"/>
      <c r="X1169" s="168"/>
      <c r="Y1169" s="169"/>
      <c r="Z1169" s="168"/>
      <c r="AA1169" s="169"/>
      <c r="AB1169" s="168"/>
      <c r="AC1169" s="169"/>
      <c r="AE1169" s="133"/>
    </row>
    <row r="1170" spans="1:31" ht="15.75" hidden="1" outlineLevel="2" x14ac:dyDescent="0.2">
      <c r="A1170" s="25">
        <f>'Утв. ИП 2014-2019'!A1172</f>
        <v>0</v>
      </c>
      <c r="B1170" s="6">
        <f>'Утв. ИП 2014-2019'!B1172</f>
        <v>0</v>
      </c>
      <c r="C1170" s="7" t="str">
        <f>'Утв. ИП 2014-2019'!C1172</f>
        <v>реконструкция</v>
      </c>
      <c r="D1170" s="8"/>
      <c r="E1170" s="8"/>
      <c r="F1170" s="8"/>
      <c r="G1170" s="8"/>
      <c r="H1170" s="8"/>
      <c r="I1170" s="8"/>
      <c r="J1170" s="23"/>
      <c r="K1170" s="170"/>
      <c r="L1170" s="170"/>
      <c r="M1170" s="170"/>
      <c r="N1170" s="170"/>
      <c r="O1170" s="170"/>
      <c r="P1170" s="170"/>
      <c r="Q1170" s="170"/>
      <c r="R1170" s="166"/>
      <c r="S1170" s="167"/>
      <c r="T1170" s="168"/>
      <c r="U1170" s="167"/>
      <c r="V1170" s="168"/>
      <c r="W1170" s="169"/>
      <c r="X1170" s="168"/>
      <c r="Y1170" s="169"/>
      <c r="Z1170" s="168"/>
      <c r="AA1170" s="169"/>
      <c r="AB1170" s="168"/>
      <c r="AC1170" s="169"/>
      <c r="AE1170" s="133"/>
    </row>
    <row r="1171" spans="1:31" ht="15.75" hidden="1" outlineLevel="2" x14ac:dyDescent="0.2">
      <c r="A1171" s="25">
        <f>'Утв. ИП 2014-2019'!A1173</f>
        <v>0</v>
      </c>
      <c r="B1171" s="6">
        <f>'Утв. ИП 2014-2019'!B1173</f>
        <v>0</v>
      </c>
      <c r="C1171" s="7" t="str">
        <f>'Утв. ИП 2014-2019'!C1173</f>
        <v>строительство</v>
      </c>
      <c r="D1171" s="8"/>
      <c r="E1171" s="8"/>
      <c r="F1171" s="8"/>
      <c r="G1171" s="8"/>
      <c r="H1171" s="8"/>
      <c r="I1171" s="8"/>
      <c r="J1171" s="23"/>
      <c r="K1171" s="170"/>
      <c r="L1171" s="170"/>
      <c r="M1171" s="170"/>
      <c r="N1171" s="170"/>
      <c r="O1171" s="170"/>
      <c r="P1171" s="170"/>
      <c r="Q1171" s="170"/>
      <c r="R1171" s="166"/>
      <c r="S1171" s="167"/>
      <c r="T1171" s="168"/>
      <c r="U1171" s="167"/>
      <c r="V1171" s="168"/>
      <c r="W1171" s="169"/>
      <c r="X1171" s="168"/>
      <c r="Y1171" s="169"/>
      <c r="Z1171" s="168"/>
      <c r="AA1171" s="169"/>
      <c r="AB1171" s="168"/>
      <c r="AC1171" s="169"/>
      <c r="AE1171" s="133"/>
    </row>
    <row r="1172" spans="1:31" ht="25.5" hidden="1" outlineLevel="1" collapsed="1" x14ac:dyDescent="0.2">
      <c r="A1172" s="25" t="str">
        <f>'Утв. ИП 2014-2019'!A1174</f>
        <v>1.1.5.2.166/13</v>
      </c>
      <c r="B1172" s="6" t="str">
        <f>'Утв. ИП 2014-2019'!B1174</f>
        <v>3.2.311</v>
      </c>
      <c r="C1172" s="7" t="str">
        <f>'Утв. ИП 2014-2019'!C1174</f>
        <v>Электроснабжение садового домика по адресу: г. Липецк, СНТ "Машиностроитель", участок № 884</v>
      </c>
      <c r="D1172" s="8"/>
      <c r="E1172" s="8" t="str">
        <f>'Утв. ИП 2014-2019'!L1174</f>
        <v>0,5 км/ 0 МВА</v>
      </c>
      <c r="F1172" s="8"/>
      <c r="G1172" s="8"/>
      <c r="H1172" s="8"/>
      <c r="I1172" s="8"/>
      <c r="J1172" s="23" t="str">
        <f>'Утв. ИП 2014-2019'!Q1174</f>
        <v>0,5 км/ 0 МВА</v>
      </c>
      <c r="K1172" s="170"/>
      <c r="L1172" s="170"/>
      <c r="M1172" s="170"/>
      <c r="N1172" s="170"/>
      <c r="O1172" s="170"/>
      <c r="P1172" s="170"/>
      <c r="Q1172" s="170"/>
      <c r="R1172" s="166"/>
      <c r="S1172" s="167"/>
      <c r="T1172" s="168"/>
      <c r="U1172" s="167"/>
      <c r="V1172" s="168"/>
      <c r="W1172" s="169"/>
      <c r="X1172" s="168"/>
      <c r="Y1172" s="169"/>
      <c r="Z1172" s="168"/>
      <c r="AA1172" s="169"/>
      <c r="AB1172" s="168"/>
      <c r="AC1172" s="169"/>
      <c r="AE1172" s="133"/>
    </row>
    <row r="1173" spans="1:31" ht="15.75" hidden="1" outlineLevel="2" x14ac:dyDescent="0.2">
      <c r="A1173" s="25">
        <f>'Утв. ИП 2014-2019'!A1175</f>
        <v>0</v>
      </c>
      <c r="B1173" s="6">
        <f>'Утв. ИП 2014-2019'!B1175</f>
        <v>0</v>
      </c>
      <c r="C1173" s="7" t="str">
        <f>'Утв. ИП 2014-2019'!C1175</f>
        <v>реконструкция</v>
      </c>
      <c r="D1173" s="8"/>
      <c r="E1173" s="8"/>
      <c r="F1173" s="8"/>
      <c r="G1173" s="8"/>
      <c r="H1173" s="8"/>
      <c r="I1173" s="8"/>
      <c r="J1173" s="23"/>
      <c r="K1173" s="170"/>
      <c r="L1173" s="170"/>
      <c r="M1173" s="170"/>
      <c r="N1173" s="170"/>
      <c r="O1173" s="170"/>
      <c r="P1173" s="170"/>
      <c r="Q1173" s="170"/>
      <c r="R1173" s="136"/>
      <c r="S1173" s="137"/>
      <c r="T1173" s="128"/>
      <c r="U1173" s="137"/>
      <c r="V1173" s="128"/>
      <c r="W1173" s="49"/>
      <c r="X1173" s="128"/>
      <c r="Y1173" s="49"/>
      <c r="Z1173" s="128"/>
      <c r="AA1173" s="49"/>
      <c r="AB1173" s="128"/>
      <c r="AC1173" s="49"/>
      <c r="AE1173" s="133"/>
    </row>
    <row r="1174" spans="1:31" ht="15.75" hidden="1" outlineLevel="2" x14ac:dyDescent="0.2">
      <c r="A1174" s="25">
        <f>'Утв. ИП 2014-2019'!A1176</f>
        <v>0</v>
      </c>
      <c r="B1174" s="6">
        <f>'Утв. ИП 2014-2019'!B1176</f>
        <v>0</v>
      </c>
      <c r="C1174" s="7" t="str">
        <f>'Утв. ИП 2014-2019'!C1176</f>
        <v>строительство</v>
      </c>
      <c r="D1174" s="8"/>
      <c r="E1174" s="8"/>
      <c r="F1174" s="8"/>
      <c r="G1174" s="8"/>
      <c r="H1174" s="8"/>
      <c r="I1174" s="8"/>
      <c r="J1174" s="23"/>
      <c r="K1174" s="170"/>
      <c r="L1174" s="170"/>
      <c r="M1174" s="170"/>
      <c r="N1174" s="170"/>
      <c r="O1174" s="170"/>
      <c r="P1174" s="170"/>
      <c r="Q1174" s="170"/>
      <c r="R1174" s="136"/>
      <c r="S1174" s="137"/>
      <c r="T1174" s="128"/>
      <c r="U1174" s="137"/>
      <c r="V1174" s="128"/>
      <c r="W1174" s="49"/>
      <c r="X1174" s="128"/>
      <c r="Y1174" s="49"/>
      <c r="Z1174" s="128"/>
      <c r="AA1174" s="49"/>
      <c r="AB1174" s="128"/>
      <c r="AC1174" s="49"/>
      <c r="AE1174" s="133"/>
    </row>
    <row r="1175" spans="1:31" ht="25.5" hidden="1" outlineLevel="1" collapsed="1" x14ac:dyDescent="0.2">
      <c r="A1175" s="25" t="str">
        <f>'Утв. ИП 2014-2019'!A1177</f>
        <v>1.1.5.2.167/13</v>
      </c>
      <c r="B1175" s="6" t="str">
        <f>'Утв. ИП 2014-2019'!B1177</f>
        <v>3.2.312</v>
      </c>
      <c r="C1175" s="7" t="str">
        <f>'Утв. ИП 2014-2019'!C1177</f>
        <v>Электроснабжение гаража по адресу: г. Липецк, ул. Вавилова, д. 19</v>
      </c>
      <c r="D1175" s="8" t="str">
        <f>'Утв. ИП 2014-2019'!K1177</f>
        <v>0,0 км/ 0 МВА</v>
      </c>
      <c r="E1175" s="8"/>
      <c r="F1175" s="8"/>
      <c r="G1175" s="8"/>
      <c r="H1175" s="8"/>
      <c r="I1175" s="8"/>
      <c r="J1175" s="23" t="str">
        <f>'Утв. ИП 2014-2019'!Q1177</f>
        <v>0,0 км/ 0 МВА</v>
      </c>
      <c r="K1175" s="170"/>
      <c r="L1175" s="170"/>
      <c r="M1175" s="170"/>
      <c r="N1175" s="170"/>
      <c r="O1175" s="170"/>
      <c r="P1175" s="170"/>
      <c r="Q1175" s="170"/>
      <c r="R1175" s="136"/>
      <c r="S1175" s="137"/>
      <c r="T1175" s="128"/>
      <c r="U1175" s="137"/>
      <c r="V1175" s="128"/>
      <c r="W1175" s="49"/>
      <c r="X1175" s="128"/>
      <c r="Y1175" s="49"/>
      <c r="Z1175" s="128"/>
      <c r="AA1175" s="49"/>
      <c r="AB1175" s="128"/>
      <c r="AC1175" s="49"/>
      <c r="AE1175" s="133"/>
    </row>
    <row r="1176" spans="1:31" ht="15.75" hidden="1" outlineLevel="2" x14ac:dyDescent="0.2">
      <c r="A1176" s="25">
        <f>'Утв. ИП 2014-2019'!A1178</f>
        <v>0</v>
      </c>
      <c r="B1176" s="6">
        <f>'Утв. ИП 2014-2019'!B1178</f>
        <v>0</v>
      </c>
      <c r="C1176" s="7" t="str">
        <f>'Утв. ИП 2014-2019'!C1178</f>
        <v>реконструкция</v>
      </c>
      <c r="D1176" s="8"/>
      <c r="E1176" s="8"/>
      <c r="F1176" s="8"/>
      <c r="G1176" s="8"/>
      <c r="H1176" s="8"/>
      <c r="I1176" s="8"/>
      <c r="J1176" s="23"/>
      <c r="K1176" s="170"/>
      <c r="L1176" s="170"/>
      <c r="M1176" s="170"/>
      <c r="N1176" s="170"/>
      <c r="O1176" s="170"/>
      <c r="P1176" s="170"/>
      <c r="Q1176" s="170"/>
      <c r="R1176" s="136"/>
      <c r="S1176" s="137"/>
      <c r="T1176" s="128"/>
      <c r="U1176" s="137"/>
      <c r="V1176" s="128"/>
      <c r="W1176" s="49"/>
      <c r="X1176" s="128"/>
      <c r="Y1176" s="49"/>
      <c r="Z1176" s="128"/>
      <c r="AA1176" s="49"/>
      <c r="AB1176" s="128"/>
      <c r="AC1176" s="49"/>
      <c r="AE1176" s="133"/>
    </row>
    <row r="1177" spans="1:31" ht="15.75" hidden="1" outlineLevel="2" x14ac:dyDescent="0.2">
      <c r="A1177" s="25">
        <f>'Утв. ИП 2014-2019'!A1179</f>
        <v>0</v>
      </c>
      <c r="B1177" s="6">
        <f>'Утв. ИП 2014-2019'!B1179</f>
        <v>0</v>
      </c>
      <c r="C1177" s="7" t="str">
        <f>'Утв. ИП 2014-2019'!C1179</f>
        <v>строительство</v>
      </c>
      <c r="D1177" s="8"/>
      <c r="E1177" s="8"/>
      <c r="F1177" s="8"/>
      <c r="G1177" s="8"/>
      <c r="H1177" s="8"/>
      <c r="I1177" s="8"/>
      <c r="J1177" s="23"/>
      <c r="K1177" s="170"/>
      <c r="L1177" s="170"/>
      <c r="M1177" s="170"/>
      <c r="N1177" s="170"/>
      <c r="O1177" s="170"/>
      <c r="P1177" s="170"/>
      <c r="Q1177" s="170"/>
      <c r="R1177" s="136"/>
      <c r="S1177" s="137"/>
      <c r="T1177" s="128"/>
      <c r="U1177" s="137"/>
      <c r="V1177" s="128"/>
      <c r="W1177" s="49"/>
      <c r="X1177" s="128"/>
      <c r="Y1177" s="49"/>
      <c r="Z1177" s="128"/>
      <c r="AA1177" s="49"/>
      <c r="AB1177" s="128"/>
      <c r="AC1177" s="49"/>
      <c r="AE1177" s="133"/>
    </row>
    <row r="1178" spans="1:31" ht="25.5" hidden="1" outlineLevel="1" collapsed="1" x14ac:dyDescent="0.2">
      <c r="A1178" s="25" t="str">
        <f>'Утв. ИП 2014-2019'!A1180</f>
        <v>1.1.5.2.168/13</v>
      </c>
      <c r="B1178" s="6" t="str">
        <f>'Утв. ИП 2014-2019'!B1180</f>
        <v>3.2.313</v>
      </c>
      <c r="C1178" s="7" t="str">
        <f>'Утв. ИП 2014-2019'!C1180</f>
        <v>Электроснабжение садовых домиков по адресу: г. Липецк, СНТ "Сокол-2"</v>
      </c>
      <c r="D1178" s="8" t="str">
        <f>'Утв. ИП 2014-2019'!K1180</f>
        <v>0,0 км/ 0 МВА</v>
      </c>
      <c r="E1178" s="8"/>
      <c r="F1178" s="8"/>
      <c r="G1178" s="8"/>
      <c r="H1178" s="8"/>
      <c r="I1178" s="8"/>
      <c r="J1178" s="23" t="str">
        <f>'Утв. ИП 2014-2019'!Q1180</f>
        <v>0,0 км/ 0 МВА</v>
      </c>
      <c r="K1178" s="170"/>
      <c r="L1178" s="170"/>
      <c r="M1178" s="170"/>
      <c r="N1178" s="170"/>
      <c r="O1178" s="170"/>
      <c r="P1178" s="170"/>
      <c r="Q1178" s="170"/>
      <c r="R1178" s="136"/>
      <c r="S1178" s="137"/>
      <c r="T1178" s="128"/>
      <c r="U1178" s="137"/>
      <c r="V1178" s="128"/>
      <c r="W1178" s="49"/>
      <c r="X1178" s="128"/>
      <c r="Y1178" s="49"/>
      <c r="Z1178" s="128"/>
      <c r="AA1178" s="49"/>
      <c r="AB1178" s="128"/>
      <c r="AC1178" s="49"/>
      <c r="AE1178" s="133"/>
    </row>
    <row r="1179" spans="1:31" ht="15.75" hidden="1" outlineLevel="2" x14ac:dyDescent="0.2">
      <c r="A1179" s="25">
        <f>'Утв. ИП 2014-2019'!A1181</f>
        <v>0</v>
      </c>
      <c r="B1179" s="6">
        <f>'Утв. ИП 2014-2019'!B1181</f>
        <v>0</v>
      </c>
      <c r="C1179" s="7" t="str">
        <f>'Утв. ИП 2014-2019'!C1181</f>
        <v>реконструкция</v>
      </c>
      <c r="D1179" s="8"/>
      <c r="E1179" s="8"/>
      <c r="F1179" s="8"/>
      <c r="G1179" s="8"/>
      <c r="H1179" s="8"/>
      <c r="I1179" s="8"/>
      <c r="J1179" s="23"/>
      <c r="K1179" s="170"/>
      <c r="L1179" s="170"/>
      <c r="M1179" s="170"/>
      <c r="N1179" s="170"/>
      <c r="O1179" s="170"/>
      <c r="P1179" s="170"/>
      <c r="Q1179" s="170"/>
      <c r="R1179" s="136"/>
      <c r="S1179" s="137"/>
      <c r="T1179" s="128"/>
      <c r="U1179" s="137"/>
      <c r="V1179" s="128"/>
      <c r="W1179" s="49"/>
      <c r="X1179" s="128"/>
      <c r="Y1179" s="49"/>
      <c r="Z1179" s="128"/>
      <c r="AA1179" s="49"/>
      <c r="AB1179" s="128"/>
      <c r="AC1179" s="49"/>
      <c r="AE1179" s="133"/>
    </row>
    <row r="1180" spans="1:31" ht="15.75" hidden="1" outlineLevel="2" x14ac:dyDescent="0.2">
      <c r="A1180" s="25">
        <f>'Утв. ИП 2014-2019'!A1182</f>
        <v>0</v>
      </c>
      <c r="B1180" s="6">
        <f>'Утв. ИП 2014-2019'!B1182</f>
        <v>0</v>
      </c>
      <c r="C1180" s="7" t="str">
        <f>'Утв. ИП 2014-2019'!C1182</f>
        <v>строительство</v>
      </c>
      <c r="D1180" s="8"/>
      <c r="E1180" s="8"/>
      <c r="F1180" s="8"/>
      <c r="G1180" s="8"/>
      <c r="H1180" s="8"/>
      <c r="I1180" s="8"/>
      <c r="J1180" s="23"/>
      <c r="K1180" s="170"/>
      <c r="L1180" s="170"/>
      <c r="M1180" s="170"/>
      <c r="N1180" s="170"/>
      <c r="O1180" s="170"/>
      <c r="P1180" s="170"/>
      <c r="Q1180" s="170"/>
      <c r="R1180" s="136"/>
      <c r="S1180" s="137"/>
      <c r="T1180" s="128"/>
      <c r="U1180" s="137"/>
      <c r="V1180" s="128"/>
      <c r="W1180" s="49"/>
      <c r="X1180" s="128"/>
      <c r="Y1180" s="49"/>
      <c r="Z1180" s="128"/>
      <c r="AA1180" s="49"/>
      <c r="AB1180" s="128"/>
      <c r="AC1180" s="49"/>
      <c r="AE1180" s="133"/>
    </row>
    <row r="1181" spans="1:31" ht="15.75" hidden="1" outlineLevel="1" collapsed="1" x14ac:dyDescent="0.2">
      <c r="A1181" s="25" t="str">
        <f>'Утв. ИП 2014-2019'!A1183</f>
        <v>1.1.5.2.169/13</v>
      </c>
      <c r="B1181" s="6" t="str">
        <f>'Утв. ИП 2014-2019'!B1183</f>
        <v>3.2.314</v>
      </c>
      <c r="C1181" s="7" t="str">
        <f>'Утв. ИП 2014-2019'!C1183</f>
        <v>Электроснабжение садовых домиков в СНТ "Сокол-3"</v>
      </c>
      <c r="D1181" s="8"/>
      <c r="E1181" s="8" t="str">
        <f>'Утв. ИП 2014-2019'!L1183</f>
        <v>0,0 км/ 0 МВА</v>
      </c>
      <c r="F1181" s="8"/>
      <c r="G1181" s="8"/>
      <c r="H1181" s="8"/>
      <c r="I1181" s="8"/>
      <c r="J1181" s="23" t="str">
        <f>'Утв. ИП 2014-2019'!Q1183</f>
        <v>0,0 км/ 0 МВА</v>
      </c>
      <c r="K1181" s="170"/>
      <c r="L1181" s="170"/>
      <c r="M1181" s="170"/>
      <c r="N1181" s="170"/>
      <c r="O1181" s="170"/>
      <c r="P1181" s="170"/>
      <c r="Q1181" s="170"/>
      <c r="R1181" s="136"/>
      <c r="S1181" s="137"/>
      <c r="T1181" s="128"/>
      <c r="U1181" s="137"/>
      <c r="V1181" s="128"/>
      <c r="W1181" s="49"/>
      <c r="X1181" s="128"/>
      <c r="Y1181" s="49"/>
      <c r="Z1181" s="128"/>
      <c r="AA1181" s="49"/>
      <c r="AB1181" s="128"/>
      <c r="AC1181" s="49"/>
      <c r="AE1181" s="133"/>
    </row>
    <row r="1182" spans="1:31" ht="15.75" hidden="1" outlineLevel="2" x14ac:dyDescent="0.2">
      <c r="A1182" s="25">
        <f>'Утв. ИП 2014-2019'!A1184</f>
        <v>0</v>
      </c>
      <c r="B1182" s="6">
        <f>'Утв. ИП 2014-2019'!B1184</f>
        <v>0</v>
      </c>
      <c r="C1182" s="7" t="str">
        <f>'Утв. ИП 2014-2019'!C1184</f>
        <v>реконструкция</v>
      </c>
      <c r="D1182" s="8"/>
      <c r="E1182" s="8"/>
      <c r="F1182" s="8"/>
      <c r="G1182" s="8"/>
      <c r="H1182" s="8"/>
      <c r="I1182" s="8"/>
      <c r="J1182" s="23"/>
      <c r="K1182" s="170"/>
      <c r="L1182" s="170"/>
      <c r="M1182" s="170"/>
      <c r="N1182" s="170"/>
      <c r="O1182" s="170"/>
      <c r="P1182" s="170"/>
      <c r="Q1182" s="170"/>
      <c r="R1182" s="136"/>
      <c r="S1182" s="137"/>
      <c r="T1182" s="128"/>
      <c r="U1182" s="137"/>
      <c r="V1182" s="128"/>
      <c r="W1182" s="49"/>
      <c r="X1182" s="128"/>
      <c r="Y1182" s="49"/>
      <c r="Z1182" s="128"/>
      <c r="AA1182" s="49"/>
      <c r="AB1182" s="128"/>
      <c r="AC1182" s="49"/>
      <c r="AE1182" s="133"/>
    </row>
    <row r="1183" spans="1:31" ht="15.75" hidden="1" outlineLevel="2" x14ac:dyDescent="0.2">
      <c r="A1183" s="25">
        <f>'Утв. ИП 2014-2019'!A1185</f>
        <v>0</v>
      </c>
      <c r="B1183" s="6">
        <f>'Утв. ИП 2014-2019'!B1185</f>
        <v>0</v>
      </c>
      <c r="C1183" s="7" t="str">
        <f>'Утв. ИП 2014-2019'!C1185</f>
        <v>строительство</v>
      </c>
      <c r="D1183" s="8"/>
      <c r="E1183" s="8"/>
      <c r="F1183" s="8"/>
      <c r="G1183" s="8"/>
      <c r="H1183" s="8"/>
      <c r="I1183" s="8"/>
      <c r="J1183" s="23"/>
      <c r="K1183" s="170"/>
      <c r="L1183" s="170"/>
      <c r="M1183" s="170"/>
      <c r="N1183" s="170"/>
      <c r="O1183" s="170"/>
      <c r="P1183" s="170"/>
      <c r="Q1183" s="170"/>
      <c r="R1183" s="136"/>
      <c r="S1183" s="137"/>
      <c r="T1183" s="128"/>
      <c r="U1183" s="137"/>
      <c r="V1183" s="128"/>
      <c r="W1183" s="49"/>
      <c r="X1183" s="128"/>
      <c r="Y1183" s="49"/>
      <c r="Z1183" s="128"/>
      <c r="AA1183" s="49"/>
      <c r="AB1183" s="128"/>
      <c r="AC1183" s="49"/>
      <c r="AE1183" s="133"/>
    </row>
    <row r="1184" spans="1:31" ht="25.5" hidden="1" outlineLevel="1" collapsed="1" x14ac:dyDescent="0.2">
      <c r="A1184" s="25" t="str">
        <f>'Утв. ИП 2014-2019'!A1186</f>
        <v>1.1.5.2.170/13</v>
      </c>
      <c r="B1184" s="6" t="str">
        <f>'Утв. ИП 2014-2019'!B1186</f>
        <v>3.2.315</v>
      </c>
      <c r="C1184" s="7" t="str">
        <f>'Утв. ИП 2014-2019'!C1186</f>
        <v>Электроснабжение 1/2 доли жилого дома по адресу: г. Липецк, ул. Одесская, дом № 74</v>
      </c>
      <c r="D1184" s="8"/>
      <c r="E1184" s="8" t="str">
        <f>'Утв. ИП 2014-2019'!L1186</f>
        <v>0,12 км/ 0 МВА</v>
      </c>
      <c r="F1184" s="8"/>
      <c r="G1184" s="8"/>
      <c r="H1184" s="8"/>
      <c r="I1184" s="8"/>
      <c r="J1184" s="23" t="str">
        <f>'Утв. ИП 2014-2019'!Q1186</f>
        <v>0,12 км/ 0 МВА</v>
      </c>
      <c r="K1184" s="170"/>
      <c r="L1184" s="170"/>
      <c r="M1184" s="170"/>
      <c r="N1184" s="170"/>
      <c r="O1184" s="170"/>
      <c r="P1184" s="170"/>
      <c r="Q1184" s="170"/>
      <c r="R1184" s="166"/>
      <c r="S1184" s="167"/>
      <c r="T1184" s="168"/>
      <c r="U1184" s="167"/>
      <c r="V1184" s="168"/>
      <c r="W1184" s="169"/>
      <c r="X1184" s="168"/>
      <c r="Y1184" s="169"/>
      <c r="Z1184" s="168"/>
      <c r="AA1184" s="169"/>
      <c r="AB1184" s="168"/>
      <c r="AC1184" s="169"/>
      <c r="AE1184" s="133"/>
    </row>
    <row r="1185" spans="1:31" ht="15.75" hidden="1" outlineLevel="2" x14ac:dyDescent="0.2">
      <c r="A1185" s="25">
        <f>'Утв. ИП 2014-2019'!A1187</f>
        <v>0</v>
      </c>
      <c r="B1185" s="6">
        <f>'Утв. ИП 2014-2019'!B1187</f>
        <v>0</v>
      </c>
      <c r="C1185" s="7" t="str">
        <f>'Утв. ИП 2014-2019'!C1187</f>
        <v>реконструкция</v>
      </c>
      <c r="D1185" s="8"/>
      <c r="E1185" s="8"/>
      <c r="F1185" s="8"/>
      <c r="G1185" s="8"/>
      <c r="H1185" s="8"/>
      <c r="I1185" s="8"/>
      <c r="J1185" s="23"/>
      <c r="K1185" s="170"/>
      <c r="L1185" s="170"/>
      <c r="M1185" s="170"/>
      <c r="N1185" s="170"/>
      <c r="O1185" s="170"/>
      <c r="P1185" s="170"/>
      <c r="Q1185" s="170"/>
      <c r="R1185" s="166"/>
      <c r="S1185" s="167"/>
      <c r="T1185" s="168"/>
      <c r="U1185" s="167"/>
      <c r="V1185" s="168"/>
      <c r="W1185" s="169"/>
      <c r="X1185" s="168"/>
      <c r="Y1185" s="169"/>
      <c r="Z1185" s="168"/>
      <c r="AA1185" s="169"/>
      <c r="AB1185" s="168"/>
      <c r="AC1185" s="169"/>
      <c r="AE1185" s="133"/>
    </row>
    <row r="1186" spans="1:31" ht="15.75" hidden="1" outlineLevel="2" x14ac:dyDescent="0.2">
      <c r="A1186" s="25">
        <f>'Утв. ИП 2014-2019'!A1188</f>
        <v>0</v>
      </c>
      <c r="B1186" s="6">
        <f>'Утв. ИП 2014-2019'!B1188</f>
        <v>0</v>
      </c>
      <c r="C1186" s="7" t="str">
        <f>'Утв. ИП 2014-2019'!C1188</f>
        <v>строительство</v>
      </c>
      <c r="D1186" s="8"/>
      <c r="E1186" s="8"/>
      <c r="F1186" s="8"/>
      <c r="G1186" s="8"/>
      <c r="H1186" s="8"/>
      <c r="I1186" s="8"/>
      <c r="J1186" s="23"/>
      <c r="K1186" s="170"/>
      <c r="L1186" s="170"/>
      <c r="M1186" s="170"/>
      <c r="N1186" s="170"/>
      <c r="O1186" s="170"/>
      <c r="P1186" s="170"/>
      <c r="Q1186" s="170"/>
      <c r="R1186" s="166"/>
      <c r="S1186" s="167"/>
      <c r="T1186" s="168"/>
      <c r="U1186" s="167"/>
      <c r="V1186" s="168"/>
      <c r="W1186" s="169"/>
      <c r="X1186" s="168"/>
      <c r="Y1186" s="169"/>
      <c r="Z1186" s="168"/>
      <c r="AA1186" s="169"/>
      <c r="AB1186" s="168"/>
      <c r="AC1186" s="169"/>
      <c r="AE1186" s="133"/>
    </row>
    <row r="1187" spans="1:31" ht="25.5" hidden="1" outlineLevel="1" collapsed="1" x14ac:dyDescent="0.2">
      <c r="A1187" s="25" t="str">
        <f>'Утв. ИП 2014-2019'!A1189</f>
        <v>1.1.5.2.171/13</v>
      </c>
      <c r="B1187" s="6" t="str">
        <f>'Утв. ИП 2014-2019'!B1189</f>
        <v>3.2.316</v>
      </c>
      <c r="C1187" s="7" t="str">
        <f>'Утв. ИП 2014-2019'!C1189</f>
        <v>Электроснабжение садового домика по адресу: г. Липецк, ПОПиИ "Сокол-1", земельный участок № 535</v>
      </c>
      <c r="D1187" s="8"/>
      <c r="E1187" s="8" t="str">
        <f>'Утв. ИП 2014-2019'!L1189</f>
        <v>0,0 км/ 0 МВА</v>
      </c>
      <c r="F1187" s="8"/>
      <c r="G1187" s="8"/>
      <c r="H1187" s="8"/>
      <c r="I1187" s="8"/>
      <c r="J1187" s="23" t="str">
        <f>'Утв. ИП 2014-2019'!Q1189</f>
        <v>0,0 км/ 0 МВА</v>
      </c>
      <c r="K1187" s="170"/>
      <c r="L1187" s="170"/>
      <c r="M1187" s="170"/>
      <c r="N1187" s="170"/>
      <c r="O1187" s="170"/>
      <c r="P1187" s="170"/>
      <c r="Q1187" s="170"/>
      <c r="R1187" s="136"/>
      <c r="S1187" s="137"/>
      <c r="T1187" s="128"/>
      <c r="U1187" s="137"/>
      <c r="V1187" s="128"/>
      <c r="W1187" s="49"/>
      <c r="X1187" s="128"/>
      <c r="Y1187" s="49"/>
      <c r="Z1187" s="128"/>
      <c r="AA1187" s="49"/>
      <c r="AB1187" s="128"/>
      <c r="AC1187" s="49"/>
      <c r="AE1187" s="133"/>
    </row>
    <row r="1188" spans="1:31" ht="15.75" hidden="1" outlineLevel="2" x14ac:dyDescent="0.2">
      <c r="A1188" s="25">
        <f>'Утв. ИП 2014-2019'!A1190</f>
        <v>0</v>
      </c>
      <c r="B1188" s="6">
        <f>'Утв. ИП 2014-2019'!B1190</f>
        <v>0</v>
      </c>
      <c r="C1188" s="7" t="str">
        <f>'Утв. ИП 2014-2019'!C1190</f>
        <v>реконструкция</v>
      </c>
      <c r="D1188" s="8"/>
      <c r="E1188" s="8"/>
      <c r="F1188" s="8"/>
      <c r="G1188" s="8"/>
      <c r="H1188" s="8"/>
      <c r="I1188" s="8"/>
      <c r="J1188" s="23"/>
      <c r="K1188" s="170"/>
      <c r="L1188" s="170"/>
      <c r="M1188" s="170"/>
      <c r="N1188" s="170"/>
      <c r="O1188" s="170"/>
      <c r="P1188" s="170"/>
      <c r="Q1188" s="170"/>
      <c r="R1188" s="136"/>
      <c r="S1188" s="137"/>
      <c r="T1188" s="128"/>
      <c r="U1188" s="137"/>
      <c r="V1188" s="128"/>
      <c r="W1188" s="49"/>
      <c r="X1188" s="128"/>
      <c r="Y1188" s="49"/>
      <c r="Z1188" s="128"/>
      <c r="AA1188" s="49"/>
      <c r="AB1188" s="128"/>
      <c r="AC1188" s="49"/>
      <c r="AE1188" s="133"/>
    </row>
    <row r="1189" spans="1:31" ht="15.75" hidden="1" outlineLevel="2" x14ac:dyDescent="0.2">
      <c r="A1189" s="25">
        <f>'Утв. ИП 2014-2019'!A1191</f>
        <v>0</v>
      </c>
      <c r="B1189" s="6">
        <f>'Утв. ИП 2014-2019'!B1191</f>
        <v>0</v>
      </c>
      <c r="C1189" s="7" t="str">
        <f>'Утв. ИП 2014-2019'!C1191</f>
        <v>строительство</v>
      </c>
      <c r="D1189" s="8"/>
      <c r="E1189" s="8"/>
      <c r="F1189" s="8"/>
      <c r="G1189" s="8"/>
      <c r="H1189" s="8"/>
      <c r="I1189" s="8"/>
      <c r="J1189" s="23"/>
      <c r="K1189" s="170"/>
      <c r="L1189" s="170"/>
      <c r="M1189" s="170"/>
      <c r="N1189" s="170"/>
      <c r="O1189" s="170"/>
      <c r="P1189" s="170"/>
      <c r="Q1189" s="170"/>
      <c r="R1189" s="136"/>
      <c r="S1189" s="137"/>
      <c r="T1189" s="128"/>
      <c r="U1189" s="137"/>
      <c r="V1189" s="128"/>
      <c r="W1189" s="49"/>
      <c r="X1189" s="128"/>
      <c r="Y1189" s="49"/>
      <c r="Z1189" s="128"/>
      <c r="AA1189" s="49"/>
      <c r="AB1189" s="128"/>
      <c r="AC1189" s="49"/>
      <c r="AE1189" s="133"/>
    </row>
    <row r="1190" spans="1:31" ht="25.5" hidden="1" outlineLevel="1" collapsed="1" x14ac:dyDescent="0.2">
      <c r="A1190" s="25" t="str">
        <f>'Утв. ИП 2014-2019'!A1192</f>
        <v>1.1.5.2.172/13</v>
      </c>
      <c r="B1190" s="6" t="str">
        <f>'Утв. ИП 2014-2019'!B1192</f>
        <v>3.2.317</v>
      </c>
      <c r="C1190" s="7" t="str">
        <f>'Утв. ИП 2014-2019'!C1192</f>
        <v>Электроснабжение садового домика по адресу: г. Липецк, ПОПиИ "Сокол-1", участок № 712</v>
      </c>
      <c r="D1190" s="8"/>
      <c r="E1190" s="8" t="str">
        <f>'Утв. ИП 2014-2019'!L1192</f>
        <v>0,5 км/ 0 МВА</v>
      </c>
      <c r="F1190" s="8"/>
      <c r="G1190" s="8"/>
      <c r="H1190" s="8"/>
      <c r="I1190" s="8"/>
      <c r="J1190" s="23" t="str">
        <f>'Утв. ИП 2014-2019'!Q1192</f>
        <v>0,5 км/ 0 МВА</v>
      </c>
      <c r="K1190" s="170"/>
      <c r="L1190" s="170"/>
      <c r="M1190" s="170"/>
      <c r="N1190" s="170"/>
      <c r="O1190" s="170"/>
      <c r="P1190" s="170"/>
      <c r="Q1190" s="170"/>
      <c r="R1190" s="136"/>
      <c r="S1190" s="137"/>
      <c r="T1190" s="128"/>
      <c r="U1190" s="137"/>
      <c r="V1190" s="128"/>
      <c r="W1190" s="49"/>
      <c r="X1190" s="128"/>
      <c r="Y1190" s="49"/>
      <c r="Z1190" s="128"/>
      <c r="AA1190" s="49"/>
      <c r="AB1190" s="128"/>
      <c r="AC1190" s="49"/>
      <c r="AE1190" s="133"/>
    </row>
    <row r="1191" spans="1:31" ht="15.75" hidden="1" outlineLevel="2" x14ac:dyDescent="0.2">
      <c r="A1191" s="25">
        <f>'Утв. ИП 2014-2019'!A1193</f>
        <v>0</v>
      </c>
      <c r="B1191" s="6">
        <f>'Утв. ИП 2014-2019'!B1193</f>
        <v>0</v>
      </c>
      <c r="C1191" s="7" t="str">
        <f>'Утв. ИП 2014-2019'!C1193</f>
        <v>реконструкция</v>
      </c>
      <c r="D1191" s="8"/>
      <c r="E1191" s="8"/>
      <c r="F1191" s="8"/>
      <c r="G1191" s="8"/>
      <c r="H1191" s="8"/>
      <c r="I1191" s="8"/>
      <c r="J1191" s="23"/>
      <c r="K1191" s="170"/>
      <c r="L1191" s="170"/>
      <c r="M1191" s="170"/>
      <c r="N1191" s="170"/>
      <c r="O1191" s="170"/>
      <c r="P1191" s="170"/>
      <c r="Q1191" s="170"/>
      <c r="R1191" s="136"/>
      <c r="S1191" s="137"/>
      <c r="T1191" s="128"/>
      <c r="U1191" s="137"/>
      <c r="V1191" s="128"/>
      <c r="W1191" s="49"/>
      <c r="X1191" s="128"/>
      <c r="Y1191" s="49"/>
      <c r="Z1191" s="128"/>
      <c r="AA1191" s="49"/>
      <c r="AB1191" s="128"/>
      <c r="AC1191" s="49"/>
      <c r="AE1191" s="133"/>
    </row>
    <row r="1192" spans="1:31" ht="15.75" hidden="1" outlineLevel="2" x14ac:dyDescent="0.2">
      <c r="A1192" s="25">
        <f>'Утв. ИП 2014-2019'!A1194</f>
        <v>0</v>
      </c>
      <c r="B1192" s="6">
        <f>'Утв. ИП 2014-2019'!B1194</f>
        <v>0</v>
      </c>
      <c r="C1192" s="7" t="str">
        <f>'Утв. ИП 2014-2019'!C1194</f>
        <v>строительство</v>
      </c>
      <c r="D1192" s="8"/>
      <c r="E1192" s="8"/>
      <c r="F1192" s="8"/>
      <c r="G1192" s="8"/>
      <c r="H1192" s="8"/>
      <c r="I1192" s="8"/>
      <c r="J1192" s="23"/>
      <c r="K1192" s="170"/>
      <c r="L1192" s="170"/>
      <c r="M1192" s="170"/>
      <c r="N1192" s="170"/>
      <c r="O1192" s="170"/>
      <c r="P1192" s="170"/>
      <c r="Q1192" s="170"/>
      <c r="R1192" s="136"/>
      <c r="S1192" s="137"/>
      <c r="T1192" s="128"/>
      <c r="U1192" s="137"/>
      <c r="V1192" s="128"/>
      <c r="W1192" s="49"/>
      <c r="X1192" s="128"/>
      <c r="Y1192" s="49"/>
      <c r="Z1192" s="128"/>
      <c r="AA1192" s="49"/>
      <c r="AB1192" s="128"/>
      <c r="AC1192" s="49"/>
      <c r="AE1192" s="133"/>
    </row>
    <row r="1193" spans="1:31" ht="25.5" hidden="1" outlineLevel="1" collapsed="1" x14ac:dyDescent="0.2">
      <c r="A1193" s="25" t="str">
        <f>'Утв. ИП 2014-2019'!A1195</f>
        <v>1.1.5.2.173/13</v>
      </c>
      <c r="B1193" s="6" t="str">
        <f>'Утв. ИП 2014-2019'!B1195</f>
        <v>3.2.318</v>
      </c>
      <c r="C1193" s="7" t="str">
        <f>'Утв. ИП 2014-2019'!C1195</f>
        <v>Электроснабжение индивидуального жилого дома, адрес ориентира - г. Липецк, ст. Казинка, ул. Фабричная, д.8</v>
      </c>
      <c r="D1193" s="8" t="str">
        <f>'Утв. ИП 2014-2019'!K1195</f>
        <v>0,4 км/ 0 МВА</v>
      </c>
      <c r="E1193" s="8"/>
      <c r="F1193" s="8"/>
      <c r="G1193" s="8"/>
      <c r="H1193" s="8"/>
      <c r="I1193" s="8"/>
      <c r="J1193" s="23" t="str">
        <f>'Утв. ИП 2014-2019'!Q1195</f>
        <v>0,4 км/ 0 МВА</v>
      </c>
      <c r="K1193" s="170"/>
      <c r="L1193" s="170"/>
      <c r="M1193" s="170"/>
      <c r="N1193" s="170"/>
      <c r="O1193" s="170"/>
      <c r="P1193" s="170"/>
      <c r="Q1193" s="170"/>
      <c r="R1193" s="136"/>
      <c r="S1193" s="137"/>
      <c r="T1193" s="128"/>
      <c r="U1193" s="137"/>
      <c r="V1193" s="128"/>
      <c r="W1193" s="49"/>
      <c r="X1193" s="128"/>
      <c r="Y1193" s="49"/>
      <c r="Z1193" s="128"/>
      <c r="AA1193" s="49"/>
      <c r="AB1193" s="128"/>
      <c r="AC1193" s="49"/>
      <c r="AE1193" s="133"/>
    </row>
    <row r="1194" spans="1:31" ht="15.75" hidden="1" outlineLevel="2" x14ac:dyDescent="0.2">
      <c r="A1194" s="25">
        <f>'Утв. ИП 2014-2019'!A1196</f>
        <v>0</v>
      </c>
      <c r="B1194" s="6">
        <f>'Утв. ИП 2014-2019'!B1196</f>
        <v>0</v>
      </c>
      <c r="C1194" s="7" t="str">
        <f>'Утв. ИП 2014-2019'!C1196</f>
        <v>реконструкция</v>
      </c>
      <c r="D1194" s="8"/>
      <c r="E1194" s="8"/>
      <c r="F1194" s="8"/>
      <c r="G1194" s="8"/>
      <c r="H1194" s="8"/>
      <c r="I1194" s="8"/>
      <c r="J1194" s="23"/>
      <c r="K1194" s="170"/>
      <c r="L1194" s="170"/>
      <c r="M1194" s="170"/>
      <c r="N1194" s="170"/>
      <c r="O1194" s="170"/>
      <c r="P1194" s="170"/>
      <c r="Q1194" s="170"/>
      <c r="R1194" s="136"/>
      <c r="S1194" s="137"/>
      <c r="T1194" s="128"/>
      <c r="U1194" s="137"/>
      <c r="V1194" s="128"/>
      <c r="W1194" s="49"/>
      <c r="X1194" s="128"/>
      <c r="Y1194" s="49"/>
      <c r="Z1194" s="128"/>
      <c r="AA1194" s="49"/>
      <c r="AB1194" s="128"/>
      <c r="AC1194" s="49"/>
      <c r="AE1194" s="133"/>
    </row>
    <row r="1195" spans="1:31" ht="15.75" hidden="1" outlineLevel="2" x14ac:dyDescent="0.2">
      <c r="A1195" s="25">
        <f>'Утв. ИП 2014-2019'!A1197</f>
        <v>0</v>
      </c>
      <c r="B1195" s="6">
        <f>'Утв. ИП 2014-2019'!B1197</f>
        <v>0</v>
      </c>
      <c r="C1195" s="7" t="str">
        <f>'Утв. ИП 2014-2019'!C1197</f>
        <v>строительство</v>
      </c>
      <c r="D1195" s="8"/>
      <c r="E1195" s="8"/>
      <c r="F1195" s="8"/>
      <c r="G1195" s="8"/>
      <c r="H1195" s="8"/>
      <c r="I1195" s="8"/>
      <c r="J1195" s="23"/>
      <c r="K1195" s="170"/>
      <c r="L1195" s="170"/>
      <c r="M1195" s="170"/>
      <c r="N1195" s="170"/>
      <c r="O1195" s="170"/>
      <c r="P1195" s="170"/>
      <c r="Q1195" s="170"/>
      <c r="R1195" s="136"/>
      <c r="S1195" s="137"/>
      <c r="T1195" s="128"/>
      <c r="U1195" s="137"/>
      <c r="V1195" s="128"/>
      <c r="W1195" s="49"/>
      <c r="X1195" s="128"/>
      <c r="Y1195" s="49"/>
      <c r="Z1195" s="128"/>
      <c r="AA1195" s="49"/>
      <c r="AB1195" s="128"/>
      <c r="AC1195" s="49"/>
      <c r="AE1195" s="133"/>
    </row>
    <row r="1196" spans="1:31" ht="25.5" hidden="1" outlineLevel="1" collapsed="1" x14ac:dyDescent="0.2">
      <c r="A1196" s="25" t="str">
        <f>'Утв. ИП 2014-2019'!A1198</f>
        <v>1.1.5.2.174/13</v>
      </c>
      <c r="B1196" s="6" t="str">
        <f>'Утв. ИП 2014-2019'!B1198</f>
        <v>3.2.319</v>
      </c>
      <c r="C1196" s="7" t="str">
        <f>'Утв. ИП 2014-2019'!C1198</f>
        <v>Электроснабжение садовых домиков в 1 и 5 массиве СТ "Ударник"</v>
      </c>
      <c r="D1196" s="8"/>
      <c r="E1196" s="8" t="str">
        <f>'Утв. ИП 2014-2019'!L1198</f>
        <v>0,1 км/ 0 МВА</v>
      </c>
      <c r="F1196" s="8"/>
      <c r="G1196" s="8"/>
      <c r="H1196" s="8"/>
      <c r="I1196" s="8"/>
      <c r="J1196" s="23" t="str">
        <f>'Утв. ИП 2014-2019'!Q1198</f>
        <v>0,1 км/ 0 МВА</v>
      </c>
      <c r="K1196" s="170"/>
      <c r="L1196" s="170"/>
      <c r="M1196" s="170"/>
      <c r="N1196" s="170"/>
      <c r="O1196" s="170"/>
      <c r="P1196" s="170"/>
      <c r="Q1196" s="170"/>
      <c r="R1196" s="136"/>
      <c r="S1196" s="137"/>
      <c r="T1196" s="128"/>
      <c r="U1196" s="137"/>
      <c r="V1196" s="128"/>
      <c r="W1196" s="49"/>
      <c r="X1196" s="128"/>
      <c r="Y1196" s="49"/>
      <c r="Z1196" s="128"/>
      <c r="AA1196" s="49"/>
      <c r="AB1196" s="128"/>
      <c r="AC1196" s="49"/>
      <c r="AE1196" s="133"/>
    </row>
    <row r="1197" spans="1:31" ht="15.75" hidden="1" outlineLevel="2" x14ac:dyDescent="0.2">
      <c r="A1197" s="25">
        <f>'Утв. ИП 2014-2019'!A1199</f>
        <v>0</v>
      </c>
      <c r="B1197" s="6">
        <f>'Утв. ИП 2014-2019'!B1199</f>
        <v>0</v>
      </c>
      <c r="C1197" s="7" t="str">
        <f>'Утв. ИП 2014-2019'!C1199</f>
        <v>реконструкция</v>
      </c>
      <c r="D1197" s="8"/>
      <c r="E1197" s="8"/>
      <c r="F1197" s="8"/>
      <c r="G1197" s="8"/>
      <c r="H1197" s="8"/>
      <c r="I1197" s="8"/>
      <c r="J1197" s="23"/>
      <c r="K1197" s="170"/>
      <c r="L1197" s="170"/>
      <c r="M1197" s="170"/>
      <c r="N1197" s="170"/>
      <c r="O1197" s="170"/>
      <c r="P1197" s="170"/>
      <c r="Q1197" s="170"/>
      <c r="R1197" s="136"/>
      <c r="S1197" s="137"/>
      <c r="T1197" s="128"/>
      <c r="U1197" s="137"/>
      <c r="V1197" s="128"/>
      <c r="W1197" s="49"/>
      <c r="X1197" s="128"/>
      <c r="Y1197" s="49"/>
      <c r="Z1197" s="128"/>
      <c r="AA1197" s="49"/>
      <c r="AB1197" s="128"/>
      <c r="AC1197" s="49"/>
      <c r="AE1197" s="133"/>
    </row>
    <row r="1198" spans="1:31" ht="15.75" hidden="1" outlineLevel="2" x14ac:dyDescent="0.2">
      <c r="A1198" s="25">
        <f>'Утв. ИП 2014-2019'!A1200</f>
        <v>0</v>
      </c>
      <c r="B1198" s="6">
        <f>'Утв. ИП 2014-2019'!B1200</f>
        <v>0</v>
      </c>
      <c r="C1198" s="7" t="str">
        <f>'Утв. ИП 2014-2019'!C1200</f>
        <v>строительство</v>
      </c>
      <c r="D1198" s="8"/>
      <c r="E1198" s="8"/>
      <c r="F1198" s="8"/>
      <c r="G1198" s="8"/>
      <c r="H1198" s="8"/>
      <c r="I1198" s="8"/>
      <c r="J1198" s="23"/>
      <c r="K1198" s="170"/>
      <c r="L1198" s="170"/>
      <c r="M1198" s="170"/>
      <c r="N1198" s="170"/>
      <c r="O1198" s="170"/>
      <c r="P1198" s="170"/>
      <c r="Q1198" s="170"/>
      <c r="R1198" s="136"/>
      <c r="S1198" s="137"/>
      <c r="T1198" s="128"/>
      <c r="U1198" s="137"/>
      <c r="V1198" s="128"/>
      <c r="W1198" s="49"/>
      <c r="X1198" s="128"/>
      <c r="Y1198" s="49"/>
      <c r="Z1198" s="128"/>
      <c r="AA1198" s="49"/>
      <c r="AB1198" s="128"/>
      <c r="AC1198" s="49"/>
      <c r="AE1198" s="133"/>
    </row>
    <row r="1199" spans="1:31" ht="25.5" hidden="1" outlineLevel="1" collapsed="1" x14ac:dyDescent="0.2">
      <c r="A1199" s="25" t="str">
        <f>'Утв. ИП 2014-2019'!A1201</f>
        <v>1.1.5.2.175/13</v>
      </c>
      <c r="B1199" s="6" t="str">
        <f>'Утв. ИП 2014-2019'!B1201</f>
        <v>3.2.320</v>
      </c>
      <c r="C1199" s="7" t="str">
        <f>'Утв. ИП 2014-2019'!C1201</f>
        <v>Электроснабжение жилого дома по адресу: г. Липецк, ул. И.Франко, дом 43</v>
      </c>
      <c r="D1199" s="8"/>
      <c r="E1199" s="8" t="str">
        <f>'Утв. ИП 2014-2019'!L1201</f>
        <v>0,1 км/ 0 МВА</v>
      </c>
      <c r="F1199" s="8"/>
      <c r="G1199" s="8"/>
      <c r="H1199" s="8"/>
      <c r="I1199" s="8"/>
      <c r="J1199" s="23" t="str">
        <f>'Утв. ИП 2014-2019'!Q1201</f>
        <v>0,1 км/ 0 МВА</v>
      </c>
      <c r="K1199" s="170"/>
      <c r="L1199" s="170"/>
      <c r="M1199" s="170"/>
      <c r="N1199" s="170"/>
      <c r="O1199" s="170"/>
      <c r="P1199" s="170"/>
      <c r="Q1199" s="170"/>
      <c r="R1199" s="136"/>
      <c r="S1199" s="137"/>
      <c r="T1199" s="128"/>
      <c r="U1199" s="137"/>
      <c r="V1199" s="128"/>
      <c r="W1199" s="49"/>
      <c r="X1199" s="128"/>
      <c r="Y1199" s="49"/>
      <c r="Z1199" s="128"/>
      <c r="AA1199" s="49"/>
      <c r="AB1199" s="128"/>
      <c r="AC1199" s="49"/>
      <c r="AE1199" s="133"/>
    </row>
    <row r="1200" spans="1:31" ht="15.75" hidden="1" outlineLevel="2" x14ac:dyDescent="0.2">
      <c r="A1200" s="25">
        <f>'Утв. ИП 2014-2019'!A1202</f>
        <v>0</v>
      </c>
      <c r="B1200" s="6">
        <f>'Утв. ИП 2014-2019'!B1202</f>
        <v>0</v>
      </c>
      <c r="C1200" s="7" t="str">
        <f>'Утв. ИП 2014-2019'!C1202</f>
        <v>реконструкция</v>
      </c>
      <c r="D1200" s="8"/>
      <c r="E1200" s="8"/>
      <c r="F1200" s="8"/>
      <c r="G1200" s="8"/>
      <c r="H1200" s="8"/>
      <c r="I1200" s="8"/>
      <c r="J1200" s="23"/>
      <c r="K1200" s="170"/>
      <c r="L1200" s="170"/>
      <c r="M1200" s="170"/>
      <c r="N1200" s="170"/>
      <c r="O1200" s="170"/>
      <c r="P1200" s="170"/>
      <c r="Q1200" s="170"/>
      <c r="R1200" s="136"/>
      <c r="S1200" s="137"/>
      <c r="T1200" s="128"/>
      <c r="U1200" s="137"/>
      <c r="V1200" s="128"/>
      <c r="W1200" s="49"/>
      <c r="X1200" s="128"/>
      <c r="Y1200" s="49"/>
      <c r="Z1200" s="128"/>
      <c r="AA1200" s="49"/>
      <c r="AB1200" s="128"/>
      <c r="AC1200" s="49"/>
      <c r="AE1200" s="133"/>
    </row>
    <row r="1201" spans="1:31" ht="15.75" hidden="1" outlineLevel="2" x14ac:dyDescent="0.2">
      <c r="A1201" s="25">
        <f>'Утв. ИП 2014-2019'!A1203</f>
        <v>0</v>
      </c>
      <c r="B1201" s="6">
        <f>'Утв. ИП 2014-2019'!B1203</f>
        <v>0</v>
      </c>
      <c r="C1201" s="7" t="str">
        <f>'Утв. ИП 2014-2019'!C1203</f>
        <v>строительство</v>
      </c>
      <c r="D1201" s="8"/>
      <c r="E1201" s="8"/>
      <c r="F1201" s="8"/>
      <c r="G1201" s="8"/>
      <c r="H1201" s="8"/>
      <c r="I1201" s="8"/>
      <c r="J1201" s="23"/>
      <c r="K1201" s="170"/>
      <c r="L1201" s="170"/>
      <c r="M1201" s="170"/>
      <c r="N1201" s="170"/>
      <c r="O1201" s="170"/>
      <c r="P1201" s="170"/>
      <c r="Q1201" s="170"/>
      <c r="R1201" s="136"/>
      <c r="S1201" s="137"/>
      <c r="T1201" s="128"/>
      <c r="U1201" s="137"/>
      <c r="V1201" s="128"/>
      <c r="W1201" s="49"/>
      <c r="X1201" s="128"/>
      <c r="Y1201" s="49"/>
      <c r="Z1201" s="128"/>
      <c r="AA1201" s="49"/>
      <c r="AB1201" s="128"/>
      <c r="AC1201" s="49"/>
      <c r="AE1201" s="133"/>
    </row>
    <row r="1202" spans="1:31" ht="25.5" hidden="1" outlineLevel="1" collapsed="1" x14ac:dyDescent="0.2">
      <c r="A1202" s="25" t="str">
        <f>'Утв. ИП 2014-2019'!A1204</f>
        <v>1.1.5.2.176/13</v>
      </c>
      <c r="B1202" s="6" t="str">
        <f>'Утв. ИП 2014-2019'!B1204</f>
        <v>3.2.321</v>
      </c>
      <c r="C1202" s="7" t="str">
        <f>'Утв. ИП 2014-2019'!C1204</f>
        <v>Электроснабжение садового домика по адресу: г. Липецк, СТ "Строитель, участок № 183</v>
      </c>
      <c r="D1202" s="8"/>
      <c r="E1202" s="8" t="str">
        <f>'Утв. ИП 2014-2019'!L1204</f>
        <v>0,1 км/ 0 МВА</v>
      </c>
      <c r="F1202" s="8"/>
      <c r="G1202" s="8"/>
      <c r="H1202" s="8"/>
      <c r="I1202" s="8"/>
      <c r="J1202" s="23" t="str">
        <f>'Утв. ИП 2014-2019'!Q1204</f>
        <v>0,1 км/ 0 МВА</v>
      </c>
      <c r="K1202" s="170"/>
      <c r="L1202" s="170"/>
      <c r="M1202" s="170"/>
      <c r="N1202" s="170"/>
      <c r="O1202" s="170"/>
      <c r="P1202" s="170"/>
      <c r="Q1202" s="170"/>
      <c r="R1202" s="136"/>
      <c r="S1202" s="137"/>
      <c r="T1202" s="128"/>
      <c r="U1202" s="137"/>
      <c r="V1202" s="128"/>
      <c r="W1202" s="49"/>
      <c r="X1202" s="128"/>
      <c r="Y1202" s="49"/>
      <c r="Z1202" s="128"/>
      <c r="AA1202" s="49"/>
      <c r="AB1202" s="128"/>
      <c r="AC1202" s="49"/>
      <c r="AE1202" s="133"/>
    </row>
    <row r="1203" spans="1:31" ht="15.75" hidden="1" outlineLevel="2" x14ac:dyDescent="0.2">
      <c r="A1203" s="25">
        <f>'Утв. ИП 2014-2019'!A1205</f>
        <v>0</v>
      </c>
      <c r="B1203" s="6">
        <f>'Утв. ИП 2014-2019'!B1205</f>
        <v>0</v>
      </c>
      <c r="C1203" s="7" t="str">
        <f>'Утв. ИП 2014-2019'!C1205</f>
        <v>реконструкция</v>
      </c>
      <c r="D1203" s="8"/>
      <c r="E1203" s="8"/>
      <c r="F1203" s="8"/>
      <c r="G1203" s="8"/>
      <c r="H1203" s="8"/>
      <c r="I1203" s="8"/>
      <c r="J1203" s="23"/>
      <c r="K1203" s="170"/>
      <c r="L1203" s="170"/>
      <c r="M1203" s="170"/>
      <c r="N1203" s="170"/>
      <c r="O1203" s="170"/>
      <c r="P1203" s="170"/>
      <c r="Q1203" s="170"/>
      <c r="R1203" s="136"/>
      <c r="S1203" s="137"/>
      <c r="T1203" s="128"/>
      <c r="U1203" s="137"/>
      <c r="V1203" s="128"/>
      <c r="W1203" s="49"/>
      <c r="X1203" s="128"/>
      <c r="Y1203" s="49"/>
      <c r="Z1203" s="128"/>
      <c r="AA1203" s="49"/>
      <c r="AB1203" s="128"/>
      <c r="AC1203" s="49"/>
      <c r="AE1203" s="133"/>
    </row>
    <row r="1204" spans="1:31" ht="15.75" hidden="1" outlineLevel="2" x14ac:dyDescent="0.2">
      <c r="A1204" s="25">
        <f>'Утв. ИП 2014-2019'!A1206</f>
        <v>0</v>
      </c>
      <c r="B1204" s="6">
        <f>'Утв. ИП 2014-2019'!B1206</f>
        <v>0</v>
      </c>
      <c r="C1204" s="7" t="str">
        <f>'Утв. ИП 2014-2019'!C1206</f>
        <v>строительство</v>
      </c>
      <c r="D1204" s="8"/>
      <c r="E1204" s="8"/>
      <c r="F1204" s="8"/>
      <c r="G1204" s="8"/>
      <c r="H1204" s="8"/>
      <c r="I1204" s="8"/>
      <c r="J1204" s="23"/>
      <c r="K1204" s="170"/>
      <c r="L1204" s="170"/>
      <c r="M1204" s="170"/>
      <c r="N1204" s="170"/>
      <c r="O1204" s="170"/>
      <c r="P1204" s="170"/>
      <c r="Q1204" s="170"/>
      <c r="R1204" s="136"/>
      <c r="S1204" s="137"/>
      <c r="T1204" s="128"/>
      <c r="U1204" s="137"/>
      <c r="V1204" s="128"/>
      <c r="W1204" s="49"/>
      <c r="X1204" s="128"/>
      <c r="Y1204" s="49"/>
      <c r="Z1204" s="128"/>
      <c r="AA1204" s="49"/>
      <c r="AB1204" s="128"/>
      <c r="AC1204" s="49"/>
      <c r="AE1204" s="133"/>
    </row>
    <row r="1205" spans="1:31" ht="25.5" hidden="1" outlineLevel="1" collapsed="1" x14ac:dyDescent="0.2">
      <c r="A1205" s="25" t="str">
        <f>'Утв. ИП 2014-2019'!A1207</f>
        <v>1.1.5.2.177/13</v>
      </c>
      <c r="B1205" s="6" t="str">
        <f>'Утв. ИП 2014-2019'!B1207</f>
        <v>3.2.322</v>
      </c>
      <c r="C1205" s="7" t="str">
        <f>'Утв. ИП 2014-2019'!C1207</f>
        <v>Электроснабжение садового домика по адресу: г. Липецк, СНТ "Горняк", участок № 586</v>
      </c>
      <c r="D1205" s="8"/>
      <c r="E1205" s="8" t="str">
        <f>'Утв. ИП 2014-2019'!L1207</f>
        <v>0,4 км/ 0 МВА</v>
      </c>
      <c r="F1205" s="8"/>
      <c r="G1205" s="8"/>
      <c r="H1205" s="8"/>
      <c r="I1205" s="8"/>
      <c r="J1205" s="23" t="str">
        <f>'Утв. ИП 2014-2019'!Q1207</f>
        <v>0,4 км/ 0 МВА</v>
      </c>
      <c r="K1205" s="170"/>
      <c r="L1205" s="170"/>
      <c r="M1205" s="170"/>
      <c r="N1205" s="170"/>
      <c r="O1205" s="170"/>
      <c r="P1205" s="170"/>
      <c r="Q1205" s="170"/>
      <c r="R1205" s="136"/>
      <c r="S1205" s="137"/>
      <c r="T1205" s="128"/>
      <c r="U1205" s="137"/>
      <c r="V1205" s="128"/>
      <c r="W1205" s="49"/>
      <c r="X1205" s="128"/>
      <c r="Y1205" s="49"/>
      <c r="Z1205" s="128"/>
      <c r="AA1205" s="49"/>
      <c r="AB1205" s="128"/>
      <c r="AC1205" s="49"/>
      <c r="AE1205" s="133"/>
    </row>
    <row r="1206" spans="1:31" ht="15.75" hidden="1" outlineLevel="2" x14ac:dyDescent="0.2">
      <c r="A1206" s="25">
        <f>'Утв. ИП 2014-2019'!A1208</f>
        <v>0</v>
      </c>
      <c r="B1206" s="6">
        <f>'Утв. ИП 2014-2019'!B1208</f>
        <v>0</v>
      </c>
      <c r="C1206" s="7" t="str">
        <f>'Утв. ИП 2014-2019'!C1208</f>
        <v>реконструкция</v>
      </c>
      <c r="D1206" s="8"/>
      <c r="E1206" s="8"/>
      <c r="F1206" s="8"/>
      <c r="G1206" s="8"/>
      <c r="H1206" s="8"/>
      <c r="I1206" s="8"/>
      <c r="J1206" s="23"/>
      <c r="K1206" s="170"/>
      <c r="L1206" s="170"/>
      <c r="M1206" s="170"/>
      <c r="N1206" s="170"/>
      <c r="O1206" s="170"/>
      <c r="P1206" s="170"/>
      <c r="Q1206" s="170"/>
      <c r="R1206" s="136"/>
      <c r="S1206" s="137"/>
      <c r="T1206" s="128"/>
      <c r="U1206" s="137"/>
      <c r="V1206" s="128"/>
      <c r="W1206" s="49"/>
      <c r="X1206" s="128"/>
      <c r="Y1206" s="49"/>
      <c r="Z1206" s="128"/>
      <c r="AA1206" s="49"/>
      <c r="AB1206" s="128"/>
      <c r="AC1206" s="49"/>
      <c r="AE1206" s="133"/>
    </row>
    <row r="1207" spans="1:31" ht="15.75" hidden="1" outlineLevel="2" x14ac:dyDescent="0.2">
      <c r="A1207" s="25">
        <f>'Утв. ИП 2014-2019'!A1209</f>
        <v>0</v>
      </c>
      <c r="B1207" s="6">
        <f>'Утв. ИП 2014-2019'!B1209</f>
        <v>0</v>
      </c>
      <c r="C1207" s="7" t="str">
        <f>'Утв. ИП 2014-2019'!C1209</f>
        <v>строительство</v>
      </c>
      <c r="D1207" s="8"/>
      <c r="E1207" s="8"/>
      <c r="F1207" s="8"/>
      <c r="G1207" s="8"/>
      <c r="H1207" s="8"/>
      <c r="I1207" s="8"/>
      <c r="J1207" s="23"/>
      <c r="K1207" s="170"/>
      <c r="L1207" s="170"/>
      <c r="M1207" s="170"/>
      <c r="N1207" s="170"/>
      <c r="O1207" s="170"/>
      <c r="P1207" s="170"/>
      <c r="Q1207" s="170"/>
      <c r="R1207" s="136"/>
      <c r="S1207" s="137"/>
      <c r="T1207" s="128"/>
      <c r="U1207" s="137"/>
      <c r="V1207" s="128"/>
      <c r="W1207" s="49"/>
      <c r="X1207" s="128"/>
      <c r="Y1207" s="49"/>
      <c r="Z1207" s="128"/>
      <c r="AA1207" s="49"/>
      <c r="AB1207" s="128"/>
      <c r="AC1207" s="49"/>
      <c r="AE1207" s="133"/>
    </row>
    <row r="1208" spans="1:31" ht="15.75" hidden="1" outlineLevel="1" collapsed="1" x14ac:dyDescent="0.2">
      <c r="A1208" s="25" t="str">
        <f>'Утв. ИП 2014-2019'!A1210</f>
        <v>1.1.5.2.178/13</v>
      </c>
      <c r="B1208" s="6" t="str">
        <f>'Утв. ИП 2014-2019'!B1210</f>
        <v>3.2.323</v>
      </c>
      <c r="C1208" s="7" t="str">
        <f>'Утв. ИП 2014-2019'!C1210</f>
        <v>Электроснабжение садовых домиков в 4 массиве СТ "Ударник"</v>
      </c>
      <c r="D1208" s="8"/>
      <c r="E1208" s="8" t="str">
        <f>'Утв. ИП 2014-2019'!L1210</f>
        <v>0,0 км/ 0 МВА</v>
      </c>
      <c r="F1208" s="8"/>
      <c r="G1208" s="8"/>
      <c r="H1208" s="8"/>
      <c r="I1208" s="8"/>
      <c r="J1208" s="23" t="str">
        <f>'Утв. ИП 2014-2019'!Q1210</f>
        <v>0,0 км/ 0 МВА</v>
      </c>
      <c r="K1208" s="170"/>
      <c r="L1208" s="170"/>
      <c r="M1208" s="170"/>
      <c r="N1208" s="170"/>
      <c r="O1208" s="170"/>
      <c r="P1208" s="170"/>
      <c r="Q1208" s="170"/>
      <c r="R1208" s="136"/>
      <c r="S1208" s="137"/>
      <c r="T1208" s="128"/>
      <c r="U1208" s="137"/>
      <c r="V1208" s="128"/>
      <c r="W1208" s="49"/>
      <c r="X1208" s="128"/>
      <c r="Y1208" s="49"/>
      <c r="Z1208" s="128"/>
      <c r="AA1208" s="49"/>
      <c r="AB1208" s="128"/>
      <c r="AC1208" s="49"/>
      <c r="AE1208" s="133"/>
    </row>
    <row r="1209" spans="1:31" ht="15.75" hidden="1" outlineLevel="2" x14ac:dyDescent="0.2">
      <c r="A1209" s="25">
        <f>'Утв. ИП 2014-2019'!A1211</f>
        <v>0</v>
      </c>
      <c r="B1209" s="6">
        <f>'Утв. ИП 2014-2019'!B1211</f>
        <v>0</v>
      </c>
      <c r="C1209" s="7" t="str">
        <f>'Утв. ИП 2014-2019'!C1211</f>
        <v>реконструкция</v>
      </c>
      <c r="D1209" s="8"/>
      <c r="E1209" s="8"/>
      <c r="F1209" s="8"/>
      <c r="G1209" s="8"/>
      <c r="H1209" s="8"/>
      <c r="I1209" s="8"/>
      <c r="J1209" s="23"/>
      <c r="K1209" s="170"/>
      <c r="L1209" s="170"/>
      <c r="M1209" s="170"/>
      <c r="N1209" s="170"/>
      <c r="O1209" s="170"/>
      <c r="P1209" s="170"/>
      <c r="Q1209" s="170"/>
      <c r="R1209" s="136"/>
      <c r="S1209" s="137"/>
      <c r="T1209" s="128"/>
      <c r="U1209" s="137"/>
      <c r="V1209" s="128"/>
      <c r="W1209" s="49"/>
      <c r="X1209" s="128"/>
      <c r="Y1209" s="49"/>
      <c r="Z1209" s="128"/>
      <c r="AA1209" s="49"/>
      <c r="AB1209" s="128"/>
      <c r="AC1209" s="49"/>
      <c r="AE1209" s="133"/>
    </row>
    <row r="1210" spans="1:31" ht="15.75" hidden="1" outlineLevel="2" x14ac:dyDescent="0.2">
      <c r="A1210" s="25">
        <f>'Утв. ИП 2014-2019'!A1212</f>
        <v>0</v>
      </c>
      <c r="B1210" s="6">
        <f>'Утв. ИП 2014-2019'!B1212</f>
        <v>0</v>
      </c>
      <c r="C1210" s="7" t="str">
        <f>'Утв. ИП 2014-2019'!C1212</f>
        <v>строительство</v>
      </c>
      <c r="D1210" s="8"/>
      <c r="E1210" s="8"/>
      <c r="F1210" s="8"/>
      <c r="G1210" s="8"/>
      <c r="H1210" s="8"/>
      <c r="I1210" s="8"/>
      <c r="J1210" s="23"/>
      <c r="K1210" s="170"/>
      <c r="L1210" s="170"/>
      <c r="M1210" s="170"/>
      <c r="N1210" s="170"/>
      <c r="O1210" s="170"/>
      <c r="P1210" s="170"/>
      <c r="Q1210" s="170"/>
      <c r="R1210" s="136"/>
      <c r="S1210" s="137"/>
      <c r="T1210" s="128"/>
      <c r="U1210" s="137"/>
      <c r="V1210" s="128"/>
      <c r="W1210" s="49"/>
      <c r="X1210" s="128"/>
      <c r="Y1210" s="49"/>
      <c r="Z1210" s="128"/>
      <c r="AA1210" s="49"/>
      <c r="AB1210" s="128"/>
      <c r="AC1210" s="49"/>
      <c r="AE1210" s="133"/>
    </row>
    <row r="1211" spans="1:31" ht="38.25" hidden="1" outlineLevel="1" collapsed="1" x14ac:dyDescent="0.2">
      <c r="A1211" s="25" t="str">
        <f>'Утв. ИП 2014-2019'!A1213</f>
        <v>1.1.5.2.179/13</v>
      </c>
      <c r="B1211" s="6" t="str">
        <f>'Утв. ИП 2014-2019'!B1213</f>
        <v>3.2.324</v>
      </c>
      <c r="C1211" s="7" t="str">
        <f>'Утв. ИП 2014-2019'!C1213</f>
        <v>Электроснабжение кирпичного садового домика по адресу: г. Липецк, ПСОПиИ им. И.В. Мичурина, ул. Коллективная, земельный участок № 44</v>
      </c>
      <c r="D1211" s="8"/>
      <c r="E1211" s="8" t="str">
        <f>'Утв. ИП 2014-2019'!L1213</f>
        <v>0,12 км/ 0 МВА</v>
      </c>
      <c r="F1211" s="8"/>
      <c r="G1211" s="8"/>
      <c r="H1211" s="8"/>
      <c r="I1211" s="8"/>
      <c r="J1211" s="23" t="str">
        <f>'Утв. ИП 2014-2019'!Q1213</f>
        <v>0,12 км/ 0 МВА</v>
      </c>
      <c r="K1211" s="170"/>
      <c r="L1211" s="170"/>
      <c r="M1211" s="170"/>
      <c r="N1211" s="170"/>
      <c r="O1211" s="170"/>
      <c r="P1211" s="170"/>
      <c r="Q1211" s="170"/>
      <c r="R1211" s="136"/>
      <c r="S1211" s="137"/>
      <c r="T1211" s="128"/>
      <c r="U1211" s="137"/>
      <c r="V1211" s="128"/>
      <c r="W1211" s="49"/>
      <c r="X1211" s="128"/>
      <c r="Y1211" s="49"/>
      <c r="Z1211" s="128"/>
      <c r="AA1211" s="49"/>
      <c r="AB1211" s="128"/>
      <c r="AC1211" s="49"/>
      <c r="AE1211" s="133"/>
    </row>
    <row r="1212" spans="1:31" ht="15.75" hidden="1" outlineLevel="2" x14ac:dyDescent="0.2">
      <c r="A1212" s="25">
        <f>'Утв. ИП 2014-2019'!A1214</f>
        <v>0</v>
      </c>
      <c r="B1212" s="6">
        <f>'Утв. ИП 2014-2019'!B1214</f>
        <v>0</v>
      </c>
      <c r="C1212" s="7" t="str">
        <f>'Утв. ИП 2014-2019'!C1214</f>
        <v>реконструкция</v>
      </c>
      <c r="D1212" s="8"/>
      <c r="E1212" s="8"/>
      <c r="F1212" s="8"/>
      <c r="G1212" s="8"/>
      <c r="H1212" s="8"/>
      <c r="I1212" s="8"/>
      <c r="J1212" s="23"/>
      <c r="K1212" s="170"/>
      <c r="L1212" s="170"/>
      <c r="M1212" s="170"/>
      <c r="N1212" s="170"/>
      <c r="O1212" s="170"/>
      <c r="P1212" s="170"/>
      <c r="Q1212" s="170"/>
      <c r="R1212" s="136"/>
      <c r="S1212" s="137"/>
      <c r="T1212" s="128"/>
      <c r="U1212" s="137"/>
      <c r="V1212" s="128"/>
      <c r="W1212" s="49"/>
      <c r="X1212" s="128"/>
      <c r="Y1212" s="49"/>
      <c r="Z1212" s="128"/>
      <c r="AA1212" s="49"/>
      <c r="AB1212" s="128"/>
      <c r="AC1212" s="49"/>
      <c r="AE1212" s="133"/>
    </row>
    <row r="1213" spans="1:31" ht="15.75" hidden="1" outlineLevel="2" x14ac:dyDescent="0.2">
      <c r="A1213" s="25">
        <f>'Утв. ИП 2014-2019'!A1215</f>
        <v>0</v>
      </c>
      <c r="B1213" s="6">
        <f>'Утв. ИП 2014-2019'!B1215</f>
        <v>0</v>
      </c>
      <c r="C1213" s="7" t="str">
        <f>'Утв. ИП 2014-2019'!C1215</f>
        <v>строительство</v>
      </c>
      <c r="D1213" s="8"/>
      <c r="E1213" s="8"/>
      <c r="F1213" s="8"/>
      <c r="G1213" s="8"/>
      <c r="H1213" s="8"/>
      <c r="I1213" s="8"/>
      <c r="J1213" s="23"/>
      <c r="K1213" s="170"/>
      <c r="L1213" s="170"/>
      <c r="M1213" s="170"/>
      <c r="N1213" s="170"/>
      <c r="O1213" s="170"/>
      <c r="P1213" s="170"/>
      <c r="Q1213" s="170"/>
      <c r="R1213" s="136"/>
      <c r="S1213" s="137"/>
      <c r="T1213" s="128"/>
      <c r="U1213" s="137"/>
      <c r="V1213" s="128"/>
      <c r="W1213" s="49"/>
      <c r="X1213" s="128"/>
      <c r="Y1213" s="49"/>
      <c r="Z1213" s="128"/>
      <c r="AA1213" s="49"/>
      <c r="AB1213" s="128"/>
      <c r="AC1213" s="49"/>
      <c r="AE1213" s="133"/>
    </row>
    <row r="1214" spans="1:31" ht="25.5" hidden="1" outlineLevel="1" collapsed="1" x14ac:dyDescent="0.2">
      <c r="A1214" s="25" t="str">
        <f>'Утв. ИП 2014-2019'!A1216</f>
        <v>1.1.5.2.180/13</v>
      </c>
      <c r="B1214" s="6" t="str">
        <f>'Утв. ИП 2014-2019'!B1216</f>
        <v>3.2.325</v>
      </c>
      <c r="C1214" s="7" t="str">
        <f>'Утв. ИП 2014-2019'!C1216</f>
        <v>Электроснабжение садового домика по адресу: г. Липецк, СНТ "Металлург-2", земельный участок № 1893</v>
      </c>
      <c r="D1214" s="8" t="str">
        <f>'Утв. ИП 2014-2019'!K1216</f>
        <v>0,0 км/ 0 МВА</v>
      </c>
      <c r="E1214" s="8"/>
      <c r="F1214" s="8"/>
      <c r="G1214" s="8"/>
      <c r="H1214" s="8"/>
      <c r="I1214" s="8"/>
      <c r="J1214" s="23" t="str">
        <f>'Утв. ИП 2014-2019'!Q1216</f>
        <v>0,0 км/ 0 МВА</v>
      </c>
      <c r="K1214" s="170"/>
      <c r="L1214" s="170"/>
      <c r="M1214" s="170"/>
      <c r="N1214" s="170"/>
      <c r="O1214" s="170"/>
      <c r="P1214" s="170"/>
      <c r="Q1214" s="170"/>
      <c r="R1214" s="136"/>
      <c r="S1214" s="137"/>
      <c r="T1214" s="128"/>
      <c r="U1214" s="137"/>
      <c r="V1214" s="128"/>
      <c r="W1214" s="49"/>
      <c r="X1214" s="128"/>
      <c r="Y1214" s="49"/>
      <c r="Z1214" s="128"/>
      <c r="AA1214" s="49"/>
      <c r="AB1214" s="128"/>
      <c r="AC1214" s="49"/>
      <c r="AE1214" s="133"/>
    </row>
    <row r="1215" spans="1:31" ht="15.75" hidden="1" outlineLevel="2" x14ac:dyDescent="0.2">
      <c r="A1215" s="25">
        <f>'Утв. ИП 2014-2019'!A1217</f>
        <v>0</v>
      </c>
      <c r="B1215" s="6">
        <f>'Утв. ИП 2014-2019'!B1217</f>
        <v>0</v>
      </c>
      <c r="C1215" s="7" t="str">
        <f>'Утв. ИП 2014-2019'!C1217</f>
        <v>реконструкция</v>
      </c>
      <c r="D1215" s="8"/>
      <c r="E1215" s="8"/>
      <c r="F1215" s="8"/>
      <c r="G1215" s="8"/>
      <c r="H1215" s="8"/>
      <c r="I1215" s="8"/>
      <c r="J1215" s="23"/>
      <c r="K1215" s="170"/>
      <c r="L1215" s="170"/>
      <c r="M1215" s="170"/>
      <c r="N1215" s="170"/>
      <c r="O1215" s="170"/>
      <c r="P1215" s="170"/>
      <c r="Q1215" s="170"/>
      <c r="R1215" s="136"/>
      <c r="S1215" s="137"/>
      <c r="T1215" s="128"/>
      <c r="U1215" s="137"/>
      <c r="V1215" s="128"/>
      <c r="W1215" s="49"/>
      <c r="X1215" s="128"/>
      <c r="Y1215" s="49"/>
      <c r="Z1215" s="128"/>
      <c r="AA1215" s="49"/>
      <c r="AB1215" s="128"/>
      <c r="AC1215" s="49"/>
      <c r="AE1215" s="133"/>
    </row>
    <row r="1216" spans="1:31" ht="15.75" hidden="1" outlineLevel="2" x14ac:dyDescent="0.2">
      <c r="A1216" s="25">
        <f>'Утв. ИП 2014-2019'!A1218</f>
        <v>0</v>
      </c>
      <c r="B1216" s="6">
        <f>'Утв. ИП 2014-2019'!B1218</f>
        <v>0</v>
      </c>
      <c r="C1216" s="7" t="str">
        <f>'Утв. ИП 2014-2019'!C1218</f>
        <v>строительство</v>
      </c>
      <c r="D1216" s="8"/>
      <c r="E1216" s="8"/>
      <c r="F1216" s="8"/>
      <c r="G1216" s="8"/>
      <c r="H1216" s="8"/>
      <c r="I1216" s="8"/>
      <c r="J1216" s="23"/>
      <c r="K1216" s="170"/>
      <c r="L1216" s="170"/>
      <c r="M1216" s="170"/>
      <c r="N1216" s="170"/>
      <c r="O1216" s="170"/>
      <c r="P1216" s="170"/>
      <c r="Q1216" s="170"/>
      <c r="R1216" s="136"/>
      <c r="S1216" s="137"/>
      <c r="T1216" s="128"/>
      <c r="U1216" s="137"/>
      <c r="V1216" s="128"/>
      <c r="W1216" s="49"/>
      <c r="X1216" s="128"/>
      <c r="Y1216" s="49"/>
      <c r="Z1216" s="128"/>
      <c r="AA1216" s="49"/>
      <c r="AB1216" s="128"/>
      <c r="AC1216" s="49"/>
      <c r="AE1216" s="133"/>
    </row>
    <row r="1217" spans="1:31" ht="25.5" hidden="1" outlineLevel="1" collapsed="1" x14ac:dyDescent="0.2">
      <c r="A1217" s="25" t="str">
        <f>'Утв. ИП 2014-2019'!A1219</f>
        <v>1.1.5.2.181/13</v>
      </c>
      <c r="B1217" s="6" t="str">
        <f>'Утв. ИП 2014-2019'!B1219</f>
        <v>3.2.326</v>
      </c>
      <c r="C1217" s="7" t="str">
        <f>'Утв. ИП 2014-2019'!C1219</f>
        <v>Электроснабжение 1/2 доля жилого дома по адресу: г. Липецк, ул. Речная, д. № 24 а</v>
      </c>
      <c r="D1217" s="8"/>
      <c r="E1217" s="8" t="str">
        <f>'Утв. ИП 2014-2019'!L1219</f>
        <v>0,5 км/ 0 МВА</v>
      </c>
      <c r="F1217" s="8"/>
      <c r="G1217" s="8"/>
      <c r="H1217" s="8"/>
      <c r="I1217" s="8"/>
      <c r="J1217" s="23" t="str">
        <f>'Утв. ИП 2014-2019'!Q1219</f>
        <v>0,5 км/ 0 МВА</v>
      </c>
      <c r="K1217" s="170"/>
      <c r="L1217" s="170"/>
      <c r="M1217" s="170"/>
      <c r="N1217" s="170"/>
      <c r="O1217" s="170"/>
      <c r="P1217" s="170"/>
      <c r="Q1217" s="170"/>
      <c r="R1217" s="136"/>
      <c r="S1217" s="137"/>
      <c r="T1217" s="128"/>
      <c r="U1217" s="137"/>
      <c r="V1217" s="128"/>
      <c r="W1217" s="49"/>
      <c r="X1217" s="128"/>
      <c r="Y1217" s="49"/>
      <c r="Z1217" s="128"/>
      <c r="AA1217" s="49"/>
      <c r="AB1217" s="128"/>
      <c r="AC1217" s="49"/>
      <c r="AE1217" s="133"/>
    </row>
    <row r="1218" spans="1:31" ht="15.75" hidden="1" outlineLevel="2" x14ac:dyDescent="0.2">
      <c r="A1218" s="25">
        <f>'Утв. ИП 2014-2019'!A1220</f>
        <v>0</v>
      </c>
      <c r="B1218" s="6">
        <f>'Утв. ИП 2014-2019'!B1220</f>
        <v>0</v>
      </c>
      <c r="C1218" s="7" t="str">
        <f>'Утв. ИП 2014-2019'!C1220</f>
        <v>реконструкция</v>
      </c>
      <c r="D1218" s="8"/>
      <c r="E1218" s="8"/>
      <c r="F1218" s="8"/>
      <c r="G1218" s="8"/>
      <c r="H1218" s="8"/>
      <c r="I1218" s="8"/>
      <c r="J1218" s="23"/>
      <c r="K1218" s="170"/>
      <c r="L1218" s="170"/>
      <c r="M1218" s="170"/>
      <c r="N1218" s="170"/>
      <c r="O1218" s="170"/>
      <c r="P1218" s="170"/>
      <c r="Q1218" s="170"/>
      <c r="R1218" s="136"/>
      <c r="S1218" s="137"/>
      <c r="T1218" s="128"/>
      <c r="U1218" s="137"/>
      <c r="V1218" s="128"/>
      <c r="W1218" s="49"/>
      <c r="X1218" s="128"/>
      <c r="Y1218" s="49"/>
      <c r="Z1218" s="128"/>
      <c r="AA1218" s="49"/>
      <c r="AB1218" s="128"/>
      <c r="AC1218" s="49"/>
      <c r="AE1218" s="133"/>
    </row>
    <row r="1219" spans="1:31" ht="15.75" hidden="1" outlineLevel="2" x14ac:dyDescent="0.2">
      <c r="A1219" s="25">
        <f>'Утв. ИП 2014-2019'!A1221</f>
        <v>0</v>
      </c>
      <c r="B1219" s="6">
        <f>'Утв. ИП 2014-2019'!B1221</f>
        <v>0</v>
      </c>
      <c r="C1219" s="7" t="str">
        <f>'Утв. ИП 2014-2019'!C1221</f>
        <v>строительство</v>
      </c>
      <c r="D1219" s="8"/>
      <c r="E1219" s="8"/>
      <c r="F1219" s="8"/>
      <c r="G1219" s="8"/>
      <c r="H1219" s="8"/>
      <c r="I1219" s="8"/>
      <c r="J1219" s="23"/>
      <c r="K1219" s="170"/>
      <c r="L1219" s="170"/>
      <c r="M1219" s="170"/>
      <c r="N1219" s="170"/>
      <c r="O1219" s="170"/>
      <c r="P1219" s="170"/>
      <c r="Q1219" s="170"/>
      <c r="R1219" s="136"/>
      <c r="S1219" s="137"/>
      <c r="T1219" s="128"/>
      <c r="U1219" s="137"/>
      <c r="V1219" s="128"/>
      <c r="W1219" s="49"/>
      <c r="X1219" s="128"/>
      <c r="Y1219" s="49"/>
      <c r="Z1219" s="128"/>
      <c r="AA1219" s="49"/>
      <c r="AB1219" s="128"/>
      <c r="AC1219" s="49"/>
      <c r="AE1219" s="133"/>
    </row>
    <row r="1220" spans="1:31" ht="38.25" hidden="1" outlineLevel="1" collapsed="1" x14ac:dyDescent="0.2">
      <c r="A1220" s="25" t="str">
        <f>'Утв. ИП 2014-2019'!A1222</f>
        <v>1.1.5.2.182/13</v>
      </c>
      <c r="B1220" s="6" t="str">
        <f>'Утв. ИП 2014-2019'!B1222</f>
        <v>3.2.327</v>
      </c>
      <c r="C1220" s="7" t="str">
        <f>'Утв. ИП 2014-2019'!C1222</f>
        <v>Электроснабжение павильона П-4441 по адресу: г. Липецк, Елецкое шоссе, 6 справа от Центрального входа Косыревского кладбища</v>
      </c>
      <c r="D1220" s="8" t="str">
        <f>'Утв. ИП 2014-2019'!K1222</f>
        <v>0,0 км/ 0 МВА</v>
      </c>
      <c r="E1220" s="8"/>
      <c r="F1220" s="8"/>
      <c r="G1220" s="8"/>
      <c r="H1220" s="8"/>
      <c r="I1220" s="8"/>
      <c r="J1220" s="23" t="str">
        <f>'Утв. ИП 2014-2019'!Q1222</f>
        <v>0,0 км/ 0 МВА</v>
      </c>
      <c r="K1220" s="170"/>
      <c r="L1220" s="170"/>
      <c r="M1220" s="170"/>
      <c r="N1220" s="170"/>
      <c r="O1220" s="170"/>
      <c r="P1220" s="170"/>
      <c r="Q1220" s="170"/>
      <c r="R1220" s="136"/>
      <c r="S1220" s="137"/>
      <c r="T1220" s="128"/>
      <c r="U1220" s="137"/>
      <c r="V1220" s="128"/>
      <c r="W1220" s="49"/>
      <c r="X1220" s="128"/>
      <c r="Y1220" s="49"/>
      <c r="Z1220" s="128"/>
      <c r="AA1220" s="49"/>
      <c r="AB1220" s="128"/>
      <c r="AC1220" s="49"/>
      <c r="AE1220" s="133"/>
    </row>
    <row r="1221" spans="1:31" ht="15.75" hidden="1" outlineLevel="2" x14ac:dyDescent="0.2">
      <c r="A1221" s="25">
        <f>'Утв. ИП 2014-2019'!A1223</f>
        <v>0</v>
      </c>
      <c r="B1221" s="6">
        <f>'Утв. ИП 2014-2019'!B1223</f>
        <v>0</v>
      </c>
      <c r="C1221" s="7" t="str">
        <f>'Утв. ИП 2014-2019'!C1223</f>
        <v>реконструкция</v>
      </c>
      <c r="D1221" s="8"/>
      <c r="E1221" s="8"/>
      <c r="F1221" s="8"/>
      <c r="G1221" s="8"/>
      <c r="H1221" s="8"/>
      <c r="I1221" s="8"/>
      <c r="J1221" s="23"/>
      <c r="K1221" s="170"/>
      <c r="L1221" s="170"/>
      <c r="M1221" s="170"/>
      <c r="N1221" s="170"/>
      <c r="O1221" s="170"/>
      <c r="P1221" s="170"/>
      <c r="Q1221" s="170"/>
      <c r="R1221" s="136"/>
      <c r="S1221" s="137"/>
      <c r="T1221" s="128"/>
      <c r="U1221" s="137"/>
      <c r="V1221" s="128"/>
      <c r="W1221" s="49"/>
      <c r="X1221" s="128"/>
      <c r="Y1221" s="49"/>
      <c r="Z1221" s="128"/>
      <c r="AA1221" s="49"/>
      <c r="AB1221" s="128"/>
      <c r="AC1221" s="49"/>
      <c r="AE1221" s="133"/>
    </row>
    <row r="1222" spans="1:31" ht="15.75" hidden="1" outlineLevel="2" x14ac:dyDescent="0.2">
      <c r="A1222" s="25">
        <f>'Утв. ИП 2014-2019'!A1224</f>
        <v>0</v>
      </c>
      <c r="B1222" s="6">
        <f>'Утв. ИП 2014-2019'!B1224</f>
        <v>0</v>
      </c>
      <c r="C1222" s="7" t="str">
        <f>'Утв. ИП 2014-2019'!C1224</f>
        <v>строительство</v>
      </c>
      <c r="D1222" s="8"/>
      <c r="E1222" s="8"/>
      <c r="F1222" s="8"/>
      <c r="G1222" s="8"/>
      <c r="H1222" s="8"/>
      <c r="I1222" s="8"/>
      <c r="J1222" s="23"/>
      <c r="K1222" s="170"/>
      <c r="L1222" s="170"/>
      <c r="M1222" s="170"/>
      <c r="N1222" s="170"/>
      <c r="O1222" s="170"/>
      <c r="P1222" s="170"/>
      <c r="Q1222" s="170"/>
      <c r="R1222" s="136"/>
      <c r="S1222" s="137"/>
      <c r="T1222" s="128"/>
      <c r="U1222" s="137"/>
      <c r="V1222" s="128"/>
      <c r="W1222" s="49"/>
      <c r="X1222" s="128"/>
      <c r="Y1222" s="49"/>
      <c r="Z1222" s="128"/>
      <c r="AA1222" s="49"/>
      <c r="AB1222" s="128"/>
      <c r="AC1222" s="49"/>
      <c r="AE1222" s="133"/>
    </row>
    <row r="1223" spans="1:31" ht="25.5" hidden="1" outlineLevel="1" collapsed="1" x14ac:dyDescent="0.2">
      <c r="A1223" s="25" t="str">
        <f>'Утв. ИП 2014-2019'!A1225</f>
        <v>1.1.5.2.183/13</v>
      </c>
      <c r="B1223" s="6" t="str">
        <f>'Утв. ИП 2014-2019'!B1225</f>
        <v>3.2.328</v>
      </c>
      <c r="C1223" s="7" t="str">
        <f>'Утв. ИП 2014-2019'!C1225</f>
        <v>Электроснабжение гаража по адресу: Липецкая обл., Грязинский р-он, с. Казинка, район мастерской, гараж № 3</v>
      </c>
      <c r="D1223" s="8"/>
      <c r="E1223" s="8" t="str">
        <f>'Утв. ИП 2014-2019'!L1225</f>
        <v>0,0 км/ 0 МВА</v>
      </c>
      <c r="F1223" s="8"/>
      <c r="G1223" s="8"/>
      <c r="H1223" s="8"/>
      <c r="I1223" s="8"/>
      <c r="J1223" s="23" t="str">
        <f>'Утв. ИП 2014-2019'!Q1225</f>
        <v>0,0 км/ 0 МВА</v>
      </c>
      <c r="K1223" s="170"/>
      <c r="L1223" s="170"/>
      <c r="M1223" s="170"/>
      <c r="N1223" s="170"/>
      <c r="O1223" s="170"/>
      <c r="P1223" s="170"/>
      <c r="Q1223" s="170"/>
      <c r="R1223" s="136"/>
      <c r="S1223" s="137"/>
      <c r="T1223" s="128"/>
      <c r="U1223" s="137"/>
      <c r="V1223" s="128"/>
      <c r="W1223" s="49"/>
      <c r="X1223" s="128"/>
      <c r="Y1223" s="49"/>
      <c r="Z1223" s="128"/>
      <c r="AA1223" s="49"/>
      <c r="AB1223" s="128"/>
      <c r="AC1223" s="49"/>
      <c r="AE1223" s="133"/>
    </row>
    <row r="1224" spans="1:31" ht="15.75" hidden="1" outlineLevel="2" x14ac:dyDescent="0.2">
      <c r="A1224" s="25">
        <f>'Утв. ИП 2014-2019'!A1226</f>
        <v>0</v>
      </c>
      <c r="B1224" s="6">
        <f>'Утв. ИП 2014-2019'!B1226</f>
        <v>0</v>
      </c>
      <c r="C1224" s="7" t="str">
        <f>'Утв. ИП 2014-2019'!C1226</f>
        <v>реконструкция</v>
      </c>
      <c r="D1224" s="8"/>
      <c r="E1224" s="8"/>
      <c r="F1224" s="8"/>
      <c r="G1224" s="8"/>
      <c r="H1224" s="8"/>
      <c r="I1224" s="8"/>
      <c r="J1224" s="23"/>
      <c r="K1224" s="170"/>
      <c r="L1224" s="170"/>
      <c r="M1224" s="170"/>
      <c r="N1224" s="170"/>
      <c r="O1224" s="170"/>
      <c r="P1224" s="170"/>
      <c r="Q1224" s="170"/>
      <c r="R1224" s="136"/>
      <c r="S1224" s="137"/>
      <c r="T1224" s="128"/>
      <c r="U1224" s="137"/>
      <c r="V1224" s="128"/>
      <c r="W1224" s="49"/>
      <c r="X1224" s="128"/>
      <c r="Y1224" s="49"/>
      <c r="Z1224" s="128"/>
      <c r="AA1224" s="49"/>
      <c r="AB1224" s="128"/>
      <c r="AC1224" s="49"/>
      <c r="AE1224" s="133"/>
    </row>
    <row r="1225" spans="1:31" ht="15.75" hidden="1" outlineLevel="2" x14ac:dyDescent="0.2">
      <c r="A1225" s="25">
        <f>'Утв. ИП 2014-2019'!A1227</f>
        <v>0</v>
      </c>
      <c r="B1225" s="6">
        <f>'Утв. ИП 2014-2019'!B1227</f>
        <v>0</v>
      </c>
      <c r="C1225" s="7" t="str">
        <f>'Утв. ИП 2014-2019'!C1227</f>
        <v>строительство</v>
      </c>
      <c r="D1225" s="8"/>
      <c r="E1225" s="8"/>
      <c r="F1225" s="8"/>
      <c r="G1225" s="8"/>
      <c r="H1225" s="8"/>
      <c r="I1225" s="8"/>
      <c r="J1225" s="23"/>
      <c r="K1225" s="170"/>
      <c r="L1225" s="170"/>
      <c r="M1225" s="170"/>
      <c r="N1225" s="170"/>
      <c r="O1225" s="170"/>
      <c r="P1225" s="170"/>
      <c r="Q1225" s="170"/>
      <c r="R1225" s="136"/>
      <c r="S1225" s="137"/>
      <c r="T1225" s="128"/>
      <c r="U1225" s="137"/>
      <c r="V1225" s="128"/>
      <c r="W1225" s="49"/>
      <c r="X1225" s="128"/>
      <c r="Y1225" s="49"/>
      <c r="Z1225" s="128"/>
      <c r="AA1225" s="49"/>
      <c r="AB1225" s="128"/>
      <c r="AC1225" s="49"/>
      <c r="AE1225" s="133"/>
    </row>
    <row r="1226" spans="1:31" ht="25.5" hidden="1" outlineLevel="1" collapsed="1" x14ac:dyDescent="0.2">
      <c r="A1226" s="25" t="str">
        <f>'Утв. ИП 2014-2019'!A1228</f>
        <v>1.1.5.2.184/13</v>
      </c>
      <c r="B1226" s="6" t="str">
        <f>'Утв. ИП 2014-2019'!B1228</f>
        <v>3.2.329</v>
      </c>
      <c r="C1226" s="7" t="str">
        <f>'Утв. ИП 2014-2019'!C1228</f>
        <v>Электроснабжение индивидуального жилого дома по адресу: г. Липецк, ул. Садовая, д. № 51 Литер Б)</v>
      </c>
      <c r="D1226" s="8"/>
      <c r="E1226" s="8" t="str">
        <f>'Утв. ИП 2014-2019'!L1228</f>
        <v>0,1 км/ 0 МВА</v>
      </c>
      <c r="F1226" s="8"/>
      <c r="G1226" s="8"/>
      <c r="H1226" s="8"/>
      <c r="I1226" s="8"/>
      <c r="J1226" s="23" t="str">
        <f>'Утв. ИП 2014-2019'!Q1228</f>
        <v>0,1 км/ 0 МВА</v>
      </c>
      <c r="K1226" s="170"/>
      <c r="L1226" s="170"/>
      <c r="M1226" s="170"/>
      <c r="N1226" s="170"/>
      <c r="O1226" s="170"/>
      <c r="P1226" s="170"/>
      <c r="Q1226" s="170"/>
      <c r="R1226" s="166"/>
      <c r="S1226" s="167"/>
      <c r="T1226" s="168"/>
      <c r="U1226" s="167"/>
      <c r="V1226" s="168"/>
      <c r="W1226" s="169"/>
      <c r="X1226" s="168"/>
      <c r="Y1226" s="169"/>
      <c r="Z1226" s="168"/>
      <c r="AA1226" s="169"/>
      <c r="AB1226" s="168"/>
      <c r="AC1226" s="169"/>
      <c r="AE1226" s="133"/>
    </row>
    <row r="1227" spans="1:31" ht="15.75" hidden="1" outlineLevel="2" x14ac:dyDescent="0.2">
      <c r="A1227" s="25">
        <f>'Утв. ИП 2014-2019'!A1229</f>
        <v>0</v>
      </c>
      <c r="B1227" s="6">
        <f>'Утв. ИП 2014-2019'!B1229</f>
        <v>0</v>
      </c>
      <c r="C1227" s="7" t="str">
        <f>'Утв. ИП 2014-2019'!C1229</f>
        <v>реконструкция</v>
      </c>
      <c r="D1227" s="8"/>
      <c r="E1227" s="8"/>
      <c r="F1227" s="8"/>
      <c r="G1227" s="8"/>
      <c r="H1227" s="8"/>
      <c r="I1227" s="8"/>
      <c r="J1227" s="23"/>
      <c r="K1227" s="170"/>
      <c r="L1227" s="170"/>
      <c r="M1227" s="170"/>
      <c r="N1227" s="170"/>
      <c r="O1227" s="170"/>
      <c r="P1227" s="170"/>
      <c r="Q1227" s="170"/>
      <c r="R1227" s="166"/>
      <c r="S1227" s="167"/>
      <c r="T1227" s="168"/>
      <c r="U1227" s="167"/>
      <c r="V1227" s="168"/>
      <c r="W1227" s="169"/>
      <c r="X1227" s="168"/>
      <c r="Y1227" s="169"/>
      <c r="Z1227" s="168"/>
      <c r="AA1227" s="169"/>
      <c r="AB1227" s="168"/>
      <c r="AC1227" s="169"/>
      <c r="AE1227" s="133"/>
    </row>
    <row r="1228" spans="1:31" ht="15.75" hidden="1" outlineLevel="2" x14ac:dyDescent="0.2">
      <c r="A1228" s="25">
        <f>'Утв. ИП 2014-2019'!A1230</f>
        <v>0</v>
      </c>
      <c r="B1228" s="6">
        <f>'Утв. ИП 2014-2019'!B1230</f>
        <v>0</v>
      </c>
      <c r="C1228" s="7" t="str">
        <f>'Утв. ИП 2014-2019'!C1230</f>
        <v>строительство</v>
      </c>
      <c r="D1228" s="8"/>
      <c r="E1228" s="8"/>
      <c r="F1228" s="8"/>
      <c r="G1228" s="8"/>
      <c r="H1228" s="8"/>
      <c r="I1228" s="8"/>
      <c r="J1228" s="23"/>
      <c r="K1228" s="170"/>
      <c r="L1228" s="170"/>
      <c r="M1228" s="170"/>
      <c r="N1228" s="170"/>
      <c r="O1228" s="170"/>
      <c r="P1228" s="170"/>
      <c r="Q1228" s="170"/>
      <c r="R1228" s="166"/>
      <c r="S1228" s="167"/>
      <c r="T1228" s="168"/>
      <c r="U1228" s="167"/>
      <c r="V1228" s="168"/>
      <c r="W1228" s="169"/>
      <c r="X1228" s="168"/>
      <c r="Y1228" s="169"/>
      <c r="Z1228" s="168"/>
      <c r="AA1228" s="169"/>
      <c r="AB1228" s="168"/>
      <c r="AC1228" s="169"/>
      <c r="AE1228" s="133"/>
    </row>
    <row r="1229" spans="1:31" ht="25.5" hidden="1" outlineLevel="1" collapsed="1" x14ac:dyDescent="0.2">
      <c r="A1229" s="25" t="str">
        <f>'Утв. ИП 2014-2019'!A1231</f>
        <v>1.1.5.2.185/13</v>
      </c>
      <c r="B1229" s="6" t="str">
        <f>'Утв. ИП 2014-2019'!B1231</f>
        <v>3.2.330</v>
      </c>
      <c r="C1229" s="7" t="str">
        <f>'Утв. ИП 2014-2019'!C1231</f>
        <v>Электроснабжение садового домика по адресу: г. Липецк, СНТ "Машиностроитель", участок № 820</v>
      </c>
      <c r="D1229" s="8" t="str">
        <f>'Утв. ИП 2014-2019'!K1231</f>
        <v>0,0 км/ 0 МВА</v>
      </c>
      <c r="E1229" s="8"/>
      <c r="F1229" s="8"/>
      <c r="G1229" s="8"/>
      <c r="H1229" s="8"/>
      <c r="I1229" s="8"/>
      <c r="J1229" s="23" t="str">
        <f>'Утв. ИП 2014-2019'!Q1231</f>
        <v>0,0 км/ 0 МВА</v>
      </c>
      <c r="K1229" s="170"/>
      <c r="L1229" s="170"/>
      <c r="M1229" s="170"/>
      <c r="N1229" s="170"/>
      <c r="O1229" s="170"/>
      <c r="P1229" s="170"/>
      <c r="Q1229" s="170"/>
      <c r="R1229" s="136"/>
      <c r="S1229" s="137"/>
      <c r="T1229" s="128"/>
      <c r="U1229" s="137"/>
      <c r="V1229" s="128"/>
      <c r="W1229" s="49"/>
      <c r="X1229" s="128"/>
      <c r="Y1229" s="49"/>
      <c r="Z1229" s="128"/>
      <c r="AA1229" s="49"/>
      <c r="AB1229" s="128"/>
      <c r="AC1229" s="49"/>
      <c r="AE1229" s="133"/>
    </row>
    <row r="1230" spans="1:31" ht="15.75" hidden="1" outlineLevel="2" x14ac:dyDescent="0.2">
      <c r="A1230" s="25">
        <f>'Утв. ИП 2014-2019'!A1232</f>
        <v>0</v>
      </c>
      <c r="B1230" s="6">
        <f>'Утв. ИП 2014-2019'!B1232</f>
        <v>0</v>
      </c>
      <c r="C1230" s="7" t="str">
        <f>'Утв. ИП 2014-2019'!C1232</f>
        <v>реконструкция</v>
      </c>
      <c r="D1230" s="8"/>
      <c r="E1230" s="8"/>
      <c r="F1230" s="8"/>
      <c r="G1230" s="8"/>
      <c r="H1230" s="8"/>
      <c r="I1230" s="8"/>
      <c r="J1230" s="23"/>
      <c r="K1230" s="170"/>
      <c r="L1230" s="170"/>
      <c r="M1230" s="170"/>
      <c r="N1230" s="170"/>
      <c r="O1230" s="170"/>
      <c r="P1230" s="170"/>
      <c r="Q1230" s="170"/>
      <c r="R1230" s="136"/>
      <c r="S1230" s="137"/>
      <c r="T1230" s="128"/>
      <c r="U1230" s="137"/>
      <c r="V1230" s="128"/>
      <c r="W1230" s="49"/>
      <c r="X1230" s="128"/>
      <c r="Y1230" s="49"/>
      <c r="Z1230" s="128"/>
      <c r="AA1230" s="49"/>
      <c r="AB1230" s="128"/>
      <c r="AC1230" s="49"/>
      <c r="AE1230" s="133"/>
    </row>
    <row r="1231" spans="1:31" ht="15.75" hidden="1" outlineLevel="2" x14ac:dyDescent="0.2">
      <c r="A1231" s="25">
        <f>'Утв. ИП 2014-2019'!A1233</f>
        <v>0</v>
      </c>
      <c r="B1231" s="6">
        <f>'Утв. ИП 2014-2019'!B1233</f>
        <v>0</v>
      </c>
      <c r="C1231" s="7" t="str">
        <f>'Утв. ИП 2014-2019'!C1233</f>
        <v>строительство</v>
      </c>
      <c r="D1231" s="8"/>
      <c r="E1231" s="8"/>
      <c r="F1231" s="8"/>
      <c r="G1231" s="8"/>
      <c r="H1231" s="8"/>
      <c r="I1231" s="8"/>
      <c r="J1231" s="23"/>
      <c r="K1231" s="170"/>
      <c r="L1231" s="170"/>
      <c r="M1231" s="170"/>
      <c r="N1231" s="170"/>
      <c r="O1231" s="170"/>
      <c r="P1231" s="170"/>
      <c r="Q1231" s="170"/>
      <c r="R1231" s="136"/>
      <c r="S1231" s="137"/>
      <c r="T1231" s="128"/>
      <c r="U1231" s="137"/>
      <c r="V1231" s="128"/>
      <c r="W1231" s="49"/>
      <c r="X1231" s="128"/>
      <c r="Y1231" s="49"/>
      <c r="Z1231" s="128"/>
      <c r="AA1231" s="49"/>
      <c r="AB1231" s="128"/>
      <c r="AC1231" s="49"/>
      <c r="AE1231" s="133"/>
    </row>
    <row r="1232" spans="1:31" ht="25.5" hidden="1" outlineLevel="1" collapsed="1" x14ac:dyDescent="0.2">
      <c r="A1232" s="25" t="str">
        <f>'Утв. ИП 2014-2019'!A1234</f>
        <v>1.1.5.2.188/13</v>
      </c>
      <c r="B1232" s="6" t="str">
        <f>'Утв. ИП 2014-2019'!B1234</f>
        <v>3.2.331</v>
      </c>
      <c r="C1232" s="7" t="str">
        <f>'Утв. ИП 2014-2019'!C1234</f>
        <v xml:space="preserve">Электроснабжение жилого дома по адресу: г. Липецк, ул. Жактовская, д. 68 </v>
      </c>
      <c r="D1232" s="8" t="str">
        <f>'Утв. ИП 2014-2019'!K1234</f>
        <v>0,12 км/ 0 МВА</v>
      </c>
      <c r="E1232" s="8"/>
      <c r="F1232" s="8"/>
      <c r="G1232" s="8"/>
      <c r="H1232" s="8"/>
      <c r="I1232" s="8"/>
      <c r="J1232" s="23" t="str">
        <f>'Утв. ИП 2014-2019'!Q1234</f>
        <v>0,12 км/ 0 МВА</v>
      </c>
      <c r="K1232" s="170"/>
      <c r="L1232" s="170"/>
      <c r="M1232" s="170"/>
      <c r="N1232" s="170"/>
      <c r="O1232" s="170"/>
      <c r="P1232" s="170"/>
      <c r="Q1232" s="170"/>
      <c r="R1232" s="166"/>
      <c r="S1232" s="167"/>
      <c r="T1232" s="168"/>
      <c r="U1232" s="167"/>
      <c r="V1232" s="168"/>
      <c r="W1232" s="169"/>
      <c r="X1232" s="168"/>
      <c r="Y1232" s="169"/>
      <c r="Z1232" s="168"/>
      <c r="AA1232" s="169"/>
      <c r="AB1232" s="168"/>
      <c r="AC1232" s="169"/>
      <c r="AE1232" s="133"/>
    </row>
    <row r="1233" spans="1:31" ht="15.75" hidden="1" outlineLevel="2" x14ac:dyDescent="0.2">
      <c r="A1233" s="25">
        <f>'Утв. ИП 2014-2019'!A1235</f>
        <v>0</v>
      </c>
      <c r="B1233" s="6">
        <f>'Утв. ИП 2014-2019'!B1235</f>
        <v>0</v>
      </c>
      <c r="C1233" s="7" t="str">
        <f>'Утв. ИП 2014-2019'!C1235</f>
        <v>реконструкция</v>
      </c>
      <c r="D1233" s="8"/>
      <c r="E1233" s="8"/>
      <c r="F1233" s="8"/>
      <c r="G1233" s="8"/>
      <c r="H1233" s="8"/>
      <c r="I1233" s="8"/>
      <c r="J1233" s="23"/>
      <c r="K1233" s="170"/>
      <c r="L1233" s="170"/>
      <c r="M1233" s="170"/>
      <c r="N1233" s="170"/>
      <c r="O1233" s="170"/>
      <c r="P1233" s="170"/>
      <c r="Q1233" s="170"/>
      <c r="R1233" s="166"/>
      <c r="S1233" s="167"/>
      <c r="T1233" s="168"/>
      <c r="U1233" s="167"/>
      <c r="V1233" s="168"/>
      <c r="W1233" s="169"/>
      <c r="X1233" s="168"/>
      <c r="Y1233" s="169"/>
      <c r="Z1233" s="168"/>
      <c r="AA1233" s="169"/>
      <c r="AB1233" s="168"/>
      <c r="AC1233" s="169"/>
      <c r="AE1233" s="133"/>
    </row>
    <row r="1234" spans="1:31" ht="15.75" hidden="1" outlineLevel="2" x14ac:dyDescent="0.2">
      <c r="A1234" s="25">
        <f>'Утв. ИП 2014-2019'!A1236</f>
        <v>0</v>
      </c>
      <c r="B1234" s="6">
        <f>'Утв. ИП 2014-2019'!B1236</f>
        <v>0</v>
      </c>
      <c r="C1234" s="7" t="str">
        <f>'Утв. ИП 2014-2019'!C1236</f>
        <v>строительство</v>
      </c>
      <c r="D1234" s="8"/>
      <c r="E1234" s="8"/>
      <c r="F1234" s="8"/>
      <c r="G1234" s="8"/>
      <c r="H1234" s="8"/>
      <c r="I1234" s="8"/>
      <c r="J1234" s="23"/>
      <c r="K1234" s="170"/>
      <c r="L1234" s="170"/>
      <c r="M1234" s="170"/>
      <c r="N1234" s="170"/>
      <c r="O1234" s="170"/>
      <c r="P1234" s="170"/>
      <c r="Q1234" s="170"/>
      <c r="R1234" s="166"/>
      <c r="S1234" s="167"/>
      <c r="T1234" s="168"/>
      <c r="U1234" s="167"/>
      <c r="V1234" s="168"/>
      <c r="W1234" s="169"/>
      <c r="X1234" s="168"/>
      <c r="Y1234" s="169"/>
      <c r="Z1234" s="168"/>
      <c r="AA1234" s="169"/>
      <c r="AB1234" s="168"/>
      <c r="AC1234" s="169"/>
      <c r="AE1234" s="133"/>
    </row>
    <row r="1235" spans="1:31" ht="25.5" hidden="1" outlineLevel="1" collapsed="1" x14ac:dyDescent="0.2">
      <c r="A1235" s="25" t="str">
        <f>'Утв. ИП 2014-2019'!A1237</f>
        <v>1.1.5.2.189/13</v>
      </c>
      <c r="B1235" s="6" t="str">
        <f>'Утв. ИП 2014-2019'!B1237</f>
        <v>3.2.332</v>
      </c>
      <c r="C1235" s="7" t="str">
        <f>'Утв. ИП 2014-2019'!C1237</f>
        <v>Электроснабжение гаража по адресу: г. Липецк, 15 микрорайон, ГПК -9, гараж № 273</v>
      </c>
      <c r="D1235" s="8"/>
      <c r="E1235" s="8" t="str">
        <f>'Утв. ИП 2014-2019'!L1237</f>
        <v>0,0 км/ 0 МВА</v>
      </c>
      <c r="F1235" s="8"/>
      <c r="G1235" s="8"/>
      <c r="H1235" s="8"/>
      <c r="I1235" s="8"/>
      <c r="J1235" s="23" t="str">
        <f>'Утв. ИП 2014-2019'!Q1237</f>
        <v>0,0 км/ 0 МВА</v>
      </c>
      <c r="K1235" s="170"/>
      <c r="L1235" s="170"/>
      <c r="M1235" s="170"/>
      <c r="N1235" s="170"/>
      <c r="O1235" s="170"/>
      <c r="P1235" s="170"/>
      <c r="Q1235" s="170"/>
      <c r="R1235" s="136"/>
      <c r="S1235" s="137"/>
      <c r="T1235" s="128"/>
      <c r="U1235" s="137"/>
      <c r="V1235" s="128"/>
      <c r="W1235" s="49"/>
      <c r="X1235" s="128"/>
      <c r="Y1235" s="49"/>
      <c r="Z1235" s="128"/>
      <c r="AA1235" s="49"/>
      <c r="AB1235" s="128"/>
      <c r="AC1235" s="49"/>
      <c r="AE1235" s="133"/>
    </row>
    <row r="1236" spans="1:31" ht="15.75" hidden="1" outlineLevel="2" x14ac:dyDescent="0.2">
      <c r="A1236" s="25">
        <f>'Утв. ИП 2014-2019'!A1238</f>
        <v>0</v>
      </c>
      <c r="B1236" s="6">
        <f>'Утв. ИП 2014-2019'!B1238</f>
        <v>0</v>
      </c>
      <c r="C1236" s="7" t="str">
        <f>'Утв. ИП 2014-2019'!C1238</f>
        <v>реконструкция</v>
      </c>
      <c r="D1236" s="8"/>
      <c r="E1236" s="8"/>
      <c r="F1236" s="8"/>
      <c r="G1236" s="8"/>
      <c r="H1236" s="8"/>
      <c r="I1236" s="8"/>
      <c r="J1236" s="23"/>
      <c r="K1236" s="170"/>
      <c r="L1236" s="170"/>
      <c r="M1236" s="170"/>
      <c r="N1236" s="170"/>
      <c r="O1236" s="170"/>
      <c r="P1236" s="170"/>
      <c r="Q1236" s="170"/>
      <c r="R1236" s="136"/>
      <c r="S1236" s="137"/>
      <c r="T1236" s="128"/>
      <c r="U1236" s="137"/>
      <c r="V1236" s="128"/>
      <c r="W1236" s="49"/>
      <c r="X1236" s="128"/>
      <c r="Y1236" s="49"/>
      <c r="Z1236" s="128"/>
      <c r="AA1236" s="49"/>
      <c r="AB1236" s="128"/>
      <c r="AC1236" s="49"/>
      <c r="AE1236" s="133"/>
    </row>
    <row r="1237" spans="1:31" ht="15.75" hidden="1" outlineLevel="2" x14ac:dyDescent="0.2">
      <c r="A1237" s="25">
        <f>'Утв. ИП 2014-2019'!A1239</f>
        <v>0</v>
      </c>
      <c r="B1237" s="6">
        <f>'Утв. ИП 2014-2019'!B1239</f>
        <v>0</v>
      </c>
      <c r="C1237" s="7" t="str">
        <f>'Утв. ИП 2014-2019'!C1239</f>
        <v>строительство</v>
      </c>
      <c r="D1237" s="8"/>
      <c r="E1237" s="8"/>
      <c r="F1237" s="8"/>
      <c r="G1237" s="8"/>
      <c r="H1237" s="8"/>
      <c r="I1237" s="8"/>
      <c r="J1237" s="23"/>
      <c r="K1237" s="170"/>
      <c r="L1237" s="170"/>
      <c r="M1237" s="170"/>
      <c r="N1237" s="170"/>
      <c r="O1237" s="170"/>
      <c r="P1237" s="170"/>
      <c r="Q1237" s="170"/>
      <c r="R1237" s="136"/>
      <c r="S1237" s="137"/>
      <c r="T1237" s="128"/>
      <c r="U1237" s="137"/>
      <c r="V1237" s="128"/>
      <c r="W1237" s="49"/>
      <c r="X1237" s="128"/>
      <c r="Y1237" s="49"/>
      <c r="Z1237" s="128"/>
      <c r="AA1237" s="49"/>
      <c r="AB1237" s="128"/>
      <c r="AC1237" s="49"/>
      <c r="AE1237" s="133"/>
    </row>
    <row r="1238" spans="1:31" ht="25.5" hidden="1" outlineLevel="1" collapsed="1" x14ac:dyDescent="0.2">
      <c r="A1238" s="25" t="str">
        <f>'Утв. ИП 2014-2019'!A1240</f>
        <v>1.1.5.2.190/13</v>
      </c>
      <c r="B1238" s="6" t="str">
        <f>'Утв. ИП 2014-2019'!B1240</f>
        <v>3.2.333</v>
      </c>
      <c r="C1238" s="7" t="str">
        <f>'Утв. ИП 2014-2019'!C1240</f>
        <v>Электроснабжение садового домика по адресу: г. Липецк, СНТ "Горняк", участок № 543</v>
      </c>
      <c r="D1238" s="8" t="str">
        <f>'Утв. ИП 2014-2019'!K1240</f>
        <v>0,5 км/ 0 МВА</v>
      </c>
      <c r="E1238" s="8"/>
      <c r="F1238" s="8"/>
      <c r="G1238" s="8"/>
      <c r="H1238" s="8"/>
      <c r="I1238" s="8"/>
      <c r="J1238" s="23" t="str">
        <f>'Утв. ИП 2014-2019'!Q1240</f>
        <v>0,5 км/ 0 МВА</v>
      </c>
      <c r="K1238" s="170"/>
      <c r="L1238" s="170"/>
      <c r="M1238" s="170"/>
      <c r="N1238" s="170"/>
      <c r="O1238" s="170"/>
      <c r="P1238" s="170"/>
      <c r="Q1238" s="170"/>
      <c r="R1238" s="136"/>
      <c r="S1238" s="137"/>
      <c r="T1238" s="128"/>
      <c r="U1238" s="137"/>
      <c r="V1238" s="128"/>
      <c r="W1238" s="49"/>
      <c r="X1238" s="128"/>
      <c r="Y1238" s="49"/>
      <c r="Z1238" s="128"/>
      <c r="AA1238" s="49"/>
      <c r="AB1238" s="128"/>
      <c r="AC1238" s="49"/>
      <c r="AE1238" s="133"/>
    </row>
    <row r="1239" spans="1:31" ht="15.75" hidden="1" outlineLevel="2" x14ac:dyDescent="0.2">
      <c r="A1239" s="25">
        <f>'Утв. ИП 2014-2019'!A1241</f>
        <v>0</v>
      </c>
      <c r="B1239" s="6">
        <f>'Утв. ИП 2014-2019'!B1241</f>
        <v>0</v>
      </c>
      <c r="C1239" s="7" t="str">
        <f>'Утв. ИП 2014-2019'!C1241</f>
        <v>реконструкция</v>
      </c>
      <c r="D1239" s="8"/>
      <c r="E1239" s="8"/>
      <c r="F1239" s="8"/>
      <c r="G1239" s="8"/>
      <c r="H1239" s="8"/>
      <c r="I1239" s="8"/>
      <c r="J1239" s="23"/>
      <c r="K1239" s="170"/>
      <c r="L1239" s="170"/>
      <c r="M1239" s="170"/>
      <c r="N1239" s="170"/>
      <c r="O1239" s="170"/>
      <c r="P1239" s="170"/>
      <c r="Q1239" s="170"/>
      <c r="R1239" s="136"/>
      <c r="S1239" s="137"/>
      <c r="T1239" s="128"/>
      <c r="U1239" s="137"/>
      <c r="V1239" s="128"/>
      <c r="W1239" s="49"/>
      <c r="X1239" s="128"/>
      <c r="Y1239" s="49"/>
      <c r="Z1239" s="128"/>
      <c r="AA1239" s="49"/>
      <c r="AB1239" s="128"/>
      <c r="AC1239" s="49"/>
      <c r="AE1239" s="133"/>
    </row>
    <row r="1240" spans="1:31" ht="15.75" hidden="1" outlineLevel="2" x14ac:dyDescent="0.2">
      <c r="A1240" s="25">
        <f>'Утв. ИП 2014-2019'!A1242</f>
        <v>0</v>
      </c>
      <c r="B1240" s="6">
        <f>'Утв. ИП 2014-2019'!B1242</f>
        <v>0</v>
      </c>
      <c r="C1240" s="7" t="str">
        <f>'Утв. ИП 2014-2019'!C1242</f>
        <v>строительство</v>
      </c>
      <c r="D1240" s="8"/>
      <c r="E1240" s="8"/>
      <c r="F1240" s="8"/>
      <c r="G1240" s="8"/>
      <c r="H1240" s="8"/>
      <c r="I1240" s="8"/>
      <c r="J1240" s="23"/>
      <c r="K1240" s="170"/>
      <c r="L1240" s="170"/>
      <c r="M1240" s="170"/>
      <c r="N1240" s="170"/>
      <c r="O1240" s="170"/>
      <c r="P1240" s="170"/>
      <c r="Q1240" s="170"/>
      <c r="R1240" s="136"/>
      <c r="S1240" s="137"/>
      <c r="T1240" s="128"/>
      <c r="U1240" s="137"/>
      <c r="V1240" s="128"/>
      <c r="W1240" s="49"/>
      <c r="X1240" s="128"/>
      <c r="Y1240" s="49"/>
      <c r="Z1240" s="128"/>
      <c r="AA1240" s="49"/>
      <c r="AB1240" s="128"/>
      <c r="AC1240" s="49"/>
      <c r="AE1240" s="133"/>
    </row>
    <row r="1241" spans="1:31" ht="25.5" hidden="1" outlineLevel="1" collapsed="1" x14ac:dyDescent="0.2">
      <c r="A1241" s="25" t="str">
        <f>'Утв. ИП 2014-2019'!A1243</f>
        <v>1.1.5.2.191/13</v>
      </c>
      <c r="B1241" s="6" t="str">
        <f>'Утв. ИП 2014-2019'!B1243</f>
        <v>3.2.334</v>
      </c>
      <c r="C1241" s="7" t="str">
        <f>'Утв. ИП 2014-2019'!C1243</f>
        <v>Электроснабжение гаража по адресу: г. Липецк, во дворе дома №4 по ул. Б.Хмельницкого</v>
      </c>
      <c r="D1241" s="8" t="str">
        <f>'Утв. ИП 2014-2019'!K1243</f>
        <v>0,0 км/ 0 МВА</v>
      </c>
      <c r="E1241" s="8"/>
      <c r="F1241" s="8"/>
      <c r="G1241" s="8"/>
      <c r="H1241" s="8"/>
      <c r="I1241" s="8"/>
      <c r="J1241" s="23" t="str">
        <f>'Утв. ИП 2014-2019'!Q1243</f>
        <v>0,0 км/ 0 МВА</v>
      </c>
      <c r="K1241" s="170"/>
      <c r="L1241" s="170"/>
      <c r="M1241" s="170"/>
      <c r="N1241" s="170"/>
      <c r="O1241" s="170"/>
      <c r="P1241" s="170"/>
      <c r="Q1241" s="170"/>
      <c r="R1241" s="136"/>
      <c r="S1241" s="137"/>
      <c r="T1241" s="128"/>
      <c r="U1241" s="137"/>
      <c r="V1241" s="128"/>
      <c r="W1241" s="49"/>
      <c r="X1241" s="128"/>
      <c r="Y1241" s="49"/>
      <c r="Z1241" s="128"/>
      <c r="AA1241" s="49"/>
      <c r="AB1241" s="128"/>
      <c r="AC1241" s="49"/>
      <c r="AE1241" s="133"/>
    </row>
    <row r="1242" spans="1:31" ht="15.75" hidden="1" outlineLevel="2" x14ac:dyDescent="0.2">
      <c r="A1242" s="25">
        <f>'Утв. ИП 2014-2019'!A1244</f>
        <v>0</v>
      </c>
      <c r="B1242" s="6">
        <f>'Утв. ИП 2014-2019'!B1244</f>
        <v>0</v>
      </c>
      <c r="C1242" s="7" t="str">
        <f>'Утв. ИП 2014-2019'!C1244</f>
        <v>реконструкция</v>
      </c>
      <c r="D1242" s="8"/>
      <c r="E1242" s="8"/>
      <c r="F1242" s="8"/>
      <c r="G1242" s="8"/>
      <c r="H1242" s="8"/>
      <c r="I1242" s="8"/>
      <c r="J1242" s="23"/>
      <c r="K1242" s="170"/>
      <c r="L1242" s="170"/>
      <c r="M1242" s="170"/>
      <c r="N1242" s="170"/>
      <c r="O1242" s="170"/>
      <c r="P1242" s="170"/>
      <c r="Q1242" s="170"/>
      <c r="R1242" s="136"/>
      <c r="S1242" s="137"/>
      <c r="T1242" s="128"/>
      <c r="U1242" s="137"/>
      <c r="V1242" s="128"/>
      <c r="W1242" s="49"/>
      <c r="X1242" s="128"/>
      <c r="Y1242" s="49"/>
      <c r="Z1242" s="128"/>
      <c r="AA1242" s="49"/>
      <c r="AB1242" s="128"/>
      <c r="AC1242" s="49"/>
      <c r="AE1242" s="133"/>
    </row>
    <row r="1243" spans="1:31" ht="15.75" hidden="1" outlineLevel="2" x14ac:dyDescent="0.2">
      <c r="A1243" s="25">
        <f>'Утв. ИП 2014-2019'!A1245</f>
        <v>0</v>
      </c>
      <c r="B1243" s="6">
        <f>'Утв. ИП 2014-2019'!B1245</f>
        <v>0</v>
      </c>
      <c r="C1243" s="7" t="str">
        <f>'Утв. ИП 2014-2019'!C1245</f>
        <v>строительство</v>
      </c>
      <c r="D1243" s="8"/>
      <c r="E1243" s="8"/>
      <c r="F1243" s="8"/>
      <c r="G1243" s="8"/>
      <c r="H1243" s="8"/>
      <c r="I1243" s="8"/>
      <c r="J1243" s="23"/>
      <c r="K1243" s="170"/>
      <c r="L1243" s="170"/>
      <c r="M1243" s="170"/>
      <c r="N1243" s="170"/>
      <c r="O1243" s="170"/>
      <c r="P1243" s="170"/>
      <c r="Q1243" s="170"/>
      <c r="R1243" s="136"/>
      <c r="S1243" s="137"/>
      <c r="T1243" s="128"/>
      <c r="U1243" s="137"/>
      <c r="V1243" s="128"/>
      <c r="W1243" s="49"/>
      <c r="X1243" s="128"/>
      <c r="Y1243" s="49"/>
      <c r="Z1243" s="128"/>
      <c r="AA1243" s="49"/>
      <c r="AB1243" s="128"/>
      <c r="AC1243" s="49"/>
      <c r="AE1243" s="133"/>
    </row>
    <row r="1244" spans="1:31" ht="15.75" hidden="1" outlineLevel="1" collapsed="1" x14ac:dyDescent="0.2">
      <c r="A1244" s="25" t="str">
        <f>'Утв. ИП 2014-2019'!A1246</f>
        <v>1.1.5.2.192/13</v>
      </c>
      <c r="B1244" s="6" t="str">
        <f>'Утв. ИП 2014-2019'!B1246</f>
        <v>3.2.335</v>
      </c>
      <c r="C1244" s="7" t="str">
        <f>'Утв. ИП 2014-2019'!C1246</f>
        <v>Электроснабжение садовых домиков в СНТ "Дачный-3"</v>
      </c>
      <c r="D1244" s="8"/>
      <c r="E1244" s="8" t="str">
        <f>'Утв. ИП 2014-2019'!L1246</f>
        <v>0,0 км/ 0 МВА</v>
      </c>
      <c r="F1244" s="8"/>
      <c r="G1244" s="8"/>
      <c r="H1244" s="8"/>
      <c r="I1244" s="8"/>
      <c r="J1244" s="23" t="str">
        <f>'Утв. ИП 2014-2019'!Q1246</f>
        <v>0,0 км/ 0 МВА</v>
      </c>
      <c r="K1244" s="170"/>
      <c r="L1244" s="170"/>
      <c r="M1244" s="170"/>
      <c r="N1244" s="170"/>
      <c r="O1244" s="170"/>
      <c r="P1244" s="170"/>
      <c r="Q1244" s="170"/>
      <c r="R1244" s="136"/>
      <c r="S1244" s="137"/>
      <c r="T1244" s="128"/>
      <c r="U1244" s="137"/>
      <c r="V1244" s="128"/>
      <c r="W1244" s="49"/>
      <c r="X1244" s="128"/>
      <c r="Y1244" s="49"/>
      <c r="Z1244" s="128"/>
      <c r="AA1244" s="49"/>
      <c r="AB1244" s="128"/>
      <c r="AC1244" s="49"/>
      <c r="AE1244" s="133"/>
    </row>
    <row r="1245" spans="1:31" ht="15.75" hidden="1" outlineLevel="2" x14ac:dyDescent="0.2">
      <c r="A1245" s="25">
        <f>'Утв. ИП 2014-2019'!A1247</f>
        <v>0</v>
      </c>
      <c r="B1245" s="6">
        <f>'Утв. ИП 2014-2019'!B1247</f>
        <v>0</v>
      </c>
      <c r="C1245" s="7" t="str">
        <f>'Утв. ИП 2014-2019'!C1247</f>
        <v>реконструкция</v>
      </c>
      <c r="D1245" s="8"/>
      <c r="E1245" s="8"/>
      <c r="F1245" s="8"/>
      <c r="G1245" s="8"/>
      <c r="H1245" s="8"/>
      <c r="I1245" s="8"/>
      <c r="J1245" s="23"/>
      <c r="K1245" s="170"/>
      <c r="L1245" s="170"/>
      <c r="M1245" s="170"/>
      <c r="N1245" s="170"/>
      <c r="O1245" s="170"/>
      <c r="P1245" s="170"/>
      <c r="Q1245" s="170"/>
      <c r="R1245" s="136"/>
      <c r="S1245" s="137"/>
      <c r="T1245" s="128"/>
      <c r="U1245" s="137"/>
      <c r="V1245" s="128"/>
      <c r="W1245" s="49"/>
      <c r="X1245" s="128"/>
      <c r="Y1245" s="49"/>
      <c r="Z1245" s="128"/>
      <c r="AA1245" s="49"/>
      <c r="AB1245" s="128"/>
      <c r="AC1245" s="49"/>
      <c r="AE1245" s="133"/>
    </row>
    <row r="1246" spans="1:31" ht="15.75" hidden="1" outlineLevel="2" x14ac:dyDescent="0.2">
      <c r="A1246" s="25">
        <f>'Утв. ИП 2014-2019'!A1248</f>
        <v>0</v>
      </c>
      <c r="B1246" s="6">
        <f>'Утв. ИП 2014-2019'!B1248</f>
        <v>0</v>
      </c>
      <c r="C1246" s="7" t="str">
        <f>'Утв. ИП 2014-2019'!C1248</f>
        <v>строительство</v>
      </c>
      <c r="D1246" s="8"/>
      <c r="E1246" s="8"/>
      <c r="F1246" s="8"/>
      <c r="G1246" s="8"/>
      <c r="H1246" s="8"/>
      <c r="I1246" s="8"/>
      <c r="J1246" s="23"/>
      <c r="K1246" s="170"/>
      <c r="L1246" s="170"/>
      <c r="M1246" s="170"/>
      <c r="N1246" s="170"/>
      <c r="O1246" s="170"/>
      <c r="P1246" s="170"/>
      <c r="Q1246" s="170"/>
      <c r="R1246" s="136"/>
      <c r="S1246" s="137"/>
      <c r="T1246" s="128"/>
      <c r="U1246" s="137"/>
      <c r="V1246" s="128"/>
      <c r="W1246" s="49"/>
      <c r="X1246" s="128"/>
      <c r="Y1246" s="49"/>
      <c r="Z1246" s="128"/>
      <c r="AA1246" s="49"/>
      <c r="AB1246" s="128"/>
      <c r="AC1246" s="49"/>
      <c r="AE1246" s="133"/>
    </row>
    <row r="1247" spans="1:31" ht="15.75" hidden="1" outlineLevel="1" collapsed="1" x14ac:dyDescent="0.2">
      <c r="A1247" s="25" t="str">
        <f>'Утв. ИП 2014-2019'!A1249</f>
        <v>1.1.5.2.193/13</v>
      </c>
      <c r="B1247" s="6" t="str">
        <f>'Утв. ИП 2014-2019'!B1249</f>
        <v>3.2.336</v>
      </c>
      <c r="C1247" s="7" t="str">
        <f>'Утв. ИП 2014-2019'!C1249</f>
        <v>Электроснабжение садовых домиков в СНТ "Цементник"</v>
      </c>
      <c r="D1247" s="8"/>
      <c r="E1247" s="8" t="str">
        <f>'Утв. ИП 2014-2019'!L1249</f>
        <v>0,0 км/ 0 МВА</v>
      </c>
      <c r="F1247" s="8"/>
      <c r="G1247" s="8"/>
      <c r="H1247" s="8"/>
      <c r="I1247" s="8"/>
      <c r="J1247" s="23" t="str">
        <f>'Утв. ИП 2014-2019'!Q1249</f>
        <v>0,0 км/ 0 МВА</v>
      </c>
      <c r="K1247" s="170"/>
      <c r="L1247" s="170"/>
      <c r="M1247" s="170"/>
      <c r="N1247" s="170"/>
      <c r="O1247" s="170"/>
      <c r="P1247" s="170"/>
      <c r="Q1247" s="170"/>
      <c r="R1247" s="136"/>
      <c r="S1247" s="137"/>
      <c r="T1247" s="128"/>
      <c r="U1247" s="137"/>
      <c r="V1247" s="128"/>
      <c r="W1247" s="49"/>
      <c r="X1247" s="128"/>
      <c r="Y1247" s="49"/>
      <c r="Z1247" s="128"/>
      <c r="AA1247" s="49"/>
      <c r="AB1247" s="128"/>
      <c r="AC1247" s="49"/>
      <c r="AE1247" s="133"/>
    </row>
    <row r="1248" spans="1:31" ht="15.75" hidden="1" outlineLevel="2" x14ac:dyDescent="0.2">
      <c r="A1248" s="25">
        <f>'Утв. ИП 2014-2019'!A1250</f>
        <v>0</v>
      </c>
      <c r="B1248" s="6">
        <f>'Утв. ИП 2014-2019'!B1250</f>
        <v>0</v>
      </c>
      <c r="C1248" s="7" t="str">
        <f>'Утв. ИП 2014-2019'!C1250</f>
        <v>реконструкция</v>
      </c>
      <c r="D1248" s="8"/>
      <c r="E1248" s="8"/>
      <c r="F1248" s="8"/>
      <c r="G1248" s="8"/>
      <c r="H1248" s="8"/>
      <c r="I1248" s="8"/>
      <c r="J1248" s="23"/>
      <c r="K1248" s="170"/>
      <c r="L1248" s="170"/>
      <c r="M1248" s="170"/>
      <c r="N1248" s="170"/>
      <c r="O1248" s="170"/>
      <c r="P1248" s="170"/>
      <c r="Q1248" s="170"/>
      <c r="R1248" s="136"/>
      <c r="S1248" s="137"/>
      <c r="T1248" s="128"/>
      <c r="U1248" s="137"/>
      <c r="V1248" s="128"/>
      <c r="W1248" s="49"/>
      <c r="X1248" s="128"/>
      <c r="Y1248" s="49"/>
      <c r="Z1248" s="128"/>
      <c r="AA1248" s="49"/>
      <c r="AB1248" s="128"/>
      <c r="AC1248" s="49"/>
      <c r="AE1248" s="133"/>
    </row>
    <row r="1249" spans="1:31" ht="15.75" hidden="1" outlineLevel="2" x14ac:dyDescent="0.2">
      <c r="A1249" s="25">
        <f>'Утв. ИП 2014-2019'!A1251</f>
        <v>0</v>
      </c>
      <c r="B1249" s="6">
        <f>'Утв. ИП 2014-2019'!B1251</f>
        <v>0</v>
      </c>
      <c r="C1249" s="7" t="str">
        <f>'Утв. ИП 2014-2019'!C1251</f>
        <v>строительство</v>
      </c>
      <c r="D1249" s="8"/>
      <c r="E1249" s="8"/>
      <c r="F1249" s="8"/>
      <c r="G1249" s="8"/>
      <c r="H1249" s="8"/>
      <c r="I1249" s="8"/>
      <c r="J1249" s="23"/>
      <c r="K1249" s="170"/>
      <c r="L1249" s="170"/>
      <c r="M1249" s="170"/>
      <c r="N1249" s="170"/>
      <c r="O1249" s="170"/>
      <c r="P1249" s="170"/>
      <c r="Q1249" s="170"/>
      <c r="R1249" s="136"/>
      <c r="S1249" s="137"/>
      <c r="T1249" s="128"/>
      <c r="U1249" s="137"/>
      <c r="V1249" s="128"/>
      <c r="W1249" s="49"/>
      <c r="X1249" s="128"/>
      <c r="Y1249" s="49"/>
      <c r="Z1249" s="128"/>
      <c r="AA1249" s="49"/>
      <c r="AB1249" s="128"/>
      <c r="AC1249" s="49"/>
      <c r="AE1249" s="133"/>
    </row>
    <row r="1250" spans="1:31" ht="38.25" hidden="1" outlineLevel="1" collapsed="1" x14ac:dyDescent="0.2">
      <c r="A1250" s="25" t="str">
        <f>'Утв. ИП 2014-2019'!A1252</f>
        <v>1.1.5.2.194/13</v>
      </c>
      <c r="B1250" s="6" t="str">
        <f>'Утв. ИП 2014-2019'!B1252</f>
        <v>3.2.337</v>
      </c>
      <c r="C1250" s="7" t="str">
        <f>'Утв. ИП 2014-2019'!C1252</f>
        <v>Электроснабжение 1/4 доли 1 части жилого дома с хозяйственными постройками по адресу: г. Липецк, ул. Бабушкина, д. 46</v>
      </c>
      <c r="D1250" s="8" t="str">
        <f>'Утв. ИП 2014-2019'!K1252</f>
        <v>0,12 км/ 0 МВА</v>
      </c>
      <c r="E1250" s="8"/>
      <c r="F1250" s="8"/>
      <c r="G1250" s="8"/>
      <c r="H1250" s="8"/>
      <c r="I1250" s="8"/>
      <c r="J1250" s="23" t="str">
        <f>'Утв. ИП 2014-2019'!Q1252</f>
        <v>0,12 км/ 0 МВА</v>
      </c>
      <c r="K1250" s="170"/>
      <c r="L1250" s="170"/>
      <c r="M1250" s="170"/>
      <c r="N1250" s="170"/>
      <c r="O1250" s="170"/>
      <c r="P1250" s="170"/>
      <c r="Q1250" s="170"/>
      <c r="R1250" s="136"/>
      <c r="S1250" s="137"/>
      <c r="T1250" s="128"/>
      <c r="U1250" s="137"/>
      <c r="V1250" s="128"/>
      <c r="W1250" s="49"/>
      <c r="X1250" s="128"/>
      <c r="Y1250" s="49"/>
      <c r="Z1250" s="128"/>
      <c r="AA1250" s="49"/>
      <c r="AB1250" s="128"/>
      <c r="AC1250" s="49"/>
      <c r="AE1250" s="133"/>
    </row>
    <row r="1251" spans="1:31" ht="15.75" hidden="1" outlineLevel="2" x14ac:dyDescent="0.2">
      <c r="A1251" s="25">
        <f>'Утв. ИП 2014-2019'!A1253</f>
        <v>0</v>
      </c>
      <c r="B1251" s="6">
        <f>'Утв. ИП 2014-2019'!B1253</f>
        <v>0</v>
      </c>
      <c r="C1251" s="7" t="str">
        <f>'Утв. ИП 2014-2019'!C1253</f>
        <v>реконструкция</v>
      </c>
      <c r="D1251" s="8"/>
      <c r="E1251" s="8"/>
      <c r="F1251" s="8"/>
      <c r="G1251" s="8"/>
      <c r="H1251" s="8"/>
      <c r="I1251" s="8"/>
      <c r="J1251" s="23"/>
      <c r="K1251" s="170"/>
      <c r="L1251" s="170"/>
      <c r="M1251" s="170"/>
      <c r="N1251" s="170"/>
      <c r="O1251" s="170"/>
      <c r="P1251" s="170"/>
      <c r="Q1251" s="170"/>
      <c r="R1251" s="136"/>
      <c r="S1251" s="137"/>
      <c r="T1251" s="128"/>
      <c r="U1251" s="137"/>
      <c r="V1251" s="128"/>
      <c r="W1251" s="49"/>
      <c r="X1251" s="128"/>
      <c r="Y1251" s="49"/>
      <c r="Z1251" s="128"/>
      <c r="AA1251" s="49"/>
      <c r="AB1251" s="128"/>
      <c r="AC1251" s="49"/>
      <c r="AE1251" s="133"/>
    </row>
    <row r="1252" spans="1:31" ht="15.75" hidden="1" outlineLevel="2" x14ac:dyDescent="0.2">
      <c r="A1252" s="25">
        <f>'Утв. ИП 2014-2019'!A1254</f>
        <v>0</v>
      </c>
      <c r="B1252" s="6">
        <f>'Утв. ИП 2014-2019'!B1254</f>
        <v>0</v>
      </c>
      <c r="C1252" s="7" t="str">
        <f>'Утв. ИП 2014-2019'!C1254</f>
        <v>строительство</v>
      </c>
      <c r="D1252" s="8"/>
      <c r="E1252" s="8"/>
      <c r="F1252" s="8"/>
      <c r="G1252" s="8"/>
      <c r="H1252" s="8"/>
      <c r="I1252" s="8"/>
      <c r="J1252" s="23"/>
      <c r="K1252" s="170"/>
      <c r="L1252" s="170"/>
      <c r="M1252" s="170"/>
      <c r="N1252" s="170"/>
      <c r="O1252" s="170"/>
      <c r="P1252" s="170"/>
      <c r="Q1252" s="170"/>
      <c r="R1252" s="136"/>
      <c r="S1252" s="137"/>
      <c r="T1252" s="128"/>
      <c r="U1252" s="137"/>
      <c r="V1252" s="128"/>
      <c r="W1252" s="49"/>
      <c r="X1252" s="128"/>
      <c r="Y1252" s="49"/>
      <c r="Z1252" s="128"/>
      <c r="AA1252" s="49"/>
      <c r="AB1252" s="128"/>
      <c r="AC1252" s="49"/>
      <c r="AE1252" s="133"/>
    </row>
    <row r="1253" spans="1:31" ht="25.5" hidden="1" outlineLevel="1" collapsed="1" x14ac:dyDescent="0.2">
      <c r="A1253" s="25" t="str">
        <f>'Утв. ИП 2014-2019'!A1255</f>
        <v>1.1.5.2.195/13</v>
      </c>
      <c r="B1253" s="6" t="str">
        <f>'Утв. ИП 2014-2019'!B1255</f>
        <v>3.2.338</v>
      </c>
      <c r="C1253" s="7" t="str">
        <f>'Утв. ИП 2014-2019'!C1255</f>
        <v>Электроснабжение гаража по адресу: г. Липецк, ГК "Пришвинский", гараж № 264</v>
      </c>
      <c r="D1253" s="8" t="str">
        <f>'Утв. ИП 2014-2019'!K1255</f>
        <v>0,0 км/ 0 МВА</v>
      </c>
      <c r="E1253" s="8"/>
      <c r="F1253" s="8"/>
      <c r="G1253" s="8"/>
      <c r="H1253" s="8"/>
      <c r="I1253" s="8"/>
      <c r="J1253" s="23" t="str">
        <f>'Утв. ИП 2014-2019'!Q1255</f>
        <v>0,0 км/ 0 МВА</v>
      </c>
      <c r="K1253" s="170"/>
      <c r="L1253" s="170"/>
      <c r="M1253" s="170"/>
      <c r="N1253" s="170"/>
      <c r="O1253" s="170"/>
      <c r="P1253" s="170"/>
      <c r="Q1253" s="170"/>
      <c r="R1253" s="136"/>
      <c r="S1253" s="137"/>
      <c r="T1253" s="128"/>
      <c r="U1253" s="137"/>
      <c r="V1253" s="128"/>
      <c r="W1253" s="49"/>
      <c r="X1253" s="128"/>
      <c r="Y1253" s="49"/>
      <c r="Z1253" s="128"/>
      <c r="AA1253" s="49"/>
      <c r="AB1253" s="128"/>
      <c r="AC1253" s="49"/>
      <c r="AE1253" s="133"/>
    </row>
    <row r="1254" spans="1:31" ht="15.75" hidden="1" outlineLevel="2" x14ac:dyDescent="0.2">
      <c r="A1254" s="25">
        <f>'Утв. ИП 2014-2019'!A1256</f>
        <v>0</v>
      </c>
      <c r="B1254" s="6">
        <f>'Утв. ИП 2014-2019'!B1256</f>
        <v>0</v>
      </c>
      <c r="C1254" s="7" t="str">
        <f>'Утв. ИП 2014-2019'!C1256</f>
        <v>реконструкция</v>
      </c>
      <c r="D1254" s="8"/>
      <c r="E1254" s="8"/>
      <c r="F1254" s="8"/>
      <c r="G1254" s="8"/>
      <c r="H1254" s="8"/>
      <c r="I1254" s="8"/>
      <c r="J1254" s="23"/>
      <c r="K1254" s="170"/>
      <c r="L1254" s="170"/>
      <c r="M1254" s="170"/>
      <c r="N1254" s="170"/>
      <c r="O1254" s="170"/>
      <c r="P1254" s="170"/>
      <c r="Q1254" s="170"/>
      <c r="R1254" s="136"/>
      <c r="S1254" s="137"/>
      <c r="T1254" s="128"/>
      <c r="U1254" s="137"/>
      <c r="V1254" s="128"/>
      <c r="W1254" s="49"/>
      <c r="X1254" s="128"/>
      <c r="Y1254" s="49"/>
      <c r="Z1254" s="128"/>
      <c r="AA1254" s="49"/>
      <c r="AB1254" s="128"/>
      <c r="AC1254" s="49"/>
      <c r="AE1254" s="133"/>
    </row>
    <row r="1255" spans="1:31" ht="15.75" hidden="1" outlineLevel="2" x14ac:dyDescent="0.2">
      <c r="A1255" s="25">
        <f>'Утв. ИП 2014-2019'!A1257</f>
        <v>0</v>
      </c>
      <c r="B1255" s="6">
        <f>'Утв. ИП 2014-2019'!B1257</f>
        <v>0</v>
      </c>
      <c r="C1255" s="7" t="str">
        <f>'Утв. ИП 2014-2019'!C1257</f>
        <v>строительство</v>
      </c>
      <c r="D1255" s="8"/>
      <c r="E1255" s="8"/>
      <c r="F1255" s="8"/>
      <c r="G1255" s="8"/>
      <c r="H1255" s="8"/>
      <c r="I1255" s="8"/>
      <c r="J1255" s="23"/>
      <c r="K1255" s="170"/>
      <c r="L1255" s="170"/>
      <c r="M1255" s="170"/>
      <c r="N1255" s="170"/>
      <c r="O1255" s="170"/>
      <c r="P1255" s="170"/>
      <c r="Q1255" s="170"/>
      <c r="R1255" s="136"/>
      <c r="S1255" s="137"/>
      <c r="T1255" s="128"/>
      <c r="U1255" s="137"/>
      <c r="V1255" s="128"/>
      <c r="W1255" s="49"/>
      <c r="X1255" s="128"/>
      <c r="Y1255" s="49"/>
      <c r="Z1255" s="128"/>
      <c r="AA1255" s="49"/>
      <c r="AB1255" s="128"/>
      <c r="AC1255" s="49"/>
      <c r="AE1255" s="133"/>
    </row>
    <row r="1256" spans="1:31" ht="25.5" hidden="1" outlineLevel="1" collapsed="1" x14ac:dyDescent="0.2">
      <c r="A1256" s="25" t="str">
        <f>'Утв. ИП 2014-2019'!A1258</f>
        <v>1.1.5.2.196/13</v>
      </c>
      <c r="B1256" s="6" t="str">
        <f>'Утв. ИП 2014-2019'!B1258</f>
        <v>3.2.339</v>
      </c>
      <c r="C1256" s="7" t="str">
        <f>'Утв. ИП 2014-2019'!C1258</f>
        <v xml:space="preserve">Электроснабжение садового домика по адресу: г. Липецк, СНТ "Цементник", уч. № 316 </v>
      </c>
      <c r="D1256" s="8" t="str">
        <f>'Утв. ИП 2014-2019'!K1258</f>
        <v>0,5 км/ 0 МВА</v>
      </c>
      <c r="E1256" s="8"/>
      <c r="F1256" s="8"/>
      <c r="G1256" s="8"/>
      <c r="H1256" s="8"/>
      <c r="I1256" s="8"/>
      <c r="J1256" s="23" t="str">
        <f>'Утв. ИП 2014-2019'!Q1258</f>
        <v>0,5 км/ 0 МВА</v>
      </c>
      <c r="K1256" s="170"/>
      <c r="L1256" s="170"/>
      <c r="M1256" s="170"/>
      <c r="N1256" s="170"/>
      <c r="O1256" s="170"/>
      <c r="P1256" s="170"/>
      <c r="Q1256" s="170"/>
      <c r="R1256" s="136"/>
      <c r="S1256" s="137"/>
      <c r="T1256" s="128"/>
      <c r="U1256" s="137"/>
      <c r="V1256" s="128"/>
      <c r="W1256" s="49"/>
      <c r="X1256" s="128"/>
      <c r="Y1256" s="49"/>
      <c r="Z1256" s="128"/>
      <c r="AA1256" s="49"/>
      <c r="AB1256" s="128"/>
      <c r="AC1256" s="49"/>
      <c r="AE1256" s="133"/>
    </row>
    <row r="1257" spans="1:31" ht="15.75" hidden="1" outlineLevel="2" x14ac:dyDescent="0.2">
      <c r="A1257" s="25">
        <f>'Утв. ИП 2014-2019'!A1259</f>
        <v>0</v>
      </c>
      <c r="B1257" s="6">
        <f>'Утв. ИП 2014-2019'!B1259</f>
        <v>0</v>
      </c>
      <c r="C1257" s="7" t="str">
        <f>'Утв. ИП 2014-2019'!C1259</f>
        <v>реконструкция</v>
      </c>
      <c r="D1257" s="8"/>
      <c r="E1257" s="8"/>
      <c r="F1257" s="8"/>
      <c r="G1257" s="8"/>
      <c r="H1257" s="8"/>
      <c r="I1257" s="8"/>
      <c r="J1257" s="23"/>
      <c r="K1257" s="170"/>
      <c r="L1257" s="170"/>
      <c r="M1257" s="170"/>
      <c r="N1257" s="170"/>
      <c r="O1257" s="170"/>
      <c r="P1257" s="170"/>
      <c r="Q1257" s="170"/>
      <c r="R1257" s="136"/>
      <c r="S1257" s="137"/>
      <c r="T1257" s="128"/>
      <c r="U1257" s="137"/>
      <c r="V1257" s="128"/>
      <c r="W1257" s="49"/>
      <c r="X1257" s="128"/>
      <c r="Y1257" s="49"/>
      <c r="Z1257" s="128"/>
      <c r="AA1257" s="49"/>
      <c r="AB1257" s="128"/>
      <c r="AC1257" s="49"/>
      <c r="AE1257" s="133"/>
    </row>
    <row r="1258" spans="1:31" ht="15.75" hidden="1" outlineLevel="2" x14ac:dyDescent="0.2">
      <c r="A1258" s="25">
        <f>'Утв. ИП 2014-2019'!A1260</f>
        <v>0</v>
      </c>
      <c r="B1258" s="6">
        <f>'Утв. ИП 2014-2019'!B1260</f>
        <v>0</v>
      </c>
      <c r="C1258" s="7" t="str">
        <f>'Утв. ИП 2014-2019'!C1260</f>
        <v>строительство</v>
      </c>
      <c r="D1258" s="8"/>
      <c r="E1258" s="8"/>
      <c r="F1258" s="8"/>
      <c r="G1258" s="8"/>
      <c r="H1258" s="8"/>
      <c r="I1258" s="8"/>
      <c r="J1258" s="23"/>
      <c r="K1258" s="170"/>
      <c r="L1258" s="170"/>
      <c r="M1258" s="170"/>
      <c r="N1258" s="170"/>
      <c r="O1258" s="170"/>
      <c r="P1258" s="170"/>
      <c r="Q1258" s="170"/>
      <c r="R1258" s="136"/>
      <c r="S1258" s="137"/>
      <c r="T1258" s="128"/>
      <c r="U1258" s="137"/>
      <c r="V1258" s="128"/>
      <c r="W1258" s="49"/>
      <c r="X1258" s="128"/>
      <c r="Y1258" s="49"/>
      <c r="Z1258" s="128"/>
      <c r="AA1258" s="49"/>
      <c r="AB1258" s="128"/>
      <c r="AC1258" s="49"/>
      <c r="AE1258" s="133"/>
    </row>
    <row r="1259" spans="1:31" ht="25.5" hidden="1" outlineLevel="1" collapsed="1" x14ac:dyDescent="0.2">
      <c r="A1259" s="25" t="str">
        <f>'Утв. ИП 2014-2019'!A1261</f>
        <v>1.1.5.2.197/13</v>
      </c>
      <c r="B1259" s="6" t="str">
        <f>'Утв. ИП 2014-2019'!B1261</f>
        <v>3.2.340</v>
      </c>
      <c r="C1259" s="7" t="str">
        <f>'Утв. ИП 2014-2019'!C1261</f>
        <v>Электроснабжение садового домика по адресу: г. Липецк, СНТ "Горняк", уч. № 550</v>
      </c>
      <c r="D1259" s="8"/>
      <c r="E1259" s="8" t="str">
        <f>'Утв. ИП 2014-2019'!L1261</f>
        <v>0,4 км/ 0 МВА</v>
      </c>
      <c r="F1259" s="8"/>
      <c r="G1259" s="8"/>
      <c r="H1259" s="8"/>
      <c r="I1259" s="8"/>
      <c r="J1259" s="23" t="str">
        <f>'Утв. ИП 2014-2019'!Q1261</f>
        <v>0,4 км/ 0 МВА</v>
      </c>
      <c r="K1259" s="170"/>
      <c r="L1259" s="170"/>
      <c r="M1259" s="170"/>
      <c r="N1259" s="170"/>
      <c r="O1259" s="170"/>
      <c r="P1259" s="170"/>
      <c r="Q1259" s="170"/>
      <c r="R1259" s="136"/>
      <c r="S1259" s="137"/>
      <c r="T1259" s="128"/>
      <c r="U1259" s="137"/>
      <c r="V1259" s="128"/>
      <c r="W1259" s="49"/>
      <c r="X1259" s="128"/>
      <c r="Y1259" s="49"/>
      <c r="Z1259" s="128"/>
      <c r="AA1259" s="49"/>
      <c r="AB1259" s="128"/>
      <c r="AC1259" s="49"/>
      <c r="AE1259" s="133"/>
    </row>
    <row r="1260" spans="1:31" ht="15.75" hidden="1" outlineLevel="2" x14ac:dyDescent="0.2">
      <c r="A1260" s="25">
        <f>'Утв. ИП 2014-2019'!A1262</f>
        <v>0</v>
      </c>
      <c r="B1260" s="6">
        <f>'Утв. ИП 2014-2019'!B1262</f>
        <v>0</v>
      </c>
      <c r="C1260" s="7" t="str">
        <f>'Утв. ИП 2014-2019'!C1262</f>
        <v>реконструкция</v>
      </c>
      <c r="D1260" s="8"/>
      <c r="E1260" s="8"/>
      <c r="F1260" s="8"/>
      <c r="G1260" s="8"/>
      <c r="H1260" s="8"/>
      <c r="I1260" s="8"/>
      <c r="J1260" s="23"/>
      <c r="K1260" s="170"/>
      <c r="L1260" s="170"/>
      <c r="M1260" s="170"/>
      <c r="N1260" s="170"/>
      <c r="O1260" s="170"/>
      <c r="P1260" s="170"/>
      <c r="Q1260" s="170"/>
      <c r="R1260" s="136"/>
      <c r="S1260" s="137"/>
      <c r="T1260" s="128"/>
      <c r="U1260" s="137"/>
      <c r="V1260" s="128"/>
      <c r="W1260" s="49"/>
      <c r="X1260" s="128"/>
      <c r="Y1260" s="49"/>
      <c r="Z1260" s="128"/>
      <c r="AA1260" s="49"/>
      <c r="AB1260" s="128"/>
      <c r="AC1260" s="49"/>
      <c r="AE1260" s="133"/>
    </row>
    <row r="1261" spans="1:31" ht="15.75" hidden="1" outlineLevel="2" x14ac:dyDescent="0.2">
      <c r="A1261" s="25">
        <f>'Утв. ИП 2014-2019'!A1263</f>
        <v>0</v>
      </c>
      <c r="B1261" s="6">
        <f>'Утв. ИП 2014-2019'!B1263</f>
        <v>0</v>
      </c>
      <c r="C1261" s="7" t="str">
        <f>'Утв. ИП 2014-2019'!C1263</f>
        <v>строительство</v>
      </c>
      <c r="D1261" s="8"/>
      <c r="E1261" s="8"/>
      <c r="F1261" s="8"/>
      <c r="G1261" s="8"/>
      <c r="H1261" s="8"/>
      <c r="I1261" s="8"/>
      <c r="J1261" s="23"/>
      <c r="K1261" s="170"/>
      <c r="L1261" s="170"/>
      <c r="M1261" s="170"/>
      <c r="N1261" s="170"/>
      <c r="O1261" s="170"/>
      <c r="P1261" s="170"/>
      <c r="Q1261" s="170"/>
      <c r="R1261" s="136"/>
      <c r="S1261" s="137"/>
      <c r="T1261" s="128"/>
      <c r="U1261" s="137"/>
      <c r="V1261" s="128"/>
      <c r="W1261" s="49"/>
      <c r="X1261" s="128"/>
      <c r="Y1261" s="49"/>
      <c r="Z1261" s="128"/>
      <c r="AA1261" s="49"/>
      <c r="AB1261" s="128"/>
      <c r="AC1261" s="49"/>
      <c r="AE1261" s="133"/>
    </row>
    <row r="1262" spans="1:31" ht="25.5" hidden="1" outlineLevel="1" collapsed="1" x14ac:dyDescent="0.2">
      <c r="A1262" s="25" t="str">
        <f>'Утв. ИП 2014-2019'!A1264</f>
        <v>1.1.5.2.198/13</v>
      </c>
      <c r="B1262" s="6" t="str">
        <f>'Утв. ИП 2014-2019'!B1264</f>
        <v>3.2.341</v>
      </c>
      <c r="C1262" s="7" t="str">
        <f>'Утв. ИП 2014-2019'!C1264</f>
        <v>Электроснабжение садового домика по адресу: г. Липецк, СНТ "Машиностроитель-1", земельный участок № 836</v>
      </c>
      <c r="D1262" s="8" t="str">
        <f>'Утв. ИП 2014-2019'!K1264</f>
        <v>0,1 км/ 0 МВА</v>
      </c>
      <c r="E1262" s="8"/>
      <c r="F1262" s="8"/>
      <c r="G1262" s="8"/>
      <c r="H1262" s="8"/>
      <c r="I1262" s="8"/>
      <c r="J1262" s="23" t="str">
        <f>'Утв. ИП 2014-2019'!Q1264</f>
        <v>0,1 км/ 0 МВА</v>
      </c>
      <c r="K1262" s="170"/>
      <c r="L1262" s="170"/>
      <c r="M1262" s="170"/>
      <c r="N1262" s="170"/>
      <c r="O1262" s="170"/>
      <c r="P1262" s="170"/>
      <c r="Q1262" s="170"/>
      <c r="R1262" s="136"/>
      <c r="S1262" s="137"/>
      <c r="T1262" s="128"/>
      <c r="U1262" s="137"/>
      <c r="V1262" s="128"/>
      <c r="W1262" s="49"/>
      <c r="X1262" s="128"/>
      <c r="Y1262" s="49"/>
      <c r="Z1262" s="128"/>
      <c r="AA1262" s="49"/>
      <c r="AB1262" s="128"/>
      <c r="AC1262" s="49"/>
      <c r="AE1262" s="133"/>
    </row>
    <row r="1263" spans="1:31" ht="15.75" hidden="1" outlineLevel="2" x14ac:dyDescent="0.2">
      <c r="A1263" s="25">
        <f>'Утв. ИП 2014-2019'!A1265</f>
        <v>0</v>
      </c>
      <c r="B1263" s="6">
        <f>'Утв. ИП 2014-2019'!B1265</f>
        <v>0</v>
      </c>
      <c r="C1263" s="7" t="str">
        <f>'Утв. ИП 2014-2019'!C1265</f>
        <v>реконструкция</v>
      </c>
      <c r="D1263" s="8"/>
      <c r="E1263" s="8"/>
      <c r="F1263" s="8"/>
      <c r="G1263" s="8"/>
      <c r="H1263" s="8"/>
      <c r="I1263" s="8"/>
      <c r="J1263" s="23"/>
      <c r="K1263" s="170"/>
      <c r="L1263" s="170"/>
      <c r="M1263" s="170"/>
      <c r="N1263" s="170"/>
      <c r="O1263" s="170"/>
      <c r="P1263" s="170"/>
      <c r="Q1263" s="170"/>
      <c r="R1263" s="136"/>
      <c r="S1263" s="137"/>
      <c r="T1263" s="128"/>
      <c r="U1263" s="137"/>
      <c r="V1263" s="128"/>
      <c r="W1263" s="49"/>
      <c r="X1263" s="128"/>
      <c r="Y1263" s="49"/>
      <c r="Z1263" s="128"/>
      <c r="AA1263" s="49"/>
      <c r="AB1263" s="128"/>
      <c r="AC1263" s="49"/>
      <c r="AE1263" s="133"/>
    </row>
    <row r="1264" spans="1:31" ht="15.75" hidden="1" outlineLevel="2" x14ac:dyDescent="0.2">
      <c r="A1264" s="25">
        <f>'Утв. ИП 2014-2019'!A1266</f>
        <v>0</v>
      </c>
      <c r="B1264" s="6">
        <f>'Утв. ИП 2014-2019'!B1266</f>
        <v>0</v>
      </c>
      <c r="C1264" s="7" t="str">
        <f>'Утв. ИП 2014-2019'!C1266</f>
        <v>строительство</v>
      </c>
      <c r="D1264" s="8"/>
      <c r="E1264" s="8"/>
      <c r="F1264" s="8"/>
      <c r="G1264" s="8"/>
      <c r="H1264" s="8"/>
      <c r="I1264" s="8"/>
      <c r="J1264" s="23"/>
      <c r="K1264" s="170"/>
      <c r="L1264" s="170"/>
      <c r="M1264" s="170"/>
      <c r="N1264" s="170"/>
      <c r="O1264" s="170"/>
      <c r="P1264" s="170"/>
      <c r="Q1264" s="170"/>
      <c r="R1264" s="136"/>
      <c r="S1264" s="137"/>
      <c r="T1264" s="128"/>
      <c r="U1264" s="137"/>
      <c r="V1264" s="128"/>
      <c r="W1264" s="49"/>
      <c r="X1264" s="128"/>
      <c r="Y1264" s="49"/>
      <c r="Z1264" s="128"/>
      <c r="AA1264" s="49"/>
      <c r="AB1264" s="128"/>
      <c r="AC1264" s="49"/>
      <c r="AE1264" s="133"/>
    </row>
    <row r="1265" spans="1:31" ht="25.5" hidden="1" outlineLevel="1" collapsed="1" x14ac:dyDescent="0.2">
      <c r="A1265" s="25" t="str">
        <f>'Утв. ИП 2014-2019'!A1267</f>
        <v>1.1.5.2.199/13</v>
      </c>
      <c r="B1265" s="6" t="str">
        <f>'Утв. ИП 2014-2019'!B1267</f>
        <v>3.2.342</v>
      </c>
      <c r="C1265" s="7" t="str">
        <f>'Утв. ИП 2014-2019'!C1267</f>
        <v>Электроснабжение автосервиса по адресу: г. Липецк, по ул. Московской в районе ул. Минской</v>
      </c>
      <c r="D1265" s="8"/>
      <c r="E1265" s="8" t="str">
        <f>'Утв. ИП 2014-2019'!L1267</f>
        <v>0,1 км/ 0 МВА</v>
      </c>
      <c r="F1265" s="8"/>
      <c r="G1265" s="8"/>
      <c r="H1265" s="8"/>
      <c r="I1265" s="8"/>
      <c r="J1265" s="23" t="str">
        <f>'Утв. ИП 2014-2019'!Q1267</f>
        <v>0,1 км/ 0 МВА</v>
      </c>
      <c r="K1265" s="170"/>
      <c r="L1265" s="170"/>
      <c r="M1265" s="170"/>
      <c r="N1265" s="170"/>
      <c r="O1265" s="170"/>
      <c r="P1265" s="170"/>
      <c r="Q1265" s="170"/>
      <c r="R1265" s="136"/>
      <c r="S1265" s="137"/>
      <c r="T1265" s="128"/>
      <c r="U1265" s="137"/>
      <c r="V1265" s="128"/>
      <c r="W1265" s="49"/>
      <c r="X1265" s="128"/>
      <c r="Y1265" s="49"/>
      <c r="Z1265" s="128"/>
      <c r="AA1265" s="49"/>
      <c r="AB1265" s="128"/>
      <c r="AC1265" s="49"/>
      <c r="AE1265" s="133"/>
    </row>
    <row r="1266" spans="1:31" ht="15.75" hidden="1" outlineLevel="2" x14ac:dyDescent="0.2">
      <c r="A1266" s="25">
        <f>'Утв. ИП 2014-2019'!A1268</f>
        <v>0</v>
      </c>
      <c r="B1266" s="6">
        <f>'Утв. ИП 2014-2019'!B1268</f>
        <v>0</v>
      </c>
      <c r="C1266" s="7" t="str">
        <f>'Утв. ИП 2014-2019'!C1268</f>
        <v>реконструкция</v>
      </c>
      <c r="D1266" s="8"/>
      <c r="E1266" s="8"/>
      <c r="F1266" s="8"/>
      <c r="G1266" s="8"/>
      <c r="H1266" s="8"/>
      <c r="I1266" s="8"/>
      <c r="J1266" s="23"/>
      <c r="K1266" s="170"/>
      <c r="L1266" s="170"/>
      <c r="M1266" s="170"/>
      <c r="N1266" s="170"/>
      <c r="O1266" s="170"/>
      <c r="P1266" s="170"/>
      <c r="Q1266" s="170"/>
      <c r="R1266" s="136"/>
      <c r="S1266" s="137"/>
      <c r="T1266" s="128"/>
      <c r="U1266" s="137"/>
      <c r="V1266" s="128"/>
      <c r="W1266" s="49"/>
      <c r="X1266" s="128"/>
      <c r="Y1266" s="49"/>
      <c r="Z1266" s="128"/>
      <c r="AA1266" s="49"/>
      <c r="AB1266" s="128"/>
      <c r="AC1266" s="49"/>
      <c r="AE1266" s="133"/>
    </row>
    <row r="1267" spans="1:31" ht="15.75" hidden="1" outlineLevel="2" x14ac:dyDescent="0.2">
      <c r="A1267" s="25">
        <f>'Утв. ИП 2014-2019'!A1269</f>
        <v>0</v>
      </c>
      <c r="B1267" s="6">
        <f>'Утв. ИП 2014-2019'!B1269</f>
        <v>0</v>
      </c>
      <c r="C1267" s="7" t="str">
        <f>'Утв. ИП 2014-2019'!C1269</f>
        <v>строительство</v>
      </c>
      <c r="D1267" s="8"/>
      <c r="E1267" s="8"/>
      <c r="F1267" s="8"/>
      <c r="G1267" s="8"/>
      <c r="H1267" s="8"/>
      <c r="I1267" s="8"/>
      <c r="J1267" s="23"/>
      <c r="K1267" s="170"/>
      <c r="L1267" s="170"/>
      <c r="M1267" s="170"/>
      <c r="N1267" s="170"/>
      <c r="O1267" s="170"/>
      <c r="P1267" s="170"/>
      <c r="Q1267" s="170"/>
      <c r="R1267" s="136"/>
      <c r="S1267" s="137"/>
      <c r="T1267" s="128"/>
      <c r="U1267" s="137"/>
      <c r="V1267" s="128"/>
      <c r="W1267" s="49"/>
      <c r="X1267" s="128"/>
      <c r="Y1267" s="49"/>
      <c r="Z1267" s="128"/>
      <c r="AA1267" s="49"/>
      <c r="AB1267" s="128"/>
      <c r="AC1267" s="49"/>
      <c r="AE1267" s="133"/>
    </row>
    <row r="1268" spans="1:31" ht="25.5" hidden="1" outlineLevel="1" collapsed="1" x14ac:dyDescent="0.2">
      <c r="A1268" s="25" t="str">
        <f>'Утв. ИП 2014-2019'!A1270</f>
        <v>1.1.5.2.200/13</v>
      </c>
      <c r="B1268" s="6" t="str">
        <f>'Утв. ИП 2014-2019'!B1270</f>
        <v>3.2.343</v>
      </c>
      <c r="C1268" s="7" t="str">
        <f>'Утв. ИП 2014-2019'!C1270</f>
        <v>Электроснабжение садового домика по адресу: г. Липецк, ПОПиИ "Сокол-1", земельный участок № 197</v>
      </c>
      <c r="D1268" s="8"/>
      <c r="E1268" s="8" t="str">
        <f>'Утв. ИП 2014-2019'!L1270</f>
        <v>0,1 км/ 0 МВА</v>
      </c>
      <c r="F1268" s="8"/>
      <c r="G1268" s="8"/>
      <c r="H1268" s="8"/>
      <c r="I1268" s="8"/>
      <c r="J1268" s="23" t="str">
        <f>'Утв. ИП 2014-2019'!Q1270</f>
        <v>0,1 км/ 0 МВА</v>
      </c>
      <c r="K1268" s="170"/>
      <c r="L1268" s="170"/>
      <c r="M1268" s="170"/>
      <c r="N1268" s="170"/>
      <c r="O1268" s="170"/>
      <c r="P1268" s="170"/>
      <c r="Q1268" s="170"/>
      <c r="R1268" s="136"/>
      <c r="S1268" s="137"/>
      <c r="T1268" s="128"/>
      <c r="U1268" s="137"/>
      <c r="V1268" s="128"/>
      <c r="W1268" s="49"/>
      <c r="X1268" s="128"/>
      <c r="Y1268" s="49"/>
      <c r="Z1268" s="128"/>
      <c r="AA1268" s="49"/>
      <c r="AB1268" s="128"/>
      <c r="AC1268" s="49"/>
      <c r="AE1268" s="133"/>
    </row>
    <row r="1269" spans="1:31" ht="15.75" hidden="1" outlineLevel="2" x14ac:dyDescent="0.2">
      <c r="A1269" s="25">
        <f>'Утв. ИП 2014-2019'!A1271</f>
        <v>0</v>
      </c>
      <c r="B1269" s="6">
        <f>'Утв. ИП 2014-2019'!B1271</f>
        <v>0</v>
      </c>
      <c r="C1269" s="7" t="str">
        <f>'Утв. ИП 2014-2019'!C1271</f>
        <v>реконструкция</v>
      </c>
      <c r="D1269" s="8"/>
      <c r="E1269" s="8"/>
      <c r="F1269" s="8"/>
      <c r="G1269" s="8"/>
      <c r="H1269" s="8"/>
      <c r="I1269" s="8"/>
      <c r="J1269" s="23"/>
      <c r="K1269" s="170"/>
      <c r="L1269" s="170"/>
      <c r="M1269" s="170"/>
      <c r="N1269" s="170"/>
      <c r="O1269" s="170"/>
      <c r="P1269" s="170"/>
      <c r="Q1269" s="170"/>
      <c r="R1269" s="136"/>
      <c r="S1269" s="137"/>
      <c r="T1269" s="128"/>
      <c r="U1269" s="137"/>
      <c r="V1269" s="128"/>
      <c r="W1269" s="49"/>
      <c r="X1269" s="128"/>
      <c r="Y1269" s="49"/>
      <c r="Z1269" s="128"/>
      <c r="AA1269" s="49"/>
      <c r="AB1269" s="128"/>
      <c r="AC1269" s="49"/>
      <c r="AE1269" s="133"/>
    </row>
    <row r="1270" spans="1:31" ht="15.75" hidden="1" outlineLevel="2" x14ac:dyDescent="0.2">
      <c r="A1270" s="25">
        <f>'Утв. ИП 2014-2019'!A1272</f>
        <v>0</v>
      </c>
      <c r="B1270" s="6">
        <f>'Утв. ИП 2014-2019'!B1272</f>
        <v>0</v>
      </c>
      <c r="C1270" s="7" t="str">
        <f>'Утв. ИП 2014-2019'!C1272</f>
        <v>строительство</v>
      </c>
      <c r="D1270" s="8"/>
      <c r="E1270" s="8"/>
      <c r="F1270" s="8"/>
      <c r="G1270" s="8"/>
      <c r="H1270" s="8"/>
      <c r="I1270" s="8"/>
      <c r="J1270" s="23"/>
      <c r="K1270" s="170"/>
      <c r="L1270" s="170"/>
      <c r="M1270" s="170"/>
      <c r="N1270" s="170"/>
      <c r="O1270" s="170"/>
      <c r="P1270" s="170"/>
      <c r="Q1270" s="170"/>
      <c r="R1270" s="136"/>
      <c r="S1270" s="137"/>
      <c r="T1270" s="128"/>
      <c r="U1270" s="137"/>
      <c r="V1270" s="128"/>
      <c r="W1270" s="49"/>
      <c r="X1270" s="128"/>
      <c r="Y1270" s="49"/>
      <c r="Z1270" s="128"/>
      <c r="AA1270" s="49"/>
      <c r="AB1270" s="128"/>
      <c r="AC1270" s="49"/>
      <c r="AE1270" s="133"/>
    </row>
    <row r="1271" spans="1:31" ht="25.5" hidden="1" outlineLevel="1" collapsed="1" x14ac:dyDescent="0.2">
      <c r="A1271" s="25" t="str">
        <f>'Утв. ИП 2014-2019'!A1273</f>
        <v>1.1.5.2.1/14</v>
      </c>
      <c r="B1271" s="6" t="str">
        <f>'Утв. ИП 2014-2019'!B1273</f>
        <v>3.2.344</v>
      </c>
      <c r="C1271" s="7" t="str">
        <f>'Утв. ИП 2014-2019'!C1273</f>
        <v>Электроснабжение кирпичного садового домика по адресу: г. Липецк, СПО "Металлург-1", II квартал, зем. уч. № 55</v>
      </c>
      <c r="D1271" s="8"/>
      <c r="E1271" s="8" t="str">
        <f>'Утв. ИП 2014-2019'!L1273</f>
        <v>0,4 км/ 0 МВА</v>
      </c>
      <c r="F1271" s="8"/>
      <c r="G1271" s="8"/>
      <c r="H1271" s="8"/>
      <c r="I1271" s="8"/>
      <c r="J1271" s="23" t="str">
        <f>'Утв. ИП 2014-2019'!Q1273</f>
        <v>0,4 км/ 0 МВА</v>
      </c>
      <c r="K1271" s="170"/>
      <c r="L1271" s="170"/>
      <c r="M1271" s="170"/>
      <c r="N1271" s="170"/>
      <c r="O1271" s="170"/>
      <c r="P1271" s="170"/>
      <c r="Q1271" s="170"/>
      <c r="R1271" s="136"/>
      <c r="S1271" s="137"/>
      <c r="T1271" s="128"/>
      <c r="U1271" s="137"/>
      <c r="V1271" s="128"/>
      <c r="W1271" s="49"/>
      <c r="X1271" s="128"/>
      <c r="Y1271" s="49"/>
      <c r="Z1271" s="128"/>
      <c r="AA1271" s="49"/>
      <c r="AB1271" s="128"/>
      <c r="AC1271" s="49"/>
      <c r="AE1271" s="133"/>
    </row>
    <row r="1272" spans="1:31" ht="15.75" hidden="1" outlineLevel="2" x14ac:dyDescent="0.2">
      <c r="A1272" s="25">
        <f>'Утв. ИП 2014-2019'!A1274</f>
        <v>0</v>
      </c>
      <c r="B1272" s="6">
        <f>'Утв. ИП 2014-2019'!B1274</f>
        <v>0</v>
      </c>
      <c r="C1272" s="7" t="str">
        <f>'Утв. ИП 2014-2019'!C1274</f>
        <v>реконструкция</v>
      </c>
      <c r="D1272" s="8"/>
      <c r="E1272" s="8"/>
      <c r="F1272" s="8"/>
      <c r="G1272" s="8"/>
      <c r="H1272" s="8"/>
      <c r="I1272" s="8"/>
      <c r="J1272" s="23"/>
      <c r="K1272" s="170"/>
      <c r="L1272" s="170"/>
      <c r="M1272" s="170"/>
      <c r="N1272" s="170"/>
      <c r="O1272" s="170"/>
      <c r="P1272" s="170"/>
      <c r="Q1272" s="170"/>
      <c r="R1272" s="136"/>
      <c r="S1272" s="137"/>
      <c r="T1272" s="128"/>
      <c r="U1272" s="137"/>
      <c r="V1272" s="128"/>
      <c r="W1272" s="49"/>
      <c r="X1272" s="128"/>
      <c r="Y1272" s="49"/>
      <c r="Z1272" s="128"/>
      <c r="AA1272" s="49"/>
      <c r="AB1272" s="128"/>
      <c r="AC1272" s="49"/>
      <c r="AE1272" s="133"/>
    </row>
    <row r="1273" spans="1:31" ht="15.75" hidden="1" outlineLevel="2" x14ac:dyDescent="0.2">
      <c r="A1273" s="25">
        <f>'Утв. ИП 2014-2019'!A1275</f>
        <v>0</v>
      </c>
      <c r="B1273" s="6">
        <f>'Утв. ИП 2014-2019'!B1275</f>
        <v>0</v>
      </c>
      <c r="C1273" s="7" t="str">
        <f>'Утв. ИП 2014-2019'!C1275</f>
        <v>строительство</v>
      </c>
      <c r="D1273" s="8"/>
      <c r="E1273" s="8"/>
      <c r="F1273" s="8"/>
      <c r="G1273" s="8"/>
      <c r="H1273" s="8"/>
      <c r="I1273" s="8"/>
      <c r="J1273" s="23"/>
      <c r="K1273" s="170"/>
      <c r="L1273" s="170"/>
      <c r="M1273" s="170"/>
      <c r="N1273" s="170"/>
      <c r="O1273" s="170"/>
      <c r="P1273" s="170"/>
      <c r="Q1273" s="170"/>
      <c r="R1273" s="136"/>
      <c r="S1273" s="137"/>
      <c r="T1273" s="128"/>
      <c r="U1273" s="137"/>
      <c r="V1273" s="128"/>
      <c r="W1273" s="49"/>
      <c r="X1273" s="128"/>
      <c r="Y1273" s="49"/>
      <c r="Z1273" s="128"/>
      <c r="AA1273" s="49"/>
      <c r="AB1273" s="128"/>
      <c r="AC1273" s="49"/>
      <c r="AE1273" s="133"/>
    </row>
    <row r="1274" spans="1:31" ht="15.75" hidden="1" outlineLevel="1" collapsed="1" x14ac:dyDescent="0.2">
      <c r="A1274" s="25" t="str">
        <f>'Утв. ИП 2014-2019'!A1276</f>
        <v>1.1.5.2.100/13</v>
      </c>
      <c r="B1274" s="6" t="str">
        <f>'Утв. ИП 2014-2019'!B1276</f>
        <v>3.2.345</v>
      </c>
      <c r="C1274" s="7" t="str">
        <f>'Утв. ИП 2014-2019'!C1276</f>
        <v>Электроснабжение садовых домиков в СНТ "Дачный-1"</v>
      </c>
      <c r="D1274" s="8"/>
      <c r="E1274" s="8" t="str">
        <f>'Утв. ИП 2014-2019'!L1276</f>
        <v>0,0 км/ 0 МВА</v>
      </c>
      <c r="F1274" s="8"/>
      <c r="G1274" s="8"/>
      <c r="H1274" s="8"/>
      <c r="I1274" s="8"/>
      <c r="J1274" s="23" t="str">
        <f>'Утв. ИП 2014-2019'!Q1276</f>
        <v>0,0 км/ 0 МВА</v>
      </c>
      <c r="K1274" s="170"/>
      <c r="L1274" s="170"/>
      <c r="M1274" s="170"/>
      <c r="N1274" s="170"/>
      <c r="O1274" s="170"/>
      <c r="P1274" s="170"/>
      <c r="Q1274" s="170"/>
      <c r="R1274" s="136"/>
      <c r="S1274" s="137"/>
      <c r="T1274" s="128"/>
      <c r="U1274" s="137"/>
      <c r="V1274" s="128"/>
      <c r="W1274" s="49"/>
      <c r="X1274" s="128"/>
      <c r="Y1274" s="49"/>
      <c r="Z1274" s="128"/>
      <c r="AA1274" s="49"/>
      <c r="AB1274" s="128"/>
      <c r="AC1274" s="49"/>
      <c r="AE1274" s="133"/>
    </row>
    <row r="1275" spans="1:31" ht="15.75" hidden="1" outlineLevel="2" x14ac:dyDescent="0.2">
      <c r="A1275" s="25">
        <f>'Утв. ИП 2014-2019'!A1277</f>
        <v>0</v>
      </c>
      <c r="B1275" s="6">
        <f>'Утв. ИП 2014-2019'!B1277</f>
        <v>0</v>
      </c>
      <c r="C1275" s="7" t="str">
        <f>'Утв. ИП 2014-2019'!C1277</f>
        <v>реконструкция</v>
      </c>
      <c r="D1275" s="8"/>
      <c r="E1275" s="8"/>
      <c r="F1275" s="8"/>
      <c r="G1275" s="8"/>
      <c r="H1275" s="8"/>
      <c r="I1275" s="8"/>
      <c r="J1275" s="23"/>
      <c r="K1275" s="170"/>
      <c r="L1275" s="170"/>
      <c r="M1275" s="170"/>
      <c r="N1275" s="170"/>
      <c r="O1275" s="170"/>
      <c r="P1275" s="170"/>
      <c r="Q1275" s="170"/>
      <c r="R1275" s="136"/>
      <c r="S1275" s="137"/>
      <c r="T1275" s="128"/>
      <c r="U1275" s="137"/>
      <c r="V1275" s="128"/>
      <c r="W1275" s="49"/>
      <c r="X1275" s="128"/>
      <c r="Y1275" s="49"/>
      <c r="Z1275" s="128"/>
      <c r="AA1275" s="49"/>
      <c r="AB1275" s="128"/>
      <c r="AC1275" s="49"/>
      <c r="AE1275" s="133"/>
    </row>
    <row r="1276" spans="1:31" ht="15.75" hidden="1" outlineLevel="2" x14ac:dyDescent="0.2">
      <c r="A1276" s="25">
        <f>'Утв. ИП 2014-2019'!A1278</f>
        <v>0</v>
      </c>
      <c r="B1276" s="6">
        <f>'Утв. ИП 2014-2019'!B1278</f>
        <v>0</v>
      </c>
      <c r="C1276" s="7" t="str">
        <f>'Утв. ИП 2014-2019'!C1278</f>
        <v>строительство</v>
      </c>
      <c r="D1276" s="8"/>
      <c r="E1276" s="8"/>
      <c r="F1276" s="8"/>
      <c r="G1276" s="8"/>
      <c r="H1276" s="8"/>
      <c r="I1276" s="8"/>
      <c r="J1276" s="23"/>
      <c r="K1276" s="170"/>
      <c r="L1276" s="170"/>
      <c r="M1276" s="170"/>
      <c r="N1276" s="170"/>
      <c r="O1276" s="170"/>
      <c r="P1276" s="170"/>
      <c r="Q1276" s="170"/>
      <c r="R1276" s="136"/>
      <c r="S1276" s="137"/>
      <c r="T1276" s="128"/>
      <c r="U1276" s="137"/>
      <c r="V1276" s="128"/>
      <c r="W1276" s="49"/>
      <c r="X1276" s="128"/>
      <c r="Y1276" s="49"/>
      <c r="Z1276" s="128"/>
      <c r="AA1276" s="49"/>
      <c r="AB1276" s="128"/>
      <c r="AC1276" s="49"/>
      <c r="AE1276" s="133"/>
    </row>
    <row r="1277" spans="1:31" ht="15.75" hidden="1" outlineLevel="1" collapsed="1" x14ac:dyDescent="0.2">
      <c r="A1277" s="25" t="str">
        <f>'Утв. ИП 2014-2019'!A1279</f>
        <v>1.1.5.2.103/13</v>
      </c>
      <c r="B1277" s="6" t="str">
        <f>'Утв. ИП 2014-2019'!B1279</f>
        <v>3.2.346</v>
      </c>
      <c r="C1277" s="7" t="str">
        <f>'Утв. ИП 2014-2019'!C1279</f>
        <v>Электроснабжение объектов в с. Сселки по ул. Советская</v>
      </c>
      <c r="D1277" s="8"/>
      <c r="E1277" s="8" t="str">
        <f>'Утв. ИП 2014-2019'!L1279</f>
        <v>0,12 км/ 0 МВА</v>
      </c>
      <c r="F1277" s="8"/>
      <c r="G1277" s="8"/>
      <c r="H1277" s="8"/>
      <c r="I1277" s="8"/>
      <c r="J1277" s="23" t="str">
        <f>'Утв. ИП 2014-2019'!Q1279</f>
        <v>0,12 км/ 0 МВА</v>
      </c>
      <c r="K1277" s="170"/>
      <c r="L1277" s="170"/>
      <c r="M1277" s="170"/>
      <c r="N1277" s="170"/>
      <c r="O1277" s="170"/>
      <c r="P1277" s="170"/>
      <c r="Q1277" s="170"/>
      <c r="R1277" s="166"/>
      <c r="S1277" s="167"/>
      <c r="T1277" s="168"/>
      <c r="U1277" s="167"/>
      <c r="V1277" s="168"/>
      <c r="W1277" s="169"/>
      <c r="X1277" s="168"/>
      <c r="Y1277" s="169"/>
      <c r="Z1277" s="168"/>
      <c r="AA1277" s="169"/>
      <c r="AB1277" s="168"/>
      <c r="AC1277" s="169"/>
      <c r="AE1277" s="133"/>
    </row>
    <row r="1278" spans="1:31" ht="15.75" hidden="1" outlineLevel="2" x14ac:dyDescent="0.2">
      <c r="A1278" s="25">
        <f>'Утв. ИП 2014-2019'!A1280</f>
        <v>0</v>
      </c>
      <c r="B1278" s="6">
        <f>'Утв. ИП 2014-2019'!B1280</f>
        <v>0</v>
      </c>
      <c r="C1278" s="7" t="str">
        <f>'Утв. ИП 2014-2019'!C1280</f>
        <v>реконструкция</v>
      </c>
      <c r="D1278" s="8"/>
      <c r="E1278" s="8"/>
      <c r="F1278" s="8"/>
      <c r="G1278" s="8"/>
      <c r="H1278" s="8"/>
      <c r="I1278" s="8"/>
      <c r="J1278" s="23"/>
      <c r="K1278" s="170"/>
      <c r="L1278" s="170"/>
      <c r="M1278" s="170"/>
      <c r="N1278" s="170"/>
      <c r="O1278" s="170"/>
      <c r="P1278" s="170"/>
      <c r="Q1278" s="170"/>
      <c r="R1278" s="166"/>
      <c r="S1278" s="167"/>
      <c r="T1278" s="168"/>
      <c r="U1278" s="167"/>
      <c r="V1278" s="168"/>
      <c r="W1278" s="169"/>
      <c r="X1278" s="168"/>
      <c r="Y1278" s="169"/>
      <c r="Z1278" s="168"/>
      <c r="AA1278" s="169"/>
      <c r="AB1278" s="168"/>
      <c r="AC1278" s="169"/>
      <c r="AE1278" s="133"/>
    </row>
    <row r="1279" spans="1:31" ht="15.75" hidden="1" outlineLevel="2" x14ac:dyDescent="0.2">
      <c r="A1279" s="25">
        <f>'Утв. ИП 2014-2019'!A1281</f>
        <v>0</v>
      </c>
      <c r="B1279" s="6">
        <f>'Утв. ИП 2014-2019'!B1281</f>
        <v>0</v>
      </c>
      <c r="C1279" s="7" t="str">
        <f>'Утв. ИП 2014-2019'!C1281</f>
        <v>строительство</v>
      </c>
      <c r="D1279" s="8"/>
      <c r="E1279" s="8"/>
      <c r="F1279" s="8"/>
      <c r="G1279" s="8"/>
      <c r="H1279" s="8"/>
      <c r="I1279" s="8"/>
      <c r="J1279" s="23"/>
      <c r="K1279" s="170"/>
      <c r="L1279" s="170"/>
      <c r="M1279" s="170"/>
      <c r="N1279" s="170"/>
      <c r="O1279" s="170"/>
      <c r="P1279" s="170"/>
      <c r="Q1279" s="170"/>
      <c r="R1279" s="166"/>
      <c r="S1279" s="167"/>
      <c r="T1279" s="168"/>
      <c r="U1279" s="167"/>
      <c r="V1279" s="168"/>
      <c r="W1279" s="169"/>
      <c r="X1279" s="168"/>
      <c r="Y1279" s="169"/>
      <c r="Z1279" s="168"/>
      <c r="AA1279" s="169"/>
      <c r="AB1279" s="168"/>
      <c r="AC1279" s="169"/>
      <c r="AE1279" s="133"/>
    </row>
    <row r="1280" spans="1:31" ht="25.5" hidden="1" outlineLevel="1" collapsed="1" x14ac:dyDescent="0.2">
      <c r="A1280" s="25" t="str">
        <f>'Утв. ИП 2014-2019'!A1282</f>
        <v>1.1.6.2.45/11</v>
      </c>
      <c r="B1280" s="6" t="str">
        <f>'Утв. ИП 2014-2019'!B1282</f>
        <v>3.2.347</v>
      </c>
      <c r="C1280" s="7" t="str">
        <f>'Утв. ИП 2014-2019'!C1282</f>
        <v>Электроснабжение кирпичного гаража по адресу: г.Липецк, ул.Угловая, около школы №44 и дома №12, корп.а</v>
      </c>
      <c r="D1280" s="8"/>
      <c r="E1280" s="8" t="str">
        <f>'Утв. ИП 2014-2019'!L1282</f>
        <v>0,0 км/ 0 МВА</v>
      </c>
      <c r="F1280" s="8"/>
      <c r="G1280" s="8"/>
      <c r="H1280" s="8"/>
      <c r="I1280" s="8"/>
      <c r="J1280" s="23" t="str">
        <f>'Утв. ИП 2014-2019'!Q1282</f>
        <v>0,0 км/ 0 МВА</v>
      </c>
      <c r="K1280" s="170"/>
      <c r="L1280" s="170"/>
      <c r="M1280" s="170"/>
      <c r="N1280" s="170"/>
      <c r="O1280" s="170"/>
      <c r="P1280" s="170"/>
      <c r="Q1280" s="170"/>
      <c r="R1280" s="166"/>
      <c r="S1280" s="167"/>
      <c r="T1280" s="168"/>
      <c r="U1280" s="167"/>
      <c r="V1280" s="168"/>
      <c r="W1280" s="169"/>
      <c r="X1280" s="168"/>
      <c r="Y1280" s="169"/>
      <c r="Z1280" s="168"/>
      <c r="AA1280" s="169"/>
      <c r="AB1280" s="168"/>
      <c r="AC1280" s="169"/>
      <c r="AE1280" s="133"/>
    </row>
    <row r="1281" spans="1:31" ht="15.75" hidden="1" outlineLevel="2" x14ac:dyDescent="0.2">
      <c r="A1281" s="25">
        <f>'Утв. ИП 2014-2019'!A1283</f>
        <v>0</v>
      </c>
      <c r="B1281" s="6">
        <f>'Утв. ИП 2014-2019'!B1283</f>
        <v>0</v>
      </c>
      <c r="C1281" s="7" t="str">
        <f>'Утв. ИП 2014-2019'!C1283</f>
        <v>реконструкция</v>
      </c>
      <c r="D1281" s="8"/>
      <c r="E1281" s="8"/>
      <c r="F1281" s="8"/>
      <c r="G1281" s="8"/>
      <c r="H1281" s="8"/>
      <c r="I1281" s="8"/>
      <c r="J1281" s="23"/>
      <c r="K1281" s="170"/>
      <c r="L1281" s="170"/>
      <c r="M1281" s="170"/>
      <c r="N1281" s="170"/>
      <c r="O1281" s="170"/>
      <c r="P1281" s="170"/>
      <c r="Q1281" s="170"/>
      <c r="R1281" s="166"/>
      <c r="S1281" s="167"/>
      <c r="T1281" s="168"/>
      <c r="U1281" s="167"/>
      <c r="V1281" s="168"/>
      <c r="W1281" s="169"/>
      <c r="X1281" s="168"/>
      <c r="Y1281" s="169"/>
      <c r="Z1281" s="168"/>
      <c r="AA1281" s="169"/>
      <c r="AB1281" s="168"/>
      <c r="AC1281" s="169"/>
      <c r="AE1281" s="133"/>
    </row>
    <row r="1282" spans="1:31" ht="15.75" hidden="1" outlineLevel="2" x14ac:dyDescent="0.2">
      <c r="A1282" s="25">
        <f>'Утв. ИП 2014-2019'!A1284</f>
        <v>0</v>
      </c>
      <c r="B1282" s="6">
        <f>'Утв. ИП 2014-2019'!B1284</f>
        <v>0</v>
      </c>
      <c r="C1282" s="7" t="str">
        <f>'Утв. ИП 2014-2019'!C1284</f>
        <v>строительство</v>
      </c>
      <c r="D1282" s="8"/>
      <c r="E1282" s="8"/>
      <c r="F1282" s="8"/>
      <c r="G1282" s="8"/>
      <c r="H1282" s="8"/>
      <c r="I1282" s="8"/>
      <c r="J1282" s="23"/>
      <c r="K1282" s="170"/>
      <c r="L1282" s="170"/>
      <c r="M1282" s="170"/>
      <c r="N1282" s="170"/>
      <c r="O1282" s="170"/>
      <c r="P1282" s="170"/>
      <c r="Q1282" s="170"/>
      <c r="R1282" s="166"/>
      <c r="S1282" s="167"/>
      <c r="T1282" s="168"/>
      <c r="U1282" s="167"/>
      <c r="V1282" s="168"/>
      <c r="W1282" s="169"/>
      <c r="X1282" s="168"/>
      <c r="Y1282" s="169"/>
      <c r="Z1282" s="168"/>
      <c r="AA1282" s="169"/>
      <c r="AB1282" s="168"/>
      <c r="AC1282" s="169"/>
      <c r="AE1282" s="133"/>
    </row>
    <row r="1283" spans="1:31" ht="25.5" hidden="1" outlineLevel="1" collapsed="1" x14ac:dyDescent="0.2">
      <c r="A1283" s="25" t="str">
        <f>'Утв. ИП 2014-2019'!A1285</f>
        <v>1.1.5.2.94/13</v>
      </c>
      <c r="B1283" s="6" t="str">
        <f>'Утв. ИП 2014-2019'!B1285</f>
        <v>3.2.348</v>
      </c>
      <c r="C1283" s="7" t="str">
        <f>'Утв. ИП 2014-2019'!C1285</f>
        <v>Электроснабжение садового домика по адресу: г. Липецк, СНТ "Дачный-3", зем. уч. № 43</v>
      </c>
      <c r="D1283" s="8"/>
      <c r="E1283" s="8" t="str">
        <f>'Утв. ИП 2014-2019'!L1285</f>
        <v>0,5 км/ 0 МВА</v>
      </c>
      <c r="F1283" s="8"/>
      <c r="G1283" s="8"/>
      <c r="H1283" s="8"/>
      <c r="I1283" s="8"/>
      <c r="J1283" s="23" t="str">
        <f>'Утв. ИП 2014-2019'!Q1285</f>
        <v>0,5 км/ 0 МВА</v>
      </c>
      <c r="K1283" s="170"/>
      <c r="L1283" s="170"/>
      <c r="M1283" s="170"/>
      <c r="N1283" s="170"/>
      <c r="O1283" s="170"/>
      <c r="P1283" s="170"/>
      <c r="Q1283" s="170"/>
      <c r="R1283" s="136"/>
      <c r="S1283" s="137"/>
      <c r="T1283" s="128"/>
      <c r="U1283" s="137"/>
      <c r="V1283" s="128"/>
      <c r="W1283" s="49"/>
      <c r="X1283" s="128"/>
      <c r="Y1283" s="49"/>
      <c r="Z1283" s="128"/>
      <c r="AA1283" s="49"/>
      <c r="AB1283" s="128"/>
      <c r="AC1283" s="49"/>
      <c r="AE1283" s="133"/>
    </row>
    <row r="1284" spans="1:31" ht="15.75" hidden="1" outlineLevel="2" x14ac:dyDescent="0.2">
      <c r="A1284" s="25">
        <f>'Утв. ИП 2014-2019'!A1286</f>
        <v>0</v>
      </c>
      <c r="B1284" s="6">
        <f>'Утв. ИП 2014-2019'!B1286</f>
        <v>0</v>
      </c>
      <c r="C1284" s="7" t="str">
        <f>'Утв. ИП 2014-2019'!C1286</f>
        <v>реконструкция</v>
      </c>
      <c r="D1284" s="8"/>
      <c r="E1284" s="8"/>
      <c r="F1284" s="8"/>
      <c r="G1284" s="8"/>
      <c r="H1284" s="8"/>
      <c r="I1284" s="8"/>
      <c r="J1284" s="23"/>
      <c r="K1284" s="170"/>
      <c r="L1284" s="170"/>
      <c r="M1284" s="170"/>
      <c r="N1284" s="170"/>
      <c r="O1284" s="170"/>
      <c r="P1284" s="170"/>
      <c r="Q1284" s="170"/>
      <c r="R1284" s="136"/>
      <c r="S1284" s="137"/>
      <c r="T1284" s="128"/>
      <c r="U1284" s="137"/>
      <c r="V1284" s="128"/>
      <c r="W1284" s="49"/>
      <c r="X1284" s="128"/>
      <c r="Y1284" s="49"/>
      <c r="Z1284" s="128"/>
      <c r="AA1284" s="49"/>
      <c r="AB1284" s="128"/>
      <c r="AC1284" s="49"/>
      <c r="AE1284" s="133"/>
    </row>
    <row r="1285" spans="1:31" ht="15.75" hidden="1" outlineLevel="2" x14ac:dyDescent="0.2">
      <c r="A1285" s="25">
        <f>'Утв. ИП 2014-2019'!A1287</f>
        <v>0</v>
      </c>
      <c r="B1285" s="6">
        <f>'Утв. ИП 2014-2019'!B1287</f>
        <v>0</v>
      </c>
      <c r="C1285" s="7" t="str">
        <f>'Утв. ИП 2014-2019'!C1287</f>
        <v>строительство</v>
      </c>
      <c r="D1285" s="8"/>
      <c r="E1285" s="8"/>
      <c r="F1285" s="8"/>
      <c r="G1285" s="8"/>
      <c r="H1285" s="8"/>
      <c r="I1285" s="8"/>
      <c r="J1285" s="23"/>
      <c r="K1285" s="170"/>
      <c r="L1285" s="170"/>
      <c r="M1285" s="170"/>
      <c r="N1285" s="170"/>
      <c r="O1285" s="170"/>
      <c r="P1285" s="170"/>
      <c r="Q1285" s="170"/>
      <c r="R1285" s="136"/>
      <c r="S1285" s="137"/>
      <c r="T1285" s="128"/>
      <c r="U1285" s="137"/>
      <c r="V1285" s="128"/>
      <c r="W1285" s="49"/>
      <c r="X1285" s="128"/>
      <c r="Y1285" s="49"/>
      <c r="Z1285" s="128"/>
      <c r="AA1285" s="49"/>
      <c r="AB1285" s="128"/>
      <c r="AC1285" s="49"/>
      <c r="AE1285" s="133"/>
    </row>
    <row r="1286" spans="1:31" ht="15.75" hidden="1" outlineLevel="1" collapsed="1" x14ac:dyDescent="0.2">
      <c r="A1286" s="25" t="str">
        <f>'Утв. ИП 2014-2019'!A1288</f>
        <v>1.1.5.2.95/13</v>
      </c>
      <c r="B1286" s="6" t="str">
        <f>'Утв. ИП 2014-2019'!B1288</f>
        <v>3.2.349</v>
      </c>
      <c r="C1286" s="7" t="str">
        <f>'Утв. ИП 2014-2019'!C1288</f>
        <v>Электроснабжение садовых домиков в СНТ "Липецкстрой"</v>
      </c>
      <c r="D1286" s="8"/>
      <c r="E1286" s="8" t="str">
        <f>'Утв. ИП 2014-2019'!L1288</f>
        <v>0,0 км/ 0 МВА</v>
      </c>
      <c r="F1286" s="8"/>
      <c r="G1286" s="8"/>
      <c r="H1286" s="8"/>
      <c r="I1286" s="8"/>
      <c r="J1286" s="23" t="str">
        <f>'Утв. ИП 2014-2019'!Q1288</f>
        <v>0,0 км/ 0 МВА</v>
      </c>
      <c r="K1286" s="170"/>
      <c r="L1286" s="170"/>
      <c r="M1286" s="170"/>
      <c r="N1286" s="170"/>
      <c r="O1286" s="170"/>
      <c r="P1286" s="170"/>
      <c r="Q1286" s="170"/>
      <c r="R1286" s="136"/>
      <c r="S1286" s="137"/>
      <c r="T1286" s="128"/>
      <c r="U1286" s="137"/>
      <c r="V1286" s="128"/>
      <c r="W1286" s="49"/>
      <c r="X1286" s="128"/>
      <c r="Y1286" s="49"/>
      <c r="Z1286" s="128"/>
      <c r="AA1286" s="49"/>
      <c r="AB1286" s="128"/>
      <c r="AC1286" s="49"/>
      <c r="AE1286" s="133"/>
    </row>
    <row r="1287" spans="1:31" ht="15.75" hidden="1" outlineLevel="2" x14ac:dyDescent="0.2">
      <c r="A1287" s="25">
        <f>'Утв. ИП 2014-2019'!A1289</f>
        <v>0</v>
      </c>
      <c r="B1287" s="6">
        <f>'Утв. ИП 2014-2019'!B1289</f>
        <v>0</v>
      </c>
      <c r="C1287" s="7" t="str">
        <f>'Утв. ИП 2014-2019'!C1289</f>
        <v>реконструкция</v>
      </c>
      <c r="D1287" s="8"/>
      <c r="E1287" s="8"/>
      <c r="F1287" s="8"/>
      <c r="G1287" s="8"/>
      <c r="H1287" s="8"/>
      <c r="I1287" s="8"/>
      <c r="J1287" s="23"/>
      <c r="K1287" s="170"/>
      <c r="L1287" s="170"/>
      <c r="M1287" s="170"/>
      <c r="N1287" s="170"/>
      <c r="O1287" s="170"/>
      <c r="P1287" s="170"/>
      <c r="Q1287" s="170"/>
      <c r="R1287" s="136"/>
      <c r="S1287" s="137"/>
      <c r="T1287" s="128"/>
      <c r="U1287" s="137"/>
      <c r="V1287" s="128"/>
      <c r="W1287" s="49"/>
      <c r="X1287" s="128"/>
      <c r="Y1287" s="49"/>
      <c r="Z1287" s="128"/>
      <c r="AA1287" s="49"/>
      <c r="AB1287" s="128"/>
      <c r="AC1287" s="49"/>
      <c r="AE1287" s="133"/>
    </row>
    <row r="1288" spans="1:31" ht="15.75" hidden="1" outlineLevel="2" x14ac:dyDescent="0.2">
      <c r="A1288" s="25">
        <f>'Утв. ИП 2014-2019'!A1290</f>
        <v>0</v>
      </c>
      <c r="B1288" s="6">
        <f>'Утв. ИП 2014-2019'!B1290</f>
        <v>0</v>
      </c>
      <c r="C1288" s="7" t="str">
        <f>'Утв. ИП 2014-2019'!C1290</f>
        <v>строительство</v>
      </c>
      <c r="D1288" s="8"/>
      <c r="E1288" s="8"/>
      <c r="F1288" s="8"/>
      <c r="G1288" s="8"/>
      <c r="H1288" s="8"/>
      <c r="I1288" s="8"/>
      <c r="J1288" s="23"/>
      <c r="K1288" s="170"/>
      <c r="L1288" s="170"/>
      <c r="M1288" s="170"/>
      <c r="N1288" s="170"/>
      <c r="O1288" s="170"/>
      <c r="P1288" s="170"/>
      <c r="Q1288" s="170"/>
      <c r="R1288" s="136"/>
      <c r="S1288" s="137"/>
      <c r="T1288" s="128"/>
      <c r="U1288" s="137"/>
      <c r="V1288" s="128"/>
      <c r="W1288" s="49"/>
      <c r="X1288" s="128"/>
      <c r="Y1288" s="49"/>
      <c r="Z1288" s="128"/>
      <c r="AA1288" s="49"/>
      <c r="AB1288" s="128"/>
      <c r="AC1288" s="49"/>
      <c r="AE1288" s="133"/>
    </row>
    <row r="1289" spans="1:31" ht="15.75" hidden="1" outlineLevel="1" collapsed="1" x14ac:dyDescent="0.2">
      <c r="A1289" s="25" t="str">
        <f>'Утв. ИП 2014-2019'!A1291</f>
        <v>1.1.5.2.98/13</v>
      </c>
      <c r="B1289" s="6" t="str">
        <f>'Утв. ИП 2014-2019'!B1291</f>
        <v>3.2.350</v>
      </c>
      <c r="C1289" s="7" t="str">
        <f>'Утв. ИП 2014-2019'!C1291</f>
        <v>Электроснабжение садовых домиков в с/о "Сокол-3"</v>
      </c>
      <c r="D1289" s="8"/>
      <c r="E1289" s="8" t="str">
        <f>'Утв. ИП 2014-2019'!L1291</f>
        <v>0,12 км/ 0 МВА</v>
      </c>
      <c r="F1289" s="8"/>
      <c r="G1289" s="8"/>
      <c r="H1289" s="8"/>
      <c r="I1289" s="8"/>
      <c r="J1289" s="23" t="str">
        <f>'Утв. ИП 2014-2019'!Q1291</f>
        <v>0,12 км/ 0 МВА</v>
      </c>
      <c r="K1289" s="170"/>
      <c r="L1289" s="170"/>
      <c r="M1289" s="170"/>
      <c r="N1289" s="170"/>
      <c r="O1289" s="170"/>
      <c r="P1289" s="170"/>
      <c r="Q1289" s="170"/>
      <c r="R1289" s="136"/>
      <c r="S1289" s="137"/>
      <c r="T1289" s="128"/>
      <c r="U1289" s="137"/>
      <c r="V1289" s="128"/>
      <c r="W1289" s="49"/>
      <c r="X1289" s="128"/>
      <c r="Y1289" s="49"/>
      <c r="Z1289" s="128"/>
      <c r="AA1289" s="49"/>
      <c r="AB1289" s="128"/>
      <c r="AC1289" s="49"/>
      <c r="AE1289" s="133"/>
    </row>
    <row r="1290" spans="1:31" ht="15.75" hidden="1" outlineLevel="2" x14ac:dyDescent="0.2">
      <c r="A1290" s="25">
        <f>'Утв. ИП 2014-2019'!A1292</f>
        <v>0</v>
      </c>
      <c r="B1290" s="6">
        <f>'Утв. ИП 2014-2019'!B1292</f>
        <v>0</v>
      </c>
      <c r="C1290" s="7" t="str">
        <f>'Утв. ИП 2014-2019'!C1292</f>
        <v>реконструкция</v>
      </c>
      <c r="D1290" s="8"/>
      <c r="E1290" s="8"/>
      <c r="F1290" s="8"/>
      <c r="G1290" s="8"/>
      <c r="H1290" s="8"/>
      <c r="I1290" s="8"/>
      <c r="J1290" s="23"/>
      <c r="K1290" s="170"/>
      <c r="L1290" s="170"/>
      <c r="M1290" s="170"/>
      <c r="N1290" s="170"/>
      <c r="O1290" s="170"/>
      <c r="P1290" s="170"/>
      <c r="Q1290" s="170"/>
      <c r="R1290" s="136"/>
      <c r="S1290" s="137"/>
      <c r="T1290" s="128"/>
      <c r="U1290" s="137"/>
      <c r="V1290" s="128"/>
      <c r="W1290" s="49"/>
      <c r="X1290" s="128"/>
      <c r="Y1290" s="49"/>
      <c r="Z1290" s="128"/>
      <c r="AA1290" s="49"/>
      <c r="AB1290" s="128"/>
      <c r="AC1290" s="49"/>
      <c r="AE1290" s="133"/>
    </row>
    <row r="1291" spans="1:31" ht="15.75" hidden="1" outlineLevel="2" x14ac:dyDescent="0.2">
      <c r="A1291" s="25">
        <f>'Утв. ИП 2014-2019'!A1293</f>
        <v>0</v>
      </c>
      <c r="B1291" s="6">
        <f>'Утв. ИП 2014-2019'!B1293</f>
        <v>0</v>
      </c>
      <c r="C1291" s="7" t="str">
        <f>'Утв. ИП 2014-2019'!C1293</f>
        <v>строительство</v>
      </c>
      <c r="D1291" s="8"/>
      <c r="E1291" s="8"/>
      <c r="F1291" s="8"/>
      <c r="G1291" s="8"/>
      <c r="H1291" s="8"/>
      <c r="I1291" s="8"/>
      <c r="J1291" s="23"/>
      <c r="K1291" s="170"/>
      <c r="L1291" s="170"/>
      <c r="M1291" s="170"/>
      <c r="N1291" s="170"/>
      <c r="O1291" s="170"/>
      <c r="P1291" s="170"/>
      <c r="Q1291" s="170"/>
      <c r="R1291" s="136"/>
      <c r="S1291" s="137"/>
      <c r="T1291" s="128"/>
      <c r="U1291" s="137"/>
      <c r="V1291" s="128"/>
      <c r="W1291" s="49"/>
      <c r="X1291" s="128"/>
      <c r="Y1291" s="49"/>
      <c r="Z1291" s="128"/>
      <c r="AA1291" s="49"/>
      <c r="AB1291" s="128"/>
      <c r="AC1291" s="49"/>
      <c r="AE1291" s="133"/>
    </row>
    <row r="1292" spans="1:31" ht="25.5" hidden="1" outlineLevel="1" collapsed="1" x14ac:dyDescent="0.2">
      <c r="A1292" s="25" t="str">
        <f>'Утв. ИП 2014-2019'!A1294</f>
        <v>1.1.5.2.99/13</v>
      </c>
      <c r="B1292" s="6" t="str">
        <f>'Утв. ИП 2014-2019'!B1294</f>
        <v>3.2.351</v>
      </c>
      <c r="C1292" s="7" t="str">
        <f>'Утв. ИП 2014-2019'!C1294</f>
        <v>Электроснабжение индивидуального жилого дома усадебного типа по адресу: г. Липецк, с/о "Сокол-3", уч. № 664</v>
      </c>
      <c r="D1292" s="8"/>
      <c r="E1292" s="8" t="str">
        <f>'Утв. ИП 2014-2019'!L1294</f>
        <v>0,0 км/ 0 МВА</v>
      </c>
      <c r="F1292" s="8"/>
      <c r="G1292" s="8"/>
      <c r="H1292" s="8"/>
      <c r="I1292" s="8"/>
      <c r="J1292" s="23" t="str">
        <f>'Утв. ИП 2014-2019'!Q1294</f>
        <v>0,0 км/ 0 МВА</v>
      </c>
      <c r="K1292" s="170"/>
      <c r="L1292" s="170"/>
      <c r="M1292" s="170"/>
      <c r="N1292" s="170"/>
      <c r="O1292" s="170"/>
      <c r="P1292" s="170"/>
      <c r="Q1292" s="170"/>
      <c r="R1292" s="136"/>
      <c r="S1292" s="137"/>
      <c r="T1292" s="128"/>
      <c r="U1292" s="137"/>
      <c r="V1292" s="128"/>
      <c r="W1292" s="49"/>
      <c r="X1292" s="128"/>
      <c r="Y1292" s="49"/>
      <c r="Z1292" s="128"/>
      <c r="AA1292" s="49"/>
      <c r="AB1292" s="128"/>
      <c r="AC1292" s="49"/>
      <c r="AE1292" s="133"/>
    </row>
    <row r="1293" spans="1:31" ht="15.75" hidden="1" outlineLevel="2" x14ac:dyDescent="0.2">
      <c r="A1293" s="25">
        <f>'Утв. ИП 2014-2019'!A1295</f>
        <v>0</v>
      </c>
      <c r="B1293" s="6">
        <f>'Утв. ИП 2014-2019'!B1295</f>
        <v>0</v>
      </c>
      <c r="C1293" s="7" t="str">
        <f>'Утв. ИП 2014-2019'!C1295</f>
        <v>реконструкция</v>
      </c>
      <c r="D1293" s="8"/>
      <c r="E1293" s="8"/>
      <c r="F1293" s="8"/>
      <c r="G1293" s="8"/>
      <c r="H1293" s="8"/>
      <c r="I1293" s="8"/>
      <c r="J1293" s="23"/>
      <c r="K1293" s="170"/>
      <c r="L1293" s="170"/>
      <c r="M1293" s="170"/>
      <c r="N1293" s="170"/>
      <c r="O1293" s="170"/>
      <c r="P1293" s="170"/>
      <c r="Q1293" s="170"/>
      <c r="R1293" s="136"/>
      <c r="S1293" s="137"/>
      <c r="T1293" s="128"/>
      <c r="U1293" s="137"/>
      <c r="V1293" s="128"/>
      <c r="W1293" s="49"/>
      <c r="X1293" s="128"/>
      <c r="Y1293" s="49"/>
      <c r="Z1293" s="128"/>
      <c r="AA1293" s="49"/>
      <c r="AB1293" s="128"/>
      <c r="AC1293" s="49"/>
      <c r="AE1293" s="133"/>
    </row>
    <row r="1294" spans="1:31" ht="15.75" hidden="1" outlineLevel="2" x14ac:dyDescent="0.2">
      <c r="A1294" s="25">
        <f>'Утв. ИП 2014-2019'!A1296</f>
        <v>0</v>
      </c>
      <c r="B1294" s="6">
        <f>'Утв. ИП 2014-2019'!B1296</f>
        <v>0</v>
      </c>
      <c r="C1294" s="7" t="str">
        <f>'Утв. ИП 2014-2019'!C1296</f>
        <v>строительство</v>
      </c>
      <c r="D1294" s="8"/>
      <c r="E1294" s="8"/>
      <c r="F1294" s="8"/>
      <c r="G1294" s="8"/>
      <c r="H1294" s="8"/>
      <c r="I1294" s="8"/>
      <c r="J1294" s="23"/>
      <c r="K1294" s="170"/>
      <c r="L1294" s="170"/>
      <c r="M1294" s="170"/>
      <c r="N1294" s="170"/>
      <c r="O1294" s="170"/>
      <c r="P1294" s="170"/>
      <c r="Q1294" s="170"/>
      <c r="R1294" s="136"/>
      <c r="S1294" s="137"/>
      <c r="T1294" s="128"/>
      <c r="U1294" s="137"/>
      <c r="V1294" s="128"/>
      <c r="W1294" s="49"/>
      <c r="X1294" s="128"/>
      <c r="Y1294" s="49"/>
      <c r="Z1294" s="128"/>
      <c r="AA1294" s="49"/>
      <c r="AB1294" s="128"/>
      <c r="AC1294" s="49"/>
      <c r="AE1294" s="133"/>
    </row>
    <row r="1295" spans="1:31" ht="25.5" hidden="1" outlineLevel="1" collapsed="1" x14ac:dyDescent="0.2">
      <c r="A1295" s="25" t="str">
        <f>'Утв. ИП 2014-2019'!A1297</f>
        <v>1.1.5.2.101/13</v>
      </c>
      <c r="B1295" s="6" t="str">
        <f>'Утв. ИП 2014-2019'!B1297</f>
        <v>3.2.352</v>
      </c>
      <c r="C1295" s="7" t="str">
        <f>'Утв. ИП 2014-2019'!C1297</f>
        <v>Электроснабжение садового домика по адресу: СНТ "Сокол-2", уч. №536</v>
      </c>
      <c r="D1295" s="8"/>
      <c r="E1295" s="8" t="str">
        <f>'Утв. ИП 2014-2019'!L1297</f>
        <v>0,5 км/ 0 МВА</v>
      </c>
      <c r="F1295" s="8"/>
      <c r="G1295" s="8"/>
      <c r="H1295" s="8"/>
      <c r="I1295" s="8"/>
      <c r="J1295" s="23" t="str">
        <f>'Утв. ИП 2014-2019'!Q1297</f>
        <v>0,5 км/ 0 МВА</v>
      </c>
      <c r="K1295" s="170"/>
      <c r="L1295" s="170"/>
      <c r="M1295" s="170"/>
      <c r="N1295" s="170"/>
      <c r="O1295" s="170"/>
      <c r="P1295" s="170"/>
      <c r="Q1295" s="170"/>
      <c r="R1295" s="136"/>
      <c r="S1295" s="137"/>
      <c r="T1295" s="128"/>
      <c r="U1295" s="137"/>
      <c r="V1295" s="128"/>
      <c r="W1295" s="49"/>
      <c r="X1295" s="128"/>
      <c r="Y1295" s="49"/>
      <c r="Z1295" s="128"/>
      <c r="AA1295" s="49"/>
      <c r="AB1295" s="128"/>
      <c r="AC1295" s="49"/>
      <c r="AE1295" s="133"/>
    </row>
    <row r="1296" spans="1:31" ht="15.75" hidden="1" outlineLevel="2" x14ac:dyDescent="0.2">
      <c r="A1296" s="25">
        <f>'Утв. ИП 2014-2019'!A1298</f>
        <v>0</v>
      </c>
      <c r="B1296" s="6">
        <f>'Утв. ИП 2014-2019'!B1298</f>
        <v>0</v>
      </c>
      <c r="C1296" s="7" t="str">
        <f>'Утв. ИП 2014-2019'!C1298</f>
        <v>реконструкция</v>
      </c>
      <c r="D1296" s="8"/>
      <c r="E1296" s="8"/>
      <c r="F1296" s="8"/>
      <c r="G1296" s="8"/>
      <c r="H1296" s="8"/>
      <c r="I1296" s="8"/>
      <c r="J1296" s="23"/>
      <c r="K1296" s="170"/>
      <c r="L1296" s="170"/>
      <c r="M1296" s="170"/>
      <c r="N1296" s="170"/>
      <c r="O1296" s="170"/>
      <c r="P1296" s="170"/>
      <c r="Q1296" s="170"/>
      <c r="R1296" s="136"/>
      <c r="S1296" s="137"/>
      <c r="T1296" s="128"/>
      <c r="U1296" s="137"/>
      <c r="V1296" s="128"/>
      <c r="W1296" s="49"/>
      <c r="X1296" s="128"/>
      <c r="Y1296" s="49"/>
      <c r="Z1296" s="128"/>
      <c r="AA1296" s="49"/>
      <c r="AB1296" s="128"/>
      <c r="AC1296" s="49"/>
      <c r="AE1296" s="133"/>
    </row>
    <row r="1297" spans="1:31" ht="15.75" hidden="1" outlineLevel="2" x14ac:dyDescent="0.2">
      <c r="A1297" s="25">
        <f>'Утв. ИП 2014-2019'!A1299</f>
        <v>0</v>
      </c>
      <c r="B1297" s="6">
        <f>'Утв. ИП 2014-2019'!B1299</f>
        <v>0</v>
      </c>
      <c r="C1297" s="7" t="str">
        <f>'Утв. ИП 2014-2019'!C1299</f>
        <v>строительство</v>
      </c>
      <c r="D1297" s="8"/>
      <c r="E1297" s="8"/>
      <c r="F1297" s="8"/>
      <c r="G1297" s="8"/>
      <c r="H1297" s="8"/>
      <c r="I1297" s="8"/>
      <c r="J1297" s="23"/>
      <c r="K1297" s="170"/>
      <c r="L1297" s="170"/>
      <c r="M1297" s="170"/>
      <c r="N1297" s="170"/>
      <c r="O1297" s="170"/>
      <c r="P1297" s="170"/>
      <c r="Q1297" s="170"/>
      <c r="R1297" s="136"/>
      <c r="S1297" s="137"/>
      <c r="T1297" s="128"/>
      <c r="U1297" s="137"/>
      <c r="V1297" s="128"/>
      <c r="W1297" s="49"/>
      <c r="X1297" s="128"/>
      <c r="Y1297" s="49"/>
      <c r="Z1297" s="128"/>
      <c r="AA1297" s="49"/>
      <c r="AB1297" s="128"/>
      <c r="AC1297" s="49"/>
      <c r="AE1297" s="133"/>
    </row>
    <row r="1298" spans="1:31" ht="25.5" hidden="1" outlineLevel="1" collapsed="1" x14ac:dyDescent="0.2">
      <c r="A1298" s="25" t="str">
        <f>'Утв. ИП 2014-2019'!A1300</f>
        <v>1.1.5.2.104/13</v>
      </c>
      <c r="B1298" s="6" t="str">
        <f>'Утв. ИП 2014-2019'!B1300</f>
        <v>3.2.353</v>
      </c>
      <c r="C1298" s="7" t="str">
        <f>'Утв. ИП 2014-2019'!C1300</f>
        <v>Электроснабжение жилого дома с пристройкой по адресу: г. Липецк, ул. Шахтерская, дом № 7 а</v>
      </c>
      <c r="D1298" s="8"/>
      <c r="E1298" s="8" t="str">
        <f>'Утв. ИП 2014-2019'!L1300</f>
        <v>0,0 км/ 0 МВА</v>
      </c>
      <c r="F1298" s="8"/>
      <c r="G1298" s="8"/>
      <c r="H1298" s="8"/>
      <c r="I1298" s="8"/>
      <c r="J1298" s="23" t="str">
        <f>'Утв. ИП 2014-2019'!Q1300</f>
        <v>0,0 км/ 0 МВА</v>
      </c>
      <c r="K1298" s="170"/>
      <c r="L1298" s="170"/>
      <c r="M1298" s="170"/>
      <c r="N1298" s="170"/>
      <c r="O1298" s="170"/>
      <c r="P1298" s="170"/>
      <c r="Q1298" s="170"/>
      <c r="R1298" s="166"/>
      <c r="S1298" s="167"/>
      <c r="T1298" s="168"/>
      <c r="U1298" s="167"/>
      <c r="V1298" s="168"/>
      <c r="W1298" s="169"/>
      <c r="X1298" s="168"/>
      <c r="Y1298" s="169"/>
      <c r="Z1298" s="168"/>
      <c r="AA1298" s="169"/>
      <c r="AB1298" s="168"/>
      <c r="AC1298" s="169"/>
      <c r="AE1298" s="133"/>
    </row>
    <row r="1299" spans="1:31" ht="15.75" hidden="1" outlineLevel="2" x14ac:dyDescent="0.2">
      <c r="A1299" s="25">
        <f>'Утв. ИП 2014-2019'!A1301</f>
        <v>0</v>
      </c>
      <c r="B1299" s="6">
        <f>'Утв. ИП 2014-2019'!B1301</f>
        <v>0</v>
      </c>
      <c r="C1299" s="7" t="str">
        <f>'Утв. ИП 2014-2019'!C1301</f>
        <v>реконструкция</v>
      </c>
      <c r="D1299" s="8"/>
      <c r="E1299" s="8"/>
      <c r="F1299" s="8"/>
      <c r="G1299" s="8"/>
      <c r="H1299" s="8"/>
      <c r="I1299" s="8"/>
      <c r="J1299" s="23"/>
      <c r="K1299" s="170"/>
      <c r="L1299" s="170"/>
      <c r="M1299" s="170"/>
      <c r="N1299" s="170"/>
      <c r="O1299" s="170"/>
      <c r="P1299" s="170"/>
      <c r="Q1299" s="170"/>
      <c r="R1299" s="166"/>
      <c r="S1299" s="167"/>
      <c r="T1299" s="168"/>
      <c r="U1299" s="167"/>
      <c r="V1299" s="168"/>
      <c r="W1299" s="169"/>
      <c r="X1299" s="168"/>
      <c r="Y1299" s="169"/>
      <c r="Z1299" s="168"/>
      <c r="AA1299" s="169"/>
      <c r="AB1299" s="168"/>
      <c r="AC1299" s="169"/>
      <c r="AE1299" s="133"/>
    </row>
    <row r="1300" spans="1:31" ht="15.75" hidden="1" outlineLevel="2" x14ac:dyDescent="0.2">
      <c r="A1300" s="25">
        <f>'Утв. ИП 2014-2019'!A1302</f>
        <v>0</v>
      </c>
      <c r="B1300" s="6">
        <f>'Утв. ИП 2014-2019'!B1302</f>
        <v>0</v>
      </c>
      <c r="C1300" s="7" t="str">
        <f>'Утв. ИП 2014-2019'!C1302</f>
        <v>строительство</v>
      </c>
      <c r="D1300" s="8"/>
      <c r="E1300" s="8"/>
      <c r="F1300" s="8"/>
      <c r="G1300" s="8"/>
      <c r="H1300" s="8"/>
      <c r="I1300" s="8"/>
      <c r="J1300" s="23"/>
      <c r="K1300" s="170"/>
      <c r="L1300" s="170"/>
      <c r="M1300" s="170"/>
      <c r="N1300" s="170"/>
      <c r="O1300" s="170"/>
      <c r="P1300" s="170"/>
      <c r="Q1300" s="170"/>
      <c r="R1300" s="166"/>
      <c r="S1300" s="167"/>
      <c r="T1300" s="168"/>
      <c r="U1300" s="167"/>
      <c r="V1300" s="168"/>
      <c r="W1300" s="169"/>
      <c r="X1300" s="168"/>
      <c r="Y1300" s="169"/>
      <c r="Z1300" s="168"/>
      <c r="AA1300" s="169"/>
      <c r="AB1300" s="168"/>
      <c r="AC1300" s="169"/>
      <c r="AE1300" s="133"/>
    </row>
    <row r="1301" spans="1:31" ht="25.5" hidden="1" outlineLevel="1" collapsed="1" x14ac:dyDescent="0.2">
      <c r="A1301" s="25" t="str">
        <f>'Утв. ИП 2014-2019'!A1303</f>
        <v>1.1.5.2.105/13</v>
      </c>
      <c r="B1301" s="6" t="str">
        <f>'Утв. ИП 2014-2019'!B1303</f>
        <v>3.2.354</v>
      </c>
      <c r="C1301" s="7" t="str">
        <f>'Утв. ИП 2014-2019'!C1303</f>
        <v>Электроснабжение 51/100 доли помещения с полуподвалом № 12 по адресу: г. Липецк, Универсальный проезд, д. 14</v>
      </c>
      <c r="D1301" s="8"/>
      <c r="E1301" s="8" t="str">
        <f>'Утв. ИП 2014-2019'!L1303</f>
        <v>0,5 км/ 0 МВА</v>
      </c>
      <c r="F1301" s="8"/>
      <c r="G1301" s="8"/>
      <c r="H1301" s="8"/>
      <c r="I1301" s="8"/>
      <c r="J1301" s="23" t="str">
        <f>'Утв. ИП 2014-2019'!Q1303</f>
        <v>0,5 км/ 0 МВА</v>
      </c>
      <c r="K1301" s="170"/>
      <c r="L1301" s="170"/>
      <c r="M1301" s="170"/>
      <c r="N1301" s="170"/>
      <c r="O1301" s="170"/>
      <c r="P1301" s="170"/>
      <c r="Q1301" s="170"/>
      <c r="R1301" s="136"/>
      <c r="S1301" s="137"/>
      <c r="T1301" s="128"/>
      <c r="U1301" s="137"/>
      <c r="V1301" s="128"/>
      <c r="W1301" s="49"/>
      <c r="X1301" s="128"/>
      <c r="Y1301" s="49"/>
      <c r="Z1301" s="128"/>
      <c r="AA1301" s="49"/>
      <c r="AB1301" s="128"/>
      <c r="AC1301" s="49"/>
      <c r="AE1301" s="133"/>
    </row>
    <row r="1302" spans="1:31" ht="15.75" hidden="1" outlineLevel="2" x14ac:dyDescent="0.2">
      <c r="A1302" s="25">
        <f>'Утв. ИП 2014-2019'!A1304</f>
        <v>0</v>
      </c>
      <c r="B1302" s="6">
        <f>'Утв. ИП 2014-2019'!B1304</f>
        <v>0</v>
      </c>
      <c r="C1302" s="7" t="str">
        <f>'Утв. ИП 2014-2019'!C1304</f>
        <v>реконструкция</v>
      </c>
      <c r="D1302" s="8"/>
      <c r="E1302" s="8"/>
      <c r="F1302" s="8"/>
      <c r="G1302" s="8"/>
      <c r="H1302" s="8"/>
      <c r="I1302" s="8"/>
      <c r="J1302" s="23"/>
      <c r="K1302" s="170"/>
      <c r="L1302" s="170"/>
      <c r="M1302" s="170"/>
      <c r="N1302" s="170"/>
      <c r="O1302" s="170"/>
      <c r="P1302" s="170"/>
      <c r="Q1302" s="170"/>
      <c r="R1302" s="136"/>
      <c r="S1302" s="137"/>
      <c r="T1302" s="128"/>
      <c r="U1302" s="137"/>
      <c r="V1302" s="128"/>
      <c r="W1302" s="49"/>
      <c r="X1302" s="128"/>
      <c r="Y1302" s="49"/>
      <c r="Z1302" s="128"/>
      <c r="AA1302" s="49"/>
      <c r="AB1302" s="128"/>
      <c r="AC1302" s="49"/>
      <c r="AE1302" s="133"/>
    </row>
    <row r="1303" spans="1:31" ht="15.75" hidden="1" outlineLevel="2" x14ac:dyDescent="0.2">
      <c r="A1303" s="25">
        <f>'Утв. ИП 2014-2019'!A1305</f>
        <v>0</v>
      </c>
      <c r="B1303" s="6">
        <f>'Утв. ИП 2014-2019'!B1305</f>
        <v>0</v>
      </c>
      <c r="C1303" s="7" t="str">
        <f>'Утв. ИП 2014-2019'!C1305</f>
        <v>строительство</v>
      </c>
      <c r="D1303" s="8"/>
      <c r="E1303" s="8"/>
      <c r="F1303" s="8"/>
      <c r="G1303" s="8"/>
      <c r="H1303" s="8"/>
      <c r="I1303" s="8"/>
      <c r="J1303" s="23"/>
      <c r="K1303" s="170"/>
      <c r="L1303" s="170"/>
      <c r="M1303" s="170"/>
      <c r="N1303" s="170"/>
      <c r="O1303" s="170"/>
      <c r="P1303" s="170"/>
      <c r="Q1303" s="170"/>
      <c r="R1303" s="136"/>
      <c r="S1303" s="137"/>
      <c r="T1303" s="128"/>
      <c r="U1303" s="137"/>
      <c r="V1303" s="128"/>
      <c r="W1303" s="49"/>
      <c r="X1303" s="128"/>
      <c r="Y1303" s="49"/>
      <c r="Z1303" s="128"/>
      <c r="AA1303" s="49"/>
      <c r="AB1303" s="128"/>
      <c r="AC1303" s="49"/>
      <c r="AE1303" s="133"/>
    </row>
    <row r="1304" spans="1:31" ht="25.5" hidden="1" outlineLevel="1" collapsed="1" x14ac:dyDescent="0.2">
      <c r="A1304" s="25" t="str">
        <f>'Утв. ИП 2014-2019'!A1306</f>
        <v>1.1.5.2.106/13</v>
      </c>
      <c r="B1304" s="6" t="str">
        <f>'Утв. ИП 2014-2019'!B1306</f>
        <v>3.2.355</v>
      </c>
      <c r="C1304" s="7" t="str">
        <f>'Утв. ИП 2014-2019'!C1306</f>
        <v>Электроснабжение гаражного бокса № 19 по адресу: г. Липецк, ул. Неделина, д. 1 "б"</v>
      </c>
      <c r="D1304" s="8"/>
      <c r="E1304" s="8" t="str">
        <f>'Утв. ИП 2014-2019'!L1306</f>
        <v>0,0 км/ 0 МВА</v>
      </c>
      <c r="F1304" s="8"/>
      <c r="G1304" s="8"/>
      <c r="H1304" s="8"/>
      <c r="I1304" s="8"/>
      <c r="J1304" s="23" t="str">
        <f>'Утв. ИП 2014-2019'!Q1306</f>
        <v>0,0 км/ 0 МВА</v>
      </c>
      <c r="K1304" s="170"/>
      <c r="L1304" s="170"/>
      <c r="M1304" s="170"/>
      <c r="N1304" s="170"/>
      <c r="O1304" s="170"/>
      <c r="P1304" s="170"/>
      <c r="Q1304" s="170"/>
      <c r="R1304" s="136"/>
      <c r="S1304" s="137"/>
      <c r="T1304" s="128"/>
      <c r="U1304" s="137"/>
      <c r="V1304" s="128"/>
      <c r="W1304" s="49"/>
      <c r="X1304" s="128"/>
      <c r="Y1304" s="49"/>
      <c r="Z1304" s="128"/>
      <c r="AA1304" s="49"/>
      <c r="AB1304" s="128"/>
      <c r="AC1304" s="49"/>
      <c r="AE1304" s="133"/>
    </row>
    <row r="1305" spans="1:31" ht="15.75" hidden="1" outlineLevel="2" x14ac:dyDescent="0.2">
      <c r="A1305" s="25">
        <f>'Утв. ИП 2014-2019'!A1307</f>
        <v>0</v>
      </c>
      <c r="B1305" s="6">
        <f>'Утв. ИП 2014-2019'!B1307</f>
        <v>0</v>
      </c>
      <c r="C1305" s="7" t="str">
        <f>'Утв. ИП 2014-2019'!C1307</f>
        <v>реконструкция</v>
      </c>
      <c r="D1305" s="8"/>
      <c r="E1305" s="8"/>
      <c r="F1305" s="8"/>
      <c r="G1305" s="8"/>
      <c r="H1305" s="8"/>
      <c r="I1305" s="8"/>
      <c r="J1305" s="23"/>
      <c r="K1305" s="170"/>
      <c r="L1305" s="170"/>
      <c r="M1305" s="170"/>
      <c r="N1305" s="170"/>
      <c r="O1305" s="170"/>
      <c r="P1305" s="170"/>
      <c r="Q1305" s="170"/>
      <c r="R1305" s="136"/>
      <c r="S1305" s="137"/>
      <c r="T1305" s="128"/>
      <c r="U1305" s="137"/>
      <c r="V1305" s="128"/>
      <c r="W1305" s="49"/>
      <c r="X1305" s="128"/>
      <c r="Y1305" s="49"/>
      <c r="Z1305" s="128"/>
      <c r="AA1305" s="49"/>
      <c r="AB1305" s="128"/>
      <c r="AC1305" s="49"/>
      <c r="AE1305" s="133"/>
    </row>
    <row r="1306" spans="1:31" ht="15.75" hidden="1" outlineLevel="2" x14ac:dyDescent="0.2">
      <c r="A1306" s="25">
        <f>'Утв. ИП 2014-2019'!A1308</f>
        <v>0</v>
      </c>
      <c r="B1306" s="6">
        <f>'Утв. ИП 2014-2019'!B1308</f>
        <v>0</v>
      </c>
      <c r="C1306" s="7" t="str">
        <f>'Утв. ИП 2014-2019'!C1308</f>
        <v>строительство</v>
      </c>
      <c r="D1306" s="8"/>
      <c r="E1306" s="8"/>
      <c r="F1306" s="8"/>
      <c r="G1306" s="8"/>
      <c r="H1306" s="8"/>
      <c r="I1306" s="8"/>
      <c r="J1306" s="23"/>
      <c r="K1306" s="170"/>
      <c r="L1306" s="170"/>
      <c r="M1306" s="170"/>
      <c r="N1306" s="170"/>
      <c r="O1306" s="170"/>
      <c r="P1306" s="170"/>
      <c r="Q1306" s="170"/>
      <c r="R1306" s="136"/>
      <c r="S1306" s="137"/>
      <c r="T1306" s="128"/>
      <c r="U1306" s="137"/>
      <c r="V1306" s="128"/>
      <c r="W1306" s="49"/>
      <c r="X1306" s="128"/>
      <c r="Y1306" s="49"/>
      <c r="Z1306" s="128"/>
      <c r="AA1306" s="49"/>
      <c r="AB1306" s="128"/>
      <c r="AC1306" s="49"/>
      <c r="AE1306" s="133"/>
    </row>
    <row r="1307" spans="1:31" ht="25.5" hidden="1" outlineLevel="1" collapsed="1" x14ac:dyDescent="0.2">
      <c r="A1307" s="25" t="str">
        <f>'Утв. ИП 2014-2019'!A1309</f>
        <v>1.1.5.2.107/13</v>
      </c>
      <c r="B1307" s="6" t="str">
        <f>'Утв. ИП 2014-2019'!B1309</f>
        <v>3.2.356</v>
      </c>
      <c r="C1307" s="7" t="str">
        <f>'Утв. ИП 2014-2019'!C1309</f>
        <v>Электроснабжение кирпичного гаража № 830 по адресу: г. Липецк, ГПК "Сырский", ряд 9</v>
      </c>
      <c r="D1307" s="8"/>
      <c r="E1307" s="8" t="str">
        <f>'Утв. ИП 2014-2019'!L1309</f>
        <v>0,4 км/ 0 МВА</v>
      </c>
      <c r="F1307" s="8"/>
      <c r="G1307" s="8"/>
      <c r="H1307" s="8"/>
      <c r="I1307" s="8"/>
      <c r="J1307" s="23" t="str">
        <f>'Утв. ИП 2014-2019'!Q1309</f>
        <v>0,4 км/ 0 МВА</v>
      </c>
      <c r="K1307" s="170"/>
      <c r="L1307" s="170"/>
      <c r="M1307" s="170"/>
      <c r="N1307" s="170"/>
      <c r="O1307" s="170"/>
      <c r="P1307" s="170"/>
      <c r="Q1307" s="170"/>
      <c r="R1307" s="136"/>
      <c r="S1307" s="137"/>
      <c r="T1307" s="128"/>
      <c r="U1307" s="137"/>
      <c r="V1307" s="128"/>
      <c r="W1307" s="49"/>
      <c r="X1307" s="128"/>
      <c r="Y1307" s="49"/>
      <c r="Z1307" s="128"/>
      <c r="AA1307" s="49"/>
      <c r="AB1307" s="128"/>
      <c r="AC1307" s="49"/>
      <c r="AE1307" s="133"/>
    </row>
    <row r="1308" spans="1:31" ht="15.75" hidden="1" outlineLevel="2" x14ac:dyDescent="0.2">
      <c r="A1308" s="25">
        <f>'Утв. ИП 2014-2019'!A1310</f>
        <v>0</v>
      </c>
      <c r="B1308" s="6">
        <f>'Утв. ИП 2014-2019'!B1310</f>
        <v>0</v>
      </c>
      <c r="C1308" s="7" t="str">
        <f>'Утв. ИП 2014-2019'!C1310</f>
        <v>реконструкция</v>
      </c>
      <c r="D1308" s="8"/>
      <c r="E1308" s="8"/>
      <c r="F1308" s="8"/>
      <c r="G1308" s="8"/>
      <c r="H1308" s="8"/>
      <c r="I1308" s="8"/>
      <c r="J1308" s="23"/>
      <c r="K1308" s="170"/>
      <c r="L1308" s="170"/>
      <c r="M1308" s="170"/>
      <c r="N1308" s="170"/>
      <c r="O1308" s="170"/>
      <c r="P1308" s="170"/>
      <c r="Q1308" s="170"/>
      <c r="R1308" s="136"/>
      <c r="S1308" s="137"/>
      <c r="T1308" s="128"/>
      <c r="U1308" s="137"/>
      <c r="V1308" s="128"/>
      <c r="W1308" s="49"/>
      <c r="X1308" s="128"/>
      <c r="Y1308" s="49"/>
      <c r="Z1308" s="128"/>
      <c r="AA1308" s="49"/>
      <c r="AB1308" s="128"/>
      <c r="AC1308" s="49"/>
      <c r="AE1308" s="133"/>
    </row>
    <row r="1309" spans="1:31" ht="15.75" hidden="1" outlineLevel="2" x14ac:dyDescent="0.2">
      <c r="A1309" s="25">
        <f>'Утв. ИП 2014-2019'!A1311</f>
        <v>0</v>
      </c>
      <c r="B1309" s="6">
        <f>'Утв. ИП 2014-2019'!B1311</f>
        <v>0</v>
      </c>
      <c r="C1309" s="7" t="str">
        <f>'Утв. ИП 2014-2019'!C1311</f>
        <v>строительство</v>
      </c>
      <c r="D1309" s="8"/>
      <c r="E1309" s="8"/>
      <c r="F1309" s="8"/>
      <c r="G1309" s="8"/>
      <c r="H1309" s="8"/>
      <c r="I1309" s="8"/>
      <c r="J1309" s="23"/>
      <c r="K1309" s="170"/>
      <c r="L1309" s="170"/>
      <c r="M1309" s="170"/>
      <c r="N1309" s="170"/>
      <c r="O1309" s="170"/>
      <c r="P1309" s="170"/>
      <c r="Q1309" s="170"/>
      <c r="R1309" s="136"/>
      <c r="S1309" s="137"/>
      <c r="T1309" s="128"/>
      <c r="U1309" s="137"/>
      <c r="V1309" s="128"/>
      <c r="W1309" s="49"/>
      <c r="X1309" s="128"/>
      <c r="Y1309" s="49"/>
      <c r="Z1309" s="128"/>
      <c r="AA1309" s="49"/>
      <c r="AB1309" s="128"/>
      <c r="AC1309" s="49"/>
      <c r="AE1309" s="133"/>
    </row>
    <row r="1310" spans="1:31" ht="25.5" hidden="1" outlineLevel="1" collapsed="1" x14ac:dyDescent="0.2">
      <c r="A1310" s="25" t="str">
        <f>'Утв. ИП 2014-2019'!A1312</f>
        <v>4.1.24/09</v>
      </c>
      <c r="B1310" s="6" t="str">
        <f>'Утв. ИП 2014-2019'!B1312</f>
        <v>3.2.357</v>
      </c>
      <c r="C1310" s="7" t="str">
        <f>'Утв. ИП 2014-2019'!C1312</f>
        <v>Электроснабжение садовых домиков в СНТ "Липецкстрой", запитанных от КТП-92 ; 55кВт, 220 В, 3 категория</v>
      </c>
      <c r="D1310" s="8"/>
      <c r="E1310" s="8" t="str">
        <f>'Утв. ИП 2014-2019'!L1312</f>
        <v>0,0 км/ 0 МВА</v>
      </c>
      <c r="F1310" s="8"/>
      <c r="G1310" s="8"/>
      <c r="H1310" s="8"/>
      <c r="I1310" s="8"/>
      <c r="J1310" s="23" t="str">
        <f>'Утв. ИП 2014-2019'!Q1312</f>
        <v>0,0 км/ 0 МВА</v>
      </c>
      <c r="K1310" s="170"/>
      <c r="L1310" s="170"/>
      <c r="M1310" s="170"/>
      <c r="N1310" s="170"/>
      <c r="O1310" s="170"/>
      <c r="P1310" s="170"/>
      <c r="Q1310" s="170"/>
      <c r="R1310" s="136"/>
      <c r="S1310" s="137"/>
      <c r="T1310" s="128"/>
      <c r="U1310" s="137"/>
      <c r="V1310" s="128"/>
      <c r="W1310" s="49"/>
      <c r="X1310" s="128"/>
      <c r="Y1310" s="49"/>
      <c r="Z1310" s="128"/>
      <c r="AA1310" s="49"/>
      <c r="AB1310" s="128"/>
      <c r="AC1310" s="49"/>
      <c r="AE1310" s="133"/>
    </row>
    <row r="1311" spans="1:31" ht="15.75" hidden="1" outlineLevel="2" x14ac:dyDescent="0.2">
      <c r="A1311" s="25">
        <f>'Утв. ИП 2014-2019'!A1313</f>
        <v>0</v>
      </c>
      <c r="B1311" s="6">
        <f>'Утв. ИП 2014-2019'!B1313</f>
        <v>0</v>
      </c>
      <c r="C1311" s="7" t="str">
        <f>'Утв. ИП 2014-2019'!C1313</f>
        <v>реконструкция</v>
      </c>
      <c r="D1311" s="8"/>
      <c r="E1311" s="8"/>
      <c r="F1311" s="8"/>
      <c r="G1311" s="8"/>
      <c r="H1311" s="8"/>
      <c r="I1311" s="8"/>
      <c r="J1311" s="23"/>
      <c r="K1311" s="170"/>
      <c r="L1311" s="170"/>
      <c r="M1311" s="170"/>
      <c r="N1311" s="170"/>
      <c r="O1311" s="170"/>
      <c r="P1311" s="170"/>
      <c r="Q1311" s="170"/>
      <c r="R1311" s="136"/>
      <c r="S1311" s="137"/>
      <c r="T1311" s="128"/>
      <c r="U1311" s="137"/>
      <c r="V1311" s="128"/>
      <c r="W1311" s="49"/>
      <c r="X1311" s="128"/>
      <c r="Y1311" s="49"/>
      <c r="Z1311" s="128"/>
      <c r="AA1311" s="49"/>
      <c r="AB1311" s="128"/>
      <c r="AC1311" s="49"/>
      <c r="AE1311" s="133"/>
    </row>
    <row r="1312" spans="1:31" ht="15.75" hidden="1" outlineLevel="2" x14ac:dyDescent="0.2">
      <c r="A1312" s="25">
        <f>'Утв. ИП 2014-2019'!A1314</f>
        <v>0</v>
      </c>
      <c r="B1312" s="6">
        <f>'Утв. ИП 2014-2019'!B1314</f>
        <v>0</v>
      </c>
      <c r="C1312" s="7" t="str">
        <f>'Утв. ИП 2014-2019'!C1314</f>
        <v>строительство</v>
      </c>
      <c r="D1312" s="8"/>
      <c r="E1312" s="8"/>
      <c r="F1312" s="8"/>
      <c r="G1312" s="8"/>
      <c r="H1312" s="8"/>
      <c r="I1312" s="8"/>
      <c r="J1312" s="23"/>
      <c r="K1312" s="170"/>
      <c r="L1312" s="170"/>
      <c r="M1312" s="170"/>
      <c r="N1312" s="170"/>
      <c r="O1312" s="170"/>
      <c r="P1312" s="170"/>
      <c r="Q1312" s="170"/>
      <c r="R1312" s="136"/>
      <c r="S1312" s="137"/>
      <c r="T1312" s="128"/>
      <c r="U1312" s="137"/>
      <c r="V1312" s="128"/>
      <c r="W1312" s="49"/>
      <c r="X1312" s="128"/>
      <c r="Y1312" s="49"/>
      <c r="Z1312" s="128"/>
      <c r="AA1312" s="49"/>
      <c r="AB1312" s="128"/>
      <c r="AC1312" s="49"/>
      <c r="AE1312" s="133"/>
    </row>
    <row r="1313" spans="1:31" ht="25.5" hidden="1" outlineLevel="1" collapsed="1" x14ac:dyDescent="0.2">
      <c r="A1313" s="25" t="str">
        <f>'Утв. ИП 2014-2019'!A1315</f>
        <v>1.1.5.2.2/14</v>
      </c>
      <c r="B1313" s="6" t="str">
        <f>'Утв. ИП 2014-2019'!B1315</f>
        <v>3.2.358</v>
      </c>
      <c r="C1313" s="7" t="str">
        <f>'Утв. ИП 2014-2019'!C1315</f>
        <v>Электроснабжение садового домика по адресу: г. Липецк, СНТ "Металлург-2" ОАО "НЛМК", участок № 1947 а</v>
      </c>
      <c r="D1313" s="8"/>
      <c r="E1313" s="8" t="str">
        <f>'Утв. ИП 2014-2019'!L1315</f>
        <v>0,12 км/ 0 МВА</v>
      </c>
      <c r="F1313" s="8"/>
      <c r="G1313" s="8"/>
      <c r="H1313" s="8"/>
      <c r="I1313" s="8"/>
      <c r="J1313" s="23" t="str">
        <f>'Утв. ИП 2014-2019'!Q1315</f>
        <v>0,12 км/ 0 МВА</v>
      </c>
      <c r="K1313" s="170"/>
      <c r="L1313" s="170"/>
      <c r="M1313" s="170"/>
      <c r="N1313" s="170"/>
      <c r="O1313" s="170"/>
      <c r="P1313" s="170"/>
      <c r="Q1313" s="170"/>
      <c r="R1313" s="136"/>
      <c r="S1313" s="137"/>
      <c r="T1313" s="128"/>
      <c r="U1313" s="137"/>
      <c r="V1313" s="128"/>
      <c r="W1313" s="49"/>
      <c r="X1313" s="128"/>
      <c r="Y1313" s="49"/>
      <c r="Z1313" s="128"/>
      <c r="AA1313" s="49"/>
      <c r="AB1313" s="128"/>
      <c r="AC1313" s="49"/>
      <c r="AE1313" s="133"/>
    </row>
    <row r="1314" spans="1:31" ht="15.75" hidden="1" outlineLevel="2" x14ac:dyDescent="0.2">
      <c r="A1314" s="25">
        <f>'Утв. ИП 2014-2019'!A1316</f>
        <v>0</v>
      </c>
      <c r="B1314" s="6">
        <f>'Утв. ИП 2014-2019'!B1316</f>
        <v>0</v>
      </c>
      <c r="C1314" s="7" t="str">
        <f>'Утв. ИП 2014-2019'!C1316</f>
        <v>реконструкция</v>
      </c>
      <c r="D1314" s="8"/>
      <c r="E1314" s="8"/>
      <c r="F1314" s="8"/>
      <c r="G1314" s="8"/>
      <c r="H1314" s="8"/>
      <c r="I1314" s="8"/>
      <c r="J1314" s="23"/>
      <c r="K1314" s="170"/>
      <c r="L1314" s="170"/>
      <c r="M1314" s="170"/>
      <c r="N1314" s="170"/>
      <c r="O1314" s="170"/>
      <c r="P1314" s="170"/>
      <c r="Q1314" s="170"/>
      <c r="R1314" s="136"/>
      <c r="S1314" s="137"/>
      <c r="T1314" s="128"/>
      <c r="U1314" s="137"/>
      <c r="V1314" s="128"/>
      <c r="W1314" s="49"/>
      <c r="X1314" s="128"/>
      <c r="Y1314" s="49"/>
      <c r="Z1314" s="128"/>
      <c r="AA1314" s="49"/>
      <c r="AB1314" s="128"/>
      <c r="AC1314" s="49"/>
      <c r="AE1314" s="133"/>
    </row>
    <row r="1315" spans="1:31" ht="15.75" hidden="1" outlineLevel="2" x14ac:dyDescent="0.2">
      <c r="A1315" s="25">
        <f>'Утв. ИП 2014-2019'!A1317</f>
        <v>0</v>
      </c>
      <c r="B1315" s="6">
        <f>'Утв. ИП 2014-2019'!B1317</f>
        <v>0</v>
      </c>
      <c r="C1315" s="7" t="str">
        <f>'Утв. ИП 2014-2019'!C1317</f>
        <v>строительство</v>
      </c>
      <c r="D1315" s="8"/>
      <c r="E1315" s="8"/>
      <c r="F1315" s="8"/>
      <c r="G1315" s="8"/>
      <c r="H1315" s="8"/>
      <c r="I1315" s="8"/>
      <c r="J1315" s="23"/>
      <c r="K1315" s="170"/>
      <c r="L1315" s="170"/>
      <c r="M1315" s="170"/>
      <c r="N1315" s="170"/>
      <c r="O1315" s="170"/>
      <c r="P1315" s="170"/>
      <c r="Q1315" s="170"/>
      <c r="R1315" s="136"/>
      <c r="S1315" s="137"/>
      <c r="T1315" s="128"/>
      <c r="U1315" s="137"/>
      <c r="V1315" s="128"/>
      <c r="W1315" s="49"/>
      <c r="X1315" s="128"/>
      <c r="Y1315" s="49"/>
      <c r="Z1315" s="128"/>
      <c r="AA1315" s="49"/>
      <c r="AB1315" s="128"/>
      <c r="AC1315" s="49"/>
      <c r="AE1315" s="133"/>
    </row>
    <row r="1316" spans="1:31" ht="25.5" hidden="1" outlineLevel="1" collapsed="1" x14ac:dyDescent="0.2">
      <c r="A1316" s="25" t="str">
        <f>'Утв. ИП 2014-2019'!A1318</f>
        <v>1.1.5.2.3/14</v>
      </c>
      <c r="B1316" s="6" t="str">
        <f>'Утв. ИП 2014-2019'!B1318</f>
        <v>3.2.359</v>
      </c>
      <c r="C1316" s="7" t="str">
        <f>'Утв. ИП 2014-2019'!C1318</f>
        <v>Электроснабжение садового домика по адресу: г. Липецк, СНТ "Металлур-2" ОАО НЛМК, участок № 1913</v>
      </c>
      <c r="D1316" s="8"/>
      <c r="E1316" s="8" t="str">
        <f>'Утв. ИП 2014-2019'!L1318</f>
        <v>0,0 км/ 0 МВА</v>
      </c>
      <c r="F1316" s="8"/>
      <c r="G1316" s="8"/>
      <c r="H1316" s="8"/>
      <c r="I1316" s="8"/>
      <c r="J1316" s="23" t="str">
        <f>'Утв. ИП 2014-2019'!Q1318</f>
        <v>0,0 км/ 0 МВА</v>
      </c>
      <c r="K1316" s="170"/>
      <c r="L1316" s="170"/>
      <c r="M1316" s="170"/>
      <c r="N1316" s="170"/>
      <c r="O1316" s="170"/>
      <c r="P1316" s="170"/>
      <c r="Q1316" s="170"/>
      <c r="R1316" s="136"/>
      <c r="S1316" s="137"/>
      <c r="T1316" s="128"/>
      <c r="U1316" s="137"/>
      <c r="V1316" s="128"/>
      <c r="W1316" s="49"/>
      <c r="X1316" s="128"/>
      <c r="Y1316" s="49"/>
      <c r="Z1316" s="128"/>
      <c r="AA1316" s="49"/>
      <c r="AB1316" s="128"/>
      <c r="AC1316" s="49"/>
      <c r="AE1316" s="133"/>
    </row>
    <row r="1317" spans="1:31" ht="15.75" hidden="1" outlineLevel="2" x14ac:dyDescent="0.2">
      <c r="A1317" s="25">
        <f>'Утв. ИП 2014-2019'!A1319</f>
        <v>0</v>
      </c>
      <c r="B1317" s="6">
        <f>'Утв. ИП 2014-2019'!B1319</f>
        <v>0</v>
      </c>
      <c r="C1317" s="7" t="str">
        <f>'Утв. ИП 2014-2019'!C1319</f>
        <v>реконструкция</v>
      </c>
      <c r="D1317" s="8"/>
      <c r="E1317" s="8"/>
      <c r="F1317" s="8"/>
      <c r="G1317" s="8"/>
      <c r="H1317" s="8"/>
      <c r="I1317" s="8"/>
      <c r="J1317" s="23"/>
      <c r="K1317" s="170"/>
      <c r="L1317" s="170"/>
      <c r="M1317" s="170"/>
      <c r="N1317" s="170"/>
      <c r="O1317" s="170"/>
      <c r="P1317" s="170"/>
      <c r="Q1317" s="170"/>
      <c r="R1317" s="136"/>
      <c r="S1317" s="137"/>
      <c r="T1317" s="128"/>
      <c r="U1317" s="137"/>
      <c r="V1317" s="128"/>
      <c r="W1317" s="49"/>
      <c r="X1317" s="128"/>
      <c r="Y1317" s="49"/>
      <c r="Z1317" s="128"/>
      <c r="AA1317" s="49"/>
      <c r="AB1317" s="128"/>
      <c r="AC1317" s="49"/>
      <c r="AE1317" s="133"/>
    </row>
    <row r="1318" spans="1:31" ht="15.75" hidden="1" outlineLevel="2" x14ac:dyDescent="0.2">
      <c r="A1318" s="25">
        <f>'Утв. ИП 2014-2019'!A1320</f>
        <v>0</v>
      </c>
      <c r="B1318" s="6">
        <f>'Утв. ИП 2014-2019'!B1320</f>
        <v>0</v>
      </c>
      <c r="C1318" s="7" t="str">
        <f>'Утв. ИП 2014-2019'!C1320</f>
        <v>строительство</v>
      </c>
      <c r="D1318" s="8"/>
      <c r="E1318" s="8"/>
      <c r="F1318" s="8"/>
      <c r="G1318" s="8"/>
      <c r="H1318" s="8"/>
      <c r="I1318" s="8"/>
      <c r="J1318" s="23"/>
      <c r="K1318" s="170"/>
      <c r="L1318" s="170"/>
      <c r="M1318" s="170"/>
      <c r="N1318" s="170"/>
      <c r="O1318" s="170"/>
      <c r="P1318" s="170"/>
      <c r="Q1318" s="170"/>
      <c r="R1318" s="136"/>
      <c r="S1318" s="137"/>
      <c r="T1318" s="128"/>
      <c r="U1318" s="137"/>
      <c r="V1318" s="128"/>
      <c r="W1318" s="49"/>
      <c r="X1318" s="128"/>
      <c r="Y1318" s="49"/>
      <c r="Z1318" s="128"/>
      <c r="AA1318" s="49"/>
      <c r="AB1318" s="128"/>
      <c r="AC1318" s="49"/>
      <c r="AE1318" s="133"/>
    </row>
    <row r="1319" spans="1:31" ht="25.5" hidden="1" outlineLevel="1" collapsed="1" x14ac:dyDescent="0.2">
      <c r="A1319" s="25" t="str">
        <f>'Утв. ИП 2014-2019'!A1321</f>
        <v>1.1.5.2.4/14</v>
      </c>
      <c r="B1319" s="6" t="str">
        <f>'Утв. ИП 2014-2019'!B1321</f>
        <v>3.2.360</v>
      </c>
      <c r="C1319" s="7" t="str">
        <f>'Утв. ИП 2014-2019'!C1321</f>
        <v>Электроснабжение садовых домиков в СНТ "имени И.В. Мичурина"</v>
      </c>
      <c r="D1319" s="8"/>
      <c r="E1319" s="8" t="str">
        <f>'Утв. ИП 2014-2019'!L1321</f>
        <v>0,5 км/ 0 МВА</v>
      </c>
      <c r="F1319" s="8"/>
      <c r="G1319" s="8"/>
      <c r="H1319" s="8"/>
      <c r="I1319" s="8"/>
      <c r="J1319" s="23" t="str">
        <f>'Утв. ИП 2014-2019'!Q1321</f>
        <v>0,5 км/ 0 МВА</v>
      </c>
      <c r="K1319" s="170"/>
      <c r="L1319" s="170"/>
      <c r="M1319" s="170"/>
      <c r="N1319" s="170"/>
      <c r="O1319" s="170"/>
      <c r="P1319" s="170"/>
      <c r="Q1319" s="170"/>
      <c r="R1319" s="136"/>
      <c r="S1319" s="137"/>
      <c r="T1319" s="128"/>
      <c r="U1319" s="137"/>
      <c r="V1319" s="128"/>
      <c r="W1319" s="49"/>
      <c r="X1319" s="128"/>
      <c r="Y1319" s="49"/>
      <c r="Z1319" s="128"/>
      <c r="AA1319" s="49"/>
      <c r="AB1319" s="128"/>
      <c r="AC1319" s="49"/>
      <c r="AE1319" s="133"/>
    </row>
    <row r="1320" spans="1:31" ht="15.75" hidden="1" outlineLevel="2" x14ac:dyDescent="0.2">
      <c r="A1320" s="25">
        <f>'Утв. ИП 2014-2019'!A1322</f>
        <v>0</v>
      </c>
      <c r="B1320" s="6">
        <f>'Утв. ИП 2014-2019'!B1322</f>
        <v>0</v>
      </c>
      <c r="C1320" s="7" t="str">
        <f>'Утв. ИП 2014-2019'!C1322</f>
        <v>реконструкция</v>
      </c>
      <c r="D1320" s="8"/>
      <c r="E1320" s="8"/>
      <c r="F1320" s="8"/>
      <c r="G1320" s="8"/>
      <c r="H1320" s="8"/>
      <c r="I1320" s="8"/>
      <c r="J1320" s="23"/>
      <c r="K1320" s="170"/>
      <c r="L1320" s="170"/>
      <c r="M1320" s="170"/>
      <c r="N1320" s="170"/>
      <c r="O1320" s="170"/>
      <c r="P1320" s="170"/>
      <c r="Q1320" s="170"/>
      <c r="R1320" s="136"/>
      <c r="S1320" s="137"/>
      <c r="T1320" s="128"/>
      <c r="U1320" s="137"/>
      <c r="V1320" s="128"/>
      <c r="W1320" s="49"/>
      <c r="X1320" s="128"/>
      <c r="Y1320" s="49"/>
      <c r="Z1320" s="128"/>
      <c r="AA1320" s="49"/>
      <c r="AB1320" s="128"/>
      <c r="AC1320" s="49"/>
      <c r="AE1320" s="133"/>
    </row>
    <row r="1321" spans="1:31" ht="15.75" hidden="1" outlineLevel="2" x14ac:dyDescent="0.2">
      <c r="A1321" s="25">
        <f>'Утв. ИП 2014-2019'!A1323</f>
        <v>0</v>
      </c>
      <c r="B1321" s="6">
        <f>'Утв. ИП 2014-2019'!B1323</f>
        <v>0</v>
      </c>
      <c r="C1321" s="7" t="str">
        <f>'Утв. ИП 2014-2019'!C1323</f>
        <v>строительство</v>
      </c>
      <c r="D1321" s="8"/>
      <c r="E1321" s="8"/>
      <c r="F1321" s="8"/>
      <c r="G1321" s="8"/>
      <c r="H1321" s="8"/>
      <c r="I1321" s="8"/>
      <c r="J1321" s="23"/>
      <c r="K1321" s="170"/>
      <c r="L1321" s="170"/>
      <c r="M1321" s="170"/>
      <c r="N1321" s="170"/>
      <c r="O1321" s="170"/>
      <c r="P1321" s="170"/>
      <c r="Q1321" s="170"/>
      <c r="R1321" s="136"/>
      <c r="S1321" s="137"/>
      <c r="T1321" s="128"/>
      <c r="U1321" s="137"/>
      <c r="V1321" s="128"/>
      <c r="W1321" s="49"/>
      <c r="X1321" s="128"/>
      <c r="Y1321" s="49"/>
      <c r="Z1321" s="128"/>
      <c r="AA1321" s="49"/>
      <c r="AB1321" s="128"/>
      <c r="AC1321" s="49"/>
      <c r="AE1321" s="133"/>
    </row>
    <row r="1322" spans="1:31" ht="25.5" hidden="1" outlineLevel="1" collapsed="1" x14ac:dyDescent="0.2">
      <c r="A1322" s="25" t="str">
        <f>'Утв. ИП 2014-2019'!A1324</f>
        <v>1.1.5.2.5/14</v>
      </c>
      <c r="B1322" s="6" t="str">
        <f>'Утв. ИП 2014-2019'!B1324</f>
        <v>3.2.361</v>
      </c>
      <c r="C1322" s="7" t="str">
        <f>'Утв. ИП 2014-2019'!C1324</f>
        <v>Электроснабжение гаража по адресу: г. Липецк, ГК "Пришвинский", гараж № 248</v>
      </c>
      <c r="D1322" s="8"/>
      <c r="E1322" s="8" t="str">
        <f>'Утв. ИП 2014-2019'!L1324</f>
        <v>0,0 км/ 0 МВА</v>
      </c>
      <c r="F1322" s="8"/>
      <c r="G1322" s="8"/>
      <c r="H1322" s="8"/>
      <c r="I1322" s="8"/>
      <c r="J1322" s="23" t="str">
        <f>'Утв. ИП 2014-2019'!Q1324</f>
        <v>0,0 км/ 0 МВА</v>
      </c>
      <c r="K1322" s="170"/>
      <c r="L1322" s="170"/>
      <c r="M1322" s="170"/>
      <c r="N1322" s="170"/>
      <c r="O1322" s="170"/>
      <c r="P1322" s="170"/>
      <c r="Q1322" s="170"/>
      <c r="R1322" s="136"/>
      <c r="S1322" s="137"/>
      <c r="T1322" s="128"/>
      <c r="U1322" s="137"/>
      <c r="V1322" s="128"/>
      <c r="W1322" s="49"/>
      <c r="X1322" s="128"/>
      <c r="Y1322" s="49"/>
      <c r="Z1322" s="128"/>
      <c r="AA1322" s="49"/>
      <c r="AB1322" s="128"/>
      <c r="AC1322" s="49"/>
      <c r="AE1322" s="133"/>
    </row>
    <row r="1323" spans="1:31" ht="15.75" hidden="1" outlineLevel="2" x14ac:dyDescent="0.2">
      <c r="A1323" s="25">
        <f>'Утв. ИП 2014-2019'!A1325</f>
        <v>0</v>
      </c>
      <c r="B1323" s="6">
        <f>'Утв. ИП 2014-2019'!B1325</f>
        <v>0</v>
      </c>
      <c r="C1323" s="7" t="str">
        <f>'Утв. ИП 2014-2019'!C1325</f>
        <v>реконструкция</v>
      </c>
      <c r="D1323" s="8"/>
      <c r="E1323" s="8"/>
      <c r="F1323" s="8"/>
      <c r="G1323" s="8"/>
      <c r="H1323" s="8"/>
      <c r="I1323" s="8"/>
      <c r="J1323" s="23"/>
      <c r="K1323" s="170"/>
      <c r="L1323" s="170"/>
      <c r="M1323" s="170"/>
      <c r="N1323" s="170"/>
      <c r="O1323" s="170"/>
      <c r="P1323" s="170"/>
      <c r="Q1323" s="170"/>
      <c r="R1323" s="136"/>
      <c r="S1323" s="137"/>
      <c r="T1323" s="128"/>
      <c r="U1323" s="137"/>
      <c r="V1323" s="128"/>
      <c r="W1323" s="49"/>
      <c r="X1323" s="128"/>
      <c r="Y1323" s="49"/>
      <c r="Z1323" s="128"/>
      <c r="AA1323" s="49"/>
      <c r="AB1323" s="128"/>
      <c r="AC1323" s="49"/>
      <c r="AE1323" s="133"/>
    </row>
    <row r="1324" spans="1:31" ht="15.75" hidden="1" outlineLevel="2" x14ac:dyDescent="0.2">
      <c r="A1324" s="25">
        <f>'Утв. ИП 2014-2019'!A1326</f>
        <v>0</v>
      </c>
      <c r="B1324" s="6">
        <f>'Утв. ИП 2014-2019'!B1326</f>
        <v>0</v>
      </c>
      <c r="C1324" s="7" t="str">
        <f>'Утв. ИП 2014-2019'!C1326</f>
        <v>строительство</v>
      </c>
      <c r="D1324" s="8"/>
      <c r="E1324" s="8"/>
      <c r="F1324" s="8"/>
      <c r="G1324" s="8"/>
      <c r="H1324" s="8"/>
      <c r="I1324" s="8"/>
      <c r="J1324" s="23"/>
      <c r="K1324" s="170"/>
      <c r="L1324" s="170"/>
      <c r="M1324" s="170"/>
      <c r="N1324" s="170"/>
      <c r="O1324" s="170"/>
      <c r="P1324" s="170"/>
      <c r="Q1324" s="170"/>
      <c r="R1324" s="136"/>
      <c r="S1324" s="137"/>
      <c r="T1324" s="128"/>
      <c r="U1324" s="137"/>
      <c r="V1324" s="128"/>
      <c r="W1324" s="49"/>
      <c r="X1324" s="128"/>
      <c r="Y1324" s="49"/>
      <c r="Z1324" s="128"/>
      <c r="AA1324" s="49"/>
      <c r="AB1324" s="128"/>
      <c r="AC1324" s="49"/>
      <c r="AE1324" s="133"/>
    </row>
    <row r="1325" spans="1:31" ht="25.5" hidden="1" outlineLevel="1" collapsed="1" x14ac:dyDescent="0.2">
      <c r="A1325" s="25" t="str">
        <f>'Утв. ИП 2014-2019'!A1327</f>
        <v>1.1.5.2.6/14</v>
      </c>
      <c r="B1325" s="6" t="str">
        <f>'Утв. ИП 2014-2019'!B1327</f>
        <v>3.2.362</v>
      </c>
      <c r="C1325" s="7" t="str">
        <f>'Утв. ИП 2014-2019'!C1327</f>
        <v>Электроснабжение садового домика по адресу: г. Липецк, СНТ "Сокол-2", участок № 1195</v>
      </c>
      <c r="D1325" s="8" t="str">
        <f>'Утв. ИП 2014-2019'!K1327</f>
        <v>0,4 км/ 0 МВА</v>
      </c>
      <c r="E1325" s="8"/>
      <c r="F1325" s="8"/>
      <c r="G1325" s="8"/>
      <c r="H1325" s="8"/>
      <c r="I1325" s="8"/>
      <c r="J1325" s="23" t="str">
        <f>'Утв. ИП 2014-2019'!Q1327</f>
        <v>0,4 км/ 0 МВА</v>
      </c>
      <c r="K1325" s="170"/>
      <c r="L1325" s="170"/>
      <c r="M1325" s="170"/>
      <c r="N1325" s="170"/>
      <c r="O1325" s="170"/>
      <c r="P1325" s="170"/>
      <c r="Q1325" s="170"/>
      <c r="R1325" s="136"/>
      <c r="S1325" s="137"/>
      <c r="T1325" s="128"/>
      <c r="U1325" s="137"/>
      <c r="V1325" s="128"/>
      <c r="W1325" s="49"/>
      <c r="X1325" s="128"/>
      <c r="Y1325" s="49"/>
      <c r="Z1325" s="128"/>
      <c r="AA1325" s="49"/>
      <c r="AB1325" s="128"/>
      <c r="AC1325" s="49"/>
      <c r="AE1325" s="133"/>
    </row>
    <row r="1326" spans="1:31" ht="15.75" hidden="1" outlineLevel="2" x14ac:dyDescent="0.2">
      <c r="A1326" s="25">
        <f>'Утв. ИП 2014-2019'!A1328</f>
        <v>0</v>
      </c>
      <c r="B1326" s="6">
        <f>'Утв. ИП 2014-2019'!B1328</f>
        <v>0</v>
      </c>
      <c r="C1326" s="7" t="str">
        <f>'Утв. ИП 2014-2019'!C1328</f>
        <v>реконструкция</v>
      </c>
      <c r="D1326" s="8"/>
      <c r="E1326" s="8"/>
      <c r="F1326" s="8"/>
      <c r="G1326" s="8"/>
      <c r="H1326" s="8"/>
      <c r="I1326" s="8"/>
      <c r="J1326" s="23"/>
      <c r="K1326" s="170"/>
      <c r="L1326" s="170"/>
      <c r="M1326" s="170"/>
      <c r="N1326" s="170"/>
      <c r="O1326" s="170"/>
      <c r="P1326" s="170"/>
      <c r="Q1326" s="170"/>
      <c r="R1326" s="136"/>
      <c r="S1326" s="137"/>
      <c r="T1326" s="128"/>
      <c r="U1326" s="137"/>
      <c r="V1326" s="128"/>
      <c r="W1326" s="49"/>
      <c r="X1326" s="128"/>
      <c r="Y1326" s="49"/>
      <c r="Z1326" s="128"/>
      <c r="AA1326" s="49"/>
      <c r="AB1326" s="128"/>
      <c r="AC1326" s="49"/>
      <c r="AE1326" s="133"/>
    </row>
    <row r="1327" spans="1:31" ht="15.75" hidden="1" outlineLevel="2" x14ac:dyDescent="0.2">
      <c r="A1327" s="25">
        <f>'Утв. ИП 2014-2019'!A1329</f>
        <v>0</v>
      </c>
      <c r="B1327" s="6">
        <f>'Утв. ИП 2014-2019'!B1329</f>
        <v>0</v>
      </c>
      <c r="C1327" s="7" t="str">
        <f>'Утв. ИП 2014-2019'!C1329</f>
        <v>строительство</v>
      </c>
      <c r="D1327" s="8"/>
      <c r="E1327" s="8"/>
      <c r="F1327" s="8"/>
      <c r="G1327" s="8"/>
      <c r="H1327" s="8"/>
      <c r="I1327" s="8"/>
      <c r="J1327" s="23"/>
      <c r="K1327" s="170"/>
      <c r="L1327" s="170"/>
      <c r="M1327" s="170"/>
      <c r="N1327" s="170"/>
      <c r="O1327" s="170"/>
      <c r="P1327" s="170"/>
      <c r="Q1327" s="170"/>
      <c r="R1327" s="136"/>
      <c r="S1327" s="137"/>
      <c r="T1327" s="128"/>
      <c r="U1327" s="137"/>
      <c r="V1327" s="128"/>
      <c r="W1327" s="49"/>
      <c r="X1327" s="128"/>
      <c r="Y1327" s="49"/>
      <c r="Z1327" s="128"/>
      <c r="AA1327" s="49"/>
      <c r="AB1327" s="128"/>
      <c r="AC1327" s="49"/>
      <c r="AE1327" s="133"/>
    </row>
    <row r="1328" spans="1:31" ht="25.5" hidden="1" outlineLevel="1" collapsed="1" x14ac:dyDescent="0.2">
      <c r="A1328" s="25" t="str">
        <f>'Утв. ИП 2014-2019'!A1330</f>
        <v>1.1.5.2.8/14</v>
      </c>
      <c r="B1328" s="6" t="str">
        <f>'Утв. ИП 2014-2019'!B1330</f>
        <v>3.2.363</v>
      </c>
      <c r="C1328" s="7" t="str">
        <f>'Утв. ИП 2014-2019'!C1330</f>
        <v>Электроснабжение садовых домиков в СНТ "Тракторостроитель-1"</v>
      </c>
      <c r="D1328" s="8" t="str">
        <f>'Утв. ИП 2014-2019'!K1330</f>
        <v>0,0 км/ 0 МВА</v>
      </c>
      <c r="E1328" s="8"/>
      <c r="F1328" s="8"/>
      <c r="G1328" s="8"/>
      <c r="H1328" s="8"/>
      <c r="I1328" s="8"/>
      <c r="J1328" s="23" t="str">
        <f>'Утв. ИП 2014-2019'!Q1330</f>
        <v>0,0 км/ 0 МВА</v>
      </c>
      <c r="K1328" s="170"/>
      <c r="L1328" s="170"/>
      <c r="M1328" s="170"/>
      <c r="N1328" s="170"/>
      <c r="O1328" s="170"/>
      <c r="P1328" s="170"/>
      <c r="Q1328" s="170"/>
      <c r="R1328" s="136"/>
      <c r="S1328" s="137"/>
      <c r="T1328" s="128"/>
      <c r="U1328" s="137"/>
      <c r="V1328" s="128"/>
      <c r="W1328" s="49"/>
      <c r="X1328" s="128"/>
      <c r="Y1328" s="49"/>
      <c r="Z1328" s="128"/>
      <c r="AA1328" s="49"/>
      <c r="AB1328" s="128"/>
      <c r="AC1328" s="49"/>
      <c r="AE1328" s="133"/>
    </row>
    <row r="1329" spans="1:64" ht="15.75" hidden="1" outlineLevel="2" x14ac:dyDescent="0.2">
      <c r="A1329" s="25">
        <f>'Утв. ИП 2014-2019'!A1331</f>
        <v>0</v>
      </c>
      <c r="B1329" s="6">
        <f>'Утв. ИП 2014-2019'!B1331</f>
        <v>0</v>
      </c>
      <c r="C1329" s="7" t="str">
        <f>'Утв. ИП 2014-2019'!C1331</f>
        <v>реконструкция</v>
      </c>
      <c r="D1329" s="8"/>
      <c r="E1329" s="8"/>
      <c r="F1329" s="8"/>
      <c r="G1329" s="8"/>
      <c r="H1329" s="8"/>
      <c r="I1329" s="8"/>
      <c r="J1329" s="23"/>
      <c r="K1329" s="170"/>
      <c r="L1329" s="170"/>
      <c r="M1329" s="170"/>
      <c r="N1329" s="170"/>
      <c r="O1329" s="170"/>
      <c r="P1329" s="170"/>
      <c r="Q1329" s="170"/>
      <c r="R1329" s="136"/>
      <c r="S1329" s="137"/>
      <c r="T1329" s="128"/>
      <c r="U1329" s="137"/>
      <c r="V1329" s="128"/>
      <c r="W1329" s="49"/>
      <c r="X1329" s="128"/>
      <c r="Y1329" s="49"/>
      <c r="Z1329" s="128"/>
      <c r="AA1329" s="49"/>
      <c r="AB1329" s="128"/>
      <c r="AC1329" s="49"/>
      <c r="AE1329" s="133"/>
    </row>
    <row r="1330" spans="1:64" ht="15.75" hidden="1" outlineLevel="2" x14ac:dyDescent="0.2">
      <c r="A1330" s="25">
        <f>'Утв. ИП 2014-2019'!A1332</f>
        <v>0</v>
      </c>
      <c r="B1330" s="6">
        <f>'Утв. ИП 2014-2019'!B1332</f>
        <v>0</v>
      </c>
      <c r="C1330" s="7" t="str">
        <f>'Утв. ИП 2014-2019'!C1332</f>
        <v>строительство</v>
      </c>
      <c r="D1330" s="8"/>
      <c r="E1330" s="8"/>
      <c r="F1330" s="8"/>
      <c r="G1330" s="8"/>
      <c r="H1330" s="8"/>
      <c r="I1330" s="8"/>
      <c r="J1330" s="23"/>
      <c r="K1330" s="170"/>
      <c r="L1330" s="170"/>
      <c r="M1330" s="170"/>
      <c r="N1330" s="170"/>
      <c r="O1330" s="170"/>
      <c r="P1330" s="170"/>
      <c r="Q1330" s="170"/>
      <c r="R1330" s="136"/>
      <c r="S1330" s="137"/>
      <c r="T1330" s="128"/>
      <c r="U1330" s="137"/>
      <c r="V1330" s="128"/>
      <c r="W1330" s="49"/>
      <c r="X1330" s="128"/>
      <c r="Y1330" s="49"/>
      <c r="Z1330" s="128"/>
      <c r="AA1330" s="49"/>
      <c r="AB1330" s="128"/>
      <c r="AC1330" s="49"/>
      <c r="AE1330" s="133"/>
    </row>
    <row r="1331" spans="1:64" ht="25.5" collapsed="1" x14ac:dyDescent="0.2">
      <c r="A1331" s="25">
        <v>0</v>
      </c>
      <c r="B1331" s="28" t="s">
        <v>442</v>
      </c>
      <c r="C1331" s="29" t="s">
        <v>437</v>
      </c>
      <c r="D1331" s="31" t="str">
        <f>'Утв. ИП 2014-2019'!K1333</f>
        <v>26,89 км
5,38 МВА</v>
      </c>
      <c r="E1331" s="31" t="str">
        <f>'Утв. ИП 2014-2019'!L1333</f>
        <v>18,29 км
6,6 МВА</v>
      </c>
      <c r="F1331" s="31" t="str">
        <f>'Утв. ИП 2014-2019'!M1333</f>
        <v>12,96 км
0,5 МВА</v>
      </c>
      <c r="G1331" s="31" t="str">
        <f>'Утв. ИП 2014-2019'!N1333</f>
        <v>19,04 км
4,16 МВА</v>
      </c>
      <c r="H1331" s="31" t="str">
        <f>'Утв. ИП 2014-2019'!O1333</f>
        <v>19,04 км
4,16 МВА</v>
      </c>
      <c r="I1331" s="31" t="str">
        <f>'Утв. ИП 2014-2019'!P1333</f>
        <v>19,04 км
4,16 МВА</v>
      </c>
      <c r="J1331" s="31" t="str">
        <f>'Утв. ИП 2014-2019'!Q1333</f>
        <v>115,25 км
24,96 МВА</v>
      </c>
      <c r="K1331" s="31"/>
      <c r="L1331" s="31"/>
      <c r="M1331" s="30"/>
      <c r="N1331" s="30"/>
      <c r="O1331" s="30"/>
      <c r="P1331" s="30"/>
      <c r="Q1331" s="31"/>
      <c r="R1331" s="157"/>
      <c r="S1331" s="158"/>
      <c r="T1331" s="130"/>
      <c r="U1331" s="158"/>
      <c r="V1331" s="130"/>
      <c r="W1331" s="48"/>
      <c r="X1331" s="130"/>
      <c r="Y1331" s="48"/>
      <c r="Z1331" s="130"/>
      <c r="AA1331" s="48"/>
      <c r="AB1331" s="130"/>
      <c r="AC1331" s="48"/>
      <c r="AD1331" s="133"/>
      <c r="AE1331" s="133"/>
    </row>
    <row r="1332" spans="1:64" s="21" customFormat="1" ht="15.75" x14ac:dyDescent="0.25">
      <c r="A1332" s="21" t="s">
        <v>434</v>
      </c>
      <c r="C1332" s="21" t="s">
        <v>434</v>
      </c>
      <c r="D1332" s="59"/>
      <c r="E1332" s="89"/>
      <c r="F1332" s="89"/>
      <c r="G1332" s="89"/>
      <c r="H1332" s="89"/>
      <c r="I1332" s="89"/>
      <c r="J1332" s="89"/>
      <c r="K1332" s="89"/>
      <c r="L1332" s="89"/>
      <c r="M1332" s="89"/>
      <c r="N1332" s="89"/>
      <c r="O1332" s="90"/>
      <c r="P1332" s="89"/>
      <c r="Q1332" s="89"/>
      <c r="R1332" s="89"/>
      <c r="S1332" s="89"/>
      <c r="AB1332" s="71"/>
    </row>
    <row r="1333" spans="1:64" ht="12.75" customHeight="1" x14ac:dyDescent="0.35">
      <c r="B1333" s="337"/>
      <c r="C1333" s="337"/>
      <c r="D1333" s="337"/>
      <c r="E1333" s="337"/>
      <c r="F1333" s="337"/>
      <c r="G1333" s="337"/>
      <c r="H1333" s="337"/>
      <c r="I1333" s="337"/>
      <c r="J1333" s="337"/>
      <c r="K1333" s="337"/>
      <c r="L1333" s="337"/>
      <c r="M1333" s="337"/>
      <c r="N1333" s="337"/>
      <c r="O1333" s="337"/>
      <c r="P1333" s="337"/>
      <c r="Q1333" s="337"/>
      <c r="R1333" s="336"/>
      <c r="S1333" s="336"/>
      <c r="T1333" s="336"/>
      <c r="U1333" s="336"/>
      <c r="V1333" s="336"/>
      <c r="W1333" s="336"/>
      <c r="X1333" s="336"/>
      <c r="Y1333" s="336"/>
      <c r="Z1333" s="336"/>
      <c r="AA1333" s="336"/>
      <c r="AB1333" s="336"/>
      <c r="AC1333" s="336"/>
      <c r="AD1333" s="336"/>
      <c r="AE1333" s="336"/>
      <c r="AF1333" s="336"/>
      <c r="AG1333" s="336"/>
      <c r="AH1333" s="336"/>
      <c r="AI1333" s="2"/>
      <c r="AJ1333" s="2"/>
      <c r="AK1333" s="2"/>
      <c r="AL1333" s="47"/>
      <c r="AM1333" s="83"/>
      <c r="AN1333" s="83"/>
      <c r="AO1333" s="86"/>
      <c r="AP1333" s="86"/>
      <c r="AQ1333" s="83"/>
      <c r="AR1333" s="83"/>
      <c r="AS1333" s="86"/>
      <c r="AT1333" s="86"/>
      <c r="AU1333" s="83"/>
      <c r="AV1333" s="83"/>
      <c r="AW1333" s="83"/>
      <c r="AX1333" s="83"/>
      <c r="AY1333" s="51"/>
      <c r="BC1333" s="51"/>
      <c r="BD1333" s="51"/>
      <c r="BF1333" s="64"/>
      <c r="BG1333" s="64"/>
      <c r="BL1333" s="64"/>
    </row>
    <row r="1334" spans="1:64" ht="12.75" customHeight="1" x14ac:dyDescent="0.35">
      <c r="B1334" s="337"/>
      <c r="C1334" s="337"/>
      <c r="D1334" s="337"/>
      <c r="E1334" s="337"/>
      <c r="F1334" s="337"/>
      <c r="G1334" s="337"/>
      <c r="H1334" s="337"/>
      <c r="I1334" s="337"/>
      <c r="J1334" s="337"/>
      <c r="K1334" s="337"/>
      <c r="L1334" s="337"/>
      <c r="M1334" s="337"/>
      <c r="N1334" s="337"/>
      <c r="O1334" s="337"/>
      <c r="P1334" s="337"/>
      <c r="Q1334" s="337"/>
      <c r="R1334" s="336"/>
      <c r="S1334" s="336"/>
      <c r="T1334" s="336"/>
      <c r="U1334" s="336"/>
      <c r="V1334" s="336"/>
      <c r="W1334" s="336"/>
      <c r="X1334" s="336"/>
      <c r="Y1334" s="336"/>
      <c r="Z1334" s="336"/>
      <c r="AA1334" s="336"/>
      <c r="AB1334" s="336"/>
      <c r="AC1334" s="336"/>
      <c r="AD1334" s="336"/>
      <c r="AE1334" s="336"/>
      <c r="AF1334" s="336"/>
      <c r="AG1334" s="336"/>
      <c r="AH1334" s="336"/>
      <c r="AI1334" s="2"/>
      <c r="AJ1334" s="2"/>
      <c r="AK1334" s="2"/>
      <c r="AL1334" s="47"/>
      <c r="AM1334" s="83"/>
      <c r="AN1334" s="83"/>
      <c r="AO1334" s="86"/>
      <c r="AP1334" s="86"/>
      <c r="AQ1334" s="83"/>
      <c r="AR1334" s="83"/>
      <c r="AS1334" s="86"/>
      <c r="AT1334" s="86"/>
      <c r="AU1334" s="83"/>
      <c r="AV1334" s="83"/>
      <c r="AW1334" s="83"/>
      <c r="AX1334" s="83"/>
      <c r="AY1334" s="51"/>
      <c r="BC1334" s="51"/>
      <c r="BD1334" s="51"/>
      <c r="BF1334" s="64"/>
      <c r="BG1334" s="64"/>
      <c r="BL1334" s="64"/>
    </row>
    <row r="1335" spans="1:64" ht="12.75" customHeight="1" x14ac:dyDescent="0.35">
      <c r="B1335" s="337"/>
      <c r="C1335" s="337"/>
      <c r="D1335" s="337"/>
      <c r="E1335" s="337"/>
      <c r="F1335" s="337"/>
      <c r="G1335" s="337"/>
      <c r="H1335" s="337"/>
      <c r="I1335" s="337"/>
      <c r="J1335" s="337"/>
      <c r="K1335" s="337"/>
      <c r="L1335" s="337"/>
      <c r="M1335" s="337"/>
      <c r="N1335" s="337"/>
      <c r="O1335" s="337"/>
      <c r="P1335" s="337"/>
      <c r="Q1335" s="337"/>
      <c r="R1335" s="336"/>
      <c r="S1335" s="336"/>
      <c r="T1335" s="336"/>
      <c r="U1335" s="336"/>
      <c r="V1335" s="336"/>
      <c r="W1335" s="336"/>
      <c r="X1335" s="336"/>
      <c r="Y1335" s="336"/>
      <c r="Z1335" s="336"/>
      <c r="AA1335" s="336"/>
      <c r="AB1335" s="336"/>
      <c r="AC1335" s="336"/>
      <c r="AD1335" s="336"/>
      <c r="AE1335" s="336"/>
      <c r="AF1335" s="336"/>
      <c r="AG1335" s="336"/>
      <c r="AH1335" s="336"/>
      <c r="AI1335" s="2"/>
      <c r="AJ1335" s="2"/>
      <c r="AK1335" s="2"/>
      <c r="AL1335" s="47"/>
      <c r="AM1335" s="83"/>
      <c r="AN1335" s="83"/>
      <c r="AO1335" s="86"/>
      <c r="AP1335" s="86"/>
      <c r="AQ1335" s="83"/>
      <c r="AR1335" s="83"/>
      <c r="AS1335" s="86"/>
      <c r="AT1335" s="86"/>
      <c r="AU1335" s="83"/>
      <c r="AV1335" s="83"/>
      <c r="AW1335" s="83"/>
      <c r="AX1335" s="83"/>
      <c r="AY1335" s="51"/>
      <c r="BC1335" s="51"/>
      <c r="BD1335" s="51"/>
      <c r="BF1335" s="64"/>
      <c r="BG1335" s="64"/>
      <c r="BL1335" s="64"/>
    </row>
    <row r="1336" spans="1:64" s="51" customFormat="1" ht="12.75" customHeight="1" x14ac:dyDescent="0.35">
      <c r="B1336" s="337"/>
      <c r="C1336" s="337"/>
      <c r="D1336" s="337"/>
      <c r="E1336" s="337"/>
      <c r="F1336" s="337"/>
      <c r="G1336" s="337"/>
      <c r="H1336" s="337"/>
      <c r="I1336" s="337"/>
      <c r="J1336" s="337"/>
      <c r="K1336" s="337"/>
      <c r="L1336" s="337"/>
      <c r="M1336" s="337"/>
      <c r="N1336" s="337"/>
      <c r="O1336" s="337"/>
      <c r="P1336" s="337"/>
      <c r="Q1336" s="337"/>
      <c r="R1336" s="336"/>
      <c r="S1336" s="336"/>
      <c r="T1336" s="336"/>
      <c r="U1336" s="336"/>
      <c r="V1336" s="336"/>
      <c r="W1336" s="336"/>
      <c r="X1336" s="336"/>
      <c r="Y1336" s="336"/>
      <c r="Z1336" s="336"/>
      <c r="AA1336" s="336"/>
      <c r="AB1336" s="336"/>
      <c r="AC1336" s="336"/>
      <c r="AD1336" s="336"/>
      <c r="AE1336" s="336"/>
      <c r="AF1336" s="336"/>
      <c r="AG1336" s="336"/>
      <c r="AH1336" s="336"/>
      <c r="AI1336" s="47"/>
      <c r="AJ1336" s="47"/>
      <c r="AK1336" s="47"/>
      <c r="AL1336" s="47"/>
      <c r="AM1336" s="83"/>
      <c r="AN1336" s="83"/>
      <c r="AO1336" s="86"/>
      <c r="AP1336" s="86"/>
      <c r="AQ1336" s="83"/>
      <c r="AR1336" s="83"/>
      <c r="AS1336" s="86"/>
      <c r="AT1336" s="86"/>
      <c r="AU1336" s="83"/>
      <c r="AV1336" s="83"/>
      <c r="AW1336" s="83"/>
      <c r="AX1336" s="83"/>
      <c r="BF1336" s="155"/>
      <c r="BG1336" s="155"/>
      <c r="BL1336" s="155"/>
    </row>
    <row r="1337" spans="1:64" s="51" customFormat="1" ht="12.75" customHeight="1" x14ac:dyDescent="0.35">
      <c r="B1337" s="852" t="s">
        <v>4</v>
      </c>
      <c r="C1337" s="852"/>
      <c r="D1337" s="852"/>
      <c r="E1337" s="852"/>
      <c r="F1337" s="852"/>
      <c r="G1337" s="852"/>
      <c r="H1337" s="852"/>
      <c r="I1337" s="852"/>
      <c r="J1337" s="852"/>
      <c r="K1337" s="852"/>
      <c r="L1337" s="852"/>
      <c r="M1337" s="852"/>
      <c r="N1337" s="852"/>
      <c r="O1337" s="852"/>
      <c r="P1337" s="852"/>
      <c r="Q1337" s="852"/>
      <c r="R1337" s="336"/>
      <c r="S1337" s="336"/>
      <c r="T1337" s="336"/>
      <c r="U1337" s="336"/>
      <c r="V1337" s="336"/>
      <c r="W1337" s="336"/>
      <c r="X1337" s="336"/>
      <c r="Y1337" s="336"/>
      <c r="Z1337" s="336"/>
      <c r="AA1337" s="336"/>
      <c r="AB1337" s="336"/>
      <c r="AC1337" s="336"/>
      <c r="AD1337" s="336"/>
      <c r="AE1337" s="336"/>
      <c r="AF1337" s="336"/>
      <c r="AG1337" s="336"/>
      <c r="AH1337" s="336"/>
      <c r="AI1337" s="47"/>
      <c r="AJ1337" s="47"/>
      <c r="AK1337" s="47"/>
      <c r="AL1337" s="47"/>
      <c r="AM1337" s="83"/>
      <c r="AN1337" s="83"/>
      <c r="AO1337" s="86"/>
      <c r="AP1337" s="86"/>
      <c r="AQ1337" s="83"/>
      <c r="AR1337" s="83"/>
      <c r="AS1337" s="86"/>
      <c r="AT1337" s="86"/>
      <c r="AU1337" s="83"/>
      <c r="AV1337" s="83"/>
      <c r="AW1337" s="83"/>
      <c r="AX1337" s="83"/>
      <c r="BF1337" s="155"/>
      <c r="BG1337" s="155"/>
      <c r="BL1337" s="155"/>
    </row>
    <row r="1338" spans="1:64" s="51" customFormat="1" ht="12.75" customHeight="1" x14ac:dyDescent="0.35">
      <c r="B1338" s="852"/>
      <c r="C1338" s="852"/>
      <c r="D1338" s="852"/>
      <c r="E1338" s="852"/>
      <c r="F1338" s="852"/>
      <c r="G1338" s="852"/>
      <c r="H1338" s="852"/>
      <c r="I1338" s="852"/>
      <c r="J1338" s="852"/>
      <c r="K1338" s="852"/>
      <c r="L1338" s="852"/>
      <c r="M1338" s="852"/>
      <c r="N1338" s="852"/>
      <c r="O1338" s="852"/>
      <c r="P1338" s="852"/>
      <c r="Q1338" s="852"/>
      <c r="R1338" s="336"/>
      <c r="S1338" s="336"/>
      <c r="T1338" s="336"/>
      <c r="U1338" s="336"/>
      <c r="V1338" s="336"/>
      <c r="W1338" s="336"/>
      <c r="X1338" s="336"/>
      <c r="Y1338" s="336"/>
      <c r="Z1338" s="336"/>
      <c r="AA1338" s="336"/>
      <c r="AB1338" s="336"/>
      <c r="AC1338" s="336"/>
      <c r="AD1338" s="336"/>
      <c r="AE1338" s="336"/>
      <c r="AF1338" s="336"/>
      <c r="AG1338" s="336"/>
      <c r="AH1338" s="336"/>
      <c r="AI1338" s="47"/>
      <c r="AJ1338" s="47"/>
      <c r="AK1338" s="47"/>
      <c r="AL1338" s="47"/>
      <c r="AM1338" s="83"/>
      <c r="AN1338" s="83"/>
      <c r="AO1338" s="86"/>
      <c r="AP1338" s="86"/>
      <c r="AQ1338" s="83"/>
      <c r="AR1338" s="83"/>
      <c r="AS1338" s="86"/>
      <c r="AT1338" s="86"/>
      <c r="AU1338" s="83"/>
      <c r="AV1338" s="83"/>
      <c r="AW1338" s="83"/>
      <c r="AX1338" s="83"/>
      <c r="BF1338" s="155"/>
      <c r="BG1338" s="155"/>
      <c r="BL1338" s="155"/>
    </row>
    <row r="1339" spans="1:64" s="51" customFormat="1" ht="12.75" customHeight="1" x14ac:dyDescent="0.35">
      <c r="B1339" s="852"/>
      <c r="C1339" s="852"/>
      <c r="D1339" s="852"/>
      <c r="E1339" s="852"/>
      <c r="F1339" s="852"/>
      <c r="G1339" s="852"/>
      <c r="H1339" s="852"/>
      <c r="I1339" s="852"/>
      <c r="J1339" s="852"/>
      <c r="K1339" s="852"/>
      <c r="L1339" s="852"/>
      <c r="M1339" s="852"/>
      <c r="N1339" s="852"/>
      <c r="O1339" s="852"/>
      <c r="P1339" s="852"/>
      <c r="Q1339" s="852"/>
      <c r="R1339" s="336"/>
      <c r="S1339" s="336"/>
      <c r="T1339" s="336"/>
      <c r="U1339" s="336"/>
      <c r="V1339" s="336"/>
      <c r="W1339" s="336"/>
      <c r="X1339" s="336"/>
      <c r="Y1339" s="336"/>
      <c r="Z1339" s="336"/>
      <c r="AA1339" s="336"/>
      <c r="AB1339" s="336"/>
      <c r="AC1339" s="336"/>
      <c r="AD1339" s="336"/>
      <c r="AE1339" s="336"/>
      <c r="AF1339" s="336"/>
      <c r="AG1339" s="336"/>
      <c r="AH1339" s="336"/>
      <c r="AI1339" s="47"/>
      <c r="AJ1339" s="47"/>
      <c r="AK1339" s="47"/>
      <c r="AL1339" s="47"/>
      <c r="AM1339" s="83"/>
      <c r="AN1339" s="83"/>
      <c r="AO1339" s="86"/>
      <c r="AP1339" s="86"/>
      <c r="AQ1339" s="83"/>
      <c r="AR1339" s="83"/>
      <c r="AS1339" s="86"/>
      <c r="AT1339" s="86"/>
      <c r="AU1339" s="83"/>
      <c r="AV1339" s="83"/>
      <c r="AW1339" s="83"/>
      <c r="AX1339" s="83"/>
      <c r="BF1339" s="155"/>
      <c r="BG1339" s="155"/>
      <c r="BL1339" s="155"/>
    </row>
  </sheetData>
  <mergeCells count="13">
    <mergeCell ref="AB11:AC11"/>
    <mergeCell ref="B8:Q8"/>
    <mergeCell ref="T11:U11"/>
    <mergeCell ref="V11:W11"/>
    <mergeCell ref="X11:Y11"/>
    <mergeCell ref="Z11:AA11"/>
    <mergeCell ref="B1337:Q1339"/>
    <mergeCell ref="A10:A12"/>
    <mergeCell ref="K10:P10"/>
    <mergeCell ref="D10:J10"/>
    <mergeCell ref="R11:S11"/>
    <mergeCell ref="B10:B12"/>
    <mergeCell ref="C10:C12"/>
  </mergeCells>
  <phoneticPr fontId="12" type="noConversion"/>
  <printOptions horizontalCentered="1"/>
  <pageMargins left="0.19685039370078741" right="0.19685039370078741" top="0.59055118110236227" bottom="0.47" header="0" footer="0.19685039370078741"/>
  <pageSetup paperSize="8" scale="82" fitToHeight="27" orientation="landscape" r:id="rId1"/>
  <headerFooter alignWithMargins="0"/>
  <rowBreaks count="2" manualBreakCount="2">
    <brk id="46" min="1" max="16" man="1"/>
    <brk id="104" min="1" max="16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68E38"/>
    <pageSetUpPr fitToPage="1"/>
  </sheetPr>
  <dimension ref="A1:BL127"/>
  <sheetViews>
    <sheetView view="pageBreakPreview" topLeftCell="A84" zoomScale="65" zoomScaleSheetLayoutView="65" workbookViewId="0">
      <pane xSplit="5925" topLeftCell="O1" activePane="topRight"/>
      <selection activeCell="M3" sqref="M3"/>
      <selection pane="topRight" activeCell="U103" sqref="U103:U116"/>
    </sheetView>
  </sheetViews>
  <sheetFormatPr defaultRowHeight="12.75" outlineLevelRow="2" outlineLevelCol="1" x14ac:dyDescent="0.2"/>
  <cols>
    <col min="1" max="1" width="8.85546875" style="1" customWidth="1"/>
    <col min="2" max="2" width="30.42578125" style="1" customWidth="1"/>
    <col min="3" max="3" width="12.28515625" customWidth="1"/>
    <col min="4" max="4" width="23.42578125" style="57" customWidth="1"/>
    <col min="5" max="5" width="11" style="2" customWidth="1"/>
    <col min="6" max="6" width="10.7109375" style="2" customWidth="1"/>
    <col min="7" max="7" width="11.5703125" style="2" customWidth="1"/>
    <col min="8" max="8" width="9" style="2" customWidth="1"/>
    <col min="9" max="9" width="8.7109375" style="2" customWidth="1"/>
    <col min="10" max="10" width="9.140625" style="2"/>
    <col min="11" max="11" width="9.85546875" style="2" customWidth="1"/>
    <col min="12" max="12" width="9" style="2" customWidth="1"/>
    <col min="13" max="13" width="10.85546875" style="2" customWidth="1"/>
    <col min="14" max="14" width="9.140625" style="2"/>
    <col min="15" max="15" width="11.140625" style="64" customWidth="1"/>
    <col min="16" max="16" width="11.85546875" style="2" customWidth="1"/>
    <col min="17" max="17" width="10.5703125" style="2" customWidth="1"/>
    <col min="18" max="18" width="10.85546875" style="2" customWidth="1"/>
    <col min="19" max="19" width="10.42578125" style="2" customWidth="1"/>
    <col min="20" max="20" width="11.140625" style="1" customWidth="1"/>
    <col min="21" max="21" width="23.42578125" style="1" customWidth="1"/>
    <col min="22" max="22" width="25.85546875" style="1" customWidth="1"/>
    <col min="23" max="23" width="28.28515625" style="1" customWidth="1"/>
    <col min="24" max="24" width="7.85546875" style="1" customWidth="1"/>
    <col min="25" max="25" width="5.28515625" style="1" customWidth="1"/>
    <col min="26" max="26" width="6" style="1" customWidth="1"/>
    <col min="27" max="27" width="7.7109375" style="1" customWidth="1"/>
    <col min="28" max="28" width="107.42578125" style="70" hidden="1" customWidth="1" outlineLevel="1"/>
    <col min="29" max="29" width="0.85546875" style="1" customWidth="1" collapsed="1"/>
    <col min="30" max="30" width="11.7109375" style="1" customWidth="1"/>
    <col min="31" max="31" width="14" style="1" customWidth="1"/>
    <col min="32" max="32" width="18.28515625" style="1" customWidth="1"/>
    <col min="33" max="33" width="16.85546875" style="1" customWidth="1"/>
    <col min="34" max="34" width="12.85546875" style="1" customWidth="1"/>
    <col min="35" max="35" width="23.85546875" style="1" customWidth="1"/>
    <col min="36" max="36" width="35" style="1" customWidth="1"/>
    <col min="37" max="37" width="23.28515625" style="1" customWidth="1"/>
    <col min="38" max="38" width="33.42578125" style="1" customWidth="1"/>
    <col min="39" max="39" width="24.140625" style="1" customWidth="1"/>
    <col min="40" max="40" width="21.28515625" style="1" customWidth="1"/>
    <col min="41" max="41" width="22.140625" style="1" customWidth="1"/>
    <col min="42" max="42" width="20.42578125" style="1" customWidth="1"/>
    <col min="43" max="43" width="20.5703125" style="1" customWidth="1"/>
    <col min="44" max="44" width="21.140625" style="1" customWidth="1"/>
    <col min="45" max="45" width="22.85546875" style="1" customWidth="1"/>
    <col min="46" max="16384" width="9.140625" style="1"/>
  </cols>
  <sheetData>
    <row r="1" spans="1:45" ht="15.75" x14ac:dyDescent="0.2">
      <c r="U1" s="46" t="s">
        <v>2601</v>
      </c>
    </row>
    <row r="2" spans="1:45" ht="15.75" x14ac:dyDescent="0.2">
      <c r="U2" s="46" t="s">
        <v>438</v>
      </c>
    </row>
    <row r="3" spans="1:45" ht="15.75" x14ac:dyDescent="0.2">
      <c r="U3" s="46" t="s">
        <v>497</v>
      </c>
    </row>
    <row r="4" spans="1:45" ht="39.75" customHeight="1" x14ac:dyDescent="0.3">
      <c r="A4" s="848" t="s">
        <v>1399</v>
      </c>
      <c r="B4" s="848"/>
      <c r="C4" s="848"/>
      <c r="D4" s="848"/>
      <c r="E4" s="875"/>
      <c r="F4" s="875"/>
      <c r="G4" s="875"/>
      <c r="H4" s="875"/>
      <c r="I4" s="875"/>
      <c r="J4" s="875"/>
      <c r="K4" s="875"/>
      <c r="L4" s="875"/>
      <c r="M4" s="875"/>
      <c r="N4" s="875"/>
      <c r="O4" s="875"/>
      <c r="P4" s="875"/>
      <c r="Q4" s="875"/>
      <c r="R4" s="875"/>
      <c r="S4" s="875"/>
      <c r="T4" s="848"/>
      <c r="U4" s="848"/>
      <c r="V4" s="848"/>
      <c r="W4" s="848"/>
      <c r="X4" s="848"/>
      <c r="Y4" s="848"/>
      <c r="Z4" s="848"/>
      <c r="AA4" s="848"/>
    </row>
    <row r="5" spans="1:45" outlineLevel="1" x14ac:dyDescent="0.2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AB5" s="1"/>
    </row>
    <row r="6" spans="1:45" ht="15.75" outlineLevel="1" x14ac:dyDescent="0.2"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V6" s="46"/>
      <c r="AB6" s="1"/>
    </row>
    <row r="7" spans="1:45" s="2" customFormat="1" ht="41.25" customHeight="1" x14ac:dyDescent="0.2">
      <c r="A7" s="831" t="s">
        <v>1494</v>
      </c>
      <c r="B7" s="831" t="s">
        <v>1080</v>
      </c>
      <c r="C7" s="831" t="s">
        <v>2204</v>
      </c>
      <c r="D7" s="831" t="s">
        <v>2205</v>
      </c>
      <c r="E7" s="868" t="s">
        <v>2206</v>
      </c>
      <c r="F7" s="868"/>
      <c r="G7" s="868"/>
      <c r="H7" s="831" t="s">
        <v>2207</v>
      </c>
      <c r="I7" s="868" t="s">
        <v>2208</v>
      </c>
      <c r="J7" s="868"/>
      <c r="K7" s="868" t="s">
        <v>2209</v>
      </c>
      <c r="L7" s="868"/>
      <c r="M7" s="868"/>
      <c r="N7" s="868"/>
      <c r="O7" s="831" t="s">
        <v>2586</v>
      </c>
      <c r="P7" s="831" t="s">
        <v>1427</v>
      </c>
      <c r="Q7" s="868" t="s">
        <v>2210</v>
      </c>
      <c r="R7" s="868"/>
      <c r="S7" s="868" t="s">
        <v>2568</v>
      </c>
      <c r="T7" s="868"/>
      <c r="U7" s="868" t="s">
        <v>2211</v>
      </c>
      <c r="V7" s="868"/>
      <c r="W7" s="868"/>
      <c r="X7" s="868" t="s">
        <v>2212</v>
      </c>
      <c r="Y7" s="876"/>
      <c r="Z7" s="876"/>
      <c r="AA7" s="876"/>
      <c r="AB7" s="865" t="s">
        <v>1277</v>
      </c>
      <c r="AD7" s="865" t="s">
        <v>2943</v>
      </c>
      <c r="AE7" s="865" t="s">
        <v>2944</v>
      </c>
      <c r="AF7" s="865" t="s">
        <v>2945</v>
      </c>
      <c r="AG7" s="865" t="s">
        <v>2946</v>
      </c>
      <c r="AH7" s="862" t="s">
        <v>2947</v>
      </c>
      <c r="AI7" s="862" t="s">
        <v>2948</v>
      </c>
      <c r="AJ7" s="862" t="s">
        <v>2949</v>
      </c>
      <c r="AK7" s="862" t="s">
        <v>2950</v>
      </c>
      <c r="AL7" s="862" t="s">
        <v>2951</v>
      </c>
      <c r="AM7" s="862" t="s">
        <v>2952</v>
      </c>
      <c r="AN7" s="862" t="s">
        <v>2953</v>
      </c>
      <c r="AO7" s="862" t="s">
        <v>2954</v>
      </c>
      <c r="AP7" s="862" t="s">
        <v>2955</v>
      </c>
      <c r="AQ7" s="862" t="s">
        <v>2956</v>
      </c>
      <c r="AR7" s="862" t="s">
        <v>2956</v>
      </c>
      <c r="AS7" s="862" t="s">
        <v>2957</v>
      </c>
    </row>
    <row r="8" spans="1:45" s="2" customFormat="1" ht="38.25" customHeight="1" x14ac:dyDescent="0.2">
      <c r="A8" s="831"/>
      <c r="B8" s="831"/>
      <c r="C8" s="831"/>
      <c r="D8" s="831"/>
      <c r="E8" s="868" t="s">
        <v>2213</v>
      </c>
      <c r="F8" s="868" t="s">
        <v>2214</v>
      </c>
      <c r="G8" s="868" t="s">
        <v>2215</v>
      </c>
      <c r="H8" s="831"/>
      <c r="I8" s="868" t="s">
        <v>2216</v>
      </c>
      <c r="J8" s="868" t="s">
        <v>2217</v>
      </c>
      <c r="K8" s="868" t="s">
        <v>1432</v>
      </c>
      <c r="L8" s="868" t="s">
        <v>1431</v>
      </c>
      <c r="M8" s="868" t="s">
        <v>2218</v>
      </c>
      <c r="N8" s="868" t="s">
        <v>2219</v>
      </c>
      <c r="O8" s="831"/>
      <c r="P8" s="831"/>
      <c r="Q8" s="868" t="s">
        <v>2220</v>
      </c>
      <c r="R8" s="868" t="s">
        <v>2221</v>
      </c>
      <c r="S8" s="868" t="s">
        <v>2220</v>
      </c>
      <c r="T8" s="868" t="s">
        <v>2221</v>
      </c>
      <c r="U8" s="868" t="s">
        <v>2222</v>
      </c>
      <c r="V8" s="868" t="s">
        <v>2223</v>
      </c>
      <c r="W8" s="868" t="s">
        <v>195</v>
      </c>
      <c r="X8" s="868" t="s">
        <v>196</v>
      </c>
      <c r="Y8" s="868"/>
      <c r="Z8" s="868" t="s">
        <v>197</v>
      </c>
      <c r="AA8" s="868"/>
      <c r="AB8" s="867"/>
      <c r="AD8" s="866"/>
      <c r="AE8" s="866"/>
      <c r="AF8" s="866"/>
      <c r="AG8" s="866"/>
      <c r="AH8" s="863"/>
      <c r="AI8" s="863"/>
      <c r="AJ8" s="863"/>
      <c r="AK8" s="863"/>
      <c r="AL8" s="863"/>
      <c r="AM8" s="863"/>
      <c r="AN8" s="863"/>
      <c r="AO8" s="863"/>
      <c r="AP8" s="863"/>
      <c r="AQ8" s="863"/>
      <c r="AR8" s="863"/>
      <c r="AS8" s="863"/>
    </row>
    <row r="9" spans="1:45" s="2" customFormat="1" ht="79.5" customHeight="1" x14ac:dyDescent="0.2">
      <c r="A9" s="831"/>
      <c r="B9" s="831"/>
      <c r="C9" s="831"/>
      <c r="D9" s="831"/>
      <c r="E9" s="868"/>
      <c r="F9" s="868"/>
      <c r="G9" s="868"/>
      <c r="H9" s="831"/>
      <c r="I9" s="868"/>
      <c r="J9" s="868"/>
      <c r="K9" s="868"/>
      <c r="L9" s="868"/>
      <c r="M9" s="868"/>
      <c r="N9" s="868"/>
      <c r="O9" s="831"/>
      <c r="P9" s="831"/>
      <c r="Q9" s="868"/>
      <c r="R9" s="868"/>
      <c r="S9" s="868"/>
      <c r="T9" s="868"/>
      <c r="U9" s="868"/>
      <c r="V9" s="868"/>
      <c r="W9" s="868"/>
      <c r="X9" s="285" t="s">
        <v>2578</v>
      </c>
      <c r="Y9" s="285" t="s">
        <v>2579</v>
      </c>
      <c r="Z9" s="285" t="s">
        <v>2580</v>
      </c>
      <c r="AA9" s="285" t="s">
        <v>2581</v>
      </c>
      <c r="AB9" s="284"/>
      <c r="AD9" s="867"/>
      <c r="AE9" s="867"/>
      <c r="AF9" s="867"/>
      <c r="AG9" s="867"/>
      <c r="AH9" s="864"/>
      <c r="AI9" s="864"/>
      <c r="AJ9" s="864"/>
      <c r="AK9" s="864"/>
      <c r="AL9" s="864"/>
      <c r="AM9" s="864"/>
      <c r="AN9" s="864"/>
      <c r="AO9" s="864"/>
      <c r="AP9" s="864"/>
      <c r="AQ9" s="864"/>
      <c r="AR9" s="864"/>
      <c r="AS9" s="864"/>
    </row>
    <row r="10" spans="1:45" x14ac:dyDescent="0.2">
      <c r="A10" s="3" t="s">
        <v>129</v>
      </c>
      <c r="B10" s="3" t="s">
        <v>160</v>
      </c>
      <c r="C10" s="3" t="s">
        <v>99</v>
      </c>
      <c r="D10" s="3" t="s">
        <v>1472</v>
      </c>
      <c r="E10" s="3" t="s">
        <v>1473</v>
      </c>
      <c r="F10" s="3" t="s">
        <v>1474</v>
      </c>
      <c r="G10" s="3" t="s">
        <v>1475</v>
      </c>
      <c r="H10" s="3" t="s">
        <v>1476</v>
      </c>
      <c r="I10" s="3" t="s">
        <v>1477</v>
      </c>
      <c r="J10" s="3" t="s">
        <v>1478</v>
      </c>
      <c r="K10" s="3" t="s">
        <v>1479</v>
      </c>
      <c r="L10" s="3" t="s">
        <v>1480</v>
      </c>
      <c r="M10" s="3" t="s">
        <v>1481</v>
      </c>
      <c r="N10" s="3" t="s">
        <v>1482</v>
      </c>
      <c r="O10" s="3" t="s">
        <v>1483</v>
      </c>
      <c r="P10" s="3" t="s">
        <v>1484</v>
      </c>
      <c r="Q10" s="3" t="s">
        <v>1485</v>
      </c>
      <c r="R10" s="3" t="s">
        <v>1486</v>
      </c>
      <c r="S10" s="3" t="s">
        <v>1487</v>
      </c>
      <c r="T10" s="3" t="s">
        <v>1488</v>
      </c>
      <c r="U10" s="3" t="s">
        <v>1489</v>
      </c>
      <c r="V10" s="3" t="s">
        <v>1490</v>
      </c>
      <c r="W10" s="3" t="s">
        <v>1491</v>
      </c>
      <c r="X10" s="9">
        <v>25</v>
      </c>
      <c r="Y10" s="9">
        <v>26</v>
      </c>
      <c r="Z10" s="9">
        <v>27</v>
      </c>
      <c r="AA10" s="9">
        <v>28</v>
      </c>
      <c r="AB10" s="72"/>
      <c r="AD10" s="635">
        <v>29</v>
      </c>
      <c r="AE10" s="635">
        <v>30</v>
      </c>
      <c r="AF10" s="635">
        <v>31</v>
      </c>
      <c r="AG10" s="635">
        <v>32</v>
      </c>
      <c r="AH10" s="635">
        <v>33</v>
      </c>
      <c r="AI10" s="635">
        <v>34</v>
      </c>
      <c r="AJ10" s="635">
        <v>35</v>
      </c>
      <c r="AK10" s="635">
        <v>36</v>
      </c>
      <c r="AL10" s="635">
        <v>37</v>
      </c>
      <c r="AM10" s="635">
        <v>38</v>
      </c>
      <c r="AN10" s="635">
        <v>39</v>
      </c>
      <c r="AO10" s="635">
        <v>40</v>
      </c>
      <c r="AP10" s="635">
        <v>41</v>
      </c>
      <c r="AQ10" s="635">
        <v>42</v>
      </c>
      <c r="AR10" s="635">
        <v>43</v>
      </c>
      <c r="AS10" s="635">
        <v>44</v>
      </c>
    </row>
    <row r="11" spans="1:45" ht="25.5" customHeight="1" x14ac:dyDescent="0.2">
      <c r="A11" s="4"/>
      <c r="B11" s="18" t="s">
        <v>128</v>
      </c>
      <c r="C11" s="22"/>
      <c r="D11" s="58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67"/>
      <c r="P11" s="52"/>
      <c r="Q11" s="67">
        <f>'Утв. ИП 2014-2019'!H15</f>
        <v>1851.4664775324072</v>
      </c>
      <c r="R11" s="67"/>
      <c r="S11" s="67">
        <f>'Утв. ИП 2014-2019'!I15</f>
        <v>1455.1499506254577</v>
      </c>
      <c r="T11" s="22"/>
      <c r="U11" s="22"/>
      <c r="V11" s="22"/>
      <c r="W11" s="22"/>
      <c r="X11" s="22"/>
      <c r="Y11" s="22"/>
      <c r="Z11" s="22"/>
      <c r="AA11" s="22"/>
      <c r="AB11" s="72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</row>
    <row r="12" spans="1:45" s="42" customFormat="1" ht="28.5" customHeight="1" x14ac:dyDescent="0.2">
      <c r="A12" s="39" t="s">
        <v>129</v>
      </c>
      <c r="B12" s="40" t="s">
        <v>130</v>
      </c>
      <c r="C12" s="104"/>
      <c r="D12" s="40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41"/>
      <c r="P12" s="104"/>
      <c r="Q12" s="41">
        <f>'Утв. ИП 2014-2019'!H16</f>
        <v>489.3133600000001</v>
      </c>
      <c r="R12" s="41"/>
      <c r="S12" s="41">
        <f>'Утв. ИП 2014-2019'!I16</f>
        <v>436.89846</v>
      </c>
      <c r="T12" s="104"/>
      <c r="U12" s="104"/>
      <c r="V12" s="104"/>
      <c r="W12" s="104"/>
      <c r="X12" s="104"/>
      <c r="Y12" s="104"/>
      <c r="Z12" s="104"/>
      <c r="AA12" s="104"/>
      <c r="AB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</row>
    <row r="13" spans="1:45" s="53" customFormat="1" ht="28.5" customHeight="1" x14ac:dyDescent="0.2">
      <c r="A13" s="28" t="s">
        <v>131</v>
      </c>
      <c r="B13" s="29" t="s">
        <v>132</v>
      </c>
      <c r="C13" s="30"/>
      <c r="D13" s="29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1"/>
      <c r="P13" s="30"/>
      <c r="Q13" s="31">
        <f>'Утв. ИП 2014-2019'!H17</f>
        <v>442.45630000000006</v>
      </c>
      <c r="R13" s="31"/>
      <c r="S13" s="31">
        <f>'Утв. ИП 2014-2019'!I17</f>
        <v>416.78520000000003</v>
      </c>
      <c r="T13" s="30"/>
      <c r="U13" s="30"/>
      <c r="V13" s="30"/>
      <c r="W13" s="30"/>
      <c r="X13" s="30"/>
      <c r="Y13" s="30"/>
      <c r="Z13" s="30"/>
      <c r="AA13" s="30"/>
      <c r="AB13" s="73"/>
      <c r="AD13" s="586"/>
      <c r="AE13" s="586"/>
      <c r="AF13" s="586"/>
      <c r="AG13" s="586"/>
      <c r="AH13" s="586"/>
      <c r="AI13" s="586"/>
      <c r="AJ13" s="586"/>
      <c r="AK13" s="586"/>
      <c r="AL13" s="586"/>
      <c r="AM13" s="586"/>
      <c r="AN13" s="586"/>
      <c r="AO13" s="586"/>
      <c r="AP13" s="586"/>
      <c r="AQ13" s="586"/>
      <c r="AR13" s="586"/>
      <c r="AS13" s="586"/>
    </row>
    <row r="14" spans="1:45" s="53" customFormat="1" x14ac:dyDescent="0.2">
      <c r="A14" s="28" t="s">
        <v>133</v>
      </c>
      <c r="B14" s="29" t="s">
        <v>134</v>
      </c>
      <c r="C14" s="30"/>
      <c r="D14" s="29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1"/>
      <c r="P14" s="30"/>
      <c r="Q14" s="31">
        <f>'Утв. ИП 2014-2019'!H18</f>
        <v>198.24100000000004</v>
      </c>
      <c r="R14" s="31"/>
      <c r="S14" s="31">
        <f>'Утв. ИП 2014-2019'!I18</f>
        <v>193.25460000000004</v>
      </c>
      <c r="T14" s="30"/>
      <c r="U14" s="30"/>
      <c r="V14" s="30"/>
      <c r="W14" s="30"/>
      <c r="X14" s="30"/>
      <c r="Y14" s="30"/>
      <c r="Z14" s="30"/>
      <c r="AA14" s="30"/>
      <c r="AB14" s="73"/>
      <c r="AD14" s="586"/>
      <c r="AE14" s="586"/>
      <c r="AF14" s="586"/>
      <c r="AG14" s="586"/>
      <c r="AH14" s="586"/>
      <c r="AI14" s="586"/>
      <c r="AJ14" s="586"/>
      <c r="AK14" s="586"/>
      <c r="AL14" s="586"/>
      <c r="AM14" s="586"/>
      <c r="AN14" s="586"/>
      <c r="AO14" s="586"/>
      <c r="AP14" s="586"/>
      <c r="AQ14" s="586"/>
      <c r="AR14" s="586"/>
      <c r="AS14" s="586"/>
    </row>
    <row r="15" spans="1:45" s="2" customFormat="1" ht="54" hidden="1" customHeight="1" outlineLevel="1" x14ac:dyDescent="0.2">
      <c r="A15" s="114" t="str">
        <f>'Утв. ИП 2014-2019'!B19</f>
        <v>1.1.1.1</v>
      </c>
      <c r="B15" s="7" t="str">
        <f>'Утв. ИП 2014-2019'!C19</f>
        <v>Реконструкция ВЛ-35 кВ от ПС "Цементная" до ПС "Студеновская" со строительством канала связи</v>
      </c>
      <c r="C15" s="23" t="s">
        <v>215</v>
      </c>
      <c r="D15" s="19" t="s">
        <v>216</v>
      </c>
      <c r="E15" s="12"/>
      <c r="F15" s="8"/>
      <c r="G15" s="8" t="str">
        <f>'Утв. ИП 2014-2019'!E19</f>
        <v>5,098 км</v>
      </c>
      <c r="H15" s="8"/>
      <c r="I15" s="8">
        <f>'Утв. ИП 2014-2019'!F19</f>
        <v>2018</v>
      </c>
      <c r="J15" s="8">
        <f>'Утв. ИП 2014-2019'!G19</f>
        <v>2020</v>
      </c>
      <c r="K15" s="8" t="s">
        <v>69</v>
      </c>
      <c r="L15" s="8" t="s">
        <v>70</v>
      </c>
      <c r="M15" s="8" t="s">
        <v>70</v>
      </c>
      <c r="N15" s="8" t="s">
        <v>70</v>
      </c>
      <c r="O15" s="5">
        <f>('Утв. ИП 2014-2019'!H19-'Утв. ИП 2014-2019'!I19)*100/'Утв. ИП 2014-2019'!H19</f>
        <v>1.8781244714702083</v>
      </c>
      <c r="P15" s="5">
        <v>0</v>
      </c>
      <c r="Q15" s="5">
        <f>'Утв. ИП 2014-2019'!H19</f>
        <v>177.9701</v>
      </c>
      <c r="R15" s="5"/>
      <c r="S15" s="5">
        <f>'Утв. ИП 2014-2019'!I19</f>
        <v>174.6276</v>
      </c>
      <c r="T15" s="8"/>
      <c r="U15" s="8" t="s">
        <v>431</v>
      </c>
      <c r="V15" s="8" t="s">
        <v>72</v>
      </c>
      <c r="W15" s="8" t="s">
        <v>73</v>
      </c>
      <c r="X15" s="115">
        <v>79.204999999999998</v>
      </c>
      <c r="Y15" s="8">
        <v>71</v>
      </c>
      <c r="Z15" s="8">
        <v>7.5</v>
      </c>
      <c r="AA15" s="8">
        <v>8</v>
      </c>
      <c r="AB15" s="8"/>
      <c r="AD15" s="583"/>
      <c r="AE15" s="584"/>
      <c r="AF15" s="584"/>
      <c r="AG15" s="584"/>
      <c r="AH15" s="590"/>
      <c r="AI15" s="590"/>
      <c r="AJ15" s="590"/>
      <c r="AK15" s="590"/>
      <c r="AL15" s="591"/>
      <c r="AM15" s="591"/>
      <c r="AN15" s="591"/>
      <c r="AO15" s="591"/>
      <c r="AP15" s="591"/>
      <c r="AQ15" s="591"/>
      <c r="AR15" s="591"/>
      <c r="AS15" s="591"/>
    </row>
    <row r="16" spans="1:45" s="2" customFormat="1" ht="51" hidden="1" outlineLevel="1" x14ac:dyDescent="0.2">
      <c r="A16" s="114" t="str">
        <f>'Утв. ИП 2014-2019'!B20</f>
        <v>1.1.1.2</v>
      </c>
      <c r="B16" s="7" t="str">
        <f>'Утв. ИП 2014-2019'!C20</f>
        <v xml:space="preserve">Реконструкция КЛ-10 кВ от РП-15 яч. 10 до ТП-505 яч. 4 (инв. № 340869) </v>
      </c>
      <c r="C16" s="23" t="s">
        <v>215</v>
      </c>
      <c r="D16" s="7" t="s">
        <v>217</v>
      </c>
      <c r="E16" s="12"/>
      <c r="F16" s="8"/>
      <c r="G16" s="8" t="str">
        <f>'Утв. ИП 2014-2019'!E20</f>
        <v>0,569 км</v>
      </c>
      <c r="H16" s="8"/>
      <c r="I16" s="8">
        <f>'Утв. ИП 2014-2019'!F20</f>
        <v>2012</v>
      </c>
      <c r="J16" s="8">
        <f>'Утв. ИП 2014-2019'!G20</f>
        <v>2014</v>
      </c>
      <c r="K16" s="8" t="s">
        <v>69</v>
      </c>
      <c r="L16" s="8" t="s">
        <v>69</v>
      </c>
      <c r="M16" s="8" t="s">
        <v>69</v>
      </c>
      <c r="N16" s="8" t="s">
        <v>69</v>
      </c>
      <c r="O16" s="5">
        <f>('Утв. ИП 2014-2019'!H20-'Утв. ИП 2014-2019'!I20)*100/'Утв. ИП 2014-2019'!H20</f>
        <v>94.809389238133676</v>
      </c>
      <c r="P16" s="5">
        <f t="shared" ref="P16:P43" si="0">O16</f>
        <v>94.809389238133676</v>
      </c>
      <c r="Q16" s="5">
        <f>'Утв. ИП 2014-2019'!H20</f>
        <v>1.7339</v>
      </c>
      <c r="R16" s="5"/>
      <c r="S16" s="5">
        <f>'Утв. ИП 2014-2019'!I20</f>
        <v>0.09</v>
      </c>
      <c r="T16" s="8"/>
      <c r="U16" s="8" t="s">
        <v>431</v>
      </c>
      <c r="V16" s="8" t="s">
        <v>75</v>
      </c>
      <c r="W16" s="8" t="s">
        <v>74</v>
      </c>
      <c r="X16" s="115">
        <v>6.0659999999999998</v>
      </c>
      <c r="Y16" s="8">
        <v>27</v>
      </c>
      <c r="Z16" s="8">
        <v>0.8</v>
      </c>
      <c r="AA16" s="8">
        <v>1.8</v>
      </c>
      <c r="AB16" s="8"/>
      <c r="AD16" s="583"/>
      <c r="AE16" s="584"/>
      <c r="AF16" s="584"/>
      <c r="AG16" s="584"/>
      <c r="AH16" s="590"/>
      <c r="AI16" s="590"/>
      <c r="AJ16" s="590"/>
      <c r="AK16" s="590"/>
      <c r="AL16" s="591"/>
      <c r="AM16" s="591"/>
      <c r="AN16" s="591"/>
      <c r="AO16" s="591"/>
      <c r="AP16" s="591"/>
      <c r="AQ16" s="591"/>
      <c r="AR16" s="591"/>
      <c r="AS16" s="591"/>
    </row>
    <row r="17" spans="1:45" s="2" customFormat="1" ht="38.25" hidden="1" outlineLevel="1" x14ac:dyDescent="0.2">
      <c r="A17" s="114" t="str">
        <f>'Утв. ИП 2014-2019'!B21</f>
        <v>1.1.1.3</v>
      </c>
      <c r="B17" s="7" t="str">
        <f>'Утв. ИП 2014-2019'!C21</f>
        <v>Реконструкция ВЛ 6 кВ РП-25 – ТП-404 с монтажем РЛНД на отпайке в сторону ТП-429</v>
      </c>
      <c r="C17" s="23" t="s">
        <v>215</v>
      </c>
      <c r="D17" s="7" t="s">
        <v>1438</v>
      </c>
      <c r="E17" s="12"/>
      <c r="F17" s="8"/>
      <c r="G17" s="8" t="str">
        <f>'Утв. ИП 2014-2019'!E21</f>
        <v>-</v>
      </c>
      <c r="H17" s="8"/>
      <c r="I17" s="8">
        <f>'Утв. ИП 2014-2019'!F21</f>
        <v>2015</v>
      </c>
      <c r="J17" s="8">
        <f>'Утв. ИП 2014-2019'!G21</f>
        <v>2016</v>
      </c>
      <c r="K17" s="8" t="s">
        <v>70</v>
      </c>
      <c r="L17" s="8" t="s">
        <v>70</v>
      </c>
      <c r="M17" s="8" t="s">
        <v>70</v>
      </c>
      <c r="N17" s="8" t="s">
        <v>71</v>
      </c>
      <c r="O17" s="5">
        <f>('Утв. ИП 2014-2019'!H21-'Утв. ИП 2014-2019'!I21)*100/'Утв. ИП 2014-2019'!H21</f>
        <v>0</v>
      </c>
      <c r="P17" s="5">
        <f t="shared" si="0"/>
        <v>0</v>
      </c>
      <c r="Q17" s="5">
        <f>'Утв. ИП 2014-2019'!H21</f>
        <v>9.8000000000000004E-2</v>
      </c>
      <c r="R17" s="5"/>
      <c r="S17" s="5">
        <f>'Утв. ИП 2014-2019'!I21</f>
        <v>9.8000000000000004E-2</v>
      </c>
      <c r="T17" s="8"/>
      <c r="U17" s="8" t="s">
        <v>431</v>
      </c>
      <c r="V17" s="871" t="s">
        <v>1761</v>
      </c>
      <c r="W17" s="8"/>
      <c r="X17" s="115">
        <v>17.131</v>
      </c>
      <c r="Y17" s="8">
        <v>107</v>
      </c>
      <c r="Z17" s="8">
        <v>3</v>
      </c>
      <c r="AA17" s="8">
        <v>3.2</v>
      </c>
      <c r="AB17" s="8"/>
      <c r="AD17" s="583"/>
      <c r="AE17" s="584"/>
      <c r="AF17" s="584"/>
      <c r="AG17" s="584"/>
      <c r="AH17" s="590"/>
      <c r="AI17" s="590"/>
      <c r="AJ17" s="590"/>
      <c r="AK17" s="590"/>
      <c r="AL17" s="591"/>
      <c r="AM17" s="591"/>
      <c r="AN17" s="591"/>
      <c r="AO17" s="591"/>
      <c r="AP17" s="591"/>
      <c r="AQ17" s="591"/>
      <c r="AR17" s="591"/>
      <c r="AS17" s="591"/>
    </row>
    <row r="18" spans="1:45" s="2" customFormat="1" ht="51" hidden="1" outlineLevel="1" x14ac:dyDescent="0.2">
      <c r="A18" s="114" t="str">
        <f>'Утв. ИП 2014-2019'!B22</f>
        <v>1.1.1.4</v>
      </c>
      <c r="B18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C18" s="23" t="s">
        <v>215</v>
      </c>
      <c r="D18" s="7" t="s">
        <v>1440</v>
      </c>
      <c r="E18" s="12"/>
      <c r="F18" s="8"/>
      <c r="G18" s="8" t="str">
        <f>'Утв. ИП 2014-2019'!E22</f>
        <v>-</v>
      </c>
      <c r="H18" s="8"/>
      <c r="I18" s="8">
        <f>'Утв. ИП 2014-2019'!F22</f>
        <v>2015</v>
      </c>
      <c r="J18" s="8">
        <f>'Утв. ИП 2014-2019'!G22</f>
        <v>2016</v>
      </c>
      <c r="K18" s="8" t="s">
        <v>70</v>
      </c>
      <c r="L18" s="8" t="s">
        <v>70</v>
      </c>
      <c r="M18" s="8" t="s">
        <v>70</v>
      </c>
      <c r="N18" s="8" t="s">
        <v>71</v>
      </c>
      <c r="O18" s="5">
        <f>('Утв. ИП 2014-2019'!H22-'Утв. ИП 2014-2019'!I22)*100/'Утв. ИП 2014-2019'!H22</f>
        <v>0</v>
      </c>
      <c r="P18" s="5">
        <f t="shared" si="0"/>
        <v>0</v>
      </c>
      <c r="Q18" s="5">
        <f>'Утв. ИП 2014-2019'!H22</f>
        <v>0.19589999999999999</v>
      </c>
      <c r="R18" s="5"/>
      <c r="S18" s="5">
        <f>'Утв. ИП 2014-2019'!I22</f>
        <v>0.19589999999999999</v>
      </c>
      <c r="T18" s="8"/>
      <c r="U18" s="8" t="s">
        <v>431</v>
      </c>
      <c r="V18" s="871"/>
      <c r="W18" s="8"/>
      <c r="X18" s="115">
        <v>1.611</v>
      </c>
      <c r="Y18" s="8">
        <v>336</v>
      </c>
      <c r="Z18" s="8">
        <v>2</v>
      </c>
      <c r="AA18" s="8">
        <v>0</v>
      </c>
      <c r="AB18" s="8"/>
      <c r="AD18" s="583"/>
      <c r="AE18" s="584"/>
      <c r="AF18" s="584"/>
      <c r="AG18" s="584"/>
      <c r="AH18" s="590"/>
      <c r="AI18" s="590"/>
      <c r="AJ18" s="590"/>
      <c r="AK18" s="590"/>
      <c r="AL18" s="591"/>
      <c r="AM18" s="591"/>
      <c r="AN18" s="591"/>
      <c r="AO18" s="591"/>
      <c r="AP18" s="591"/>
      <c r="AQ18" s="591"/>
      <c r="AR18" s="591"/>
      <c r="AS18" s="591"/>
    </row>
    <row r="19" spans="1:45" s="2" customFormat="1" ht="38.25" hidden="1" outlineLevel="1" x14ac:dyDescent="0.2">
      <c r="A19" s="114" t="str">
        <f>'Утв. ИП 2014-2019'!B23</f>
        <v>1.1.1.5</v>
      </c>
      <c r="B19" s="7" t="str">
        <f>'Утв. ИП 2014-2019'!C23</f>
        <v>Реконструкция кабельно-воздушной линии 6 кВ РП-25 яч.7 - ТП-404</v>
      </c>
      <c r="C19" s="23" t="s">
        <v>215</v>
      </c>
      <c r="D19" s="7" t="s">
        <v>1442</v>
      </c>
      <c r="E19" s="12"/>
      <c r="F19" s="8"/>
      <c r="G19" s="8" t="str">
        <f>'Утв. ИП 2014-2019'!E23</f>
        <v>КЛ=0,62 км;
ВЛ=2,157 км</v>
      </c>
      <c r="H19" s="8"/>
      <c r="I19" s="8">
        <f>'Утв. ИП 2014-2019'!F23</f>
        <v>2015</v>
      </c>
      <c r="J19" s="8">
        <f>'Утв. ИП 2014-2019'!G23</f>
        <v>2016</v>
      </c>
      <c r="K19" s="8" t="s">
        <v>70</v>
      </c>
      <c r="L19" s="8" t="s">
        <v>70</v>
      </c>
      <c r="M19" s="8" t="s">
        <v>70</v>
      </c>
      <c r="N19" s="8" t="s">
        <v>70</v>
      </c>
      <c r="O19" s="5">
        <f>('Утв. ИП 2014-2019'!H23-'Утв. ИП 2014-2019'!I23)*100/'Утв. ИП 2014-2019'!H23</f>
        <v>0</v>
      </c>
      <c r="P19" s="5">
        <f t="shared" si="0"/>
        <v>0</v>
      </c>
      <c r="Q19" s="5">
        <f>'Утв. ИП 2014-2019'!H23</f>
        <v>9.0010999999999992</v>
      </c>
      <c r="R19" s="5"/>
      <c r="S19" s="5">
        <f>'Утв. ИП 2014-2019'!I23</f>
        <v>9.0010999999999992</v>
      </c>
      <c r="T19" s="8"/>
      <c r="U19" s="8" t="s">
        <v>2593</v>
      </c>
      <c r="V19" s="871" t="s">
        <v>77</v>
      </c>
      <c r="W19" s="8"/>
      <c r="X19" s="871" t="s">
        <v>2592</v>
      </c>
      <c r="Y19" s="871"/>
      <c r="Z19" s="871"/>
      <c r="AA19" s="871"/>
      <c r="AB19" s="8"/>
      <c r="AD19" s="583"/>
      <c r="AE19" s="584"/>
      <c r="AF19" s="584"/>
      <c r="AG19" s="584"/>
      <c r="AH19" s="590"/>
      <c r="AI19" s="590"/>
      <c r="AJ19" s="590"/>
      <c r="AK19" s="590"/>
      <c r="AL19" s="591"/>
      <c r="AM19" s="591"/>
      <c r="AN19" s="591"/>
      <c r="AO19" s="591"/>
      <c r="AP19" s="591"/>
      <c r="AQ19" s="591"/>
      <c r="AR19" s="591"/>
      <c r="AS19" s="591"/>
    </row>
    <row r="20" spans="1:45" s="2" customFormat="1" ht="38.25" hidden="1" outlineLevel="1" x14ac:dyDescent="0.2">
      <c r="A20" s="114" t="str">
        <f>'Утв. ИП 2014-2019'!B24</f>
        <v>1.1.1.6</v>
      </c>
      <c r="B20" s="7" t="str">
        <f>'Утв. ИП 2014-2019'!C24</f>
        <v>Реконструкция КЛ-6 кВ РП-8 яч.7 - ТП-414</v>
      </c>
      <c r="C20" s="23" t="s">
        <v>215</v>
      </c>
      <c r="D20" s="7" t="s">
        <v>1441</v>
      </c>
      <c r="E20" s="12"/>
      <c r="F20" s="8"/>
      <c r="G20" s="8" t="str">
        <f>'Утв. ИП 2014-2019'!E24</f>
        <v>2х0,856 км</v>
      </c>
      <c r="H20" s="8"/>
      <c r="I20" s="8">
        <f>'Утв. ИП 2014-2019'!F24</f>
        <v>2015</v>
      </c>
      <c r="J20" s="8">
        <f>'Утв. ИП 2014-2019'!G24</f>
        <v>2016</v>
      </c>
      <c r="K20" s="8" t="s">
        <v>70</v>
      </c>
      <c r="L20" s="8" t="s">
        <v>70</v>
      </c>
      <c r="M20" s="8" t="s">
        <v>70</v>
      </c>
      <c r="N20" s="8" t="s">
        <v>70</v>
      </c>
      <c r="O20" s="5">
        <f>('Утв. ИП 2014-2019'!H24-'Утв. ИП 2014-2019'!I24)*100/'Утв. ИП 2014-2019'!H24</f>
        <v>0</v>
      </c>
      <c r="P20" s="5">
        <f t="shared" si="0"/>
        <v>0</v>
      </c>
      <c r="Q20" s="5">
        <f>'Утв. ИП 2014-2019'!H24</f>
        <v>3.4239999999999999</v>
      </c>
      <c r="R20" s="5"/>
      <c r="S20" s="5">
        <f>'Утв. ИП 2014-2019'!I24</f>
        <v>3.4239999999999999</v>
      </c>
      <c r="T20" s="8"/>
      <c r="U20" s="8" t="s">
        <v>431</v>
      </c>
      <c r="V20" s="871"/>
      <c r="W20" s="8"/>
      <c r="X20" s="115">
        <v>0.47299999999999998</v>
      </c>
      <c r="Y20" s="8">
        <v>22</v>
      </c>
      <c r="Z20" s="8">
        <v>2.8</v>
      </c>
      <c r="AA20" s="8">
        <v>7.4</v>
      </c>
      <c r="AB20" s="8"/>
      <c r="AD20" s="583"/>
      <c r="AE20" s="584"/>
      <c r="AF20" s="584"/>
      <c r="AG20" s="584"/>
      <c r="AH20" s="590"/>
      <c r="AI20" s="590"/>
      <c r="AJ20" s="590"/>
      <c r="AK20" s="590"/>
      <c r="AL20" s="591"/>
      <c r="AM20" s="591"/>
      <c r="AN20" s="591"/>
      <c r="AO20" s="591"/>
      <c r="AP20" s="591"/>
      <c r="AQ20" s="591"/>
      <c r="AR20" s="591"/>
      <c r="AS20" s="591"/>
    </row>
    <row r="21" spans="1:45" s="2" customFormat="1" ht="38.25" hidden="1" outlineLevel="1" x14ac:dyDescent="0.2">
      <c r="A21" s="114" t="str">
        <f>'Утв. ИП 2014-2019'!B25</f>
        <v>1.1.1.7</v>
      </c>
      <c r="B21" s="7" t="str">
        <f>'Утв. ИП 2014-2019'!C25</f>
        <v>Реконструкция КЛ-6 кВ РП-25 яч.9 - ТП-402</v>
      </c>
      <c r="C21" s="23" t="s">
        <v>215</v>
      </c>
      <c r="D21" s="7" t="s">
        <v>1456</v>
      </c>
      <c r="E21" s="12"/>
      <c r="F21" s="8"/>
      <c r="G21" s="8" t="str">
        <f>'Утв. ИП 2014-2019'!E25</f>
        <v>0,8 км</v>
      </c>
      <c r="H21" s="8"/>
      <c r="I21" s="8">
        <f>'Утв. ИП 2014-2019'!F25</f>
        <v>2016</v>
      </c>
      <c r="J21" s="8">
        <f>'Утв. ИП 2014-2019'!G25</f>
        <v>2017</v>
      </c>
      <c r="K21" s="8" t="s">
        <v>70</v>
      </c>
      <c r="L21" s="8" t="s">
        <v>70</v>
      </c>
      <c r="M21" s="8" t="s">
        <v>70</v>
      </c>
      <c r="N21" s="8" t="s">
        <v>70</v>
      </c>
      <c r="O21" s="5">
        <f>('Утв. ИП 2014-2019'!H25-'Утв. ИП 2014-2019'!I25)*100/'Утв. ИП 2014-2019'!H25</f>
        <v>0</v>
      </c>
      <c r="P21" s="5">
        <f t="shared" si="0"/>
        <v>0</v>
      </c>
      <c r="Q21" s="5">
        <f>'Утв. ИП 2014-2019'!H25</f>
        <v>5.7229999999999999</v>
      </c>
      <c r="R21" s="5"/>
      <c r="S21" s="5">
        <f>'Утв. ИП 2014-2019'!I25</f>
        <v>5.7229999999999999</v>
      </c>
      <c r="T21" s="8"/>
      <c r="U21" s="8" t="s">
        <v>431</v>
      </c>
      <c r="V21" s="871"/>
      <c r="W21" s="8"/>
      <c r="X21" s="115">
        <v>0.38800000000000001</v>
      </c>
      <c r="Y21" s="8">
        <v>20</v>
      </c>
      <c r="Z21" s="8">
        <v>3.8</v>
      </c>
      <c r="AA21" s="8">
        <v>8</v>
      </c>
      <c r="AB21" s="8"/>
      <c r="AD21" s="583"/>
      <c r="AE21" s="584"/>
      <c r="AF21" s="584"/>
      <c r="AG21" s="584"/>
      <c r="AH21" s="590"/>
      <c r="AI21" s="590"/>
      <c r="AJ21" s="590"/>
      <c r="AK21" s="590"/>
      <c r="AL21" s="591"/>
      <c r="AM21" s="591"/>
      <c r="AN21" s="591"/>
      <c r="AO21" s="591"/>
      <c r="AP21" s="591"/>
      <c r="AQ21" s="591"/>
      <c r="AR21" s="591"/>
      <c r="AS21" s="591"/>
    </row>
    <row r="22" spans="1:45" s="2" customFormat="1" ht="25.5" hidden="1" outlineLevel="1" x14ac:dyDescent="0.2">
      <c r="A22" s="114" t="str">
        <f>'Утв. ИП 2014-2019'!B26</f>
        <v>1.1.1.8</v>
      </c>
      <c r="B22" s="7" t="str">
        <f>'Утв. ИП 2014-2019'!C26</f>
        <v>Реконструкция (перезавод) КЛ-6 кВ в ТП-731 на разные секции шин</v>
      </c>
      <c r="C22" s="23" t="s">
        <v>215</v>
      </c>
      <c r="D22" s="19" t="s">
        <v>1759</v>
      </c>
      <c r="E22" s="12"/>
      <c r="F22" s="8"/>
      <c r="G22" s="8" t="str">
        <f>'Утв. ИП 2014-2019'!E26</f>
        <v>0,05 км</v>
      </c>
      <c r="H22" s="8"/>
      <c r="I22" s="8">
        <f>'Утв. ИП 2014-2019'!F26</f>
        <v>2018</v>
      </c>
      <c r="J22" s="8">
        <f>'Утв. ИП 2014-2019'!G26</f>
        <v>2018</v>
      </c>
      <c r="K22" s="8" t="s">
        <v>70</v>
      </c>
      <c r="L22" s="8" t="s">
        <v>70</v>
      </c>
      <c r="M22" s="8" t="s">
        <v>70</v>
      </c>
      <c r="N22" s="8" t="s">
        <v>71</v>
      </c>
      <c r="O22" s="5">
        <f>('Утв. ИП 2014-2019'!H26-'Утв. ИП 2014-2019'!I26)*100/'Утв. ИП 2014-2019'!H26</f>
        <v>0</v>
      </c>
      <c r="P22" s="5">
        <f t="shared" si="0"/>
        <v>0</v>
      </c>
      <c r="Q22" s="5">
        <f>'Утв. ИП 2014-2019'!H26</f>
        <v>9.5000000000000001E-2</v>
      </c>
      <c r="R22" s="5"/>
      <c r="S22" s="5">
        <f>'Утв. ИП 2014-2019'!I26</f>
        <v>9.5000000000000001E-2</v>
      </c>
      <c r="T22" s="8"/>
      <c r="U22" s="8" t="s">
        <v>431</v>
      </c>
      <c r="V22" s="8" t="s">
        <v>78</v>
      </c>
      <c r="W22" s="8"/>
      <c r="X22" s="115"/>
      <c r="Y22" s="8"/>
      <c r="Z22" s="8"/>
      <c r="AA22" s="8"/>
      <c r="AB22" s="8"/>
      <c r="AD22" s="583"/>
      <c r="AE22" s="584"/>
      <c r="AF22" s="584"/>
      <c r="AG22" s="584"/>
      <c r="AH22" s="590"/>
      <c r="AI22" s="590"/>
      <c r="AJ22" s="590"/>
      <c r="AK22" s="590"/>
      <c r="AL22" s="591"/>
      <c r="AM22" s="591"/>
      <c r="AN22" s="591"/>
      <c r="AO22" s="591"/>
      <c r="AP22" s="591"/>
      <c r="AQ22" s="591"/>
      <c r="AR22" s="591"/>
      <c r="AS22" s="591"/>
    </row>
    <row r="23" spans="1:45" s="53" customFormat="1" collapsed="1" x14ac:dyDescent="0.2">
      <c r="A23" s="28" t="str">
        <f>'Утв. ИП 2014-2019'!B27</f>
        <v>1.1.2</v>
      </c>
      <c r="B23" s="33" t="str">
        <f>'Утв. ИП 2014-2019'!C27</f>
        <v>Сети низкого напряжения</v>
      </c>
      <c r="C23" s="30"/>
      <c r="D23" s="29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1"/>
      <c r="P23" s="31"/>
      <c r="Q23" s="31">
        <f>'Утв. ИП 2014-2019'!H27</f>
        <v>22.620799999999999</v>
      </c>
      <c r="R23" s="31"/>
      <c r="S23" s="31">
        <f>'Утв. ИП 2014-2019'!I27</f>
        <v>5.0830000000000002</v>
      </c>
      <c r="T23" s="30"/>
      <c r="U23" s="30"/>
      <c r="V23" s="30"/>
      <c r="W23" s="30"/>
      <c r="X23" s="326"/>
      <c r="Y23" s="30"/>
      <c r="Z23" s="30"/>
      <c r="AA23" s="30"/>
      <c r="AB23" s="75"/>
      <c r="AD23" s="586"/>
      <c r="AE23" s="586"/>
      <c r="AF23" s="586"/>
      <c r="AG23" s="586"/>
      <c r="AH23" s="586"/>
      <c r="AI23" s="586"/>
      <c r="AJ23" s="586"/>
      <c r="AK23" s="586"/>
      <c r="AL23" s="586"/>
      <c r="AM23" s="586"/>
      <c r="AN23" s="586"/>
      <c r="AO23" s="586"/>
      <c r="AP23" s="586"/>
      <c r="AQ23" s="586"/>
      <c r="AR23" s="586"/>
      <c r="AS23" s="586"/>
    </row>
    <row r="24" spans="1:45" s="2" customFormat="1" ht="204" hidden="1" outlineLevel="1" x14ac:dyDescent="0.2">
      <c r="A24" s="114" t="str">
        <f>'Утв. ИП 2014-2019'!B28</f>
        <v>1.1.2.1</v>
      </c>
      <c r="B24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C24" s="23" t="s">
        <v>215</v>
      </c>
      <c r="D24" s="7" t="s">
        <v>933</v>
      </c>
      <c r="E24" s="8"/>
      <c r="F24" s="8"/>
      <c r="G24" s="8" t="str">
        <f>'Утв. ИП 2014-2019'!E28</f>
        <v>20,0 км</v>
      </c>
      <c r="H24" s="8"/>
      <c r="I24" s="8">
        <f>'Утв. ИП 2014-2019'!F28</f>
        <v>2013</v>
      </c>
      <c r="J24" s="8">
        <f>'Утв. ИП 2014-2019'!G28</f>
        <v>2015</v>
      </c>
      <c r="K24" s="8" t="s">
        <v>69</v>
      </c>
      <c r="L24" s="8" t="s">
        <v>71</v>
      </c>
      <c r="M24" s="8" t="s">
        <v>71</v>
      </c>
      <c r="N24" s="8" t="s">
        <v>71</v>
      </c>
      <c r="O24" s="5">
        <f>('Утв. ИП 2014-2019'!H28-'Утв. ИП 2014-2019'!I28)*100/'Утв. ИП 2014-2019'!H28</f>
        <v>77.815048496303987</v>
      </c>
      <c r="P24" s="5">
        <f t="shared" si="0"/>
        <v>77.815048496303987</v>
      </c>
      <c r="Q24" s="5">
        <f>'Утв. ИП 2014-2019'!H28</f>
        <v>22.537800000000001</v>
      </c>
      <c r="R24" s="5"/>
      <c r="S24" s="5">
        <f>'Утв. ИП 2014-2019'!I28</f>
        <v>5</v>
      </c>
      <c r="T24" s="8"/>
      <c r="U24" s="8" t="s">
        <v>2593</v>
      </c>
      <c r="V24" s="8" t="s">
        <v>444</v>
      </c>
      <c r="W24" s="8"/>
      <c r="X24" s="115">
        <v>1.3640000000000001</v>
      </c>
      <c r="Y24" s="44">
        <v>13</v>
      </c>
      <c r="Z24" s="8">
        <v>5.8</v>
      </c>
      <c r="AA24" s="8">
        <v>9.5</v>
      </c>
      <c r="AB24" s="8" t="s">
        <v>1278</v>
      </c>
      <c r="AD24" s="583"/>
      <c r="AE24" s="584"/>
      <c r="AF24" s="584"/>
      <c r="AG24" s="584"/>
      <c r="AH24" s="590"/>
      <c r="AI24" s="590"/>
      <c r="AJ24" s="590"/>
      <c r="AK24" s="590"/>
      <c r="AL24" s="591"/>
      <c r="AM24" s="591"/>
      <c r="AN24" s="591"/>
      <c r="AO24" s="591"/>
      <c r="AP24" s="591"/>
      <c r="AQ24" s="591"/>
      <c r="AR24" s="591"/>
      <c r="AS24" s="591"/>
    </row>
    <row r="25" spans="1:45" s="2" customFormat="1" ht="38.25" hidden="1" outlineLevel="1" x14ac:dyDescent="0.2">
      <c r="A25" s="114" t="str">
        <f>'Утв. ИП 2014-2019'!B29</f>
        <v>1.1.2.2</v>
      </c>
      <c r="B25" s="7" t="str">
        <f>'Утв. ИП 2014-2019'!C29</f>
        <v>Реконструкция (перенос опоры) ВЛ-0,4 кВ по ул. Новотепличная от ТП-317 (инв. № 346211)</v>
      </c>
      <c r="C25" s="23" t="s">
        <v>215</v>
      </c>
      <c r="D25" s="19" t="s">
        <v>1504</v>
      </c>
      <c r="E25" s="12"/>
      <c r="F25" s="8"/>
      <c r="G25" s="8" t="str">
        <f>'Утв. ИП 2014-2019'!E29</f>
        <v>-</v>
      </c>
      <c r="H25" s="8"/>
      <c r="I25" s="8">
        <f>'Утв. ИП 2014-2019'!F29</f>
        <v>2014</v>
      </c>
      <c r="J25" s="8">
        <f>'Утв. ИП 2014-2019'!G29</f>
        <v>2015</v>
      </c>
      <c r="K25" s="8" t="s">
        <v>70</v>
      </c>
      <c r="L25" s="8" t="s">
        <v>70</v>
      </c>
      <c r="M25" s="8" t="s">
        <v>70</v>
      </c>
      <c r="N25" s="8" t="s">
        <v>70</v>
      </c>
      <c r="O25" s="5">
        <f>('Утв. ИП 2014-2019'!H29-'Утв. ИП 2014-2019'!I29)*100/'Утв. ИП 2014-2019'!H29</f>
        <v>0</v>
      </c>
      <c r="P25" s="5">
        <f t="shared" si="0"/>
        <v>0</v>
      </c>
      <c r="Q25" s="5">
        <f>'Утв. ИП 2014-2019'!H29</f>
        <v>8.3000000000000004E-2</v>
      </c>
      <c r="R25" s="5"/>
      <c r="S25" s="5">
        <f>'Утв. ИП 2014-2019'!I29</f>
        <v>8.3000000000000004E-2</v>
      </c>
      <c r="T25" s="8"/>
      <c r="U25" s="8"/>
      <c r="V25" s="8"/>
      <c r="W25" s="8" t="s">
        <v>1505</v>
      </c>
      <c r="X25" s="115"/>
      <c r="Y25" s="8"/>
      <c r="Z25" s="8"/>
      <c r="AA25" s="8"/>
      <c r="AB25" s="8"/>
      <c r="AD25" s="583"/>
      <c r="AE25" s="584"/>
      <c r="AF25" s="584"/>
      <c r="AG25" s="584"/>
      <c r="AH25" s="590"/>
      <c r="AI25" s="590"/>
      <c r="AJ25" s="590"/>
      <c r="AK25" s="590"/>
      <c r="AL25" s="591"/>
      <c r="AM25" s="591"/>
      <c r="AN25" s="591"/>
      <c r="AO25" s="591"/>
      <c r="AP25" s="591"/>
      <c r="AQ25" s="591"/>
      <c r="AR25" s="591"/>
      <c r="AS25" s="591"/>
    </row>
    <row r="26" spans="1:45" s="53" customFormat="1" ht="15" customHeight="1" collapsed="1" x14ac:dyDescent="0.2">
      <c r="A26" s="28" t="str">
        <f>'Утв. ИП 2014-2019'!B30</f>
        <v>1.1.3</v>
      </c>
      <c r="B26" s="29" t="str">
        <f>'Утв. ИП 2014-2019'!C30</f>
        <v>Объекты электросетевого хозяйства</v>
      </c>
      <c r="C26" s="30"/>
      <c r="D26" s="29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1"/>
      <c r="P26" s="31"/>
      <c r="Q26" s="31">
        <f>'Утв. ИП 2014-2019'!H30</f>
        <v>221.59449999999998</v>
      </c>
      <c r="R26" s="31"/>
      <c r="S26" s="31">
        <f>'Утв. ИП 2014-2019'!I30</f>
        <v>218.44759999999999</v>
      </c>
      <c r="T26" s="30"/>
      <c r="U26" s="30"/>
      <c r="V26" s="30"/>
      <c r="W26" s="30"/>
      <c r="X26" s="326"/>
      <c r="Y26" s="30"/>
      <c r="Z26" s="30"/>
      <c r="AA26" s="30"/>
      <c r="AB26" s="75"/>
      <c r="AD26" s="586"/>
      <c r="AE26" s="586"/>
      <c r="AF26" s="586"/>
      <c r="AG26" s="586"/>
      <c r="AH26" s="586"/>
      <c r="AI26" s="586"/>
      <c r="AJ26" s="586"/>
      <c r="AK26" s="586"/>
      <c r="AL26" s="586"/>
      <c r="AM26" s="586"/>
      <c r="AN26" s="586"/>
      <c r="AO26" s="586"/>
      <c r="AP26" s="586"/>
      <c r="AQ26" s="586"/>
      <c r="AR26" s="586"/>
      <c r="AS26" s="586"/>
    </row>
    <row r="27" spans="1:45" s="2" customFormat="1" ht="51" hidden="1" outlineLevel="1" x14ac:dyDescent="0.2">
      <c r="A27" s="114" t="str">
        <f>'Утв. ИП 2014-2019'!B31</f>
        <v>1.1.3.1</v>
      </c>
      <c r="B27" s="7" t="str">
        <f>'Утв. ИП 2014-2019'!C31</f>
        <v>Реконструкция ПС-35/6 кВ "Студеновская" (замена оборудования) (инв. № 400641, 400640, 400639, 416043А)</v>
      </c>
      <c r="C27" s="23" t="s">
        <v>215</v>
      </c>
      <c r="D27" s="19" t="s">
        <v>1428</v>
      </c>
      <c r="E27" s="8" t="str">
        <f>'Утв. ИП 2014-2019'!E31</f>
        <v>2х25 МВА</v>
      </c>
      <c r="F27" s="8"/>
      <c r="G27" s="8"/>
      <c r="H27" s="8"/>
      <c r="I27" s="8">
        <f>'Утв. ИП 2014-2019'!F31</f>
        <v>2017</v>
      </c>
      <c r="J27" s="8">
        <f>'Утв. ИП 2014-2019'!G31</f>
        <v>2020</v>
      </c>
      <c r="K27" s="8" t="s">
        <v>69</v>
      </c>
      <c r="L27" s="8" t="s">
        <v>70</v>
      </c>
      <c r="M27" s="8" t="s">
        <v>70</v>
      </c>
      <c r="N27" s="8" t="s">
        <v>71</v>
      </c>
      <c r="O27" s="5">
        <f>('Утв. ИП 2014-2019'!H31-'Утв. ИП 2014-2019'!I31)*100/'Утв. ИП 2014-2019'!H31</f>
        <v>1.5115979237628336</v>
      </c>
      <c r="P27" s="5">
        <v>0</v>
      </c>
      <c r="Q27" s="5">
        <f>'Утв. ИП 2014-2019'!H31</f>
        <v>170.25030000000001</v>
      </c>
      <c r="R27" s="5"/>
      <c r="S27" s="5">
        <f>'Утв. ИП 2014-2019'!I31</f>
        <v>167.67680000000001</v>
      </c>
      <c r="T27" s="8"/>
      <c r="U27" s="8" t="s">
        <v>431</v>
      </c>
      <c r="V27" s="8" t="s">
        <v>76</v>
      </c>
      <c r="W27" s="8" t="s">
        <v>73</v>
      </c>
      <c r="X27" s="115">
        <v>73.600999999999999</v>
      </c>
      <c r="Y27" s="8">
        <v>70</v>
      </c>
      <c r="Z27" s="8">
        <v>2.5</v>
      </c>
      <c r="AA27" s="8">
        <v>3</v>
      </c>
      <c r="AB27" s="8"/>
      <c r="AD27" s="583"/>
      <c r="AE27" s="584"/>
      <c r="AF27" s="584"/>
      <c r="AG27" s="584"/>
      <c r="AH27" s="590"/>
      <c r="AI27" s="590"/>
      <c r="AJ27" s="590"/>
      <c r="AK27" s="590"/>
      <c r="AL27" s="591"/>
      <c r="AM27" s="591"/>
      <c r="AN27" s="591"/>
      <c r="AO27" s="591"/>
      <c r="AP27" s="591"/>
      <c r="AQ27" s="591"/>
      <c r="AR27" s="591"/>
      <c r="AS27" s="591"/>
    </row>
    <row r="28" spans="1:45" s="2" customFormat="1" ht="92.1" hidden="1" customHeight="1" outlineLevel="1" x14ac:dyDescent="0.2">
      <c r="A28" s="114" t="str">
        <f>'Утв. ИП 2014-2019'!B32</f>
        <v>1.1.3.2</v>
      </c>
      <c r="B28" s="7" t="str">
        <f>'Утв. ИП 2014-2019'!C32</f>
        <v>Реконструкция РП-30 (инв. № 400662)</v>
      </c>
      <c r="C28" s="23" t="s">
        <v>215</v>
      </c>
      <c r="D28" s="19" t="s">
        <v>1434</v>
      </c>
      <c r="E28" s="8" t="str">
        <f>'Утв. ИП 2014-2019'!E32</f>
        <v>2х0,63 МВА</v>
      </c>
      <c r="F28" s="8"/>
      <c r="G28" s="8"/>
      <c r="H28" s="8"/>
      <c r="I28" s="8">
        <f>'Утв. ИП 2014-2019'!F32</f>
        <v>2014</v>
      </c>
      <c r="J28" s="8">
        <f>'Утв. ИП 2014-2019'!G32</f>
        <v>2015</v>
      </c>
      <c r="K28" s="8" t="s">
        <v>70</v>
      </c>
      <c r="L28" s="8" t="s">
        <v>70</v>
      </c>
      <c r="M28" s="8" t="s">
        <v>70</v>
      </c>
      <c r="N28" s="8" t="s">
        <v>71</v>
      </c>
      <c r="O28" s="5">
        <f>('Утв. ИП 2014-2019'!H32-'Утв. ИП 2014-2019'!I32)*100/'Утв. ИП 2014-2019'!H32</f>
        <v>0</v>
      </c>
      <c r="P28" s="5">
        <f t="shared" si="0"/>
        <v>0</v>
      </c>
      <c r="Q28" s="5">
        <f>'Утв. ИП 2014-2019'!H32</f>
        <v>19.5913</v>
      </c>
      <c r="R28" s="5"/>
      <c r="S28" s="5">
        <f>'Утв. ИП 2014-2019'!I32</f>
        <v>19.5913</v>
      </c>
      <c r="T28" s="8"/>
      <c r="U28" s="8" t="s">
        <v>431</v>
      </c>
      <c r="V28" s="8" t="s">
        <v>1761</v>
      </c>
      <c r="W28" s="8"/>
      <c r="X28" s="115">
        <v>-2.427</v>
      </c>
      <c r="Y28" s="8">
        <v>17</v>
      </c>
      <c r="Z28" s="8">
        <v>5.9</v>
      </c>
      <c r="AA28" s="8">
        <v>0</v>
      </c>
      <c r="AB28" s="8"/>
      <c r="AD28" s="583"/>
      <c r="AE28" s="584"/>
      <c r="AF28" s="584"/>
      <c r="AG28" s="584"/>
      <c r="AH28" s="590"/>
      <c r="AI28" s="590"/>
      <c r="AJ28" s="590"/>
      <c r="AK28" s="590"/>
      <c r="AL28" s="591"/>
      <c r="AM28" s="591"/>
      <c r="AN28" s="591"/>
      <c r="AO28" s="591"/>
      <c r="AP28" s="591"/>
      <c r="AQ28" s="591"/>
      <c r="AR28" s="591"/>
      <c r="AS28" s="591"/>
    </row>
    <row r="29" spans="1:45" s="2" customFormat="1" ht="41.25" hidden="1" customHeight="1" outlineLevel="1" x14ac:dyDescent="0.2">
      <c r="A29" s="114" t="str">
        <f>'Утв. ИП 2014-2019'!B33</f>
        <v>1.1.3.3</v>
      </c>
      <c r="B29" s="7" t="str">
        <f>'Утв. ИП 2014-2019'!C33</f>
        <v>Реконструкция РП-17 водозабора № 5 (замена оборудования) (инв. № 416019А)</v>
      </c>
      <c r="C29" s="23" t="s">
        <v>215</v>
      </c>
      <c r="D29" s="19" t="s">
        <v>1429</v>
      </c>
      <c r="E29" s="8" t="str">
        <f>'Утв. ИП 2014-2019'!E33</f>
        <v>2х1 МВА</v>
      </c>
      <c r="F29" s="8"/>
      <c r="G29" s="8"/>
      <c r="H29" s="8"/>
      <c r="I29" s="8">
        <f>'Утв. ИП 2014-2019'!F33</f>
        <v>2019</v>
      </c>
      <c r="J29" s="8">
        <f>'Утв. ИП 2014-2019'!G33</f>
        <v>2019</v>
      </c>
      <c r="K29" s="8" t="s">
        <v>69</v>
      </c>
      <c r="L29" s="8" t="s">
        <v>70</v>
      </c>
      <c r="M29" s="8" t="s">
        <v>70</v>
      </c>
      <c r="N29" s="8" t="s">
        <v>70</v>
      </c>
      <c r="O29" s="5">
        <f>('Утв. ИП 2014-2019'!H33-'Утв. ИП 2014-2019'!I33)*100/'Утв. ИП 2014-2019'!H33</f>
        <v>3.7926541303154337</v>
      </c>
      <c r="P29" s="5">
        <f t="shared" si="0"/>
        <v>3.7926541303154337</v>
      </c>
      <c r="Q29" s="5">
        <f>'Утв. ИП 2014-2019'!H33</f>
        <v>15.118699999999999</v>
      </c>
      <c r="R29" s="5"/>
      <c r="S29" s="5">
        <f>'Утв. ИП 2014-2019'!I33</f>
        <v>14.545299999999999</v>
      </c>
      <c r="T29" s="8"/>
      <c r="U29" s="8" t="s">
        <v>431</v>
      </c>
      <c r="V29" s="8" t="s">
        <v>934</v>
      </c>
      <c r="W29" s="8" t="s">
        <v>935</v>
      </c>
      <c r="X29" s="115">
        <v>-1.5840000000000001</v>
      </c>
      <c r="Y29" s="8">
        <v>12</v>
      </c>
      <c r="Z29" s="8">
        <v>11</v>
      </c>
      <c r="AA29" s="8">
        <v>0</v>
      </c>
      <c r="AB29" s="8"/>
      <c r="AD29" s="583"/>
      <c r="AE29" s="584"/>
      <c r="AF29" s="584"/>
      <c r="AG29" s="584"/>
      <c r="AH29" s="590"/>
      <c r="AI29" s="590"/>
      <c r="AJ29" s="590"/>
      <c r="AK29" s="590"/>
      <c r="AL29" s="591"/>
      <c r="AM29" s="591"/>
      <c r="AN29" s="591"/>
      <c r="AO29" s="591"/>
      <c r="AP29" s="591"/>
      <c r="AQ29" s="591"/>
      <c r="AR29" s="591"/>
      <c r="AS29" s="591"/>
    </row>
    <row r="30" spans="1:45" s="2" customFormat="1" ht="30" hidden="1" customHeight="1" outlineLevel="1" x14ac:dyDescent="0.2">
      <c r="A30" s="114" t="str">
        <f>'Утв. ИП 2014-2019'!B34</f>
        <v>1.1.3.4</v>
      </c>
      <c r="B30" s="7" t="str">
        <f>'Утв. ИП 2014-2019'!C34</f>
        <v>Реконструкция РУ-6 кВ РП-45 (инв. № 400671)</v>
      </c>
      <c r="C30" s="23" t="s">
        <v>215</v>
      </c>
      <c r="D30" s="7" t="s">
        <v>1439</v>
      </c>
      <c r="E30" s="12"/>
      <c r="F30" s="8"/>
      <c r="G30" s="8" t="str">
        <f>'Утв. ИП 2014-2019'!E34</f>
        <v>-</v>
      </c>
      <c r="H30" s="8"/>
      <c r="I30" s="8">
        <f>'Утв. ИП 2014-2019'!F34</f>
        <v>2014</v>
      </c>
      <c r="J30" s="8">
        <f>'Утв. ИП 2014-2019'!G34</f>
        <v>2015</v>
      </c>
      <c r="K30" s="8" t="s">
        <v>70</v>
      </c>
      <c r="L30" s="8" t="s">
        <v>70</v>
      </c>
      <c r="M30" s="8" t="s">
        <v>70</v>
      </c>
      <c r="N30" s="8" t="s">
        <v>71</v>
      </c>
      <c r="O30" s="5">
        <f>('Утв. ИП 2014-2019'!H34-'Утв. ИП 2014-2019'!I34)*100/'Утв. ИП 2014-2019'!H34</f>
        <v>0</v>
      </c>
      <c r="P30" s="5">
        <f>O30</f>
        <v>0</v>
      </c>
      <c r="Q30" s="5">
        <f>'Утв. ИП 2014-2019'!H34</f>
        <v>15.7614</v>
      </c>
      <c r="R30" s="5"/>
      <c r="S30" s="5">
        <f>'Утв. ИП 2014-2019'!I34</f>
        <v>15.7614</v>
      </c>
      <c r="T30" s="8"/>
      <c r="U30" s="8" t="s">
        <v>431</v>
      </c>
      <c r="V30" s="871" t="s">
        <v>1761</v>
      </c>
      <c r="W30" s="8"/>
      <c r="X30" s="115">
        <v>-12.742000000000001</v>
      </c>
      <c r="Y30" s="8">
        <v>-11</v>
      </c>
      <c r="Z30" s="8">
        <v>0</v>
      </c>
      <c r="AA30" s="8">
        <v>0</v>
      </c>
      <c r="AB30" s="8"/>
      <c r="AD30" s="583"/>
      <c r="AE30" s="584"/>
      <c r="AF30" s="584"/>
      <c r="AG30" s="584"/>
      <c r="AH30" s="590"/>
      <c r="AI30" s="590"/>
      <c r="AJ30" s="590"/>
      <c r="AK30" s="590"/>
      <c r="AL30" s="591"/>
      <c r="AM30" s="591"/>
      <c r="AN30" s="591"/>
      <c r="AO30" s="591"/>
      <c r="AP30" s="591"/>
      <c r="AQ30" s="591"/>
      <c r="AR30" s="591"/>
      <c r="AS30" s="591"/>
    </row>
    <row r="31" spans="1:45" s="2" customFormat="1" ht="30" hidden="1" customHeight="1" outlineLevel="1" x14ac:dyDescent="0.2">
      <c r="A31" s="114" t="str">
        <f>'Утв. ИП 2014-2019'!B35</f>
        <v>1.1.3.5</v>
      </c>
      <c r="B31" s="7" t="str">
        <f>'Утв. ИП 2014-2019'!C35</f>
        <v>Реконструкция РУ-6 кВ ТП-732</v>
      </c>
      <c r="C31" s="23" t="s">
        <v>215</v>
      </c>
      <c r="D31" s="19" t="s">
        <v>1760</v>
      </c>
      <c r="E31" s="12"/>
      <c r="F31" s="8"/>
      <c r="G31" s="8" t="str">
        <f>'Утв. ИП 2014-2019'!E35</f>
        <v>-</v>
      </c>
      <c r="H31" s="8"/>
      <c r="I31" s="8">
        <f>'Утв. ИП 2014-2019'!F35</f>
        <v>2018</v>
      </c>
      <c r="J31" s="8">
        <f>'Утв. ИП 2014-2019'!G35</f>
        <v>2019</v>
      </c>
      <c r="K31" s="8" t="s">
        <v>70</v>
      </c>
      <c r="L31" s="8" t="s">
        <v>70</v>
      </c>
      <c r="M31" s="8" t="s">
        <v>70</v>
      </c>
      <c r="N31" s="8" t="s">
        <v>71</v>
      </c>
      <c r="O31" s="5">
        <f>('Утв. ИП 2014-2019'!H35-'Утв. ИП 2014-2019'!I35)*100/'Утв. ИП 2014-2019'!H35</f>
        <v>0</v>
      </c>
      <c r="P31" s="5">
        <f>O31</f>
        <v>0</v>
      </c>
      <c r="Q31" s="5">
        <f>'Утв. ИП 2014-2019'!H35</f>
        <v>0.43640000000000001</v>
      </c>
      <c r="R31" s="5"/>
      <c r="S31" s="5">
        <f>'Утв. ИП 2014-2019'!I35</f>
        <v>0.43640000000000001</v>
      </c>
      <c r="T31" s="8"/>
      <c r="U31" s="8" t="s">
        <v>431</v>
      </c>
      <c r="V31" s="871"/>
      <c r="W31" s="8"/>
      <c r="X31" s="115"/>
      <c r="Y31" s="8"/>
      <c r="Z31" s="8"/>
      <c r="AA31" s="8"/>
      <c r="AB31" s="8"/>
      <c r="AD31" s="583"/>
      <c r="AE31" s="584"/>
      <c r="AF31" s="584"/>
      <c r="AG31" s="584"/>
      <c r="AH31" s="590"/>
      <c r="AI31" s="590"/>
      <c r="AJ31" s="590"/>
      <c r="AK31" s="590"/>
      <c r="AL31" s="591"/>
      <c r="AM31" s="591"/>
      <c r="AN31" s="591"/>
      <c r="AO31" s="591"/>
      <c r="AP31" s="591"/>
      <c r="AQ31" s="591"/>
      <c r="AR31" s="591"/>
      <c r="AS31" s="591"/>
    </row>
    <row r="32" spans="1:45" s="2" customFormat="1" ht="30" hidden="1" customHeight="1" outlineLevel="1" x14ac:dyDescent="0.2">
      <c r="A32" s="114" t="str">
        <f>'Утв. ИП 2014-2019'!B36</f>
        <v>1.1.3.6</v>
      </c>
      <c r="B32" s="7" t="str">
        <f>'Утв. ИП 2014-2019'!C36</f>
        <v>Реконструкция РУ-6 кВ ТП-709</v>
      </c>
      <c r="C32" s="23" t="s">
        <v>215</v>
      </c>
      <c r="D32" s="19" t="s">
        <v>1762</v>
      </c>
      <c r="E32" s="12"/>
      <c r="F32" s="8"/>
      <c r="G32" s="8" t="str">
        <f>'Утв. ИП 2014-2019'!E36</f>
        <v>-</v>
      </c>
      <c r="H32" s="8"/>
      <c r="I32" s="8">
        <f>'Утв. ИП 2014-2019'!F36</f>
        <v>2018</v>
      </c>
      <c r="J32" s="8">
        <f>'Утв. ИП 2014-2019'!G36</f>
        <v>2019</v>
      </c>
      <c r="K32" s="8" t="s">
        <v>70</v>
      </c>
      <c r="L32" s="8" t="s">
        <v>70</v>
      </c>
      <c r="M32" s="8" t="s">
        <v>70</v>
      </c>
      <c r="N32" s="8" t="s">
        <v>70</v>
      </c>
      <c r="O32" s="5">
        <f>('Утв. ИП 2014-2019'!H36-'Утв. ИП 2014-2019'!I36)*100/'Утв. ИП 2014-2019'!H36</f>
        <v>0</v>
      </c>
      <c r="P32" s="5">
        <f>O32</f>
        <v>0</v>
      </c>
      <c r="Q32" s="5">
        <f>'Утв. ИП 2014-2019'!H36</f>
        <v>0.43640000000000001</v>
      </c>
      <c r="R32" s="5"/>
      <c r="S32" s="5">
        <f>'Утв. ИП 2014-2019'!I36</f>
        <v>0.43640000000000001</v>
      </c>
      <c r="T32" s="8"/>
      <c r="U32" s="8" t="s">
        <v>431</v>
      </c>
      <c r="V32" s="871"/>
      <c r="W32" s="8"/>
      <c r="X32" s="115"/>
      <c r="Y32" s="8"/>
      <c r="Z32" s="8"/>
      <c r="AA32" s="8"/>
      <c r="AB32" s="8"/>
      <c r="AD32" s="583"/>
      <c r="AE32" s="584"/>
      <c r="AF32" s="584"/>
      <c r="AG32" s="584"/>
      <c r="AH32" s="590"/>
      <c r="AI32" s="590"/>
      <c r="AJ32" s="590"/>
      <c r="AK32" s="590"/>
      <c r="AL32" s="591"/>
      <c r="AM32" s="591"/>
      <c r="AN32" s="591"/>
      <c r="AO32" s="591"/>
      <c r="AP32" s="591"/>
      <c r="AQ32" s="591"/>
      <c r="AR32" s="591"/>
      <c r="AS32" s="591"/>
    </row>
    <row r="33" spans="1:45" s="53" customFormat="1" ht="51" collapsed="1" x14ac:dyDescent="0.2">
      <c r="A33" s="28" t="str">
        <f>'Утв. ИП 2014-2019'!B37</f>
        <v>1.2</v>
      </c>
      <c r="B33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C33" s="30"/>
      <c r="D33" s="29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1"/>
      <c r="P33" s="31"/>
      <c r="Q33" s="31">
        <f>'Утв. ИП 2014-2019'!H37</f>
        <v>40.51169999999999</v>
      </c>
      <c r="R33" s="31"/>
      <c r="S33" s="31">
        <f>'Утв. ИП 2014-2019'!I37</f>
        <v>14.7578</v>
      </c>
      <c r="T33" s="30"/>
      <c r="U33" s="30"/>
      <c r="V33" s="30"/>
      <c r="W33" s="30"/>
      <c r="X33" s="326"/>
      <c r="Y33" s="30"/>
      <c r="Z33" s="30"/>
      <c r="AA33" s="30"/>
      <c r="AB33" s="75"/>
      <c r="AD33" s="586"/>
      <c r="AE33" s="586"/>
      <c r="AF33" s="586"/>
      <c r="AG33" s="586"/>
      <c r="AH33" s="586"/>
      <c r="AI33" s="586"/>
      <c r="AJ33" s="586"/>
      <c r="AK33" s="586"/>
      <c r="AL33" s="586"/>
      <c r="AM33" s="586"/>
      <c r="AN33" s="586"/>
      <c r="AO33" s="586"/>
      <c r="AP33" s="586"/>
      <c r="AQ33" s="586"/>
      <c r="AR33" s="586"/>
      <c r="AS33" s="586"/>
    </row>
    <row r="34" spans="1:45" s="2" customFormat="1" ht="25.5" customHeight="1" outlineLevel="1" x14ac:dyDescent="0.2">
      <c r="A34" s="114" t="str">
        <f>'Утв. ИП 2014-2019'!B38</f>
        <v>1.2.1</v>
      </c>
      <c r="B34" s="7" t="str">
        <f>'Утв. ИП 2014-2019'!C38</f>
        <v>Монтаж устройств сбора-передачи данных (УСПД)</v>
      </c>
      <c r="C34" s="23" t="s">
        <v>215</v>
      </c>
      <c r="D34" s="7" t="s">
        <v>218</v>
      </c>
      <c r="E34" s="8" t="str">
        <f>'Утв. ИП 2014-2019'!E38</f>
        <v>35 шт.</v>
      </c>
      <c r="F34" s="8"/>
      <c r="G34" s="8"/>
      <c r="H34" s="8"/>
      <c r="I34" s="8">
        <f>'Утв. ИП 2014-2019'!F38</f>
        <v>2013</v>
      </c>
      <c r="J34" s="8">
        <f>'Утв. ИП 2014-2019'!G38</f>
        <v>2014</v>
      </c>
      <c r="K34" s="8" t="s">
        <v>70</v>
      </c>
      <c r="L34" s="8" t="s">
        <v>71</v>
      </c>
      <c r="M34" s="8" t="s">
        <v>71</v>
      </c>
      <c r="N34" s="8" t="s">
        <v>71</v>
      </c>
      <c r="O34" s="5">
        <f>('Утв. ИП 2014-2019'!H38-'Утв. ИП 2014-2019'!I38)*100/'Утв. ИП 2014-2019'!H38</f>
        <v>40.610980559709454</v>
      </c>
      <c r="P34" s="5">
        <f t="shared" si="0"/>
        <v>40.610980559709454</v>
      </c>
      <c r="Q34" s="5">
        <f>'Утв. ИП 2014-2019'!H38</f>
        <v>2.3405</v>
      </c>
      <c r="R34" s="5"/>
      <c r="S34" s="5">
        <f>'Утв. ИП 2014-2019'!I38</f>
        <v>1.3900000000000001</v>
      </c>
      <c r="T34" s="8"/>
      <c r="U34" s="8"/>
      <c r="V34" s="871" t="s">
        <v>445</v>
      </c>
      <c r="W34" s="8"/>
      <c r="X34" s="115">
        <v>198.19399999999999</v>
      </c>
      <c r="Y34" s="8">
        <v>2385</v>
      </c>
      <c r="Z34" s="8">
        <v>0</v>
      </c>
      <c r="AA34" s="8">
        <v>0.1</v>
      </c>
      <c r="AB34" s="8"/>
      <c r="AD34" s="583"/>
      <c r="AE34" s="584"/>
      <c r="AF34" s="584"/>
      <c r="AG34" s="584"/>
      <c r="AH34" s="590"/>
      <c r="AI34" s="590"/>
      <c r="AJ34" s="590"/>
      <c r="AK34" s="590"/>
      <c r="AL34" s="591"/>
      <c r="AM34" s="591"/>
      <c r="AN34" s="591"/>
      <c r="AO34" s="591"/>
      <c r="AP34" s="591"/>
      <c r="AQ34" s="591"/>
      <c r="AR34" s="591"/>
      <c r="AS34" s="591"/>
    </row>
    <row r="35" spans="1:45" s="2" customFormat="1" ht="39" customHeight="1" outlineLevel="1" x14ac:dyDescent="0.2">
      <c r="A35" s="114" t="str">
        <f>'Утв. ИП 2014-2019'!B39</f>
        <v>1.2.2</v>
      </c>
      <c r="B35" s="7" t="str">
        <f>'Утв. ИП 2014-2019'!C39</f>
        <v>Монтаж приборов коммерческого учета и ввод в эксплуатацию АСКУЭ района с. Сселки</v>
      </c>
      <c r="C35" s="23" t="s">
        <v>215</v>
      </c>
      <c r="D35" s="7" t="s">
        <v>446</v>
      </c>
      <c r="E35" s="8"/>
      <c r="F35" s="8"/>
      <c r="G35" s="8" t="str">
        <f>'Утв. ИП 2014-2019'!E39</f>
        <v>1614 аб.</v>
      </c>
      <c r="H35" s="8"/>
      <c r="I35" s="8">
        <f>'Утв. ИП 2014-2019'!F39</f>
        <v>2013</v>
      </c>
      <c r="J35" s="8">
        <f>'Утв. ИП 2014-2019'!G39</f>
        <v>2015</v>
      </c>
      <c r="K35" s="8" t="s">
        <v>69</v>
      </c>
      <c r="L35" s="8" t="s">
        <v>71</v>
      </c>
      <c r="M35" s="8" t="s">
        <v>71</v>
      </c>
      <c r="N35" s="8" t="s">
        <v>71</v>
      </c>
      <c r="O35" s="5">
        <f>('Утв. ИП 2014-2019'!H39-'Утв. ИП 2014-2019'!I39)*100/'Утв. ИП 2014-2019'!H39</f>
        <v>30.153439153439155</v>
      </c>
      <c r="P35" s="5">
        <f t="shared" si="0"/>
        <v>30.153439153439155</v>
      </c>
      <c r="Q35" s="5">
        <f>'Утв. ИП 2014-2019'!H39</f>
        <v>18.899999999999999</v>
      </c>
      <c r="R35" s="5"/>
      <c r="S35" s="5">
        <f>'Утв. ИП 2014-2019'!I39</f>
        <v>13.200999999999999</v>
      </c>
      <c r="T35" s="8"/>
      <c r="U35" s="8" t="s">
        <v>431</v>
      </c>
      <c r="V35" s="871"/>
      <c r="W35" s="8"/>
      <c r="X35" s="871" t="s">
        <v>2582</v>
      </c>
      <c r="Y35" s="871"/>
      <c r="Z35" s="871"/>
      <c r="AA35" s="871"/>
      <c r="AB35" s="8" t="s">
        <v>1279</v>
      </c>
      <c r="AC35" s="585" t="s">
        <v>1280</v>
      </c>
      <c r="AD35" s="583"/>
      <c r="AE35" s="584"/>
      <c r="AF35" s="584"/>
      <c r="AG35" s="584"/>
      <c r="AH35" s="590"/>
      <c r="AI35" s="590"/>
      <c r="AJ35" s="590"/>
      <c r="AK35" s="590"/>
      <c r="AL35" s="591"/>
      <c r="AM35" s="591"/>
      <c r="AN35" s="591"/>
      <c r="AO35" s="591"/>
      <c r="AP35" s="591"/>
      <c r="AQ35" s="591"/>
      <c r="AR35" s="591"/>
      <c r="AS35" s="591"/>
    </row>
    <row r="36" spans="1:45" s="2" customFormat="1" ht="54" customHeight="1" outlineLevel="1" x14ac:dyDescent="0.2">
      <c r="A36" s="114" t="str">
        <f>'Утв. ИП 2014-2019'!B40</f>
        <v>1.2.3</v>
      </c>
      <c r="B36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C36" s="23" t="s">
        <v>215</v>
      </c>
      <c r="D36" s="7" t="s">
        <v>1763</v>
      </c>
      <c r="E36" s="8"/>
      <c r="F36" s="8"/>
      <c r="G36" s="8" t="str">
        <f>'Утв. ИП 2014-2019'!E40</f>
        <v>579 аб.
28,743 км</v>
      </c>
      <c r="H36" s="8"/>
      <c r="I36" s="8">
        <f>'Утв. ИП 2014-2019'!F40</f>
        <v>2009</v>
      </c>
      <c r="J36" s="8">
        <f>'Утв. ИП 2014-2019'!G40</f>
        <v>2014</v>
      </c>
      <c r="K36" s="8" t="s">
        <v>69</v>
      </c>
      <c r="L36" s="8" t="s">
        <v>71</v>
      </c>
      <c r="M36" s="8" t="s">
        <v>71</v>
      </c>
      <c r="N36" s="8" t="s">
        <v>71</v>
      </c>
      <c r="O36" s="5">
        <f>('Утв. ИП 2014-2019'!H40-'Утв. ИП 2014-2019'!I40)*100/'Утв. ИП 2014-2019'!H40</f>
        <v>99.134459711901712</v>
      </c>
      <c r="P36" s="5">
        <f t="shared" si="0"/>
        <v>99.134459711901712</v>
      </c>
      <c r="Q36" s="5">
        <f>'Утв. ИП 2014-2019'!H40</f>
        <v>19.271199999999997</v>
      </c>
      <c r="R36" s="5"/>
      <c r="S36" s="5">
        <f>'Утв. ИП 2014-2019'!I40</f>
        <v>0.1668</v>
      </c>
      <c r="T36" s="8"/>
      <c r="U36" s="8" t="s">
        <v>431</v>
      </c>
      <c r="V36" s="8" t="s">
        <v>445</v>
      </c>
      <c r="W36" s="8"/>
      <c r="X36" s="115">
        <v>-8.4559999999999995</v>
      </c>
      <c r="Y36" s="8">
        <v>5</v>
      </c>
      <c r="Z36" s="8">
        <v>7.9</v>
      </c>
      <c r="AA36" s="8">
        <v>0</v>
      </c>
      <c r="AB36" s="8"/>
      <c r="AC36" s="101"/>
      <c r="AD36" s="583"/>
      <c r="AE36" s="584"/>
      <c r="AF36" s="584"/>
      <c r="AG36" s="584"/>
      <c r="AH36" s="590"/>
      <c r="AI36" s="590"/>
      <c r="AJ36" s="590"/>
      <c r="AK36" s="590"/>
      <c r="AL36" s="591"/>
      <c r="AM36" s="591"/>
      <c r="AN36" s="591"/>
      <c r="AO36" s="591"/>
      <c r="AP36" s="591"/>
      <c r="AQ36" s="591"/>
      <c r="AR36" s="591"/>
      <c r="AS36" s="591"/>
    </row>
    <row r="37" spans="1:45" s="53" customFormat="1" ht="25.5" x14ac:dyDescent="0.2">
      <c r="A37" s="28" t="str">
        <f>'Утв. ИП 2014-2019'!B41</f>
        <v>1.3</v>
      </c>
      <c r="B37" s="29" t="str">
        <f>'Утв. ИП 2014-2019'!C41</f>
        <v>Создание систем телемеханики и связи</v>
      </c>
      <c r="C37" s="34"/>
      <c r="D37" s="29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1"/>
      <c r="P37" s="31"/>
      <c r="Q37" s="31">
        <f>'Утв. ИП 2014-2019'!H41</f>
        <v>6.3453600000000003</v>
      </c>
      <c r="R37" s="31"/>
      <c r="S37" s="31">
        <f>'Утв. ИП 2014-2019'!I41</f>
        <v>5.3554599999999999</v>
      </c>
      <c r="T37" s="30"/>
      <c r="U37" s="30"/>
      <c r="V37" s="30"/>
      <c r="W37" s="30"/>
      <c r="X37" s="326"/>
      <c r="Y37" s="30"/>
      <c r="Z37" s="30"/>
      <c r="AA37" s="30"/>
      <c r="AB37" s="75"/>
      <c r="AD37" s="586"/>
      <c r="AE37" s="586"/>
      <c r="AF37" s="586"/>
      <c r="AG37" s="586"/>
      <c r="AH37" s="586"/>
      <c r="AI37" s="586"/>
      <c r="AJ37" s="586"/>
      <c r="AK37" s="586"/>
      <c r="AL37" s="586"/>
      <c r="AM37" s="586"/>
      <c r="AN37" s="586"/>
      <c r="AO37" s="586"/>
      <c r="AP37" s="586"/>
      <c r="AQ37" s="586"/>
      <c r="AR37" s="586"/>
      <c r="AS37" s="586"/>
    </row>
    <row r="38" spans="1:45" s="11" customFormat="1" ht="77.25" customHeight="1" outlineLevel="1" x14ac:dyDescent="0.2">
      <c r="A38" s="114" t="str">
        <f>'Утв. ИП 2014-2019'!B42</f>
        <v>1.3.1</v>
      </c>
      <c r="B38" s="7" t="str">
        <f>'Утв. ИП 2014-2019'!C42</f>
        <v>Монтаж систем охранно-пожарной сигнализации здания по ул. Кузнечная, 1</v>
      </c>
      <c r="C38" s="23" t="s">
        <v>215</v>
      </c>
      <c r="D38" s="7" t="s">
        <v>218</v>
      </c>
      <c r="E38" s="8"/>
      <c r="F38" s="8"/>
      <c r="G38" s="8"/>
      <c r="H38" s="8"/>
      <c r="I38" s="8">
        <f>'Утв. ИП 2014-2019'!F42</f>
        <v>2013</v>
      </c>
      <c r="J38" s="8">
        <f>'Утв. ИП 2014-2019'!G42</f>
        <v>2014</v>
      </c>
      <c r="K38" s="8" t="s">
        <v>70</v>
      </c>
      <c r="L38" s="8" t="s">
        <v>71</v>
      </c>
      <c r="M38" s="8" t="s">
        <v>71</v>
      </c>
      <c r="N38" s="8" t="s">
        <v>71</v>
      </c>
      <c r="O38" s="5">
        <f>('Утв. ИП 2014-2019'!H42-'Утв. ИП 2014-2019'!I42)*100/'Утв. ИП 2014-2019'!H42</f>
        <v>53.876213697914402</v>
      </c>
      <c r="P38" s="5">
        <f t="shared" si="0"/>
        <v>53.876213697914402</v>
      </c>
      <c r="Q38" s="5">
        <f>'Утв. ИП 2014-2019'!H42</f>
        <v>1.8373599999999999</v>
      </c>
      <c r="R38" s="5"/>
      <c r="S38" s="5">
        <f>'Утв. ИП 2014-2019'!I42</f>
        <v>0.84745999999999988</v>
      </c>
      <c r="T38" s="8"/>
      <c r="U38" s="80" t="s">
        <v>906</v>
      </c>
      <c r="V38" s="8"/>
      <c r="W38" s="80" t="s">
        <v>907</v>
      </c>
      <c r="X38" s="115"/>
      <c r="Y38" s="8"/>
      <c r="Z38" s="8"/>
      <c r="AA38" s="8"/>
      <c r="AB38" s="8"/>
      <c r="AD38" s="587"/>
      <c r="AE38" s="587"/>
      <c r="AF38" s="587"/>
      <c r="AG38" s="587"/>
      <c r="AH38" s="587"/>
      <c r="AI38" s="587"/>
      <c r="AJ38" s="587"/>
      <c r="AK38" s="587"/>
      <c r="AL38" s="587"/>
      <c r="AM38" s="587"/>
      <c r="AN38" s="587"/>
      <c r="AO38" s="587"/>
      <c r="AP38" s="587"/>
      <c r="AQ38" s="587"/>
      <c r="AR38" s="587"/>
      <c r="AS38" s="587"/>
    </row>
    <row r="39" spans="1:45" s="11" customFormat="1" ht="117" customHeight="1" outlineLevel="1" x14ac:dyDescent="0.2">
      <c r="A39" s="114" t="str">
        <f>'Утв. ИП 2014-2019'!B43</f>
        <v>1.3.2</v>
      </c>
      <c r="B39" s="7" t="str">
        <f>'Утв. ИП 2014-2019'!C43</f>
        <v>Приобретение программного обеспечения "Стек-Энерго"</v>
      </c>
      <c r="C39" s="23" t="s">
        <v>215</v>
      </c>
      <c r="D39" s="7" t="s">
        <v>218</v>
      </c>
      <c r="E39" s="8"/>
      <c r="F39" s="8"/>
      <c r="G39" s="8"/>
      <c r="H39" s="8"/>
      <c r="I39" s="8">
        <f>'Утв. ИП 2014-2019'!F43</f>
        <v>2014</v>
      </c>
      <c r="J39" s="8">
        <f>'Утв. ИП 2014-2019'!G43</f>
        <v>2014</v>
      </c>
      <c r="K39" s="8" t="s">
        <v>71</v>
      </c>
      <c r="L39" s="8" t="s">
        <v>71</v>
      </c>
      <c r="M39" s="8" t="s">
        <v>71</v>
      </c>
      <c r="N39" s="8" t="s">
        <v>71</v>
      </c>
      <c r="O39" s="5">
        <f>('Утв. ИП 2014-2019'!H43-'Утв. ИП 2014-2019'!I43)*100/'Утв. ИП 2014-2019'!H43</f>
        <v>0</v>
      </c>
      <c r="P39" s="5">
        <f t="shared" si="0"/>
        <v>0</v>
      </c>
      <c r="Q39" s="5">
        <f>'Утв. ИП 2014-2019'!H43</f>
        <v>0.33</v>
      </c>
      <c r="R39" s="5"/>
      <c r="S39" s="5">
        <f>'Утв. ИП 2014-2019'!I43</f>
        <v>0.33</v>
      </c>
      <c r="T39" s="8"/>
      <c r="U39" s="80" t="s">
        <v>2384</v>
      </c>
      <c r="V39" s="8" t="s">
        <v>2385</v>
      </c>
      <c r="W39" s="80"/>
      <c r="X39" s="115"/>
      <c r="Y39" s="8"/>
      <c r="Z39" s="8"/>
      <c r="AA39" s="8"/>
      <c r="AB39" s="8"/>
      <c r="AD39" s="587"/>
      <c r="AE39" s="587"/>
      <c r="AF39" s="587"/>
      <c r="AG39" s="587"/>
      <c r="AH39" s="587"/>
      <c r="AI39" s="587"/>
      <c r="AJ39" s="587"/>
      <c r="AK39" s="587"/>
      <c r="AL39" s="587"/>
      <c r="AM39" s="587"/>
      <c r="AN39" s="587"/>
      <c r="AO39" s="587"/>
      <c r="AP39" s="587"/>
      <c r="AQ39" s="587"/>
      <c r="AR39" s="587"/>
      <c r="AS39" s="587"/>
    </row>
    <row r="40" spans="1:45" s="11" customFormat="1" ht="63.75" outlineLevel="1" x14ac:dyDescent="0.2">
      <c r="A40" s="114" t="str">
        <f>'Утв. ИП 2014-2019'!B44</f>
        <v>1.3.3</v>
      </c>
      <c r="B40" s="7" t="str">
        <f>'Утв. ИП 2014-2019'!C44</f>
        <v>Монтаж отказоустойчивого кластера для системы АСКУЭ "Smart"</v>
      </c>
      <c r="C40" s="23" t="s">
        <v>215</v>
      </c>
      <c r="D40" s="7" t="s">
        <v>218</v>
      </c>
      <c r="E40" s="8"/>
      <c r="F40" s="8"/>
      <c r="G40" s="8"/>
      <c r="H40" s="8"/>
      <c r="I40" s="8">
        <f>'Утв. ИП 2014-2019'!F44</f>
        <v>2014</v>
      </c>
      <c r="J40" s="8">
        <f>'Утв. ИП 2014-2019'!G44</f>
        <v>2014</v>
      </c>
      <c r="K40" s="8" t="s">
        <v>70</v>
      </c>
      <c r="L40" s="8" t="s">
        <v>71</v>
      </c>
      <c r="M40" s="8" t="s">
        <v>71</v>
      </c>
      <c r="N40" s="8" t="s">
        <v>71</v>
      </c>
      <c r="O40" s="5">
        <f>('Утв. ИП 2014-2019'!H44-'Утв. ИП 2014-2019'!I44)*100/'Утв. ИП 2014-2019'!H44</f>
        <v>0</v>
      </c>
      <c r="P40" s="5">
        <f t="shared" si="0"/>
        <v>0</v>
      </c>
      <c r="Q40" s="5">
        <f>'Утв. ИП 2014-2019'!H44</f>
        <v>1.8879999999999999</v>
      </c>
      <c r="R40" s="5"/>
      <c r="S40" s="5">
        <f>'Утв. ИП 2014-2019'!I44</f>
        <v>1.8879999999999999</v>
      </c>
      <c r="T40" s="8"/>
      <c r="U40" s="80" t="s">
        <v>2387</v>
      </c>
      <c r="V40" s="8"/>
      <c r="W40" s="80"/>
      <c r="X40" s="115"/>
      <c r="Y40" s="8"/>
      <c r="Z40" s="8"/>
      <c r="AA40" s="8"/>
      <c r="AB40" s="8"/>
      <c r="AD40" s="587"/>
      <c r="AE40" s="587"/>
      <c r="AF40" s="587"/>
      <c r="AG40" s="587"/>
      <c r="AH40" s="587"/>
      <c r="AI40" s="587"/>
      <c r="AJ40" s="587"/>
      <c r="AK40" s="587"/>
      <c r="AL40" s="587"/>
      <c r="AM40" s="587"/>
      <c r="AN40" s="587"/>
      <c r="AO40" s="587"/>
      <c r="AP40" s="587"/>
      <c r="AQ40" s="587"/>
      <c r="AR40" s="587"/>
      <c r="AS40" s="587"/>
    </row>
    <row r="41" spans="1:45" s="11" customFormat="1" ht="79.5" customHeight="1" outlineLevel="1" x14ac:dyDescent="0.2">
      <c r="A41" s="114" t="str">
        <f>'Утв. ИП 2014-2019'!B45</f>
        <v>1.3.4</v>
      </c>
      <c r="B41" s="7" t="str">
        <f>'Утв. ИП 2014-2019'!C45</f>
        <v>Монтаж системы охранного видеонаблюдения здания по ул. Кузнечная, 1</v>
      </c>
      <c r="C41" s="23" t="s">
        <v>215</v>
      </c>
      <c r="D41" s="7" t="s">
        <v>218</v>
      </c>
      <c r="E41" s="8"/>
      <c r="F41" s="8"/>
      <c r="G41" s="8"/>
      <c r="H41" s="8"/>
      <c r="I41" s="8">
        <f>'Утв. ИП 2014-2019'!F45</f>
        <v>2017</v>
      </c>
      <c r="J41" s="8">
        <f>'Утв. ИП 2014-2019'!G45</f>
        <v>2017</v>
      </c>
      <c r="K41" s="8" t="s">
        <v>70</v>
      </c>
      <c r="L41" s="8" t="s">
        <v>71</v>
      </c>
      <c r="M41" s="8" t="s">
        <v>71</v>
      </c>
      <c r="N41" s="8" t="s">
        <v>71</v>
      </c>
      <c r="O41" s="5">
        <f>('Утв. ИП 2014-2019'!H45-'Утв. ИП 2014-2019'!I45)*100/'Утв. ИП 2014-2019'!H45</f>
        <v>0</v>
      </c>
      <c r="P41" s="5">
        <f t="shared" si="0"/>
        <v>0</v>
      </c>
      <c r="Q41" s="5">
        <f>'Утв. ИП 2014-2019'!H45</f>
        <v>0.59</v>
      </c>
      <c r="R41" s="5"/>
      <c r="S41" s="5">
        <f>'Утв. ИП 2014-2019'!I45</f>
        <v>0.59</v>
      </c>
      <c r="T41" s="8"/>
      <c r="U41" s="80" t="s">
        <v>906</v>
      </c>
      <c r="V41" s="8"/>
      <c r="W41" s="8"/>
      <c r="X41" s="115"/>
      <c r="Y41" s="8"/>
      <c r="Z41" s="8"/>
      <c r="AA41" s="8"/>
      <c r="AB41" s="8"/>
      <c r="AD41" s="587"/>
      <c r="AE41" s="587"/>
      <c r="AF41" s="587"/>
      <c r="AG41" s="587"/>
      <c r="AH41" s="587"/>
      <c r="AI41" s="587"/>
      <c r="AJ41" s="587"/>
      <c r="AK41" s="587"/>
      <c r="AL41" s="587"/>
      <c r="AM41" s="587"/>
      <c r="AN41" s="587"/>
      <c r="AO41" s="587"/>
      <c r="AP41" s="587"/>
      <c r="AQ41" s="587"/>
      <c r="AR41" s="587"/>
      <c r="AS41" s="587"/>
    </row>
    <row r="42" spans="1:45" s="11" customFormat="1" ht="103.5" customHeight="1" outlineLevel="1" x14ac:dyDescent="0.2">
      <c r="A42" s="114" t="str">
        <f>'Утв. ИП 2014-2019'!B46</f>
        <v>1.3.5</v>
      </c>
      <c r="B42" s="7" t="str">
        <f>'Утв. ИП 2014-2019'!C46</f>
        <v>Внедрение системы контроля и управления доступом к МФУ</v>
      </c>
      <c r="C42" s="23" t="s">
        <v>215</v>
      </c>
      <c r="D42" s="7" t="s">
        <v>218</v>
      </c>
      <c r="E42" s="8"/>
      <c r="F42" s="8"/>
      <c r="G42" s="8"/>
      <c r="H42" s="8"/>
      <c r="I42" s="8">
        <f>'Утв. ИП 2014-2019'!F46</f>
        <v>2018</v>
      </c>
      <c r="J42" s="8">
        <f>'Утв. ИП 2014-2019'!G46</f>
        <v>2019</v>
      </c>
      <c r="K42" s="8" t="s">
        <v>71</v>
      </c>
      <c r="L42" s="8" t="s">
        <v>71</v>
      </c>
      <c r="M42" s="8" t="s">
        <v>71</v>
      </c>
      <c r="N42" s="8" t="s">
        <v>71</v>
      </c>
      <c r="O42" s="5">
        <f>('Утв. ИП 2014-2019'!H46-'Утв. ИП 2014-2019'!I46)*100/'Утв. ИП 2014-2019'!H46</f>
        <v>0</v>
      </c>
      <c r="P42" s="5">
        <f t="shared" si="0"/>
        <v>0</v>
      </c>
      <c r="Q42" s="5">
        <f>'Утв. ИП 2014-2019'!H46</f>
        <v>0.9</v>
      </c>
      <c r="R42" s="5"/>
      <c r="S42" s="5">
        <f>'Утв. ИП 2014-2019'!I46</f>
        <v>0.9</v>
      </c>
      <c r="T42" s="8"/>
      <c r="U42" s="80" t="s">
        <v>1459</v>
      </c>
      <c r="V42" s="8"/>
      <c r="W42" s="8"/>
      <c r="X42" s="115"/>
      <c r="Y42" s="8"/>
      <c r="Z42" s="8"/>
      <c r="AA42" s="8"/>
      <c r="AB42" s="8"/>
      <c r="AD42" s="587"/>
      <c r="AE42" s="587"/>
      <c r="AF42" s="587"/>
      <c r="AG42" s="587"/>
      <c r="AH42" s="587"/>
      <c r="AI42" s="587"/>
      <c r="AJ42" s="587"/>
      <c r="AK42" s="587"/>
      <c r="AL42" s="587"/>
      <c r="AM42" s="587"/>
      <c r="AN42" s="587"/>
      <c r="AO42" s="587"/>
      <c r="AP42" s="587"/>
      <c r="AQ42" s="587"/>
      <c r="AR42" s="587"/>
      <c r="AS42" s="587"/>
    </row>
    <row r="43" spans="1:45" s="11" customFormat="1" ht="117.75" customHeight="1" outlineLevel="1" x14ac:dyDescent="0.2">
      <c r="A43" s="114" t="str">
        <f>'Утв. ИП 2014-2019'!B47</f>
        <v>1.3.6</v>
      </c>
      <c r="B43" s="7" t="str">
        <f>'Утв. ИП 2014-2019'!C47</f>
        <v>Приобретение серверного и коммутационного оборудования</v>
      </c>
      <c r="C43" s="23" t="s">
        <v>215</v>
      </c>
      <c r="D43" s="7" t="s">
        <v>218</v>
      </c>
      <c r="E43" s="8"/>
      <c r="F43" s="8"/>
      <c r="G43" s="8"/>
      <c r="H43" s="8"/>
      <c r="I43" s="8">
        <f>'Утв. ИП 2014-2019'!F47</f>
        <v>2018</v>
      </c>
      <c r="J43" s="8">
        <f>'Утв. ИП 2014-2019'!G47</f>
        <v>2018</v>
      </c>
      <c r="K43" s="8" t="s">
        <v>71</v>
      </c>
      <c r="L43" s="8" t="s">
        <v>71</v>
      </c>
      <c r="M43" s="8" t="s">
        <v>71</v>
      </c>
      <c r="N43" s="8" t="s">
        <v>71</v>
      </c>
      <c r="O43" s="5">
        <f>('Утв. ИП 2014-2019'!H47-'Утв. ИП 2014-2019'!I47)*100/'Утв. ИП 2014-2019'!H47</f>
        <v>0</v>
      </c>
      <c r="P43" s="5">
        <f t="shared" si="0"/>
        <v>0</v>
      </c>
      <c r="Q43" s="5">
        <f>'Утв. ИП 2014-2019'!H47</f>
        <v>0.8</v>
      </c>
      <c r="R43" s="5"/>
      <c r="S43" s="5">
        <f>'Утв. ИП 2014-2019'!I47</f>
        <v>0.8</v>
      </c>
      <c r="T43" s="8"/>
      <c r="U43" s="80" t="s">
        <v>1460</v>
      </c>
      <c r="V43" s="8"/>
      <c r="W43" s="8"/>
      <c r="X43" s="115"/>
      <c r="Y43" s="8"/>
      <c r="Z43" s="8"/>
      <c r="AA43" s="8"/>
      <c r="AB43" s="8"/>
      <c r="AD43" s="587"/>
      <c r="AE43" s="587"/>
      <c r="AF43" s="587"/>
      <c r="AG43" s="587"/>
      <c r="AH43" s="587"/>
      <c r="AI43" s="587"/>
      <c r="AJ43" s="587"/>
      <c r="AK43" s="587"/>
      <c r="AL43" s="587"/>
      <c r="AM43" s="587"/>
      <c r="AN43" s="587"/>
      <c r="AO43" s="587"/>
      <c r="AP43" s="587"/>
      <c r="AQ43" s="587"/>
      <c r="AR43" s="587"/>
      <c r="AS43" s="587"/>
    </row>
    <row r="44" spans="1:45" s="42" customFormat="1" x14ac:dyDescent="0.2">
      <c r="A44" s="39" t="str">
        <f>'Утв. ИП 2014-2019'!B48</f>
        <v>2</v>
      </c>
      <c r="B44" s="43" t="s">
        <v>161</v>
      </c>
      <c r="C44" s="106"/>
      <c r="D44" s="103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41"/>
      <c r="P44" s="41"/>
      <c r="Q44" s="41">
        <f>'Утв. ИП 2014-2019'!H48</f>
        <v>378.05055000000004</v>
      </c>
      <c r="R44" s="41"/>
      <c r="S44" s="41">
        <f>'Утв. ИП 2014-2019'!I48</f>
        <v>317.19455000000005</v>
      </c>
      <c r="T44" s="102"/>
      <c r="U44" s="102"/>
      <c r="V44" s="102"/>
      <c r="W44" s="102"/>
      <c r="X44" s="327"/>
      <c r="Y44" s="102"/>
      <c r="Z44" s="102"/>
      <c r="AA44" s="102"/>
      <c r="AB44" s="102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</row>
    <row r="45" spans="1:45" s="53" customFormat="1" ht="25.5" x14ac:dyDescent="0.2">
      <c r="A45" s="28" t="str">
        <f>'Утв. ИП 2014-2019'!B49</f>
        <v>2.1</v>
      </c>
      <c r="B45" s="29" t="s">
        <v>132</v>
      </c>
      <c r="C45" s="30"/>
      <c r="D45" s="29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1"/>
      <c r="P45" s="31"/>
      <c r="Q45" s="31">
        <f>'Утв. ИП 2014-2019'!H49</f>
        <v>252.84180000000001</v>
      </c>
      <c r="R45" s="31"/>
      <c r="S45" s="31">
        <f>'Утв. ИП 2014-2019'!I49</f>
        <v>203.3451</v>
      </c>
      <c r="T45" s="30"/>
      <c r="U45" s="30"/>
      <c r="V45" s="30"/>
      <c r="W45" s="30"/>
      <c r="X45" s="326"/>
      <c r="Y45" s="30"/>
      <c r="Z45" s="30"/>
      <c r="AA45" s="30"/>
      <c r="AB45" s="75"/>
      <c r="AD45" s="586"/>
      <c r="AE45" s="586"/>
      <c r="AF45" s="586"/>
      <c r="AG45" s="586"/>
      <c r="AH45" s="586"/>
      <c r="AI45" s="586"/>
      <c r="AJ45" s="586"/>
      <c r="AK45" s="586"/>
      <c r="AL45" s="586"/>
      <c r="AM45" s="586"/>
      <c r="AN45" s="586"/>
      <c r="AO45" s="586"/>
      <c r="AP45" s="586"/>
      <c r="AQ45" s="586"/>
      <c r="AR45" s="586"/>
      <c r="AS45" s="586"/>
    </row>
    <row r="46" spans="1:45" s="53" customFormat="1" x14ac:dyDescent="0.2">
      <c r="A46" s="28" t="str">
        <f>'Утв. ИП 2014-2019'!B50</f>
        <v>2.1.1</v>
      </c>
      <c r="B46" s="29" t="s">
        <v>134</v>
      </c>
      <c r="C46" s="30"/>
      <c r="D46" s="29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1"/>
      <c r="P46" s="31"/>
      <c r="Q46" s="31">
        <f>'Утв. ИП 2014-2019'!H50</f>
        <v>191.11780000000002</v>
      </c>
      <c r="R46" s="31"/>
      <c r="S46" s="31">
        <f>'Утв. ИП 2014-2019'!I50</f>
        <v>173.67789999999999</v>
      </c>
      <c r="T46" s="30"/>
      <c r="U46" s="30"/>
      <c r="V46" s="30"/>
      <c r="W46" s="30"/>
      <c r="X46" s="326"/>
      <c r="Y46" s="30"/>
      <c r="Z46" s="30"/>
      <c r="AA46" s="30"/>
      <c r="AB46" s="75"/>
      <c r="AD46" s="586"/>
      <c r="AE46" s="586"/>
      <c r="AF46" s="586"/>
      <c r="AG46" s="586"/>
      <c r="AH46" s="586"/>
      <c r="AI46" s="586"/>
      <c r="AJ46" s="586"/>
      <c r="AK46" s="586"/>
      <c r="AL46" s="586"/>
      <c r="AM46" s="586"/>
      <c r="AN46" s="586"/>
      <c r="AO46" s="586"/>
      <c r="AP46" s="586"/>
      <c r="AQ46" s="586"/>
      <c r="AR46" s="586"/>
      <c r="AS46" s="586"/>
    </row>
    <row r="47" spans="1:45" s="2" customFormat="1" ht="38.25" outlineLevel="1" x14ac:dyDescent="0.2">
      <c r="A47" s="114" t="str">
        <f>'Утв. ИП 2014-2019'!B51</f>
        <v>2.1.1.1</v>
      </c>
      <c r="B47" s="7" t="str">
        <f>'Утв. ИП 2014-2019'!C51</f>
        <v xml:space="preserve">Строительство КЛ-6 кВ сети электроснабжения от ТП-93 до ТП-101 </v>
      </c>
      <c r="C47" s="23" t="s">
        <v>215</v>
      </c>
      <c r="D47" s="19" t="s">
        <v>937</v>
      </c>
      <c r="E47" s="8"/>
      <c r="F47" s="8"/>
      <c r="G47" s="8" t="str">
        <f>'Утв. ИП 2014-2019'!E51</f>
        <v>0,45 км</v>
      </c>
      <c r="H47" s="8"/>
      <c r="I47" s="8">
        <f>'Утв. ИП 2014-2019'!F51</f>
        <v>2014</v>
      </c>
      <c r="J47" s="8">
        <f>'Утв. ИП 2014-2019'!G51</f>
        <v>2015</v>
      </c>
      <c r="K47" s="8" t="s">
        <v>69</v>
      </c>
      <c r="L47" s="8" t="s">
        <v>69</v>
      </c>
      <c r="M47" s="8" t="s">
        <v>69</v>
      </c>
      <c r="N47" s="8" t="s">
        <v>70</v>
      </c>
      <c r="O47" s="5">
        <f>('Утв. ИП 2014-2019'!H51-'Утв. ИП 2014-2019'!I51)*100/'Утв. ИП 2014-2019'!H51</f>
        <v>8.7428896473265034</v>
      </c>
      <c r="P47" s="5">
        <f>O47</f>
        <v>8.7428896473265034</v>
      </c>
      <c r="Q47" s="5">
        <f>'Утв. ИП 2014-2019'!H51</f>
        <v>1.758</v>
      </c>
      <c r="R47" s="5"/>
      <c r="S47" s="5">
        <f>'Утв. ИП 2014-2019'!I51</f>
        <v>1.6043000000000001</v>
      </c>
      <c r="T47" s="8"/>
      <c r="U47" s="8" t="s">
        <v>431</v>
      </c>
      <c r="V47" s="8" t="s">
        <v>72</v>
      </c>
      <c r="W47" s="8"/>
      <c r="X47" s="115">
        <v>13.023999999999999</v>
      </c>
      <c r="Y47" s="8">
        <v>282</v>
      </c>
      <c r="Z47" s="8">
        <v>1.4</v>
      </c>
      <c r="AA47" s="8">
        <v>1.4</v>
      </c>
      <c r="AB47" s="8"/>
      <c r="AD47" s="583"/>
      <c r="AE47" s="584"/>
      <c r="AF47" s="584"/>
      <c r="AG47" s="584"/>
      <c r="AH47" s="590"/>
      <c r="AI47" s="590"/>
      <c r="AJ47" s="590"/>
      <c r="AK47" s="590"/>
      <c r="AL47" s="591"/>
      <c r="AM47" s="591"/>
      <c r="AN47" s="591"/>
      <c r="AO47" s="591"/>
      <c r="AP47" s="591"/>
      <c r="AQ47" s="591"/>
      <c r="AR47" s="591"/>
      <c r="AS47" s="591"/>
    </row>
    <row r="48" spans="1:45" s="2" customFormat="1" ht="38.25" outlineLevel="1" x14ac:dyDescent="0.2">
      <c r="A48" s="114" t="str">
        <f>'Утв. ИП 2014-2019'!B52</f>
        <v>2.1.1.2</v>
      </c>
      <c r="B48" s="7" t="str">
        <f>'Утв. ИП 2014-2019'!C52</f>
        <v>Строительство КЛ-6 кВ ЦРП "Город" яч. 12 - ТП-101 яч. 6</v>
      </c>
      <c r="C48" s="23" t="s">
        <v>215</v>
      </c>
      <c r="D48" s="19" t="s">
        <v>936</v>
      </c>
      <c r="E48" s="8"/>
      <c r="F48" s="8"/>
      <c r="G48" s="8" t="str">
        <f>'Утв. ИП 2014-2019'!E52</f>
        <v>0,78 км</v>
      </c>
      <c r="H48" s="8"/>
      <c r="I48" s="8">
        <f>'Утв. ИП 2014-2019'!F52</f>
        <v>2015</v>
      </c>
      <c r="J48" s="8">
        <f>'Утв. ИП 2014-2019'!G52</f>
        <v>2015</v>
      </c>
      <c r="K48" s="8" t="s">
        <v>69</v>
      </c>
      <c r="L48" s="8" t="s">
        <v>69</v>
      </c>
      <c r="M48" s="8" t="s">
        <v>69</v>
      </c>
      <c r="N48" s="8" t="s">
        <v>70</v>
      </c>
      <c r="O48" s="5">
        <f>('Утв. ИП 2014-2019'!H52-'Утв. ИП 2014-2019'!I52)*100/'Утв. ИП 2014-2019'!H52</f>
        <v>8.2754182754182697</v>
      </c>
      <c r="P48" s="5">
        <f>O48</f>
        <v>8.2754182754182697</v>
      </c>
      <c r="Q48" s="5">
        <f>'Утв. ИП 2014-2019'!H52</f>
        <v>2.331</v>
      </c>
      <c r="R48" s="5"/>
      <c r="S48" s="5">
        <f>'Утв. ИП 2014-2019'!I52</f>
        <v>2.1381000000000001</v>
      </c>
      <c r="T48" s="8"/>
      <c r="U48" s="8" t="s">
        <v>431</v>
      </c>
      <c r="V48" s="8" t="s">
        <v>72</v>
      </c>
      <c r="W48" s="8"/>
      <c r="X48" s="115">
        <v>12.590999999999999</v>
      </c>
      <c r="Y48" s="8">
        <v>214</v>
      </c>
      <c r="Z48" s="8">
        <v>1.5</v>
      </c>
      <c r="AA48" s="8">
        <v>1.6</v>
      </c>
      <c r="AB48" s="8"/>
      <c r="AD48" s="583"/>
      <c r="AE48" s="584"/>
      <c r="AF48" s="584"/>
      <c r="AG48" s="584"/>
      <c r="AH48" s="590"/>
      <c r="AI48" s="590"/>
      <c r="AJ48" s="590"/>
      <c r="AK48" s="590"/>
      <c r="AL48" s="591"/>
      <c r="AM48" s="591"/>
      <c r="AN48" s="591"/>
      <c r="AO48" s="591"/>
      <c r="AP48" s="591"/>
      <c r="AQ48" s="591"/>
      <c r="AR48" s="591"/>
      <c r="AS48" s="591"/>
    </row>
    <row r="49" spans="1:45" s="2" customFormat="1" ht="39.950000000000003" customHeight="1" outlineLevel="1" x14ac:dyDescent="0.2">
      <c r="A49" s="114" t="str">
        <f>'Утв. ИП 2014-2019'!B53</f>
        <v>2.1.1.3</v>
      </c>
      <c r="B49" s="7" t="str">
        <f>'Утв. ИП 2014-2019'!C53</f>
        <v xml:space="preserve">Строительство КЛ-6 кВ сети электроснабжения от ТП-27 до ТП-127 </v>
      </c>
      <c r="C49" s="23" t="s">
        <v>215</v>
      </c>
      <c r="D49" s="19" t="s">
        <v>219</v>
      </c>
      <c r="E49" s="8"/>
      <c r="F49" s="8"/>
      <c r="G49" s="8" t="str">
        <f>'Утв. ИП 2014-2019'!E53</f>
        <v>0,85 км</v>
      </c>
      <c r="H49" s="8"/>
      <c r="I49" s="8">
        <f>'Утв. ИП 2014-2019'!F53</f>
        <v>2013</v>
      </c>
      <c r="J49" s="8">
        <f>'Утв. ИП 2014-2019'!G53</f>
        <v>2014</v>
      </c>
      <c r="K49" s="8" t="s">
        <v>69</v>
      </c>
      <c r="L49" s="8" t="s">
        <v>69</v>
      </c>
      <c r="M49" s="8" t="s">
        <v>69</v>
      </c>
      <c r="N49" s="8" t="s">
        <v>69</v>
      </c>
      <c r="O49" s="5">
        <f>('Утв. ИП 2014-2019'!H53-'Утв. ИП 2014-2019'!I53)*100/'Утв. ИП 2014-2019'!H53</f>
        <v>12.01520912547528</v>
      </c>
      <c r="P49" s="5">
        <f>O49</f>
        <v>12.01520912547528</v>
      </c>
      <c r="Q49" s="5">
        <f>'Утв. ИП 2014-2019'!H53</f>
        <v>3.9449999999999998</v>
      </c>
      <c r="R49" s="5"/>
      <c r="S49" s="5">
        <f>'Утв. ИП 2014-2019'!I53</f>
        <v>3.4710000000000001</v>
      </c>
      <c r="T49" s="8"/>
      <c r="U49" s="8" t="s">
        <v>431</v>
      </c>
      <c r="V49" s="8" t="s">
        <v>77</v>
      </c>
      <c r="W49" s="8"/>
      <c r="X49" s="115">
        <v>0.14699999999999999</v>
      </c>
      <c r="Y49" s="8">
        <v>24</v>
      </c>
      <c r="Z49" s="8">
        <v>3.9</v>
      </c>
      <c r="AA49" s="8">
        <v>9</v>
      </c>
      <c r="AB49" s="8"/>
      <c r="AD49" s="583"/>
      <c r="AE49" s="584"/>
      <c r="AF49" s="584"/>
      <c r="AG49" s="584"/>
      <c r="AH49" s="590"/>
      <c r="AI49" s="590"/>
      <c r="AJ49" s="590"/>
      <c r="AK49" s="590"/>
      <c r="AL49" s="591"/>
      <c r="AM49" s="591"/>
      <c r="AN49" s="591"/>
      <c r="AO49" s="591"/>
      <c r="AP49" s="591"/>
      <c r="AQ49" s="591"/>
      <c r="AR49" s="591"/>
      <c r="AS49" s="591"/>
    </row>
    <row r="50" spans="1:45" s="2" customFormat="1" ht="42" customHeight="1" outlineLevel="1" x14ac:dyDescent="0.2">
      <c r="A50" s="114" t="str">
        <f>'Утв. ИП 2014-2019'!B54</f>
        <v>2.1.1.4</v>
      </c>
      <c r="B50" s="7" t="str">
        <f>'Утв. ИП 2014-2019'!C54</f>
        <v>Диспансерное отделение областной психоневрологической больницы по ул. Аксакова, 4</v>
      </c>
      <c r="C50" s="23" t="s">
        <v>215</v>
      </c>
      <c r="D50" s="19" t="s">
        <v>226</v>
      </c>
      <c r="E50" s="8" t="s">
        <v>118</v>
      </c>
      <c r="F50" s="8"/>
      <c r="G50" s="8" t="s">
        <v>1934</v>
      </c>
      <c r="H50" s="8"/>
      <c r="I50" s="8">
        <f>'Утв. ИП 2014-2019'!F54</f>
        <v>2012</v>
      </c>
      <c r="J50" s="8">
        <f>'Утв. ИП 2014-2019'!G54</f>
        <v>2014</v>
      </c>
      <c r="K50" s="8" t="s">
        <v>69</v>
      </c>
      <c r="L50" s="8" t="s">
        <v>69</v>
      </c>
      <c r="M50" s="8" t="s">
        <v>69</v>
      </c>
      <c r="N50" s="8" t="s">
        <v>69</v>
      </c>
      <c r="O50" s="5">
        <f>('Утв. ИП 2014-2019'!H54-'Утв. ИП 2014-2019'!I54)*100/'Утв. ИП 2014-2019'!H54</f>
        <v>100</v>
      </c>
      <c r="P50" s="5">
        <f>O50</f>
        <v>100</v>
      </c>
      <c r="Q50" s="5">
        <f>'Утв. ИП 2014-2019'!H54</f>
        <v>14.66</v>
      </c>
      <c r="R50" s="5"/>
      <c r="S50" s="5">
        <f>'Утв. ИП 2014-2019'!I54</f>
        <v>0</v>
      </c>
      <c r="T50" s="8"/>
      <c r="U50" s="8" t="s">
        <v>431</v>
      </c>
      <c r="V50" s="8" t="s">
        <v>78</v>
      </c>
      <c r="W50" s="8" t="s">
        <v>79</v>
      </c>
      <c r="X50" s="115">
        <v>-9.4079999999999995</v>
      </c>
      <c r="Y50" s="8">
        <v>-4</v>
      </c>
      <c r="Z50" s="8">
        <v>0</v>
      </c>
      <c r="AA50" s="8">
        <v>0</v>
      </c>
      <c r="AB50" s="8" t="s">
        <v>2158</v>
      </c>
      <c r="AC50" s="877" t="s">
        <v>2157</v>
      </c>
      <c r="AD50" s="583"/>
      <c r="AE50" s="584"/>
      <c r="AF50" s="584"/>
      <c r="AG50" s="584"/>
      <c r="AH50" s="590"/>
      <c r="AI50" s="590"/>
      <c r="AJ50" s="590"/>
      <c r="AK50" s="590"/>
      <c r="AL50" s="591"/>
      <c r="AM50" s="591"/>
      <c r="AN50" s="591"/>
      <c r="AO50" s="591"/>
      <c r="AP50" s="591"/>
      <c r="AQ50" s="591"/>
      <c r="AR50" s="591"/>
      <c r="AS50" s="591"/>
    </row>
    <row r="51" spans="1:45" s="2" customFormat="1" ht="33.75" outlineLevel="2" x14ac:dyDescent="0.2">
      <c r="A51" s="6"/>
      <c r="B51" s="97" t="str">
        <f>'Утв. ИП 2014-2019'!C55</f>
        <v>Строительство комплектной трансформаторной подстанции с демонтажем ТП-402 на пл. Аксакова</v>
      </c>
      <c r="C51" s="23"/>
      <c r="D51" s="19"/>
      <c r="E51" s="12"/>
      <c r="F51" s="8"/>
      <c r="G51" s="8"/>
      <c r="H51" s="8"/>
      <c r="I51" s="8"/>
      <c r="J51" s="8"/>
      <c r="K51" s="8"/>
      <c r="L51" s="8"/>
      <c r="M51" s="8"/>
      <c r="N51" s="8"/>
      <c r="O51" s="5"/>
      <c r="P51" s="5"/>
      <c r="Q51" s="5"/>
      <c r="R51" s="5"/>
      <c r="S51" s="5"/>
      <c r="T51" s="8"/>
      <c r="U51" s="8"/>
      <c r="V51" s="8"/>
      <c r="W51" s="8"/>
      <c r="X51" s="115"/>
      <c r="Y51" s="8"/>
      <c r="Z51" s="8"/>
      <c r="AA51" s="8"/>
      <c r="AB51" s="8"/>
      <c r="AC51" s="878"/>
      <c r="AD51" s="583"/>
      <c r="AE51" s="584"/>
      <c r="AF51" s="584"/>
      <c r="AG51" s="584"/>
      <c r="AH51" s="590"/>
      <c r="AI51" s="590"/>
      <c r="AJ51" s="590"/>
      <c r="AK51" s="590"/>
      <c r="AL51" s="591"/>
      <c r="AM51" s="591"/>
      <c r="AN51" s="591"/>
      <c r="AO51" s="591"/>
      <c r="AP51" s="591"/>
      <c r="AQ51" s="591"/>
      <c r="AR51" s="591"/>
      <c r="AS51" s="591"/>
    </row>
    <row r="52" spans="1:45" s="2" customFormat="1" ht="21.75" customHeight="1" outlineLevel="2" x14ac:dyDescent="0.2">
      <c r="A52" s="6"/>
      <c r="B52" s="97" t="str">
        <f>'Утв. ИП 2014-2019'!C56</f>
        <v>Строительство КЛ-0,4 кВ от КТП до здания диспансерного отделения на пл. Аксакова, 4</v>
      </c>
      <c r="C52" s="23"/>
      <c r="D52" s="19"/>
      <c r="E52" s="8"/>
      <c r="F52" s="8"/>
      <c r="G52" s="8"/>
      <c r="H52" s="8"/>
      <c r="I52" s="8"/>
      <c r="J52" s="8"/>
      <c r="K52" s="8"/>
      <c r="L52" s="8"/>
      <c r="M52" s="8"/>
      <c r="N52" s="8"/>
      <c r="O52" s="5"/>
      <c r="P52" s="5"/>
      <c r="Q52" s="5"/>
      <c r="R52" s="5"/>
      <c r="S52" s="5"/>
      <c r="T52" s="8"/>
      <c r="U52" s="8"/>
      <c r="V52" s="8"/>
      <c r="W52" s="8"/>
      <c r="X52" s="115"/>
      <c r="Y52" s="8"/>
      <c r="Z52" s="8"/>
      <c r="AA52" s="8"/>
      <c r="AB52" s="8"/>
      <c r="AC52" s="878"/>
      <c r="AD52" s="583"/>
      <c r="AE52" s="584"/>
      <c r="AF52" s="584"/>
      <c r="AG52" s="584"/>
      <c r="AH52" s="590"/>
      <c r="AI52" s="590"/>
      <c r="AJ52" s="590"/>
      <c r="AK52" s="590"/>
      <c r="AL52" s="591"/>
      <c r="AM52" s="591"/>
      <c r="AN52" s="591"/>
      <c r="AO52" s="591"/>
      <c r="AP52" s="591"/>
      <c r="AQ52" s="591"/>
      <c r="AR52" s="591"/>
      <c r="AS52" s="591"/>
    </row>
    <row r="53" spans="1:45" s="2" customFormat="1" ht="22.5" outlineLevel="2" x14ac:dyDescent="0.2">
      <c r="A53" s="6"/>
      <c r="B53" s="97" t="str">
        <f>'Утв. ИП 2014-2019'!C57</f>
        <v>Монтаж оборудования РУ-6 кВ во вновь смонтированной КТП</v>
      </c>
      <c r="C53" s="23"/>
      <c r="D53" s="19"/>
      <c r="E53" s="8"/>
      <c r="F53" s="8"/>
      <c r="G53" s="8"/>
      <c r="H53" s="8"/>
      <c r="I53" s="8"/>
      <c r="J53" s="8"/>
      <c r="K53" s="8"/>
      <c r="L53" s="8"/>
      <c r="M53" s="8"/>
      <c r="N53" s="8"/>
      <c r="O53" s="5"/>
      <c r="P53" s="5"/>
      <c r="Q53" s="5"/>
      <c r="R53" s="5"/>
      <c r="S53" s="5"/>
      <c r="T53" s="8"/>
      <c r="U53" s="8"/>
      <c r="V53" s="8"/>
      <c r="W53" s="8"/>
      <c r="X53" s="115"/>
      <c r="Y53" s="8"/>
      <c r="Z53" s="8"/>
      <c r="AA53" s="8"/>
      <c r="AB53" s="8"/>
      <c r="AC53" s="878"/>
      <c r="AD53" s="583"/>
      <c r="AE53" s="584"/>
      <c r="AF53" s="584"/>
      <c r="AG53" s="584"/>
      <c r="AH53" s="590"/>
      <c r="AI53" s="590"/>
      <c r="AJ53" s="590"/>
      <c r="AK53" s="590"/>
      <c r="AL53" s="591"/>
      <c r="AM53" s="591"/>
      <c r="AN53" s="591"/>
      <c r="AO53" s="591"/>
      <c r="AP53" s="591"/>
      <c r="AQ53" s="591"/>
      <c r="AR53" s="591"/>
      <c r="AS53" s="591"/>
    </row>
    <row r="54" spans="1:45" s="2" customFormat="1" ht="22.5" outlineLevel="2" x14ac:dyDescent="0.2">
      <c r="A54" s="6"/>
      <c r="B54" s="97" t="str">
        <f>'Утв. ИП 2014-2019'!C58</f>
        <v>Монтаж оборудования РУ-0,4 кВ во вновь смонтированной КТП</v>
      </c>
      <c r="C54" s="23"/>
      <c r="D54" s="19"/>
      <c r="E54" s="12"/>
      <c r="F54" s="8"/>
      <c r="G54" s="8"/>
      <c r="H54" s="8"/>
      <c r="I54" s="8"/>
      <c r="J54" s="8"/>
      <c r="K54" s="8"/>
      <c r="L54" s="8"/>
      <c r="M54" s="8"/>
      <c r="N54" s="8"/>
      <c r="O54" s="5"/>
      <c r="P54" s="5"/>
      <c r="Q54" s="5"/>
      <c r="R54" s="5"/>
      <c r="S54" s="5"/>
      <c r="T54" s="8"/>
      <c r="U54" s="8"/>
      <c r="V54" s="8"/>
      <c r="W54" s="8"/>
      <c r="X54" s="115"/>
      <c r="Y54" s="8"/>
      <c r="Z54" s="8"/>
      <c r="AA54" s="8"/>
      <c r="AB54" s="8"/>
      <c r="AC54" s="879"/>
      <c r="AD54" s="583"/>
      <c r="AE54" s="584"/>
      <c r="AF54" s="584"/>
      <c r="AG54" s="584"/>
      <c r="AH54" s="590"/>
      <c r="AI54" s="590"/>
      <c r="AJ54" s="590"/>
      <c r="AK54" s="590"/>
      <c r="AL54" s="591"/>
      <c r="AM54" s="591"/>
      <c r="AN54" s="591"/>
      <c r="AO54" s="591"/>
      <c r="AP54" s="591"/>
      <c r="AQ54" s="591"/>
      <c r="AR54" s="591"/>
      <c r="AS54" s="591"/>
    </row>
    <row r="55" spans="1:45" s="2" customFormat="1" ht="22.5" outlineLevel="2" x14ac:dyDescent="0.2">
      <c r="A55" s="6"/>
      <c r="B55" s="97" t="str">
        <f>'Утв. ИП 2014-2019'!C59</f>
        <v>Монтаж трансформатора №1 во вновь смонтированной КТП</v>
      </c>
      <c r="C55" s="23"/>
      <c r="D55" s="19"/>
      <c r="E55" s="12"/>
      <c r="F55" s="8"/>
      <c r="G55" s="8"/>
      <c r="H55" s="8"/>
      <c r="I55" s="8"/>
      <c r="J55" s="8"/>
      <c r="K55" s="8"/>
      <c r="L55" s="8"/>
      <c r="M55" s="8"/>
      <c r="N55" s="8"/>
      <c r="O55" s="5"/>
      <c r="P55" s="5"/>
      <c r="Q55" s="5"/>
      <c r="R55" s="5"/>
      <c r="S55" s="5"/>
      <c r="T55" s="8"/>
      <c r="U55" s="8"/>
      <c r="V55" s="8"/>
      <c r="W55" s="8"/>
      <c r="X55" s="115"/>
      <c r="Y55" s="8"/>
      <c r="Z55" s="8"/>
      <c r="AA55" s="8"/>
      <c r="AB55" s="8"/>
      <c r="AD55" s="583"/>
      <c r="AE55" s="584"/>
      <c r="AF55" s="584"/>
      <c r="AG55" s="584"/>
      <c r="AH55" s="590"/>
      <c r="AI55" s="590"/>
      <c r="AJ55" s="590"/>
      <c r="AK55" s="590"/>
      <c r="AL55" s="591"/>
      <c r="AM55" s="591"/>
      <c r="AN55" s="591"/>
      <c r="AO55" s="591"/>
      <c r="AP55" s="591"/>
      <c r="AQ55" s="591"/>
      <c r="AR55" s="591"/>
      <c r="AS55" s="591"/>
    </row>
    <row r="56" spans="1:45" s="2" customFormat="1" ht="22.5" outlineLevel="2" x14ac:dyDescent="0.2">
      <c r="A56" s="6"/>
      <c r="B56" s="97" t="str">
        <f>'Утв. ИП 2014-2019'!C60</f>
        <v>Монтаж трансформатора №2 во вновь смонтированной КТП</v>
      </c>
      <c r="C56" s="23"/>
      <c r="D56" s="19"/>
      <c r="E56" s="12"/>
      <c r="F56" s="8"/>
      <c r="G56" s="8"/>
      <c r="H56" s="8"/>
      <c r="I56" s="8"/>
      <c r="J56" s="8"/>
      <c r="K56" s="8"/>
      <c r="L56" s="8"/>
      <c r="M56" s="8"/>
      <c r="N56" s="8"/>
      <c r="O56" s="5"/>
      <c r="P56" s="5"/>
      <c r="Q56" s="5"/>
      <c r="R56" s="5"/>
      <c r="S56" s="5"/>
      <c r="T56" s="8"/>
      <c r="U56" s="8"/>
      <c r="V56" s="8"/>
      <c r="W56" s="8"/>
      <c r="X56" s="115"/>
      <c r="Y56" s="8"/>
      <c r="Z56" s="8"/>
      <c r="AA56" s="8"/>
      <c r="AB56" s="8"/>
      <c r="AD56" s="583"/>
      <c r="AE56" s="584"/>
      <c r="AF56" s="584"/>
      <c r="AG56" s="584"/>
      <c r="AH56" s="590"/>
      <c r="AI56" s="590"/>
      <c r="AJ56" s="590"/>
      <c r="AK56" s="590"/>
      <c r="AL56" s="591"/>
      <c r="AM56" s="591"/>
      <c r="AN56" s="591"/>
      <c r="AO56" s="591"/>
      <c r="AP56" s="591"/>
      <c r="AQ56" s="591"/>
      <c r="AR56" s="591"/>
      <c r="AS56" s="591"/>
    </row>
    <row r="57" spans="1:45" s="2" customFormat="1" ht="22.5" outlineLevel="2" x14ac:dyDescent="0.2">
      <c r="A57" s="6"/>
      <c r="B57" s="97" t="str">
        <f>'Утв. ИП 2014-2019'!C61</f>
        <v>Монтаж узла учета во вновь смонтированной КТП</v>
      </c>
      <c r="C57" s="23"/>
      <c r="D57" s="19"/>
      <c r="E57" s="12"/>
      <c r="F57" s="8"/>
      <c r="G57" s="8"/>
      <c r="H57" s="8"/>
      <c r="I57" s="8"/>
      <c r="J57" s="8"/>
      <c r="K57" s="8"/>
      <c r="L57" s="8"/>
      <c r="M57" s="8"/>
      <c r="N57" s="8"/>
      <c r="O57" s="5"/>
      <c r="P57" s="5"/>
      <c r="Q57" s="5"/>
      <c r="R57" s="5"/>
      <c r="S57" s="5"/>
      <c r="T57" s="8"/>
      <c r="U57" s="8"/>
      <c r="V57" s="8"/>
      <c r="W57" s="8"/>
      <c r="X57" s="115"/>
      <c r="Y57" s="8"/>
      <c r="Z57" s="8"/>
      <c r="AA57" s="8"/>
      <c r="AB57" s="8"/>
      <c r="AD57" s="583"/>
      <c r="AE57" s="584"/>
      <c r="AF57" s="584"/>
      <c r="AG57" s="584"/>
      <c r="AH57" s="590"/>
      <c r="AI57" s="590"/>
      <c r="AJ57" s="590"/>
      <c r="AK57" s="590"/>
      <c r="AL57" s="591"/>
      <c r="AM57" s="591"/>
      <c r="AN57" s="591"/>
      <c r="AO57" s="591"/>
      <c r="AP57" s="591"/>
      <c r="AQ57" s="591"/>
      <c r="AR57" s="591"/>
      <c r="AS57" s="591"/>
    </row>
    <row r="58" spans="1:45" s="2" customFormat="1" ht="21.75" customHeight="1" outlineLevel="2" x14ac:dyDescent="0.2">
      <c r="A58" s="6"/>
      <c r="B58" s="97" t="str">
        <f>'Утв. ИП 2014-2019'!C62</f>
        <v>Монтаж охранно-пожарной сигнализации во вновь смонтированной КТП</v>
      </c>
      <c r="C58" s="23"/>
      <c r="D58" s="19"/>
      <c r="E58" s="12"/>
      <c r="F58" s="8"/>
      <c r="G58" s="8"/>
      <c r="H58" s="8"/>
      <c r="I58" s="8"/>
      <c r="J58" s="8"/>
      <c r="K58" s="8"/>
      <c r="L58" s="8"/>
      <c r="M58" s="8"/>
      <c r="N58" s="8"/>
      <c r="O58" s="5"/>
      <c r="P58" s="5"/>
      <c r="Q58" s="5"/>
      <c r="R58" s="5"/>
      <c r="S58" s="5"/>
      <c r="T58" s="8"/>
      <c r="U58" s="8"/>
      <c r="V58" s="8"/>
      <c r="W58" s="8"/>
      <c r="X58" s="115"/>
      <c r="Y58" s="8"/>
      <c r="Z58" s="8"/>
      <c r="AA58" s="8"/>
      <c r="AB58" s="8"/>
      <c r="AD58" s="583"/>
      <c r="AE58" s="584"/>
      <c r="AF58" s="584"/>
      <c r="AG58" s="584"/>
      <c r="AH58" s="590"/>
      <c r="AI58" s="590"/>
      <c r="AJ58" s="590"/>
      <c r="AK58" s="590"/>
      <c r="AL58" s="591"/>
      <c r="AM58" s="591"/>
      <c r="AN58" s="591"/>
      <c r="AO58" s="591"/>
      <c r="AP58" s="591"/>
      <c r="AQ58" s="591"/>
      <c r="AR58" s="591"/>
      <c r="AS58" s="591"/>
    </row>
    <row r="59" spans="1:45" s="2" customFormat="1" ht="63.75" outlineLevel="1" x14ac:dyDescent="0.2">
      <c r="A59" s="114" t="str">
        <f>'Утв. ИП 2014-2019'!B63</f>
        <v>2.1.1.5</v>
      </c>
      <c r="B59" s="7" t="str">
        <f>'Утв. ИП 2014-2019'!C63</f>
        <v>Строительство КЛ-10 кВ от ПС "Правобережная" яч.19 до РП-17 яч.9; от ПС "Правобережная" яч.10 до РП-17 яч.7</v>
      </c>
      <c r="C59" s="23" t="s">
        <v>215</v>
      </c>
      <c r="D59" s="19" t="s">
        <v>451</v>
      </c>
      <c r="E59" s="8"/>
      <c r="F59" s="8"/>
      <c r="G59" s="8" t="str">
        <f>'Утв. ИП 2014-2019'!E63</f>
        <v>2х3,6 км
(12х3,6=43,2 в одножильном исполнении)</v>
      </c>
      <c r="H59" s="8"/>
      <c r="I59" s="8">
        <f>'Утв. ИП 2014-2019'!F63</f>
        <v>2014</v>
      </c>
      <c r="J59" s="8">
        <f>'Утв. ИП 2014-2019'!G63</f>
        <v>2016</v>
      </c>
      <c r="K59" s="8" t="s">
        <v>70</v>
      </c>
      <c r="L59" s="8" t="s">
        <v>70</v>
      </c>
      <c r="M59" s="8" t="s">
        <v>70</v>
      </c>
      <c r="N59" s="8" t="s">
        <v>70</v>
      </c>
      <c r="O59" s="5">
        <f>('Утв. ИП 2014-2019'!H63-'Утв. ИП 2014-2019'!I63)*100/'Утв. ИП 2014-2019'!H63</f>
        <v>0</v>
      </c>
      <c r="P59" s="5">
        <f t="shared" ref="P59:P65" si="1">O59</f>
        <v>0</v>
      </c>
      <c r="Q59" s="5">
        <f>'Утв. ИП 2014-2019'!H63</f>
        <v>40.263800000000003</v>
      </c>
      <c r="R59" s="5"/>
      <c r="S59" s="5">
        <f>'Утв. ИП 2014-2019'!I63</f>
        <v>40.263800000000003</v>
      </c>
      <c r="T59" s="8"/>
      <c r="U59" s="8" t="s">
        <v>431</v>
      </c>
      <c r="V59" s="8" t="s">
        <v>77</v>
      </c>
      <c r="W59" s="8"/>
      <c r="X59" s="115">
        <v>0.56699999999999995</v>
      </c>
      <c r="Y59" s="8">
        <v>22</v>
      </c>
      <c r="Z59" s="8">
        <v>6.2</v>
      </c>
      <c r="AA59" s="8">
        <v>11.5</v>
      </c>
      <c r="AB59" s="8"/>
      <c r="AD59" s="583"/>
      <c r="AE59" s="584"/>
      <c r="AF59" s="584"/>
      <c r="AG59" s="584"/>
      <c r="AH59" s="590"/>
      <c r="AI59" s="590"/>
      <c r="AJ59" s="590"/>
      <c r="AK59" s="590"/>
      <c r="AL59" s="591"/>
      <c r="AM59" s="591"/>
      <c r="AN59" s="591"/>
      <c r="AO59" s="591"/>
      <c r="AP59" s="591"/>
      <c r="AQ59" s="591"/>
      <c r="AR59" s="591"/>
      <c r="AS59" s="591"/>
    </row>
    <row r="60" spans="1:45" s="2" customFormat="1" ht="51" outlineLevel="1" x14ac:dyDescent="0.2">
      <c r="A60" s="114" t="str">
        <f>'Утв. ИП 2014-2019'!B64</f>
        <v>2.1.1.6</v>
      </c>
      <c r="B60" s="7" t="str">
        <f>'Утв. ИП 2014-2019'!C64</f>
        <v>Строительство ВЛ-10 кВ и КЛ-10 кВ сети электроснабжения от ПС "Правобережная" яч. 9 до ТП-616</v>
      </c>
      <c r="C60" s="23" t="s">
        <v>215</v>
      </c>
      <c r="D60" s="19" t="s">
        <v>2583</v>
      </c>
      <c r="E60" s="8"/>
      <c r="F60" s="8"/>
      <c r="G60" s="8" t="str">
        <f>'Утв. ИП 2014-2019'!E64</f>
        <v>3,22 км</v>
      </c>
      <c r="H60" s="8"/>
      <c r="I60" s="8">
        <f>'Утв. ИП 2014-2019'!F64</f>
        <v>2014</v>
      </c>
      <c r="J60" s="8">
        <f>'Утв. ИП 2014-2019'!G64</f>
        <v>2018</v>
      </c>
      <c r="K60" s="8" t="s">
        <v>69</v>
      </c>
      <c r="L60" s="8" t="s">
        <v>70</v>
      </c>
      <c r="M60" s="8" t="s">
        <v>69</v>
      </c>
      <c r="N60" s="8" t="s">
        <v>70</v>
      </c>
      <c r="O60" s="5">
        <f>('Утв. ИП 2014-2019'!H64-'Утв. ИП 2014-2019'!I64)*100/'Утв. ИП 2014-2019'!H64</f>
        <v>3.410120311394194</v>
      </c>
      <c r="P60" s="5">
        <f t="shared" si="1"/>
        <v>3.410120311394194</v>
      </c>
      <c r="Q60" s="5">
        <f>'Утв. ИП 2014-2019'!H64</f>
        <v>28.26</v>
      </c>
      <c r="R60" s="5"/>
      <c r="S60" s="5">
        <f>'Утв. ИП 2014-2019'!I64</f>
        <v>27.296300000000002</v>
      </c>
      <c r="T60" s="8"/>
      <c r="U60" s="8" t="s">
        <v>2593</v>
      </c>
      <c r="V60" s="8" t="s">
        <v>72</v>
      </c>
      <c r="W60" s="8"/>
      <c r="X60" s="115">
        <v>7.9370000000000003</v>
      </c>
      <c r="Y60" s="44">
        <v>44</v>
      </c>
      <c r="Z60" s="8">
        <v>6.3</v>
      </c>
      <c r="AA60" s="8">
        <v>7.7</v>
      </c>
      <c r="AB60" s="8"/>
      <c r="AD60" s="583"/>
      <c r="AE60" s="584"/>
      <c r="AF60" s="584"/>
      <c r="AG60" s="584"/>
      <c r="AH60" s="590"/>
      <c r="AI60" s="590"/>
      <c r="AJ60" s="590"/>
      <c r="AK60" s="590"/>
      <c r="AL60" s="591"/>
      <c r="AM60" s="591"/>
      <c r="AN60" s="591"/>
      <c r="AO60" s="591"/>
      <c r="AP60" s="591"/>
      <c r="AQ60" s="591"/>
      <c r="AR60" s="591"/>
      <c r="AS60" s="591"/>
    </row>
    <row r="61" spans="1:45" s="2" customFormat="1" ht="51" outlineLevel="1" x14ac:dyDescent="0.2">
      <c r="A61" s="114" t="str">
        <f>'Утв. ИП 2014-2019'!B65</f>
        <v>2.1.1.7</v>
      </c>
      <c r="B61" s="7" t="str">
        <f>'Утв. ИП 2014-2019'!C65</f>
        <v>Строительство ВЛ-10 кВ и КЛ-10 кВ сети электроснабжения от ПС "Правобережная" яч. 18 до ТП-616</v>
      </c>
      <c r="C61" s="23" t="s">
        <v>215</v>
      </c>
      <c r="D61" s="19" t="s">
        <v>220</v>
      </c>
      <c r="E61" s="8"/>
      <c r="F61" s="8"/>
      <c r="G61" s="8" t="str">
        <f>'Утв. ИП 2014-2019'!E65</f>
        <v>3,38 км</v>
      </c>
      <c r="H61" s="8"/>
      <c r="I61" s="8">
        <f>'Утв. ИП 2014-2019'!F65</f>
        <v>2014</v>
      </c>
      <c r="J61" s="8">
        <f>'Утв. ИП 2014-2019'!G65</f>
        <v>2017</v>
      </c>
      <c r="K61" s="8" t="s">
        <v>69</v>
      </c>
      <c r="L61" s="8" t="s">
        <v>70</v>
      </c>
      <c r="M61" s="8" t="s">
        <v>69</v>
      </c>
      <c r="N61" s="8" t="s">
        <v>70</v>
      </c>
      <c r="O61" s="5">
        <f>('Утв. ИП 2014-2019'!H65-'Утв. ИП 2014-2019'!I65)*100/'Утв. ИП 2014-2019'!H65</f>
        <v>3.2858085808580846</v>
      </c>
      <c r="P61" s="5">
        <f t="shared" si="1"/>
        <v>3.2858085808580846</v>
      </c>
      <c r="Q61" s="5">
        <f>'Утв. ИП 2014-2019'!H65</f>
        <v>30.3</v>
      </c>
      <c r="R61" s="5"/>
      <c r="S61" s="5">
        <f>'Утв. ИП 2014-2019'!I65</f>
        <v>29.304400000000001</v>
      </c>
      <c r="T61" s="8"/>
      <c r="U61" s="8" t="s">
        <v>2593</v>
      </c>
      <c r="V61" s="8" t="s">
        <v>72</v>
      </c>
      <c r="W61" s="8"/>
      <c r="X61" s="115">
        <v>3.5339999999999998</v>
      </c>
      <c r="Y61" s="44">
        <v>30</v>
      </c>
      <c r="Z61" s="8">
        <v>6.3</v>
      </c>
      <c r="AA61" s="8">
        <v>9.1999999999999993</v>
      </c>
      <c r="AB61" s="8"/>
      <c r="AD61" s="583"/>
      <c r="AE61" s="584"/>
      <c r="AF61" s="584"/>
      <c r="AG61" s="584"/>
      <c r="AH61" s="590"/>
      <c r="AI61" s="590"/>
      <c r="AJ61" s="590"/>
      <c r="AK61" s="590"/>
      <c r="AL61" s="591"/>
      <c r="AM61" s="591"/>
      <c r="AN61" s="591"/>
      <c r="AO61" s="591"/>
      <c r="AP61" s="591"/>
      <c r="AQ61" s="591"/>
      <c r="AR61" s="591"/>
      <c r="AS61" s="591"/>
    </row>
    <row r="62" spans="1:45" s="2" customFormat="1" ht="25.5" outlineLevel="1" x14ac:dyDescent="0.2">
      <c r="A62" s="114" t="str">
        <f>'Утв. ИП 2014-2019'!B66</f>
        <v>2.1.1.8</v>
      </c>
      <c r="B62" s="7" t="str">
        <f>'Утв. ИП 2014-2019'!C66</f>
        <v>Строительство КЛ-10 кВ от ГПП-1 яч. 21 до РП-9 яч. 9</v>
      </c>
      <c r="C62" s="23" t="s">
        <v>215</v>
      </c>
      <c r="D62" s="19" t="s">
        <v>1435</v>
      </c>
      <c r="E62" s="8"/>
      <c r="F62" s="8"/>
      <c r="G62" s="8" t="str">
        <f>'Утв. ИП 2014-2019'!E66</f>
        <v xml:space="preserve">2,7 км </v>
      </c>
      <c r="H62" s="8"/>
      <c r="I62" s="8">
        <f>'Утв. ИП 2014-2019'!F66</f>
        <v>2014</v>
      </c>
      <c r="J62" s="8">
        <f>'Утв. ИП 2014-2019'!G66</f>
        <v>2017</v>
      </c>
      <c r="K62" s="8" t="s">
        <v>70</v>
      </c>
      <c r="L62" s="8" t="s">
        <v>70</v>
      </c>
      <c r="M62" s="8" t="s">
        <v>70</v>
      </c>
      <c r="N62" s="8" t="s">
        <v>70</v>
      </c>
      <c r="O62" s="5">
        <f>('Утв. ИП 2014-2019'!H66-'Утв. ИП 2014-2019'!I66)*100/'Утв. ИП 2014-2019'!H66</f>
        <v>0</v>
      </c>
      <c r="P62" s="5">
        <f t="shared" si="1"/>
        <v>0</v>
      </c>
      <c r="Q62" s="5">
        <f>'Утв. ИП 2014-2019'!H66</f>
        <v>21.903300000000002</v>
      </c>
      <c r="R62" s="5"/>
      <c r="S62" s="5">
        <f>'Утв. ИП 2014-2019'!I66</f>
        <v>21.903300000000002</v>
      </c>
      <c r="T62" s="8"/>
      <c r="U62" s="8" t="s">
        <v>431</v>
      </c>
      <c r="V62" s="862" t="s">
        <v>77</v>
      </c>
      <c r="W62" s="8"/>
      <c r="X62" s="115">
        <v>0.44600000000000001</v>
      </c>
      <c r="Y62" s="8">
        <v>14</v>
      </c>
      <c r="Z62" s="8">
        <v>8.6</v>
      </c>
      <c r="AA62" s="8">
        <v>12.5</v>
      </c>
      <c r="AB62" s="8"/>
      <c r="AD62" s="583"/>
      <c r="AE62" s="584"/>
      <c r="AF62" s="584"/>
      <c r="AG62" s="584"/>
      <c r="AH62" s="590"/>
      <c r="AI62" s="590"/>
      <c r="AJ62" s="590"/>
      <c r="AK62" s="590"/>
      <c r="AL62" s="591"/>
      <c r="AM62" s="591"/>
      <c r="AN62" s="591"/>
      <c r="AO62" s="591"/>
      <c r="AP62" s="591"/>
      <c r="AQ62" s="591"/>
      <c r="AR62" s="591"/>
      <c r="AS62" s="591"/>
    </row>
    <row r="63" spans="1:45" s="2" customFormat="1" ht="39.950000000000003" customHeight="1" outlineLevel="1" x14ac:dyDescent="0.2">
      <c r="A63" s="114" t="str">
        <f>'Утв. ИП 2014-2019'!B67</f>
        <v>2.1.1.9</v>
      </c>
      <c r="B63" s="7" t="str">
        <f>'Утв. ИП 2014-2019'!C67</f>
        <v>Строительство КЛ-10 кВ от ГПП-9 яч. 97 до РП-9 яч. 5</v>
      </c>
      <c r="C63" s="23" t="s">
        <v>215</v>
      </c>
      <c r="D63" s="19" t="s">
        <v>1436</v>
      </c>
      <c r="E63" s="8"/>
      <c r="F63" s="8"/>
      <c r="G63" s="8" t="str">
        <f>'Утв. ИП 2014-2019'!E67</f>
        <v xml:space="preserve">3,5 км </v>
      </c>
      <c r="H63" s="8"/>
      <c r="I63" s="8">
        <f>'Утв. ИП 2014-2019'!F67</f>
        <v>2014</v>
      </c>
      <c r="J63" s="8">
        <f>'Утв. ИП 2014-2019'!G67</f>
        <v>2017</v>
      </c>
      <c r="K63" s="8" t="s">
        <v>70</v>
      </c>
      <c r="L63" s="8" t="s">
        <v>70</v>
      </c>
      <c r="M63" s="8" t="s">
        <v>70</v>
      </c>
      <c r="N63" s="8" t="s">
        <v>70</v>
      </c>
      <c r="O63" s="5">
        <f>('Утв. ИП 2014-2019'!H67-'Утв. ИП 2014-2019'!I67)*100/'Утв. ИП 2014-2019'!H67</f>
        <v>0</v>
      </c>
      <c r="P63" s="5">
        <f t="shared" si="1"/>
        <v>0</v>
      </c>
      <c r="Q63" s="5">
        <f>'Утв. ИП 2014-2019'!H67</f>
        <v>28.2698</v>
      </c>
      <c r="R63" s="5"/>
      <c r="S63" s="5">
        <f>'Утв. ИП 2014-2019'!I67</f>
        <v>28.2698</v>
      </c>
      <c r="T63" s="8"/>
      <c r="U63" s="8" t="s">
        <v>431</v>
      </c>
      <c r="V63" s="864"/>
      <c r="W63" s="8"/>
      <c r="X63" s="115">
        <v>11.686</v>
      </c>
      <c r="Y63" s="8">
        <v>48</v>
      </c>
      <c r="Z63" s="8">
        <v>5.2</v>
      </c>
      <c r="AA63" s="8">
        <v>6.3</v>
      </c>
      <c r="AB63" s="8"/>
      <c r="AD63" s="583"/>
      <c r="AE63" s="584"/>
      <c r="AF63" s="584"/>
      <c r="AG63" s="584"/>
      <c r="AH63" s="590"/>
      <c r="AI63" s="590"/>
      <c r="AJ63" s="590"/>
      <c r="AK63" s="590"/>
      <c r="AL63" s="591"/>
      <c r="AM63" s="591"/>
      <c r="AN63" s="591"/>
      <c r="AO63" s="591"/>
      <c r="AP63" s="591"/>
      <c r="AQ63" s="591"/>
      <c r="AR63" s="591"/>
      <c r="AS63" s="591"/>
    </row>
    <row r="64" spans="1:45" s="2" customFormat="1" ht="38.25" customHeight="1" outlineLevel="1" x14ac:dyDescent="0.2">
      <c r="A64" s="114" t="str">
        <f>'Утв. ИП 2014-2019'!B68</f>
        <v>2.1.1.10</v>
      </c>
      <c r="B64" s="7" t="str">
        <f>'Утв. ИП 2014-2019'!C68</f>
        <v>Строительство КЛ-6 кВ РП-36 Св. Сокол яч.2 - РП-25 яч.1 и КЛ-6 кВ РП-36 Св. Сокол яч.12 - РП-25 яч.2</v>
      </c>
      <c r="C64" s="23" t="s">
        <v>215</v>
      </c>
      <c r="D64" s="19" t="s">
        <v>1437</v>
      </c>
      <c r="E64" s="8"/>
      <c r="F64" s="8"/>
      <c r="G64" s="8" t="str">
        <f>'Утв. ИП 2014-2019'!E68</f>
        <v>4х0,45 км</v>
      </c>
      <c r="H64" s="8"/>
      <c r="I64" s="8">
        <f>'Утв. ИП 2014-2019'!F68</f>
        <v>2016</v>
      </c>
      <c r="J64" s="8">
        <f>'Утв. ИП 2014-2019'!G68</f>
        <v>2018</v>
      </c>
      <c r="K64" s="8" t="s">
        <v>70</v>
      </c>
      <c r="L64" s="8" t="s">
        <v>70</v>
      </c>
      <c r="M64" s="8" t="s">
        <v>70</v>
      </c>
      <c r="N64" s="8" t="s">
        <v>70</v>
      </c>
      <c r="O64" s="5">
        <f>('Утв. ИП 2014-2019'!H68-'Утв. ИП 2014-2019'!I68)*100/'Утв. ИП 2014-2019'!H68</f>
        <v>0</v>
      </c>
      <c r="P64" s="5">
        <f t="shared" si="1"/>
        <v>0</v>
      </c>
      <c r="Q64" s="5">
        <f>'Утв. ИП 2014-2019'!H68</f>
        <v>14.7112</v>
      </c>
      <c r="R64" s="5"/>
      <c r="S64" s="5">
        <f>'Утв. ИП 2014-2019'!I68</f>
        <v>14.7112</v>
      </c>
      <c r="T64" s="8"/>
      <c r="U64" s="8" t="s">
        <v>431</v>
      </c>
      <c r="V64" s="8" t="s">
        <v>77</v>
      </c>
      <c r="W64" s="8"/>
      <c r="X64" s="115">
        <v>80.451999999999998</v>
      </c>
      <c r="Y64" s="8">
        <v>383</v>
      </c>
      <c r="Z64" s="8">
        <v>4.3</v>
      </c>
      <c r="AA64" s="8">
        <v>4.3</v>
      </c>
      <c r="AB64" s="8"/>
      <c r="AD64" s="583"/>
      <c r="AE64" s="584"/>
      <c r="AF64" s="584"/>
      <c r="AG64" s="584"/>
      <c r="AH64" s="590"/>
      <c r="AI64" s="590"/>
      <c r="AJ64" s="590"/>
      <c r="AK64" s="590"/>
      <c r="AL64" s="591"/>
      <c r="AM64" s="591"/>
      <c r="AN64" s="591"/>
      <c r="AO64" s="591"/>
      <c r="AP64" s="591"/>
      <c r="AQ64" s="591"/>
      <c r="AR64" s="591"/>
      <c r="AS64" s="591"/>
    </row>
    <row r="65" spans="1:45" s="2" customFormat="1" ht="54" customHeight="1" outlineLevel="1" x14ac:dyDescent="0.2">
      <c r="A65" s="114" t="str">
        <f>'Утв. ИП 2014-2019'!B69</f>
        <v>2.1.1.11</v>
      </c>
      <c r="B65" s="7" t="str">
        <f>'Утв. ИП 2014-2019'!C69</f>
        <v>Строительство КЛ-6 кВ ПС-2 Св. Сокол яч.217 - КТП-426</v>
      </c>
      <c r="C65" s="23" t="s">
        <v>215</v>
      </c>
      <c r="D65" s="19" t="s">
        <v>1461</v>
      </c>
      <c r="E65" s="8"/>
      <c r="F65" s="8"/>
      <c r="G65" s="8" t="str">
        <f>'Утв. ИП 2014-2019'!E69</f>
        <v xml:space="preserve">0,7 км </v>
      </c>
      <c r="H65" s="8"/>
      <c r="I65" s="8">
        <f>'Утв. ИП 2014-2019'!F69</f>
        <v>2015</v>
      </c>
      <c r="J65" s="8">
        <f>'Утв. ИП 2014-2019'!G69</f>
        <v>2016</v>
      </c>
      <c r="K65" s="8" t="s">
        <v>70</v>
      </c>
      <c r="L65" s="8" t="s">
        <v>70</v>
      </c>
      <c r="M65" s="8" t="s">
        <v>70</v>
      </c>
      <c r="N65" s="8" t="s">
        <v>70</v>
      </c>
      <c r="O65" s="5">
        <f>('Утв. ИП 2014-2019'!H69-'Утв. ИП 2014-2019'!I69)*100/'Утв. ИП 2014-2019'!H69</f>
        <v>0</v>
      </c>
      <c r="P65" s="5">
        <f t="shared" si="1"/>
        <v>0</v>
      </c>
      <c r="Q65" s="5">
        <f>'Утв. ИП 2014-2019'!H69</f>
        <v>3.25</v>
      </c>
      <c r="R65" s="5"/>
      <c r="S65" s="5">
        <f>'Утв. ИП 2014-2019'!I69</f>
        <v>3.25</v>
      </c>
      <c r="T65" s="8"/>
      <c r="U65" s="8" t="s">
        <v>431</v>
      </c>
      <c r="V65" s="8" t="s">
        <v>77</v>
      </c>
      <c r="W65" s="8"/>
      <c r="X65" s="115">
        <v>15.340999999999999</v>
      </c>
      <c r="Y65" s="8">
        <v>228</v>
      </c>
      <c r="Z65" s="8">
        <v>2.4</v>
      </c>
      <c r="AA65" s="8">
        <v>2.6</v>
      </c>
      <c r="AB65" s="8"/>
      <c r="AD65" s="583"/>
      <c r="AE65" s="584"/>
      <c r="AF65" s="584"/>
      <c r="AG65" s="584"/>
      <c r="AH65" s="590"/>
      <c r="AI65" s="590"/>
      <c r="AJ65" s="590"/>
      <c r="AK65" s="590"/>
      <c r="AL65" s="591"/>
      <c r="AM65" s="591"/>
      <c r="AN65" s="591"/>
      <c r="AO65" s="591"/>
      <c r="AP65" s="591"/>
      <c r="AQ65" s="591"/>
      <c r="AR65" s="591"/>
      <c r="AS65" s="591"/>
    </row>
    <row r="66" spans="1:45" s="2" customFormat="1" ht="39.950000000000003" customHeight="1" outlineLevel="1" x14ac:dyDescent="0.2">
      <c r="A66" s="114" t="str">
        <f>'Утв. ИП 2014-2019'!B70</f>
        <v>2.1.1.12</v>
      </c>
      <c r="B66" s="7" t="str">
        <f>'Утв. ИП 2014-2019'!C70</f>
        <v>Строительство КЛ-6 кВ от РП-Вилли Огнева до ТП-732</v>
      </c>
      <c r="C66" s="23" t="s">
        <v>215</v>
      </c>
      <c r="D66" s="19" t="s">
        <v>1765</v>
      </c>
      <c r="E66" s="8"/>
      <c r="F66" s="8"/>
      <c r="G66" s="8" t="str">
        <f>'Утв. ИП 2014-2019'!E70</f>
        <v>0,3 км</v>
      </c>
      <c r="H66" s="8"/>
      <c r="I66" s="8">
        <f>'Утв. ИП 2014-2019'!F70</f>
        <v>2018</v>
      </c>
      <c r="J66" s="8">
        <f>'Утв. ИП 2014-2019'!G70</f>
        <v>2019</v>
      </c>
      <c r="K66" s="8" t="s">
        <v>70</v>
      </c>
      <c r="L66" s="8" t="s">
        <v>70</v>
      </c>
      <c r="M66" s="8" t="s">
        <v>70</v>
      </c>
      <c r="N66" s="8" t="s">
        <v>70</v>
      </c>
      <c r="O66" s="5">
        <f>('Утв. ИП 2014-2019'!H70-'Утв. ИП 2014-2019'!I70)*100/'Утв. ИП 2014-2019'!H70</f>
        <v>0</v>
      </c>
      <c r="P66" s="5">
        <f>O66</f>
        <v>0</v>
      </c>
      <c r="Q66" s="5">
        <f>'Утв. ИП 2014-2019'!H70</f>
        <v>0.79530000000000001</v>
      </c>
      <c r="R66" s="5"/>
      <c r="S66" s="5">
        <f>'Утв. ИП 2014-2019'!I70</f>
        <v>0.79530000000000001</v>
      </c>
      <c r="T66" s="8"/>
      <c r="U66" s="8" t="s">
        <v>431</v>
      </c>
      <c r="V66" s="8" t="s">
        <v>77</v>
      </c>
      <c r="W66" s="8"/>
      <c r="X66" s="115">
        <v>3.883</v>
      </c>
      <c r="Y66" s="8">
        <v>418</v>
      </c>
      <c r="Z66" s="8">
        <v>5.2</v>
      </c>
      <c r="AA66" s="8">
        <v>5.3</v>
      </c>
      <c r="AB66" s="8"/>
      <c r="AD66" s="583"/>
      <c r="AE66" s="584"/>
      <c r="AF66" s="584"/>
      <c r="AG66" s="584"/>
      <c r="AH66" s="590"/>
      <c r="AI66" s="590"/>
      <c r="AJ66" s="590"/>
      <c r="AK66" s="590"/>
      <c r="AL66" s="591"/>
      <c r="AM66" s="591"/>
      <c r="AN66" s="591"/>
      <c r="AO66" s="591"/>
      <c r="AP66" s="591"/>
      <c r="AQ66" s="591"/>
      <c r="AR66" s="591"/>
      <c r="AS66" s="591"/>
    </row>
    <row r="67" spans="1:45" s="2" customFormat="1" ht="39.950000000000003" customHeight="1" outlineLevel="1" x14ac:dyDescent="0.2">
      <c r="A67" s="114" t="str">
        <f>'Утв. ИП 2014-2019'!B71</f>
        <v>2.1.1.13</v>
      </c>
      <c r="B67" s="7" t="str">
        <f>'Утв. ИП 2014-2019'!C71</f>
        <v>Строительство КЛ-6 кВ от РП-Вилли Огнева до КТП-725</v>
      </c>
      <c r="C67" s="23" t="s">
        <v>215</v>
      </c>
      <c r="D67" s="19" t="s">
        <v>1766</v>
      </c>
      <c r="E67" s="8"/>
      <c r="F67" s="8"/>
      <c r="G67" s="8" t="str">
        <f>'Утв. ИП 2014-2019'!E71</f>
        <v>0,2 км</v>
      </c>
      <c r="H67" s="8"/>
      <c r="I67" s="8">
        <f>'Утв. ИП 2014-2019'!F71</f>
        <v>2018</v>
      </c>
      <c r="J67" s="8">
        <f>'Утв. ИП 2014-2019'!G71</f>
        <v>2019</v>
      </c>
      <c r="K67" s="8" t="s">
        <v>70</v>
      </c>
      <c r="L67" s="8" t="s">
        <v>70</v>
      </c>
      <c r="M67" s="8" t="s">
        <v>70</v>
      </c>
      <c r="N67" s="8" t="s">
        <v>70</v>
      </c>
      <c r="O67" s="5">
        <f>('Утв. ИП 2014-2019'!H71-'Утв. ИП 2014-2019'!I71)*100/'Утв. ИП 2014-2019'!H71</f>
        <v>0</v>
      </c>
      <c r="P67" s="5">
        <f>O67</f>
        <v>0</v>
      </c>
      <c r="Q67" s="5">
        <f>'Утв. ИП 2014-2019'!H71</f>
        <v>0.6704</v>
      </c>
      <c r="R67" s="5"/>
      <c r="S67" s="5">
        <f>'Утв. ИП 2014-2019'!I71</f>
        <v>0.6704</v>
      </c>
      <c r="T67" s="8"/>
      <c r="U67" s="8" t="s">
        <v>431</v>
      </c>
      <c r="V67" s="8" t="s">
        <v>77</v>
      </c>
      <c r="W67" s="8"/>
      <c r="X67" s="115">
        <v>2.2770000000000001</v>
      </c>
      <c r="Y67" s="8">
        <v>301</v>
      </c>
      <c r="Z67" s="8">
        <v>5.3</v>
      </c>
      <c r="AA67" s="8">
        <v>5.4</v>
      </c>
      <c r="AB67" s="8"/>
      <c r="AD67" s="583"/>
      <c r="AE67" s="584"/>
      <c r="AF67" s="584"/>
      <c r="AG67" s="584"/>
      <c r="AH67" s="590"/>
      <c r="AI67" s="590"/>
      <c r="AJ67" s="590"/>
      <c r="AK67" s="590"/>
      <c r="AL67" s="591"/>
      <c r="AM67" s="591"/>
      <c r="AN67" s="591"/>
      <c r="AO67" s="591"/>
      <c r="AP67" s="591"/>
      <c r="AQ67" s="591"/>
      <c r="AR67" s="591"/>
      <c r="AS67" s="591"/>
    </row>
    <row r="68" spans="1:45" s="2" customFormat="1" ht="39.950000000000003" customHeight="1" outlineLevel="1" x14ac:dyDescent="0.2">
      <c r="A68" s="114" t="str">
        <f>'Утв. ИП 2014-2019'!B72</f>
        <v>2.1.1.14</v>
      </c>
      <c r="B68" s="7" t="str">
        <f>'Утв. ИП 2014-2019'!C72</f>
        <v>Строительство ВЛ, КЛ-35 кВ от ПС "Бугор" до ПС "Город" с отпайкой на ПС "Водозабор №2"</v>
      </c>
      <c r="C68" s="23" t="s">
        <v>215</v>
      </c>
      <c r="D68" s="19" t="s">
        <v>2584</v>
      </c>
      <c r="E68" s="8"/>
      <c r="F68" s="8"/>
      <c r="G68" s="8" t="str">
        <f>'Утв. ИП 2014-2019'!E72</f>
        <v>2х5,791 км
(6х5,791=34,746 в одножильном исполнении)</v>
      </c>
      <c r="H68" s="8"/>
      <c r="I68" s="8">
        <f>'Утв. ИП 2014-2019'!F72</f>
        <v>2018</v>
      </c>
      <c r="J68" s="8">
        <f>'Утв. ИП 2014-2019'!G72</f>
        <v>2021</v>
      </c>
      <c r="K68" s="8" t="s">
        <v>69</v>
      </c>
      <c r="L68" s="8" t="s">
        <v>70</v>
      </c>
      <c r="M68" s="8" t="s">
        <v>70</v>
      </c>
      <c r="N68" s="8" t="s">
        <v>70</v>
      </c>
      <c r="O68" s="5" t="e">
        <f>('Утв. ИП 2014-2019'!H72-'Утв. ИП 2014-2019'!I72)*100/'Утв. ИП 2014-2019'!H72</f>
        <v>#DIV/0!</v>
      </c>
      <c r="P68" s="5">
        <v>0</v>
      </c>
      <c r="Q68" s="5">
        <f>'Утв. ИП 2014-2019'!H72</f>
        <v>0</v>
      </c>
      <c r="R68" s="5"/>
      <c r="S68" s="5">
        <f>'Утв. ИП 2014-2019'!I72</f>
        <v>0</v>
      </c>
      <c r="T68" s="8"/>
      <c r="U68" s="8" t="s">
        <v>431</v>
      </c>
      <c r="V68" s="8" t="s">
        <v>72</v>
      </c>
      <c r="W68" s="8"/>
      <c r="X68" s="115">
        <v>27.274999999999999</v>
      </c>
      <c r="Y68" s="8">
        <v>41</v>
      </c>
      <c r="Z68" s="8">
        <v>9.5</v>
      </c>
      <c r="AA68" s="8">
        <v>10.9</v>
      </c>
      <c r="AB68" s="8"/>
      <c r="AD68" s="583"/>
      <c r="AE68" s="584"/>
      <c r="AF68" s="584"/>
      <c r="AG68" s="584"/>
      <c r="AH68" s="590"/>
      <c r="AI68" s="590"/>
      <c r="AJ68" s="590"/>
      <c r="AK68" s="590"/>
      <c r="AL68" s="591"/>
      <c r="AM68" s="591"/>
      <c r="AN68" s="591"/>
      <c r="AO68" s="591"/>
      <c r="AP68" s="591"/>
      <c r="AQ68" s="591"/>
      <c r="AR68" s="591"/>
      <c r="AS68" s="591"/>
    </row>
    <row r="69" spans="1:45" s="14" customFormat="1" ht="35.25" customHeight="1" outlineLevel="2" x14ac:dyDescent="0.2">
      <c r="A69" s="10"/>
      <c r="B69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C69" s="98"/>
      <c r="D69" s="100"/>
      <c r="E69" s="8"/>
      <c r="F69" s="13"/>
      <c r="G69" s="13"/>
      <c r="H69" s="13"/>
      <c r="I69" s="13"/>
      <c r="J69" s="13"/>
      <c r="K69" s="13"/>
      <c r="L69" s="13"/>
      <c r="M69" s="13"/>
      <c r="N69" s="13"/>
      <c r="O69" s="50"/>
      <c r="P69" s="50"/>
      <c r="Q69" s="50"/>
      <c r="R69" s="50"/>
      <c r="S69" s="50"/>
      <c r="T69" s="13"/>
      <c r="U69" s="13"/>
      <c r="V69" s="13"/>
      <c r="W69" s="13"/>
      <c r="X69" s="328"/>
      <c r="Y69" s="13"/>
      <c r="Z69" s="13"/>
      <c r="AA69" s="13"/>
      <c r="AB69" s="13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</row>
    <row r="70" spans="1:45" s="14" customFormat="1" ht="14.1" customHeight="1" outlineLevel="2" x14ac:dyDescent="0.2">
      <c r="A70" s="10"/>
      <c r="B70" s="97" t="str">
        <f>'Утв. ИП 2014-2019'!C74</f>
        <v>Строительство ЗРУ - 35 кВ ПС Водозабор № 2</v>
      </c>
      <c r="C70" s="98"/>
      <c r="D70" s="100"/>
      <c r="E70" s="8"/>
      <c r="F70" s="13"/>
      <c r="G70" s="13"/>
      <c r="H70" s="13"/>
      <c r="I70" s="13"/>
      <c r="J70" s="13"/>
      <c r="K70" s="13"/>
      <c r="L70" s="13"/>
      <c r="M70" s="13"/>
      <c r="N70" s="13"/>
      <c r="O70" s="50"/>
      <c r="P70" s="50"/>
      <c r="Q70" s="50"/>
      <c r="R70" s="50"/>
      <c r="S70" s="50"/>
      <c r="T70" s="13"/>
      <c r="U70" s="13"/>
      <c r="V70" s="13"/>
      <c r="W70" s="13"/>
      <c r="X70" s="328"/>
      <c r="Y70" s="13"/>
      <c r="Z70" s="13"/>
      <c r="AA70" s="13"/>
      <c r="AB70" s="13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</row>
    <row r="71" spans="1:45" s="14" customFormat="1" ht="22.5" customHeight="1" outlineLevel="2" x14ac:dyDescent="0.2">
      <c r="A71" s="10"/>
      <c r="B71" s="97" t="str">
        <f>'Утв. ИП 2014-2019'!C75</f>
        <v>Строительство КЛ 35 кВ от ПС "Бугор" до ПС Водозабор № 2</v>
      </c>
      <c r="C71" s="98"/>
      <c r="D71" s="100"/>
      <c r="E71" s="8"/>
      <c r="F71" s="13"/>
      <c r="G71" s="13"/>
      <c r="H71" s="13"/>
      <c r="I71" s="13"/>
      <c r="J71" s="13"/>
      <c r="K71" s="13"/>
      <c r="L71" s="13"/>
      <c r="M71" s="13"/>
      <c r="N71" s="13"/>
      <c r="O71" s="50"/>
      <c r="P71" s="50"/>
      <c r="Q71" s="50"/>
      <c r="R71" s="50"/>
      <c r="S71" s="50"/>
      <c r="T71" s="13"/>
      <c r="U71" s="13"/>
      <c r="V71" s="13"/>
      <c r="W71" s="13"/>
      <c r="X71" s="328"/>
      <c r="Y71" s="13"/>
      <c r="Z71" s="13"/>
      <c r="AA71" s="13"/>
      <c r="AB71" s="13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</row>
    <row r="72" spans="1:45" s="14" customFormat="1" ht="22.5" customHeight="1" outlineLevel="2" x14ac:dyDescent="0.2">
      <c r="A72" s="10"/>
      <c r="B72" s="97" t="str">
        <f>'Утв. ИП 2014-2019'!C76</f>
        <v>Строительство КЛ 35 кВ от ПС Водозабор № 2 до ЦРП "Город"</v>
      </c>
      <c r="C72" s="98"/>
      <c r="D72" s="100"/>
      <c r="E72" s="8"/>
      <c r="F72" s="13"/>
      <c r="G72" s="13"/>
      <c r="H72" s="13"/>
      <c r="I72" s="13"/>
      <c r="J72" s="13"/>
      <c r="K72" s="13"/>
      <c r="L72" s="13"/>
      <c r="M72" s="13"/>
      <c r="N72" s="13"/>
      <c r="O72" s="50"/>
      <c r="P72" s="50"/>
      <c r="Q72" s="50"/>
      <c r="R72" s="50"/>
      <c r="S72" s="50"/>
      <c r="T72" s="13"/>
      <c r="U72" s="13"/>
      <c r="V72" s="13"/>
      <c r="W72" s="13"/>
      <c r="X72" s="328"/>
      <c r="Y72" s="13"/>
      <c r="Z72" s="13"/>
      <c r="AA72" s="13"/>
      <c r="AB72" s="13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</row>
    <row r="73" spans="1:45" s="14" customFormat="1" ht="22.5" customHeight="1" outlineLevel="2" x14ac:dyDescent="0.2">
      <c r="A73" s="10"/>
      <c r="B73" s="97" t="str">
        <f>'Утв. ИП 2014-2019'!C77</f>
        <v>Демонтаж ВЛ 35 кВ от ПС "Бугор" до ЦРП "Город"</v>
      </c>
      <c r="C73" s="98"/>
      <c r="D73" s="100"/>
      <c r="E73" s="8"/>
      <c r="F73" s="13"/>
      <c r="G73" s="13"/>
      <c r="H73" s="13"/>
      <c r="I73" s="13"/>
      <c r="J73" s="13"/>
      <c r="K73" s="13"/>
      <c r="L73" s="13"/>
      <c r="M73" s="13"/>
      <c r="N73" s="13"/>
      <c r="O73" s="50"/>
      <c r="P73" s="50"/>
      <c r="Q73" s="50"/>
      <c r="R73" s="50"/>
      <c r="S73" s="50"/>
      <c r="T73" s="13"/>
      <c r="U73" s="13"/>
      <c r="V73" s="13"/>
      <c r="W73" s="13"/>
      <c r="X73" s="328"/>
      <c r="Y73" s="13"/>
      <c r="Z73" s="13"/>
      <c r="AA73" s="13"/>
      <c r="AB73" s="13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</row>
    <row r="74" spans="1:45" s="53" customFormat="1" x14ac:dyDescent="0.2">
      <c r="A74" s="28" t="str">
        <f>'Утв. ИП 2014-2019'!B78</f>
        <v>2.1.2</v>
      </c>
      <c r="B74" s="29" t="s">
        <v>140</v>
      </c>
      <c r="C74" s="30"/>
      <c r="D74" s="29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1"/>
      <c r="P74" s="31"/>
      <c r="Q74" s="31">
        <f>'Утв. ИП 2014-2019'!H78</f>
        <v>2.9474999999999998</v>
      </c>
      <c r="R74" s="31"/>
      <c r="S74" s="31">
        <f>'Утв. ИП 2014-2019'!I78</f>
        <v>2.7286999999999999</v>
      </c>
      <c r="T74" s="30"/>
      <c r="U74" s="30"/>
      <c r="V74" s="30"/>
      <c r="W74" s="30"/>
      <c r="X74" s="326"/>
      <c r="Y74" s="30"/>
      <c r="Z74" s="30"/>
      <c r="AA74" s="30"/>
      <c r="AB74" s="75"/>
      <c r="AD74" s="586"/>
      <c r="AE74" s="586"/>
      <c r="AF74" s="586"/>
      <c r="AG74" s="586"/>
      <c r="AH74" s="586"/>
      <c r="AI74" s="586"/>
      <c r="AJ74" s="586"/>
      <c r="AK74" s="586"/>
      <c r="AL74" s="586"/>
      <c r="AM74" s="586"/>
      <c r="AN74" s="586"/>
      <c r="AO74" s="586"/>
      <c r="AP74" s="586"/>
      <c r="AQ74" s="586"/>
      <c r="AR74" s="586"/>
      <c r="AS74" s="586"/>
    </row>
    <row r="75" spans="1:45" s="2" customFormat="1" ht="51" outlineLevel="1" x14ac:dyDescent="0.2">
      <c r="A75" s="114" t="str">
        <f>'Утв. ИП 2014-2019'!B79</f>
        <v>2.1.2.1</v>
      </c>
      <c r="B75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C75" s="23" t="s">
        <v>215</v>
      </c>
      <c r="D75" s="19" t="s">
        <v>222</v>
      </c>
      <c r="E75" s="12"/>
      <c r="F75" s="8"/>
      <c r="G75" s="8" t="str">
        <f>'Утв. ИП 2014-2019'!E79</f>
        <v>0,215 км</v>
      </c>
      <c r="H75" s="8"/>
      <c r="I75" s="8">
        <f>'Утв. ИП 2014-2019'!F79</f>
        <v>2013</v>
      </c>
      <c r="J75" s="8">
        <f>'Утв. ИП 2014-2019'!G79</f>
        <v>2015</v>
      </c>
      <c r="K75" s="8" t="s">
        <v>69</v>
      </c>
      <c r="L75" s="8" t="s">
        <v>70</v>
      </c>
      <c r="M75" s="8" t="s">
        <v>69</v>
      </c>
      <c r="N75" s="8" t="s">
        <v>70</v>
      </c>
      <c r="O75" s="5">
        <f>('Утв. ИП 2014-2019'!H79-'Утв. ИП 2014-2019'!I79)*100/'Утв. ИП 2014-2019'!H79</f>
        <v>26.908065915004332</v>
      </c>
      <c r="P75" s="5">
        <v>0</v>
      </c>
      <c r="Q75" s="5">
        <f>'Утв. ИП 2014-2019'!H79</f>
        <v>0.4612</v>
      </c>
      <c r="R75" s="5"/>
      <c r="S75" s="5">
        <f>'Утв. ИП 2014-2019'!I79</f>
        <v>0.33710000000000001</v>
      </c>
      <c r="T75" s="8"/>
      <c r="U75" s="8" t="s">
        <v>431</v>
      </c>
      <c r="V75" s="8"/>
      <c r="W75" s="8"/>
      <c r="X75" s="115">
        <v>-0.159</v>
      </c>
      <c r="Y75" s="8">
        <v>6</v>
      </c>
      <c r="Z75" s="8">
        <v>8.6999999999999993</v>
      </c>
      <c r="AA75" s="8">
        <v>0</v>
      </c>
      <c r="AB75" s="8"/>
      <c r="AD75" s="583"/>
      <c r="AE75" s="584"/>
      <c r="AF75" s="584"/>
      <c r="AG75" s="584"/>
      <c r="AH75" s="590"/>
      <c r="AI75" s="590"/>
      <c r="AJ75" s="590"/>
      <c r="AK75" s="590"/>
      <c r="AL75" s="591"/>
      <c r="AM75" s="591"/>
      <c r="AN75" s="591"/>
      <c r="AO75" s="591"/>
      <c r="AP75" s="591"/>
      <c r="AQ75" s="591"/>
      <c r="AR75" s="591"/>
      <c r="AS75" s="591"/>
    </row>
    <row r="76" spans="1:45" s="2" customFormat="1" ht="76.5" outlineLevel="1" x14ac:dyDescent="0.2">
      <c r="A76" s="114" t="str">
        <f>'Утв. ИП 2014-2019'!B80</f>
        <v>2.1.2.2</v>
      </c>
      <c r="B76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C76" s="23" t="s">
        <v>215</v>
      </c>
      <c r="D76" s="19" t="s">
        <v>221</v>
      </c>
      <c r="E76" s="12"/>
      <c r="F76" s="8"/>
      <c r="G76" s="8" t="str">
        <f>'Утв. ИП 2014-2019'!E80</f>
        <v>0,115 км</v>
      </c>
      <c r="H76" s="8"/>
      <c r="I76" s="8">
        <f>'Утв. ИП 2014-2019'!F80</f>
        <v>2013</v>
      </c>
      <c r="J76" s="8">
        <f>'Утв. ИП 2014-2019'!G80</f>
        <v>2016</v>
      </c>
      <c r="K76" s="8" t="s">
        <v>69</v>
      </c>
      <c r="L76" s="8" t="s">
        <v>70</v>
      </c>
      <c r="M76" s="8" t="s">
        <v>69</v>
      </c>
      <c r="N76" s="8" t="s">
        <v>70</v>
      </c>
      <c r="O76" s="5">
        <f>('Утв. ИП 2014-2019'!H80-'Утв. ИП 2014-2019'!I80)*100/'Утв. ИП 2014-2019'!H80</f>
        <v>23.013365735115435</v>
      </c>
      <c r="P76" s="5">
        <v>0</v>
      </c>
      <c r="Q76" s="5">
        <f>'Утв. ИП 2014-2019'!H80</f>
        <v>0.41149999999999998</v>
      </c>
      <c r="R76" s="5"/>
      <c r="S76" s="5">
        <f>'Утв. ИП 2014-2019'!I80</f>
        <v>0.31679999999999997</v>
      </c>
      <c r="T76" s="8"/>
      <c r="U76" s="8" t="s">
        <v>431</v>
      </c>
      <c r="V76" s="8"/>
      <c r="W76" s="8"/>
      <c r="X76" s="115">
        <v>-6.7000000000000004E-2</v>
      </c>
      <c r="Y76" s="8">
        <v>14</v>
      </c>
      <c r="Z76" s="8">
        <v>7.6</v>
      </c>
      <c r="AA76" s="8">
        <v>0</v>
      </c>
      <c r="AB76" s="8"/>
      <c r="AD76" s="583"/>
      <c r="AE76" s="584"/>
      <c r="AF76" s="584"/>
      <c r="AG76" s="584"/>
      <c r="AH76" s="590"/>
      <c r="AI76" s="590"/>
      <c r="AJ76" s="590"/>
      <c r="AK76" s="590"/>
      <c r="AL76" s="591"/>
      <c r="AM76" s="591"/>
      <c r="AN76" s="591"/>
      <c r="AO76" s="591"/>
      <c r="AP76" s="591"/>
      <c r="AQ76" s="591"/>
      <c r="AR76" s="591"/>
      <c r="AS76" s="591"/>
    </row>
    <row r="77" spans="1:45" s="2" customFormat="1" ht="51" outlineLevel="1" x14ac:dyDescent="0.2">
      <c r="A77" s="114" t="str">
        <f>'Утв. ИП 2014-2019'!B81</f>
        <v>2.1.2.3</v>
      </c>
      <c r="B77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C77" s="23" t="s">
        <v>215</v>
      </c>
      <c r="D77" s="19" t="s">
        <v>223</v>
      </c>
      <c r="E77" s="12"/>
      <c r="F77" s="8"/>
      <c r="G77" s="8" t="str">
        <f>'Утв. ИП 2014-2019'!E81</f>
        <v>0,3 км</v>
      </c>
      <c r="H77" s="8"/>
      <c r="I77" s="8">
        <f>'Утв. ИП 2014-2019'!F81</f>
        <v>2017</v>
      </c>
      <c r="J77" s="8">
        <f>'Утв. ИП 2014-2019'!G81</f>
        <v>2017</v>
      </c>
      <c r="K77" s="8" t="s">
        <v>70</v>
      </c>
      <c r="L77" s="8" t="s">
        <v>69</v>
      </c>
      <c r="M77" s="8" t="s">
        <v>70</v>
      </c>
      <c r="N77" s="8" t="s">
        <v>70</v>
      </c>
      <c r="O77" s="5">
        <f>('Утв. ИП 2014-2019'!H81-'Утв. ИП 2014-2019'!I81)*100/'Утв. ИП 2014-2019'!H81</f>
        <v>0</v>
      </c>
      <c r="P77" s="5">
        <f t="shared" ref="P77:P84" si="2">O77</f>
        <v>0</v>
      </c>
      <c r="Q77" s="5">
        <f>'Утв. ИП 2014-2019'!H81</f>
        <v>0.64349999999999996</v>
      </c>
      <c r="R77" s="5"/>
      <c r="S77" s="5">
        <f>'Утв. ИП 2014-2019'!I81</f>
        <v>0.64349999999999996</v>
      </c>
      <c r="T77" s="8"/>
      <c r="U77" s="8" t="s">
        <v>431</v>
      </c>
      <c r="V77" s="8"/>
      <c r="W77" s="8"/>
      <c r="X77" s="115">
        <v>-0.13300000000000001</v>
      </c>
      <c r="Y77" s="8">
        <v>8</v>
      </c>
      <c r="Z77" s="8">
        <v>10.1</v>
      </c>
      <c r="AA77" s="8">
        <v>0</v>
      </c>
      <c r="AB77" s="8"/>
      <c r="AD77" s="583"/>
      <c r="AE77" s="584"/>
      <c r="AF77" s="584"/>
      <c r="AG77" s="584"/>
      <c r="AH77" s="590"/>
      <c r="AI77" s="590"/>
      <c r="AJ77" s="590"/>
      <c r="AK77" s="590"/>
      <c r="AL77" s="591"/>
      <c r="AM77" s="591"/>
      <c r="AN77" s="591"/>
      <c r="AO77" s="591"/>
      <c r="AP77" s="591"/>
      <c r="AQ77" s="591"/>
      <c r="AR77" s="591"/>
      <c r="AS77" s="591"/>
    </row>
    <row r="78" spans="1:45" s="2" customFormat="1" ht="51" outlineLevel="1" x14ac:dyDescent="0.2">
      <c r="A78" s="114" t="str">
        <f>'Утв. ИП 2014-2019'!B82</f>
        <v>2.1.2.4</v>
      </c>
      <c r="B78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C78" s="23" t="s">
        <v>215</v>
      </c>
      <c r="D78" s="19" t="s">
        <v>1767</v>
      </c>
      <c r="E78" s="12"/>
      <c r="F78" s="8"/>
      <c r="G78" s="8" t="str">
        <f>'Утв. ИП 2014-2019'!E82</f>
        <v>0,4 км</v>
      </c>
      <c r="H78" s="8"/>
      <c r="I78" s="8">
        <f>'Утв. ИП 2014-2019'!F82</f>
        <v>2017</v>
      </c>
      <c r="J78" s="8">
        <f>'Утв. ИП 2014-2019'!G82</f>
        <v>2017</v>
      </c>
      <c r="K78" s="8" t="s">
        <v>70</v>
      </c>
      <c r="L78" s="8" t="s">
        <v>70</v>
      </c>
      <c r="M78" s="8" t="s">
        <v>70</v>
      </c>
      <c r="N78" s="8" t="s">
        <v>70</v>
      </c>
      <c r="O78" s="5">
        <f>('Утв. ИП 2014-2019'!H82-'Утв. ИП 2014-2019'!I82)*100/'Утв. ИП 2014-2019'!H82</f>
        <v>0</v>
      </c>
      <c r="P78" s="5">
        <f t="shared" si="2"/>
        <v>0</v>
      </c>
      <c r="Q78" s="5">
        <f>'Утв. ИП 2014-2019'!H82</f>
        <v>1.4313</v>
      </c>
      <c r="R78" s="5"/>
      <c r="S78" s="5">
        <f>'Утв. ИП 2014-2019'!I82</f>
        <v>1.4313</v>
      </c>
      <c r="T78" s="8"/>
      <c r="U78" s="8" t="s">
        <v>431</v>
      </c>
      <c r="V78" s="8" t="s">
        <v>78</v>
      </c>
      <c r="W78" s="8"/>
      <c r="X78" s="115">
        <v>-1.26</v>
      </c>
      <c r="Y78" s="8"/>
      <c r="Z78" s="8">
        <v>0</v>
      </c>
      <c r="AA78" s="8">
        <v>0</v>
      </c>
      <c r="AB78" s="8"/>
      <c r="AD78" s="583"/>
      <c r="AE78" s="584"/>
      <c r="AF78" s="584"/>
      <c r="AG78" s="584"/>
      <c r="AH78" s="590"/>
      <c r="AI78" s="590"/>
      <c r="AJ78" s="590"/>
      <c r="AK78" s="590"/>
      <c r="AL78" s="591"/>
      <c r="AM78" s="591"/>
      <c r="AN78" s="591"/>
      <c r="AO78" s="591"/>
      <c r="AP78" s="591"/>
      <c r="AQ78" s="591"/>
      <c r="AR78" s="591"/>
      <c r="AS78" s="591"/>
    </row>
    <row r="79" spans="1:45" s="53" customFormat="1" ht="12.95" customHeight="1" x14ac:dyDescent="0.2">
      <c r="A79" s="28" t="str">
        <f>'Утв. ИП 2014-2019'!B83</f>
        <v>2.1.3</v>
      </c>
      <c r="B79" s="29" t="s">
        <v>142</v>
      </c>
      <c r="C79" s="30"/>
      <c r="D79" s="29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1"/>
      <c r="P79" s="31"/>
      <c r="Q79" s="31">
        <f>'Утв. ИП 2014-2019'!H83</f>
        <v>58.776499999999999</v>
      </c>
      <c r="R79" s="31"/>
      <c r="S79" s="31">
        <f>'Утв. ИП 2014-2019'!I83</f>
        <v>26.938499999999998</v>
      </c>
      <c r="T79" s="30"/>
      <c r="U79" s="30"/>
      <c r="V79" s="30"/>
      <c r="W79" s="30"/>
      <c r="X79" s="326"/>
      <c r="Y79" s="30"/>
      <c r="Z79" s="30"/>
      <c r="AA79" s="30"/>
      <c r="AB79" s="75"/>
      <c r="AD79" s="586"/>
      <c r="AE79" s="586"/>
      <c r="AF79" s="586"/>
      <c r="AG79" s="586"/>
      <c r="AH79" s="586"/>
      <c r="AI79" s="586"/>
      <c r="AJ79" s="586"/>
      <c r="AK79" s="586"/>
      <c r="AL79" s="586"/>
      <c r="AM79" s="586"/>
      <c r="AN79" s="586"/>
      <c r="AO79" s="586"/>
      <c r="AP79" s="586"/>
      <c r="AQ79" s="586"/>
      <c r="AR79" s="586"/>
      <c r="AS79" s="586"/>
    </row>
    <row r="80" spans="1:45" s="2" customFormat="1" ht="38.25" outlineLevel="1" x14ac:dyDescent="0.2">
      <c r="A80" s="114" t="str">
        <f>'Утв. ИП 2014-2019'!B84</f>
        <v>2.1.3.1</v>
      </c>
      <c r="B80" s="7" t="str">
        <f>'Утв. ИП 2014-2019'!C84</f>
        <v xml:space="preserve">Строительство нового РП-4 по ул. Папина </v>
      </c>
      <c r="C80" s="23" t="s">
        <v>215</v>
      </c>
      <c r="D80" s="19" t="s">
        <v>2585</v>
      </c>
      <c r="E80" s="8" t="str">
        <f>'Утв. ИП 2014-2019'!E84</f>
        <v>2х1,0 МВА</v>
      </c>
      <c r="F80" s="8"/>
      <c r="G80" s="8"/>
      <c r="H80" s="8"/>
      <c r="I80" s="8">
        <f>'Утв. ИП 2014-2019'!F84</f>
        <v>2012</v>
      </c>
      <c r="J80" s="8">
        <f>'Утв. ИП 2014-2019'!G84</f>
        <v>2014</v>
      </c>
      <c r="K80" s="8" t="s">
        <v>69</v>
      </c>
      <c r="L80" s="8" t="s">
        <v>69</v>
      </c>
      <c r="M80" s="8" t="s">
        <v>69</v>
      </c>
      <c r="N80" s="8" t="s">
        <v>69</v>
      </c>
      <c r="O80" s="5">
        <f>('Утв. ИП 2014-2019'!H84-'Утв. ИП 2014-2019'!I84)*100/'Утв. ИП 2014-2019'!H84</f>
        <v>98.21648332923111</v>
      </c>
      <c r="P80" s="5">
        <f t="shared" si="2"/>
        <v>98.21648332923111</v>
      </c>
      <c r="Q80" s="5">
        <f>'Утв. ИП 2014-2019'!H84</f>
        <v>31.690200000000001</v>
      </c>
      <c r="R80" s="5"/>
      <c r="S80" s="5">
        <f>'Утв. ИП 2014-2019'!I84</f>
        <v>0.56520000000000004</v>
      </c>
      <c r="T80" s="8"/>
      <c r="U80" s="8" t="s">
        <v>431</v>
      </c>
      <c r="V80" s="8"/>
      <c r="W80" s="8" t="s">
        <v>908</v>
      </c>
      <c r="X80" s="115">
        <v>-24.605</v>
      </c>
      <c r="Y80" s="8">
        <v>-22</v>
      </c>
      <c r="Z80" s="8">
        <v>0</v>
      </c>
      <c r="AA80" s="8">
        <v>0</v>
      </c>
      <c r="AB80" s="8" t="s">
        <v>2155</v>
      </c>
      <c r="AD80" s="583"/>
      <c r="AE80" s="584"/>
      <c r="AF80" s="584"/>
      <c r="AG80" s="584"/>
      <c r="AH80" s="590"/>
      <c r="AI80" s="590"/>
      <c r="AJ80" s="590"/>
      <c r="AK80" s="590"/>
      <c r="AL80" s="591"/>
      <c r="AM80" s="591"/>
      <c r="AN80" s="591"/>
      <c r="AO80" s="591"/>
      <c r="AP80" s="591"/>
      <c r="AQ80" s="591"/>
      <c r="AR80" s="591"/>
      <c r="AS80" s="591"/>
    </row>
    <row r="81" spans="1:45" s="2" customFormat="1" ht="38.25" outlineLevel="1" x14ac:dyDescent="0.2">
      <c r="A81" s="114" t="str">
        <f>'Утв. ИП 2014-2019'!B85</f>
        <v>2.1.3.2</v>
      </c>
      <c r="B81" s="7" t="str">
        <f>'Утв. ИП 2014-2019'!C85</f>
        <v>Строительство КТП взамен существующей МТП-802 в пос.Северный Рудник</v>
      </c>
      <c r="C81" s="23" t="s">
        <v>215</v>
      </c>
      <c r="D81" s="19" t="s">
        <v>225</v>
      </c>
      <c r="E81" s="8" t="str">
        <f>'Утв. ИП 2014-2019'!E85</f>
        <v>1х0,63 МВА</v>
      </c>
      <c r="F81" s="8"/>
      <c r="G81" s="8"/>
      <c r="H81" s="8"/>
      <c r="I81" s="8">
        <f>'Утв. ИП 2014-2019'!F85</f>
        <v>2014</v>
      </c>
      <c r="J81" s="8">
        <f>'Утв. ИП 2014-2019'!G85</f>
        <v>2015</v>
      </c>
      <c r="K81" s="8" t="s">
        <v>70</v>
      </c>
      <c r="L81" s="8" t="s">
        <v>70</v>
      </c>
      <c r="M81" s="8" t="s">
        <v>70</v>
      </c>
      <c r="N81" s="8" t="s">
        <v>70</v>
      </c>
      <c r="O81" s="5">
        <f>('Утв. ИП 2014-2019'!H85-'Утв. ИП 2014-2019'!I85)*100/'Утв. ИП 2014-2019'!H85</f>
        <v>2.6688102893890737</v>
      </c>
      <c r="P81" s="5">
        <f t="shared" si="2"/>
        <v>2.6688102893890737</v>
      </c>
      <c r="Q81" s="5">
        <f>'Утв. ИП 2014-2019'!H85</f>
        <v>3.11</v>
      </c>
      <c r="R81" s="5"/>
      <c r="S81" s="5">
        <f>'Утв. ИП 2014-2019'!I85</f>
        <v>3.0269999999999997</v>
      </c>
      <c r="T81" s="8"/>
      <c r="U81" s="8" t="s">
        <v>431</v>
      </c>
      <c r="V81" s="8"/>
      <c r="W81" s="8"/>
      <c r="X81" s="115">
        <v>1.246</v>
      </c>
      <c r="Y81" s="8">
        <v>39</v>
      </c>
      <c r="Z81" s="8">
        <v>3.6</v>
      </c>
      <c r="AA81" s="8">
        <v>5.3</v>
      </c>
      <c r="AB81" s="8"/>
      <c r="AD81" s="583"/>
      <c r="AE81" s="584"/>
      <c r="AF81" s="584"/>
      <c r="AG81" s="584"/>
      <c r="AH81" s="590"/>
      <c r="AI81" s="590"/>
      <c r="AJ81" s="590"/>
      <c r="AK81" s="590"/>
      <c r="AL81" s="591"/>
      <c r="AM81" s="591"/>
      <c r="AN81" s="591"/>
      <c r="AO81" s="591"/>
      <c r="AP81" s="591"/>
      <c r="AQ81" s="591"/>
      <c r="AR81" s="591"/>
      <c r="AS81" s="591"/>
    </row>
    <row r="82" spans="1:45" s="2" customFormat="1" ht="55.5" customHeight="1" outlineLevel="1" x14ac:dyDescent="0.2">
      <c r="A82" s="114" t="str">
        <f>'Утв. ИП 2014-2019'!B86</f>
        <v>2.1.3.3</v>
      </c>
      <c r="B82" s="7" t="str">
        <f>'Утв. ИП 2014-2019'!C86</f>
        <v>Строительство новой КТП взамен существующей КТП-426</v>
      </c>
      <c r="C82" s="23" t="s">
        <v>215</v>
      </c>
      <c r="D82" s="19" t="s">
        <v>1457</v>
      </c>
      <c r="E82" s="8" t="str">
        <f>'Утв. ИП 2014-2019'!E86</f>
        <v>1х0,4 МВА</v>
      </c>
      <c r="F82" s="8"/>
      <c r="G82" s="8"/>
      <c r="H82" s="8"/>
      <c r="I82" s="8">
        <f>'Утв. ИП 2014-2019'!F86</f>
        <v>2016</v>
      </c>
      <c r="J82" s="8">
        <f>'Утв. ИП 2014-2019'!G86</f>
        <v>2017</v>
      </c>
      <c r="K82" s="8" t="s">
        <v>70</v>
      </c>
      <c r="L82" s="8" t="s">
        <v>70</v>
      </c>
      <c r="M82" s="8" t="s">
        <v>70</v>
      </c>
      <c r="N82" s="8" t="s">
        <v>70</v>
      </c>
      <c r="O82" s="5">
        <f>('Утв. ИП 2014-2019'!H86-'Утв. ИП 2014-2019'!I86)*100/'Утв. ИП 2014-2019'!H86</f>
        <v>0</v>
      </c>
      <c r="P82" s="5">
        <f t="shared" si="2"/>
        <v>0</v>
      </c>
      <c r="Q82" s="5">
        <f>'Утв. ИП 2014-2019'!H86</f>
        <v>3.11</v>
      </c>
      <c r="R82" s="5"/>
      <c r="S82" s="5">
        <f>'Утв. ИП 2014-2019'!I86</f>
        <v>3.11</v>
      </c>
      <c r="T82" s="8"/>
      <c r="U82" s="8" t="s">
        <v>431</v>
      </c>
      <c r="V82" s="8" t="s">
        <v>1458</v>
      </c>
      <c r="W82" s="8" t="s">
        <v>1455</v>
      </c>
      <c r="X82" s="115">
        <v>-0.38700000000000001</v>
      </c>
      <c r="Y82" s="8">
        <v>14</v>
      </c>
      <c r="Z82" s="8">
        <v>8.5</v>
      </c>
      <c r="AA82" s="8">
        <v>0</v>
      </c>
      <c r="AB82" s="8"/>
      <c r="AD82" s="583"/>
      <c r="AE82" s="584"/>
      <c r="AF82" s="584"/>
      <c r="AG82" s="584"/>
      <c r="AH82" s="590"/>
      <c r="AI82" s="590"/>
      <c r="AJ82" s="590"/>
      <c r="AK82" s="590"/>
      <c r="AL82" s="591"/>
      <c r="AM82" s="591"/>
      <c r="AN82" s="591"/>
      <c r="AO82" s="591"/>
      <c r="AP82" s="591"/>
      <c r="AQ82" s="591"/>
      <c r="AR82" s="591"/>
      <c r="AS82" s="591"/>
    </row>
    <row r="83" spans="1:45" s="2" customFormat="1" ht="38.25" outlineLevel="1" x14ac:dyDescent="0.2">
      <c r="A83" s="114" t="str">
        <f>'Утв. ИП 2014-2019'!B87</f>
        <v>2.1.3.4</v>
      </c>
      <c r="B83" s="7" t="str">
        <f>'Утв. ИП 2014-2019'!C87</f>
        <v>Строительство ТП-612 по ул. Исполкомовская (с демонтажем старого здания)</v>
      </c>
      <c r="C83" s="23" t="s">
        <v>215</v>
      </c>
      <c r="D83" s="19" t="s">
        <v>224</v>
      </c>
      <c r="E83" s="8" t="str">
        <f>'Утв. ИП 2014-2019'!E87</f>
        <v>2х0,63 МВА</v>
      </c>
      <c r="F83" s="8"/>
      <c r="G83" s="8"/>
      <c r="H83" s="8"/>
      <c r="I83" s="8">
        <f>'Утв. ИП 2014-2019'!F87</f>
        <v>2013</v>
      </c>
      <c r="J83" s="8">
        <f>'Утв. ИП 2014-2019'!G87</f>
        <v>2017</v>
      </c>
      <c r="K83" s="8" t="s">
        <v>69</v>
      </c>
      <c r="L83" s="8" t="s">
        <v>70</v>
      </c>
      <c r="M83" s="8" t="s">
        <v>69</v>
      </c>
      <c r="N83" s="8" t="s">
        <v>70</v>
      </c>
      <c r="O83" s="5">
        <f>('Утв. ИП 2014-2019'!H87-'Утв. ИП 2014-2019'!I87)*100/'Утв. ИП 2014-2019'!H87</f>
        <v>4.652880354505176</v>
      </c>
      <c r="P83" s="5">
        <v>0</v>
      </c>
      <c r="Q83" s="5">
        <f>'Утв. ИП 2014-2019'!H87</f>
        <v>13.54</v>
      </c>
      <c r="R83" s="5"/>
      <c r="S83" s="5">
        <f>'Утв. ИП 2014-2019'!I87</f>
        <v>12.909999999999998</v>
      </c>
      <c r="T83" s="8"/>
      <c r="U83" s="8" t="s">
        <v>431</v>
      </c>
      <c r="V83" s="8"/>
      <c r="W83" s="8"/>
      <c r="X83" s="115">
        <v>-11.214</v>
      </c>
      <c r="Y83" s="8"/>
      <c r="Z83" s="8">
        <v>0</v>
      </c>
      <c r="AA83" s="8">
        <v>0</v>
      </c>
      <c r="AB83" s="8"/>
      <c r="AD83" s="583"/>
      <c r="AE83" s="584"/>
      <c r="AF83" s="584"/>
      <c r="AG83" s="584"/>
      <c r="AH83" s="590"/>
      <c r="AI83" s="590"/>
      <c r="AJ83" s="590"/>
      <c r="AK83" s="590"/>
      <c r="AL83" s="591"/>
      <c r="AM83" s="591"/>
      <c r="AN83" s="591"/>
      <c r="AO83" s="591"/>
      <c r="AP83" s="591"/>
      <c r="AQ83" s="591"/>
      <c r="AR83" s="591"/>
      <c r="AS83" s="591"/>
    </row>
    <row r="84" spans="1:45" s="2" customFormat="1" ht="25.5" outlineLevel="1" x14ac:dyDescent="0.2">
      <c r="A84" s="114" t="str">
        <f>'Утв. ИП 2014-2019'!B88</f>
        <v>2.1.3.5</v>
      </c>
      <c r="B84" s="7" t="str">
        <f>'Утв. ИП 2014-2019'!C88</f>
        <v>Строительство новой БКТП взамен КТП-725</v>
      </c>
      <c r="C84" s="23" t="s">
        <v>215</v>
      </c>
      <c r="D84" s="19" t="s">
        <v>1768</v>
      </c>
      <c r="E84" s="8" t="str">
        <f>'Утв. ИП 2014-2019'!E88</f>
        <v>1х0,63 МВА</v>
      </c>
      <c r="F84" s="8"/>
      <c r="G84" s="8"/>
      <c r="H84" s="8"/>
      <c r="I84" s="8">
        <f>'Утв. ИП 2014-2019'!F88</f>
        <v>2018</v>
      </c>
      <c r="J84" s="8">
        <f>'Утв. ИП 2014-2019'!G88</f>
        <v>2019</v>
      </c>
      <c r="K84" s="8" t="s">
        <v>70</v>
      </c>
      <c r="L84" s="8" t="s">
        <v>70</v>
      </c>
      <c r="M84" s="8" t="s">
        <v>70</v>
      </c>
      <c r="N84" s="8" t="s">
        <v>70</v>
      </c>
      <c r="O84" s="5">
        <f>('Утв. ИП 2014-2019'!H88-'Утв. ИП 2014-2019'!I88)*100/'Утв. ИП 2014-2019'!H88</f>
        <v>0</v>
      </c>
      <c r="P84" s="5">
        <f t="shared" si="2"/>
        <v>0</v>
      </c>
      <c r="Q84" s="5">
        <f>'Утв. ИП 2014-2019'!H88</f>
        <v>7.3262999999999998</v>
      </c>
      <c r="R84" s="5"/>
      <c r="S84" s="5">
        <f>'Утв. ИП 2014-2019'!I88</f>
        <v>7.3262999999999998</v>
      </c>
      <c r="T84" s="8"/>
      <c r="U84" s="8" t="s">
        <v>431</v>
      </c>
      <c r="V84" s="8"/>
      <c r="W84" s="8"/>
      <c r="X84" s="115">
        <v>6.8000000000000005E-2</v>
      </c>
      <c r="Y84" s="8">
        <v>24</v>
      </c>
      <c r="Z84" s="8">
        <v>3.9</v>
      </c>
      <c r="AA84" s="8">
        <v>9.3000000000000007</v>
      </c>
      <c r="AB84" s="8"/>
      <c r="AD84" s="583"/>
      <c r="AE84" s="584"/>
      <c r="AF84" s="584"/>
      <c r="AG84" s="584"/>
      <c r="AH84" s="590"/>
      <c r="AI84" s="590"/>
      <c r="AJ84" s="590"/>
      <c r="AK84" s="590"/>
      <c r="AL84" s="591"/>
      <c r="AM84" s="591"/>
      <c r="AN84" s="591"/>
      <c r="AO84" s="591"/>
      <c r="AP84" s="591"/>
      <c r="AQ84" s="591"/>
      <c r="AR84" s="591"/>
      <c r="AS84" s="591"/>
    </row>
    <row r="85" spans="1:45" s="53" customFormat="1" ht="25.5" x14ac:dyDescent="0.2">
      <c r="A85" s="28" t="str">
        <f>'Утв. ИП 2014-2019'!B89</f>
        <v>2.1.4</v>
      </c>
      <c r="B85" s="29" t="s">
        <v>441</v>
      </c>
      <c r="C85" s="34"/>
      <c r="D85" s="29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1"/>
      <c r="P85" s="31"/>
      <c r="Q85" s="31">
        <f>'Утв. ИП 2014-2019'!H89</f>
        <v>0</v>
      </c>
      <c r="R85" s="31"/>
      <c r="S85" s="31">
        <f>'Утв. ИП 2014-2019'!I89</f>
        <v>0</v>
      </c>
      <c r="T85" s="30"/>
      <c r="U85" s="30"/>
      <c r="V85" s="30"/>
      <c r="W85" s="30"/>
      <c r="X85" s="326"/>
      <c r="Y85" s="30"/>
      <c r="Z85" s="30"/>
      <c r="AA85" s="30"/>
      <c r="AB85" s="75" t="s">
        <v>2156</v>
      </c>
      <c r="AD85" s="586"/>
      <c r="AE85" s="586"/>
      <c r="AF85" s="586"/>
      <c r="AG85" s="586"/>
      <c r="AH85" s="586"/>
      <c r="AI85" s="586"/>
      <c r="AJ85" s="586"/>
      <c r="AK85" s="586"/>
      <c r="AL85" s="586"/>
      <c r="AM85" s="586"/>
      <c r="AN85" s="586"/>
      <c r="AO85" s="586"/>
      <c r="AP85" s="586"/>
      <c r="AQ85" s="586"/>
      <c r="AR85" s="586"/>
      <c r="AS85" s="586"/>
    </row>
    <row r="86" spans="1:45" s="53" customFormat="1" ht="38.25" x14ac:dyDescent="0.2">
      <c r="A86" s="28" t="str">
        <f>'Утв. ИП 2014-2019'!B90</f>
        <v>2.2</v>
      </c>
      <c r="B86" s="29" t="s">
        <v>1215</v>
      </c>
      <c r="C86" s="30"/>
      <c r="D86" s="29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1"/>
      <c r="P86" s="31"/>
      <c r="Q86" s="31">
        <f>'Утв. ИП 2014-2019'!H90</f>
        <v>0</v>
      </c>
      <c r="R86" s="31"/>
      <c r="S86" s="31">
        <f>'Утв. ИП 2014-2019'!I90</f>
        <v>0</v>
      </c>
      <c r="T86" s="30"/>
      <c r="U86" s="30"/>
      <c r="V86" s="30"/>
      <c r="W86" s="30"/>
      <c r="X86" s="326"/>
      <c r="Y86" s="30"/>
      <c r="Z86" s="30"/>
      <c r="AA86" s="30"/>
      <c r="AB86" s="75"/>
      <c r="AD86" s="586"/>
      <c r="AE86" s="586"/>
      <c r="AF86" s="586"/>
      <c r="AG86" s="586"/>
      <c r="AH86" s="586"/>
      <c r="AI86" s="586"/>
      <c r="AJ86" s="586"/>
      <c r="AK86" s="586"/>
      <c r="AL86" s="586"/>
      <c r="AM86" s="586"/>
      <c r="AN86" s="586"/>
      <c r="AO86" s="586"/>
      <c r="AP86" s="586"/>
      <c r="AQ86" s="586"/>
      <c r="AR86" s="586"/>
      <c r="AS86" s="586"/>
    </row>
    <row r="87" spans="1:45" s="53" customFormat="1" x14ac:dyDescent="0.2">
      <c r="A87" s="28" t="str">
        <f>'Утв. ИП 2014-2019'!B91</f>
        <v>2.3</v>
      </c>
      <c r="B87" s="29" t="s">
        <v>1218</v>
      </c>
      <c r="C87" s="30"/>
      <c r="D87" s="29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1"/>
      <c r="P87" s="31"/>
      <c r="Q87" s="31">
        <f>'Утв. ИП 2014-2019'!H91</f>
        <v>83.77</v>
      </c>
      <c r="R87" s="31"/>
      <c r="S87" s="31">
        <f>'Утв. ИП 2014-2019'!I91</f>
        <v>72.410499999999999</v>
      </c>
      <c r="T87" s="30"/>
      <c r="U87" s="30"/>
      <c r="V87" s="30"/>
      <c r="W87" s="30"/>
      <c r="X87" s="326"/>
      <c r="Y87" s="30"/>
      <c r="Z87" s="30"/>
      <c r="AA87" s="30"/>
      <c r="AB87" s="75"/>
      <c r="AD87" s="586"/>
      <c r="AE87" s="586"/>
      <c r="AF87" s="586"/>
      <c r="AG87" s="586"/>
      <c r="AH87" s="586"/>
      <c r="AI87" s="586"/>
      <c r="AJ87" s="586"/>
      <c r="AK87" s="586"/>
      <c r="AL87" s="586"/>
      <c r="AM87" s="586"/>
      <c r="AN87" s="586"/>
      <c r="AO87" s="586"/>
      <c r="AP87" s="586"/>
      <c r="AQ87" s="586"/>
      <c r="AR87" s="586"/>
      <c r="AS87" s="586"/>
    </row>
    <row r="88" spans="1:45" s="2" customFormat="1" ht="51" x14ac:dyDescent="0.2">
      <c r="A88" s="114" t="str">
        <f>'Утв. ИП 2014-2019'!B92</f>
        <v>2.3.1</v>
      </c>
      <c r="B88" s="7" t="str">
        <f>'Утв. ИП 2014-2019'!C92</f>
        <v>Строительство РП "Новая Гагарина" и кабельной сети 6 кВ от ПС "Трубная 2"</v>
      </c>
      <c r="C88" s="23" t="s">
        <v>215</v>
      </c>
      <c r="D88" s="19" t="s">
        <v>68</v>
      </c>
      <c r="E88" s="8" t="s">
        <v>436</v>
      </c>
      <c r="F88" s="8"/>
      <c r="G88" s="8" t="s">
        <v>1430</v>
      </c>
      <c r="H88" s="8"/>
      <c r="I88" s="8">
        <f>'Утв. ИП 2014-2019'!F92</f>
        <v>2013</v>
      </c>
      <c r="J88" s="8">
        <f>'Утв. ИП 2014-2019'!G92</f>
        <v>2016</v>
      </c>
      <c r="K88" s="8" t="s">
        <v>70</v>
      </c>
      <c r="L88" s="8" t="s">
        <v>70</v>
      </c>
      <c r="M88" s="8" t="s">
        <v>70</v>
      </c>
      <c r="N88" s="8" t="s">
        <v>70</v>
      </c>
      <c r="O88" s="5">
        <f>('Утв. ИП 2014-2019'!H92-'Утв. ИП 2014-2019'!I92)*100/'Утв. ИП 2014-2019'!H92</f>
        <v>13.560343798495881</v>
      </c>
      <c r="P88" s="5">
        <f>O88</f>
        <v>13.560343798495881</v>
      </c>
      <c r="Q88" s="5">
        <f>'Утв. ИП 2014-2019'!H92</f>
        <v>83.77</v>
      </c>
      <c r="R88" s="5"/>
      <c r="S88" s="5">
        <f>'Утв. ИП 2014-2019'!I92</f>
        <v>72.410499999999999</v>
      </c>
      <c r="T88" s="8"/>
      <c r="U88" s="8" t="s">
        <v>81</v>
      </c>
      <c r="V88" s="8"/>
      <c r="W88" s="8" t="s">
        <v>80</v>
      </c>
      <c r="X88" s="115">
        <v>-27.486999999999998</v>
      </c>
      <c r="Y88" s="8">
        <v>2</v>
      </c>
      <c r="Z88" s="8">
        <v>11.1</v>
      </c>
      <c r="AA88" s="8">
        <v>0</v>
      </c>
      <c r="AB88" s="869" t="s">
        <v>1509</v>
      </c>
      <c r="AD88" s="583"/>
      <c r="AE88" s="584"/>
      <c r="AF88" s="584"/>
      <c r="AG88" s="584"/>
      <c r="AH88" s="590"/>
      <c r="AI88" s="590"/>
      <c r="AJ88" s="590"/>
      <c r="AK88" s="590"/>
      <c r="AL88" s="591"/>
      <c r="AM88" s="591"/>
      <c r="AN88" s="591"/>
      <c r="AO88" s="591"/>
      <c r="AP88" s="591"/>
      <c r="AQ88" s="591"/>
      <c r="AR88" s="591"/>
      <c r="AS88" s="591"/>
    </row>
    <row r="89" spans="1:45" s="14" customFormat="1" ht="25.5" outlineLevel="1" x14ac:dyDescent="0.2">
      <c r="A89" s="10"/>
      <c r="B89" s="99" t="str">
        <f>'Утв. ИП 2014-2019'!C93</f>
        <v>Строительство РП "Новая Гагарина" 6 кВ по ул. Гагарина</v>
      </c>
      <c r="C89" s="23" t="s">
        <v>215</v>
      </c>
      <c r="D89" s="16"/>
      <c r="E89" s="13" t="str">
        <f>'Утв. ИП 2014-2019'!E93</f>
        <v>12 МВА</v>
      </c>
      <c r="F89" s="13"/>
      <c r="G89" s="13"/>
      <c r="H89" s="13"/>
      <c r="I89" s="8"/>
      <c r="J89" s="8"/>
      <c r="K89" s="8"/>
      <c r="L89" s="8"/>
      <c r="M89" s="8"/>
      <c r="N89" s="8"/>
      <c r="O89" s="5"/>
      <c r="P89" s="5"/>
      <c r="Q89" s="5"/>
      <c r="R89" s="50"/>
      <c r="S89" s="5"/>
      <c r="T89" s="13"/>
      <c r="U89" s="13"/>
      <c r="V89" s="13"/>
      <c r="W89" s="13"/>
      <c r="X89" s="328"/>
      <c r="Y89" s="13"/>
      <c r="Z89" s="13"/>
      <c r="AA89" s="13"/>
      <c r="AB89" s="870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</row>
    <row r="90" spans="1:45" s="14" customFormat="1" ht="33.75" outlineLevel="1" x14ac:dyDescent="0.2">
      <c r="A90" s="10"/>
      <c r="B90" s="99" t="str">
        <f>'Утв. ИП 2014-2019'!C94</f>
        <v>Строительство КЛ-6 кВ сети электроснабжения от ПС "Трубная-2" до РП по ул. Гагарина</v>
      </c>
      <c r="C90" s="23" t="s">
        <v>215</v>
      </c>
      <c r="D90" s="16"/>
      <c r="E90" s="13"/>
      <c r="F90" s="13"/>
      <c r="G90" s="13" t="str">
        <f>'Утв. ИП 2014-2019'!E94</f>
        <v>64,2 км</v>
      </c>
      <c r="H90" s="13"/>
      <c r="I90" s="8"/>
      <c r="J90" s="8"/>
      <c r="K90" s="8"/>
      <c r="L90" s="8"/>
      <c r="M90" s="8"/>
      <c r="N90" s="8"/>
      <c r="O90" s="5"/>
      <c r="P90" s="5"/>
      <c r="Q90" s="5"/>
      <c r="R90" s="50"/>
      <c r="S90" s="5"/>
      <c r="T90" s="13"/>
      <c r="U90" s="13"/>
      <c r="V90" s="13"/>
      <c r="W90" s="13"/>
      <c r="X90" s="328"/>
      <c r="Y90" s="13"/>
      <c r="Z90" s="13"/>
      <c r="AA90" s="13"/>
      <c r="AB90" s="870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</row>
    <row r="91" spans="1:45" s="53" customFormat="1" ht="25.5" x14ac:dyDescent="0.2">
      <c r="A91" s="28" t="str">
        <f>'Утв. ИП 2014-2019'!B95</f>
        <v>2.4</v>
      </c>
      <c r="B91" s="29" t="s">
        <v>404</v>
      </c>
      <c r="C91" s="30"/>
      <c r="D91" s="29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1"/>
      <c r="P91" s="31"/>
      <c r="Q91" s="31">
        <f>'Утв. ИП 2014-2019'!H95</f>
        <v>6.0767500000000005</v>
      </c>
      <c r="R91" s="31"/>
      <c r="S91" s="31">
        <f>'Утв. ИП 2014-2019'!I95</f>
        <v>6.0769500000000001</v>
      </c>
      <c r="T91" s="30"/>
      <c r="U91" s="30"/>
      <c r="V91" s="30"/>
      <c r="W91" s="30"/>
      <c r="X91" s="326"/>
      <c r="Y91" s="30"/>
      <c r="Z91" s="30"/>
      <c r="AA91" s="30"/>
      <c r="AB91" s="75"/>
      <c r="AD91" s="586"/>
      <c r="AE91" s="586"/>
      <c r="AF91" s="586"/>
      <c r="AG91" s="586"/>
      <c r="AH91" s="586"/>
      <c r="AI91" s="586"/>
      <c r="AJ91" s="586"/>
      <c r="AK91" s="586"/>
      <c r="AL91" s="586"/>
      <c r="AM91" s="586"/>
      <c r="AN91" s="586"/>
      <c r="AO91" s="586"/>
      <c r="AP91" s="586"/>
      <c r="AQ91" s="586"/>
      <c r="AR91" s="586"/>
      <c r="AS91" s="586"/>
    </row>
    <row r="92" spans="1:45" s="2" customFormat="1" ht="51" customHeight="1" outlineLevel="1" x14ac:dyDescent="0.2">
      <c r="A92" s="114" t="str">
        <f>'Утв. ИП 2014-2019'!B96</f>
        <v>2.4.1</v>
      </c>
      <c r="B92" s="7" t="str">
        <f>'Утв. ИП 2014-2019'!C96</f>
        <v>Модернизация прибора для измерения показания качества эл. энергии - "Ресурс-UF2M-3T64-3000", инв. № 433101</v>
      </c>
      <c r="C92" s="872" t="s">
        <v>215</v>
      </c>
      <c r="D92" s="871" t="s">
        <v>218</v>
      </c>
      <c r="E92" s="8" t="str">
        <f>'Утв. ИП 2014-2019'!E96</f>
        <v>1 к-т</v>
      </c>
      <c r="F92" s="8"/>
      <c r="G92" s="8"/>
      <c r="H92" s="8"/>
      <c r="I92" s="8">
        <f>'Утв. ИП 2014-2019'!F96</f>
        <v>2014</v>
      </c>
      <c r="J92" s="8">
        <f>'Утв. ИП 2014-2019'!G96</f>
        <v>2014</v>
      </c>
      <c r="K92" s="8"/>
      <c r="L92" s="8"/>
      <c r="M92" s="8"/>
      <c r="N92" s="8"/>
      <c r="O92" s="5">
        <f>('Утв. ИП 2014-2019'!H96-'Утв. ИП 2014-2019'!I96)*100/'Утв. ИП 2014-2019'!H96</f>
        <v>0</v>
      </c>
      <c r="P92" s="5">
        <f t="shared" ref="P92:P116" si="3">O92</f>
        <v>0</v>
      </c>
      <c r="Q92" s="5">
        <f>'Утв. ИП 2014-2019'!H96</f>
        <v>9.2999999999999999E-2</v>
      </c>
      <c r="R92" s="5"/>
      <c r="S92" s="5">
        <f>'Утв. ИП 2014-2019'!I96</f>
        <v>9.2999999999999999E-2</v>
      </c>
      <c r="T92" s="8"/>
      <c r="U92" s="871" t="s">
        <v>909</v>
      </c>
      <c r="V92" s="8"/>
      <c r="W92" s="8"/>
      <c r="X92" s="115"/>
      <c r="Y92" s="8"/>
      <c r="Z92" s="8"/>
      <c r="AA92" s="8"/>
      <c r="AB92" s="88"/>
      <c r="AD92" s="583"/>
      <c r="AE92" s="584"/>
      <c r="AF92" s="584"/>
      <c r="AG92" s="584"/>
      <c r="AH92" s="590"/>
      <c r="AI92" s="590"/>
      <c r="AJ92" s="590"/>
      <c r="AK92" s="590"/>
      <c r="AL92" s="591"/>
      <c r="AM92" s="591"/>
      <c r="AN92" s="591"/>
      <c r="AO92" s="591"/>
      <c r="AP92" s="591"/>
      <c r="AQ92" s="591"/>
      <c r="AR92" s="591"/>
      <c r="AS92" s="591"/>
    </row>
    <row r="93" spans="1:45" s="2" customFormat="1" ht="51" outlineLevel="1" x14ac:dyDescent="0.2">
      <c r="A93" s="114" t="str">
        <f>'Утв. ИП 2014-2019'!B97</f>
        <v>2.4.2</v>
      </c>
      <c r="B93" s="7" t="str">
        <f>'Утв. ИП 2014-2019'!C97</f>
        <v>Модернизация прибора для измерения показания качества эл. энергии - "Ресурс-UF2M-3T64-3000", инв. № 433103</v>
      </c>
      <c r="C93" s="872"/>
      <c r="D93" s="871"/>
      <c r="E93" s="8" t="str">
        <f>'Утв. ИП 2014-2019'!E97</f>
        <v>1 к-т</v>
      </c>
      <c r="F93" s="8"/>
      <c r="G93" s="8"/>
      <c r="H93" s="8"/>
      <c r="I93" s="8">
        <f>'Утв. ИП 2014-2019'!F97</f>
        <v>2014</v>
      </c>
      <c r="J93" s="8">
        <f>'Утв. ИП 2014-2019'!G97</f>
        <v>2014</v>
      </c>
      <c r="K93" s="8"/>
      <c r="L93" s="8"/>
      <c r="M93" s="8"/>
      <c r="N93" s="8"/>
      <c r="O93" s="5">
        <f>('Утв. ИП 2014-2019'!H97-'Утв. ИП 2014-2019'!I97)*100/'Утв. ИП 2014-2019'!H97</f>
        <v>0</v>
      </c>
      <c r="P93" s="5">
        <f t="shared" si="3"/>
        <v>0</v>
      </c>
      <c r="Q93" s="5">
        <f>'Утв. ИП 2014-2019'!H97</f>
        <v>9.2999999999999999E-2</v>
      </c>
      <c r="R93" s="5"/>
      <c r="S93" s="5">
        <f>'Утв. ИП 2014-2019'!I97</f>
        <v>9.2999999999999999E-2</v>
      </c>
      <c r="T93" s="8"/>
      <c r="U93" s="871"/>
      <c r="V93" s="8"/>
      <c r="W93" s="8"/>
      <c r="X93" s="115"/>
      <c r="Y93" s="8"/>
      <c r="Z93" s="8"/>
      <c r="AA93" s="8"/>
      <c r="AB93" s="88"/>
      <c r="AD93" s="583"/>
      <c r="AE93" s="584"/>
      <c r="AF93" s="584"/>
      <c r="AG93" s="584"/>
      <c r="AH93" s="590"/>
      <c r="AI93" s="590"/>
      <c r="AJ93" s="590"/>
      <c r="AK93" s="590"/>
      <c r="AL93" s="591"/>
      <c r="AM93" s="591"/>
      <c r="AN93" s="591"/>
      <c r="AO93" s="591"/>
      <c r="AP93" s="591"/>
      <c r="AQ93" s="591"/>
      <c r="AR93" s="591"/>
      <c r="AS93" s="591"/>
    </row>
    <row r="94" spans="1:45" s="2" customFormat="1" outlineLevel="1" x14ac:dyDescent="0.2">
      <c r="A94" s="114" t="str">
        <f>'Утв. ИП 2014-2019'!B98</f>
        <v>2.4.3</v>
      </c>
      <c r="B94" s="7" t="str">
        <f>'Утв. ИП 2014-2019'!C98</f>
        <v>Поисковый комплект КП-100</v>
      </c>
      <c r="C94" s="872"/>
      <c r="D94" s="871"/>
      <c r="E94" s="8" t="str">
        <f>'Утв. ИП 2014-2019'!E98</f>
        <v>1 к-т</v>
      </c>
      <c r="F94" s="8"/>
      <c r="G94" s="8"/>
      <c r="H94" s="8"/>
      <c r="I94" s="8">
        <f>'Утв. ИП 2014-2019'!F98</f>
        <v>2014</v>
      </c>
      <c r="J94" s="8">
        <f>'Утв. ИП 2014-2019'!G98</f>
        <v>2014</v>
      </c>
      <c r="K94" s="8"/>
      <c r="L94" s="8"/>
      <c r="M94" s="8"/>
      <c r="N94" s="8"/>
      <c r="O94" s="5">
        <f>('Утв. ИП 2014-2019'!H98-'Утв. ИП 2014-2019'!I98)*100/'Утв. ИП 2014-2019'!H98</f>
        <v>0</v>
      </c>
      <c r="P94" s="5">
        <f t="shared" si="3"/>
        <v>0</v>
      </c>
      <c r="Q94" s="5">
        <f>'Утв. ИП 2014-2019'!H98</f>
        <v>0.16700000000000001</v>
      </c>
      <c r="R94" s="5"/>
      <c r="S94" s="5">
        <f>'Утв. ИП 2014-2019'!I98</f>
        <v>0.16700000000000001</v>
      </c>
      <c r="T94" s="8"/>
      <c r="U94" s="871"/>
      <c r="V94" s="8"/>
      <c r="W94" s="8"/>
      <c r="X94" s="115"/>
      <c r="Y94" s="8"/>
      <c r="Z94" s="8"/>
      <c r="AA94" s="8"/>
      <c r="AB94" s="88"/>
      <c r="AD94" s="583"/>
      <c r="AE94" s="584"/>
      <c r="AF94" s="584"/>
      <c r="AG94" s="584"/>
      <c r="AH94" s="590"/>
      <c r="AI94" s="590"/>
      <c r="AJ94" s="590"/>
      <c r="AK94" s="590"/>
      <c r="AL94" s="591"/>
      <c r="AM94" s="591"/>
      <c r="AN94" s="591"/>
      <c r="AO94" s="591"/>
      <c r="AP94" s="591"/>
      <c r="AQ94" s="591"/>
      <c r="AR94" s="591"/>
      <c r="AS94" s="591"/>
    </row>
    <row r="95" spans="1:45" s="2" customFormat="1" outlineLevel="1" x14ac:dyDescent="0.2">
      <c r="A95" s="114" t="str">
        <f>'Утв. ИП 2014-2019'!B99</f>
        <v>2.4.4</v>
      </c>
      <c r="B95" s="7" t="str">
        <f>'Утв. ИП 2014-2019'!C99</f>
        <v>Установка поверки счетчиков</v>
      </c>
      <c r="C95" s="872"/>
      <c r="D95" s="871"/>
      <c r="E95" s="8" t="str">
        <f>'Утв. ИП 2014-2019'!E99</f>
        <v>1 к-т</v>
      </c>
      <c r="F95" s="8"/>
      <c r="G95" s="8"/>
      <c r="H95" s="8"/>
      <c r="I95" s="8">
        <f>'Утв. ИП 2014-2019'!F99</f>
        <v>2014</v>
      </c>
      <c r="J95" s="8">
        <f>'Утв. ИП 2014-2019'!G99</f>
        <v>2014</v>
      </c>
      <c r="K95" s="8"/>
      <c r="L95" s="8"/>
      <c r="M95" s="8"/>
      <c r="N95" s="8"/>
      <c r="O95" s="5">
        <f>('Утв. ИП 2014-2019'!H99-'Утв. ИП 2014-2019'!I99)*100/'Утв. ИП 2014-2019'!H99</f>
        <v>0</v>
      </c>
      <c r="P95" s="5">
        <f t="shared" si="3"/>
        <v>0</v>
      </c>
      <c r="Q95" s="5">
        <f>'Утв. ИП 2014-2019'!H99</f>
        <v>0.52</v>
      </c>
      <c r="R95" s="5"/>
      <c r="S95" s="5">
        <f>'Утв. ИП 2014-2019'!I99</f>
        <v>0.52</v>
      </c>
      <c r="T95" s="8"/>
      <c r="U95" s="871"/>
      <c r="V95" s="8"/>
      <c r="W95" s="8"/>
      <c r="X95" s="115"/>
      <c r="Y95" s="8"/>
      <c r="Z95" s="8"/>
      <c r="AA95" s="8"/>
      <c r="AB95" s="88"/>
      <c r="AD95" s="583"/>
      <c r="AE95" s="584"/>
      <c r="AF95" s="584"/>
      <c r="AG95" s="584"/>
      <c r="AH95" s="590"/>
      <c r="AI95" s="590"/>
      <c r="AJ95" s="590"/>
      <c r="AK95" s="590"/>
      <c r="AL95" s="591"/>
      <c r="AM95" s="591"/>
      <c r="AN95" s="591"/>
      <c r="AO95" s="591"/>
      <c r="AP95" s="591"/>
      <c r="AQ95" s="591"/>
      <c r="AR95" s="591"/>
      <c r="AS95" s="591"/>
    </row>
    <row r="96" spans="1:45" s="2" customFormat="1" ht="25.5" outlineLevel="1" x14ac:dyDescent="0.2">
      <c r="A96" s="114" t="str">
        <f>'Утв. ИП 2014-2019'!B100</f>
        <v>2.4.5</v>
      </c>
      <c r="B96" s="7" t="str">
        <f>'Утв. ИП 2014-2019'!C100</f>
        <v>Прибор для поиска однофазных замыканий на КЛ</v>
      </c>
      <c r="C96" s="872"/>
      <c r="D96" s="871"/>
      <c r="E96" s="8" t="str">
        <f>'Утв. ИП 2014-2019'!E100</f>
        <v>1 к-т</v>
      </c>
      <c r="F96" s="8"/>
      <c r="G96" s="8"/>
      <c r="H96" s="8"/>
      <c r="I96" s="8">
        <f>'Утв. ИП 2014-2019'!F100</f>
        <v>2014</v>
      </c>
      <c r="J96" s="8">
        <f>'Утв. ИП 2014-2019'!G100</f>
        <v>2014</v>
      </c>
      <c r="K96" s="8"/>
      <c r="L96" s="8"/>
      <c r="M96" s="8"/>
      <c r="N96" s="8"/>
      <c r="O96" s="5">
        <f>('Утв. ИП 2014-2019'!H100-'Утв. ИП 2014-2019'!I100)*100/'Утв. ИП 2014-2019'!H100</f>
        <v>0</v>
      </c>
      <c r="P96" s="5">
        <f t="shared" si="3"/>
        <v>0</v>
      </c>
      <c r="Q96" s="5">
        <f>'Утв. ИП 2014-2019'!H100</f>
        <v>0.31</v>
      </c>
      <c r="R96" s="5"/>
      <c r="S96" s="5">
        <f>'Утв. ИП 2014-2019'!I100</f>
        <v>0.31</v>
      </c>
      <c r="T96" s="8"/>
      <c r="U96" s="871"/>
      <c r="V96" s="8"/>
      <c r="W96" s="8"/>
      <c r="X96" s="115"/>
      <c r="Y96" s="8"/>
      <c r="Z96" s="8"/>
      <c r="AA96" s="8"/>
      <c r="AB96" s="88"/>
      <c r="AD96" s="583"/>
      <c r="AE96" s="584"/>
      <c r="AF96" s="584"/>
      <c r="AG96" s="584"/>
      <c r="AH96" s="590"/>
      <c r="AI96" s="590"/>
      <c r="AJ96" s="590"/>
      <c r="AK96" s="590"/>
      <c r="AL96" s="591"/>
      <c r="AM96" s="591"/>
      <c r="AN96" s="591"/>
      <c r="AO96" s="591"/>
      <c r="AP96" s="591"/>
      <c r="AQ96" s="591"/>
      <c r="AR96" s="591"/>
      <c r="AS96" s="591"/>
    </row>
    <row r="97" spans="1:45" s="2" customFormat="1" outlineLevel="1" x14ac:dyDescent="0.2">
      <c r="A97" s="114" t="str">
        <f>'Утв. ИП 2014-2019'!B101</f>
        <v>2.4.6</v>
      </c>
      <c r="B97" s="7" t="str">
        <f>'Утв. ИП 2014-2019'!C101</f>
        <v>Прибор "Энергомонитор"</v>
      </c>
      <c r="C97" s="872"/>
      <c r="D97" s="871"/>
      <c r="E97" s="8" t="str">
        <f>'Утв. ИП 2014-2019'!E101</f>
        <v>1 к-т</v>
      </c>
      <c r="F97" s="8"/>
      <c r="G97" s="8"/>
      <c r="H97" s="8"/>
      <c r="I97" s="8">
        <f>'Утв. ИП 2014-2019'!F101</f>
        <v>2014</v>
      </c>
      <c r="J97" s="8">
        <f>'Утв. ИП 2014-2019'!G101</f>
        <v>2014</v>
      </c>
      <c r="K97" s="8"/>
      <c r="L97" s="8"/>
      <c r="M97" s="8"/>
      <c r="N97" s="8"/>
      <c r="O97" s="5">
        <f>('Утв. ИП 2014-2019'!H101-'Утв. ИП 2014-2019'!I101)*100/'Утв. ИП 2014-2019'!H101</f>
        <v>0</v>
      </c>
      <c r="P97" s="5">
        <f t="shared" si="3"/>
        <v>0</v>
      </c>
      <c r="Q97" s="5">
        <f>'Утв. ИП 2014-2019'!H101</f>
        <v>0.21695</v>
      </c>
      <c r="R97" s="5"/>
      <c r="S97" s="5">
        <f>'Утв. ИП 2014-2019'!I101</f>
        <v>0.21695</v>
      </c>
      <c r="T97" s="8"/>
      <c r="U97" s="871"/>
      <c r="V97" s="8"/>
      <c r="W97" s="8"/>
      <c r="X97" s="115"/>
      <c r="Y97" s="8"/>
      <c r="Z97" s="8"/>
      <c r="AA97" s="8"/>
      <c r="AB97" s="88"/>
      <c r="AD97" s="583"/>
      <c r="AE97" s="584"/>
      <c r="AF97" s="584"/>
      <c r="AG97" s="584"/>
      <c r="AH97" s="590"/>
      <c r="AI97" s="590"/>
      <c r="AJ97" s="590"/>
      <c r="AK97" s="590"/>
      <c r="AL97" s="591"/>
      <c r="AM97" s="591"/>
      <c r="AN97" s="591"/>
      <c r="AO97" s="591"/>
      <c r="AP97" s="591"/>
      <c r="AQ97" s="591"/>
      <c r="AR97" s="591"/>
      <c r="AS97" s="591"/>
    </row>
    <row r="98" spans="1:45" s="54" customFormat="1" outlineLevel="1" x14ac:dyDescent="0.2">
      <c r="A98" s="114" t="str">
        <f>'Утв. ИП 2014-2019'!B102</f>
        <v>2.4.7</v>
      </c>
      <c r="B98" s="7" t="str">
        <f>'Утв. ИП 2014-2019'!C102</f>
        <v>Асфальторезная машина</v>
      </c>
      <c r="C98" s="872"/>
      <c r="D98" s="871"/>
      <c r="E98" s="8" t="str">
        <f>'Утв. ИП 2014-2019'!E102</f>
        <v>1 шт.</v>
      </c>
      <c r="F98" s="285"/>
      <c r="G98" s="285"/>
      <c r="H98" s="285"/>
      <c r="I98" s="8">
        <f>'Утв. ИП 2014-2019'!F102</f>
        <v>2019</v>
      </c>
      <c r="J98" s="8">
        <f>'Утв. ИП 2014-2019'!G102</f>
        <v>2019</v>
      </c>
      <c r="K98" s="285"/>
      <c r="L98" s="285"/>
      <c r="M98" s="285"/>
      <c r="N98" s="285"/>
      <c r="O98" s="5">
        <f>('Утв. ИП 2014-2019'!H102-'Утв. ИП 2014-2019'!I102)*100/'Утв. ИП 2014-2019'!H102</f>
        <v>0</v>
      </c>
      <c r="P98" s="5">
        <f t="shared" si="3"/>
        <v>0</v>
      </c>
      <c r="Q98" s="5">
        <f>'Утв. ИП 2014-2019'!H102</f>
        <v>0.08</v>
      </c>
      <c r="R98" s="48"/>
      <c r="S98" s="5">
        <f>'Утв. ИП 2014-2019'!I102</f>
        <v>0.08</v>
      </c>
      <c r="T98" s="285"/>
      <c r="U98" s="871"/>
      <c r="V98" s="285"/>
      <c r="W98" s="285"/>
      <c r="X98" s="329"/>
      <c r="Y98" s="285"/>
      <c r="Z98" s="285"/>
      <c r="AA98" s="285"/>
      <c r="AB98" s="88"/>
      <c r="AD98" s="588"/>
      <c r="AE98" s="588"/>
      <c r="AF98" s="588"/>
      <c r="AG98" s="588"/>
      <c r="AH98" s="588"/>
      <c r="AI98" s="588"/>
      <c r="AJ98" s="588"/>
      <c r="AK98" s="588"/>
      <c r="AL98" s="588"/>
      <c r="AM98" s="588"/>
      <c r="AN98" s="588"/>
      <c r="AO98" s="588"/>
      <c r="AP98" s="588"/>
      <c r="AQ98" s="588"/>
      <c r="AR98" s="588"/>
      <c r="AS98" s="588"/>
    </row>
    <row r="99" spans="1:45" s="54" customFormat="1" outlineLevel="1" x14ac:dyDescent="0.2">
      <c r="A99" s="114" t="str">
        <f>'Утв. ИП 2014-2019'!B103</f>
        <v>2.4.8</v>
      </c>
      <c r="B99" s="7" t="str">
        <f>'Утв. ИП 2014-2019'!C103</f>
        <v>Палатка кабельщика</v>
      </c>
      <c r="C99" s="872"/>
      <c r="D99" s="871"/>
      <c r="E99" s="8" t="str">
        <f>'Утв. ИП 2014-2019'!E103</f>
        <v>1 шт.</v>
      </c>
      <c r="F99" s="285"/>
      <c r="G99" s="285"/>
      <c r="H99" s="285"/>
      <c r="I99" s="8">
        <f>'Утв. ИП 2014-2019'!F103</f>
        <v>2019</v>
      </c>
      <c r="J99" s="8">
        <f>'Утв. ИП 2014-2019'!G103</f>
        <v>2019</v>
      </c>
      <c r="K99" s="285"/>
      <c r="L99" s="285"/>
      <c r="M99" s="285"/>
      <c r="N99" s="285"/>
      <c r="O99" s="5">
        <f>('Утв. ИП 2014-2019'!H103-'Утв. ИП 2014-2019'!I103)*100/'Утв. ИП 2014-2019'!H103</f>
        <v>0</v>
      </c>
      <c r="P99" s="5">
        <f t="shared" si="3"/>
        <v>0</v>
      </c>
      <c r="Q99" s="5">
        <f>'Утв. ИП 2014-2019'!H103</f>
        <v>0.05</v>
      </c>
      <c r="R99" s="48"/>
      <c r="S99" s="5">
        <f>'Утв. ИП 2014-2019'!I103</f>
        <v>0.05</v>
      </c>
      <c r="T99" s="285"/>
      <c r="U99" s="871"/>
      <c r="V99" s="285"/>
      <c r="W99" s="285"/>
      <c r="X99" s="329"/>
      <c r="Y99" s="285"/>
      <c r="Z99" s="285"/>
      <c r="AA99" s="285"/>
      <c r="AB99" s="88"/>
      <c r="AD99" s="588"/>
      <c r="AE99" s="588"/>
      <c r="AF99" s="588"/>
      <c r="AG99" s="588"/>
      <c r="AH99" s="588"/>
      <c r="AI99" s="588"/>
      <c r="AJ99" s="588"/>
      <c r="AK99" s="588"/>
      <c r="AL99" s="588"/>
      <c r="AM99" s="588"/>
      <c r="AN99" s="588"/>
      <c r="AO99" s="588"/>
      <c r="AP99" s="588"/>
      <c r="AQ99" s="588"/>
      <c r="AR99" s="588"/>
      <c r="AS99" s="588"/>
    </row>
    <row r="100" spans="1:45" s="54" customFormat="1" ht="24.95" customHeight="1" outlineLevel="1" x14ac:dyDescent="0.2">
      <c r="A100" s="114" t="str">
        <f>'Утв. ИП 2014-2019'!B104</f>
        <v>2.4.9</v>
      </c>
      <c r="B100" s="7" t="str">
        <f>'Утв. ИП 2014-2019'!C104</f>
        <v>Приобретение силовых трансформаторов</v>
      </c>
      <c r="C100" s="872"/>
      <c r="D100" s="871"/>
      <c r="E100" s="8" t="str">
        <f>'Утв. ИП 2014-2019'!E104</f>
        <v>14 шт.</v>
      </c>
      <c r="F100" s="285"/>
      <c r="G100" s="285"/>
      <c r="H100" s="285"/>
      <c r="I100" s="8">
        <f>'Утв. ИП 2014-2019'!F104</f>
        <v>2014</v>
      </c>
      <c r="J100" s="8">
        <f>'Утв. ИП 2014-2019'!G104</f>
        <v>2014</v>
      </c>
      <c r="K100" s="285"/>
      <c r="L100" s="285"/>
      <c r="M100" s="285"/>
      <c r="N100" s="285"/>
      <c r="O100" s="5">
        <f>('Утв. ИП 2014-2019'!H104-'Утв. ИП 2014-2019'!I104)*100/'Утв. ИП 2014-2019'!H104</f>
        <v>-4.4875246813752883E-3</v>
      </c>
      <c r="P100" s="5">
        <f>O100</f>
        <v>-4.4875246813752883E-3</v>
      </c>
      <c r="Q100" s="5">
        <f>'Утв. ИП 2014-2019'!H104</f>
        <v>4.4568000000000003</v>
      </c>
      <c r="R100" s="48"/>
      <c r="S100" s="5">
        <f>'Утв. ИП 2014-2019'!I104</f>
        <v>4.4569999999999999</v>
      </c>
      <c r="T100" s="285"/>
      <c r="U100" s="871"/>
      <c r="V100" s="285"/>
      <c r="W100" s="285"/>
      <c r="X100" s="329"/>
      <c r="Y100" s="285"/>
      <c r="Z100" s="285"/>
      <c r="AA100" s="285"/>
      <c r="AB100" s="88"/>
      <c r="AD100" s="588"/>
      <c r="AE100" s="588"/>
      <c r="AF100" s="588"/>
      <c r="AG100" s="588"/>
      <c r="AH100" s="588"/>
      <c r="AI100" s="588"/>
      <c r="AJ100" s="588"/>
      <c r="AK100" s="588"/>
      <c r="AL100" s="588"/>
      <c r="AM100" s="588"/>
      <c r="AN100" s="588"/>
      <c r="AO100" s="588"/>
      <c r="AP100" s="588"/>
      <c r="AQ100" s="588"/>
      <c r="AR100" s="588"/>
      <c r="AS100" s="588"/>
    </row>
    <row r="101" spans="1:45" s="54" customFormat="1" ht="24.95" customHeight="1" outlineLevel="1" x14ac:dyDescent="0.2">
      <c r="A101" s="114" t="str">
        <f>'Утв. ИП 2014-2019'!B105</f>
        <v>2.4.10</v>
      </c>
      <c r="B101" s="7" t="str">
        <f>'Утв. ИП 2014-2019'!C105</f>
        <v>Аппарат для определения температуры вспышки в закрытом тигле ТВЗ</v>
      </c>
      <c r="C101" s="872"/>
      <c r="D101" s="871"/>
      <c r="E101" s="8" t="str">
        <f>'Утв. ИП 2014-2019'!E105</f>
        <v>1 шт.</v>
      </c>
      <c r="F101" s="285"/>
      <c r="G101" s="285"/>
      <c r="H101" s="285"/>
      <c r="I101" s="8">
        <f>'Утв. ИП 2014-2019'!F105</f>
        <v>2014</v>
      </c>
      <c r="J101" s="8">
        <f>'Утв. ИП 2014-2019'!G105</f>
        <v>2014</v>
      </c>
      <c r="K101" s="285"/>
      <c r="L101" s="285"/>
      <c r="M101" s="285"/>
      <c r="N101" s="285"/>
      <c r="O101" s="5">
        <f>('Утв. ИП 2014-2019'!H105-'Утв. ИП 2014-2019'!I105)*100/'Утв. ИП 2014-2019'!H105</f>
        <v>0</v>
      </c>
      <c r="P101" s="5">
        <f>O101</f>
        <v>0</v>
      </c>
      <c r="Q101" s="5">
        <f>'Утв. ИП 2014-2019'!H105</f>
        <v>0.09</v>
      </c>
      <c r="R101" s="48"/>
      <c r="S101" s="5">
        <f>'Утв. ИП 2014-2019'!I105</f>
        <v>0.09</v>
      </c>
      <c r="T101" s="285"/>
      <c r="U101" s="871"/>
      <c r="V101" s="285"/>
      <c r="W101" s="285"/>
      <c r="X101" s="329"/>
      <c r="Y101" s="285"/>
      <c r="Z101" s="285"/>
      <c r="AA101" s="285"/>
      <c r="AB101" s="88"/>
      <c r="AD101" s="588"/>
      <c r="AE101" s="588"/>
      <c r="AF101" s="588"/>
      <c r="AG101" s="588"/>
      <c r="AH101" s="588"/>
      <c r="AI101" s="588"/>
      <c r="AJ101" s="588"/>
      <c r="AK101" s="588"/>
      <c r="AL101" s="588"/>
      <c r="AM101" s="588"/>
      <c r="AN101" s="588"/>
      <c r="AO101" s="588"/>
      <c r="AP101" s="588"/>
      <c r="AQ101" s="588"/>
      <c r="AR101" s="588"/>
      <c r="AS101" s="588"/>
    </row>
    <row r="102" spans="1:45" s="53" customFormat="1" x14ac:dyDescent="0.2">
      <c r="A102" s="28" t="str">
        <f>'Утв. ИП 2014-2019'!B106</f>
        <v>2.5</v>
      </c>
      <c r="B102" s="29" t="s">
        <v>418</v>
      </c>
      <c r="C102" s="30"/>
      <c r="D102" s="29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1"/>
      <c r="P102" s="31"/>
      <c r="Q102" s="31">
        <f>'Утв. ИП 2014-2019'!H106</f>
        <v>35.362000000000002</v>
      </c>
      <c r="R102" s="31"/>
      <c r="S102" s="31">
        <f>'Утв. ИП 2014-2019'!I106</f>
        <v>35.362000000000002</v>
      </c>
      <c r="T102" s="30"/>
      <c r="U102" s="30"/>
      <c r="V102" s="30"/>
      <c r="W102" s="30"/>
      <c r="X102" s="326"/>
      <c r="Y102" s="30"/>
      <c r="Z102" s="30"/>
      <c r="AA102" s="30"/>
      <c r="AB102" s="75"/>
      <c r="AD102" s="586"/>
      <c r="AE102" s="586"/>
      <c r="AF102" s="586"/>
      <c r="AG102" s="586"/>
      <c r="AH102" s="586"/>
      <c r="AI102" s="586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586"/>
    </row>
    <row r="103" spans="1:45" s="2" customFormat="1" ht="25.5" customHeight="1" outlineLevel="1" x14ac:dyDescent="0.2">
      <c r="A103" s="114" t="str">
        <f>'Утв. ИП 2014-2019'!B107</f>
        <v>2.5.1</v>
      </c>
      <c r="B103" s="7" t="str">
        <f>'Утв. ИП 2014-2019'!C107</f>
        <v>Экскаватор-погрузчик Volvo BL71B с гидромолотом</v>
      </c>
      <c r="C103" s="872" t="s">
        <v>215</v>
      </c>
      <c r="D103" s="871" t="s">
        <v>218</v>
      </c>
      <c r="E103" s="8" t="str">
        <f>'Утв. ИП 2014-2019'!E107</f>
        <v>1 шт.</v>
      </c>
      <c r="F103" s="8"/>
      <c r="G103" s="8"/>
      <c r="H103" s="8"/>
      <c r="I103" s="8">
        <f>'Утв. ИП 2014-2019'!F107</f>
        <v>2014</v>
      </c>
      <c r="J103" s="8">
        <f>'Утв. ИП 2014-2019'!G107</f>
        <v>2014</v>
      </c>
      <c r="K103" s="8"/>
      <c r="L103" s="8"/>
      <c r="M103" s="8"/>
      <c r="N103" s="8"/>
      <c r="O103" s="5">
        <f>('Утв. ИП 2014-2019'!H107-'Утв. ИП 2014-2019'!I107)*100/'Утв. ИП 2014-2019'!H107</f>
        <v>0</v>
      </c>
      <c r="P103" s="5">
        <f t="shared" si="3"/>
        <v>0</v>
      </c>
      <c r="Q103" s="5">
        <f>'Утв. ИП 2014-2019'!H107</f>
        <v>3.36</v>
      </c>
      <c r="R103" s="48"/>
      <c r="S103" s="5">
        <f>'Утв. ИП 2014-2019'!I107</f>
        <v>3.36</v>
      </c>
      <c r="T103" s="8"/>
      <c r="U103" s="873" t="s">
        <v>450</v>
      </c>
      <c r="V103" s="8"/>
      <c r="W103" s="8"/>
      <c r="X103" s="115"/>
      <c r="Y103" s="8"/>
      <c r="Z103" s="8"/>
      <c r="AA103" s="8"/>
      <c r="AB103" s="162"/>
      <c r="AD103" s="583"/>
      <c r="AE103" s="584"/>
      <c r="AF103" s="584"/>
      <c r="AG103" s="584"/>
      <c r="AH103" s="590"/>
      <c r="AI103" s="590"/>
      <c r="AJ103" s="590"/>
      <c r="AK103" s="590"/>
      <c r="AL103" s="591"/>
      <c r="AM103" s="591"/>
      <c r="AN103" s="591"/>
      <c r="AO103" s="591"/>
      <c r="AP103" s="591"/>
      <c r="AQ103" s="591"/>
      <c r="AR103" s="591"/>
      <c r="AS103" s="591"/>
    </row>
    <row r="104" spans="1:45" s="2" customFormat="1" outlineLevel="1" x14ac:dyDescent="0.2">
      <c r="A104" s="114" t="str">
        <f>'Утв. ИП 2014-2019'!B108</f>
        <v>2.5.2</v>
      </c>
      <c r="B104" s="7" t="str">
        <f>'Утв. ИП 2014-2019'!C108</f>
        <v xml:space="preserve">Автолаборатория </v>
      </c>
      <c r="C104" s="872"/>
      <c r="D104" s="871"/>
      <c r="E104" s="8" t="str">
        <f>'Утв. ИП 2014-2019'!E108</f>
        <v>1 шт.</v>
      </c>
      <c r="F104" s="8"/>
      <c r="G104" s="8"/>
      <c r="H104" s="8"/>
      <c r="I104" s="8">
        <f>'Утв. ИП 2014-2019'!F108</f>
        <v>2014</v>
      </c>
      <c r="J104" s="8">
        <f>'Утв. ИП 2014-2019'!G108</f>
        <v>2014</v>
      </c>
      <c r="K104" s="8"/>
      <c r="L104" s="8"/>
      <c r="M104" s="8"/>
      <c r="N104" s="8"/>
      <c r="O104" s="5">
        <f>('Утв. ИП 2014-2019'!H108-'Утв. ИП 2014-2019'!I108)*100/'Утв. ИП 2014-2019'!H108</f>
        <v>0</v>
      </c>
      <c r="P104" s="5">
        <f t="shared" si="3"/>
        <v>0</v>
      </c>
      <c r="Q104" s="5">
        <f>'Утв. ИП 2014-2019'!H108</f>
        <v>5.6779999999999999</v>
      </c>
      <c r="R104" s="48"/>
      <c r="S104" s="5">
        <f>'Утв. ИП 2014-2019'!I108</f>
        <v>5.6779999999999999</v>
      </c>
      <c r="T104" s="8"/>
      <c r="U104" s="874"/>
      <c r="V104" s="8"/>
      <c r="W104" s="8"/>
      <c r="X104" s="115"/>
      <c r="Y104" s="8"/>
      <c r="Z104" s="8"/>
      <c r="AA104" s="8"/>
      <c r="AB104" s="162"/>
      <c r="AD104" s="583"/>
      <c r="AE104" s="584"/>
      <c r="AF104" s="584"/>
      <c r="AG104" s="584"/>
      <c r="AH104" s="590"/>
      <c r="AI104" s="590"/>
      <c r="AJ104" s="590"/>
      <c r="AK104" s="590"/>
      <c r="AL104" s="591"/>
      <c r="AM104" s="591"/>
      <c r="AN104" s="591"/>
      <c r="AO104" s="591"/>
      <c r="AP104" s="591"/>
      <c r="AQ104" s="591"/>
      <c r="AR104" s="591"/>
      <c r="AS104" s="591"/>
    </row>
    <row r="105" spans="1:45" s="2" customFormat="1" ht="63.75" outlineLevel="1" x14ac:dyDescent="0.2">
      <c r="A105" s="114" t="str">
        <f>'Утв. ИП 2014-2019'!B109</f>
        <v>2.5.3</v>
      </c>
      <c r="B105" s="7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C105" s="872"/>
      <c r="D105" s="871"/>
      <c r="E105" s="8" t="str">
        <f>'Утв. ИП 2014-2019'!E109</f>
        <v>1 шт.</v>
      </c>
      <c r="F105" s="8"/>
      <c r="G105" s="8"/>
      <c r="H105" s="8"/>
      <c r="I105" s="8">
        <f>'Утв. ИП 2014-2019'!F109</f>
        <v>2015</v>
      </c>
      <c r="J105" s="8">
        <f>'Утв. ИП 2014-2019'!G109</f>
        <v>2015</v>
      </c>
      <c r="K105" s="8"/>
      <c r="L105" s="8"/>
      <c r="M105" s="8"/>
      <c r="N105" s="8"/>
      <c r="O105" s="5">
        <f>('Утв. ИП 2014-2019'!H109-'Утв. ИП 2014-2019'!I109)*100/'Утв. ИП 2014-2019'!H109</f>
        <v>0</v>
      </c>
      <c r="P105" s="5">
        <f t="shared" si="3"/>
        <v>0</v>
      </c>
      <c r="Q105" s="5">
        <f>'Утв. ИП 2014-2019'!H109</f>
        <v>3.26</v>
      </c>
      <c r="R105" s="48"/>
      <c r="S105" s="5">
        <f>'Утв. ИП 2014-2019'!I109</f>
        <v>3.26</v>
      </c>
      <c r="T105" s="8"/>
      <c r="U105" s="874"/>
      <c r="V105" s="8"/>
      <c r="W105" s="8"/>
      <c r="X105" s="115"/>
      <c r="Y105" s="8"/>
      <c r="Z105" s="8"/>
      <c r="AA105" s="8"/>
      <c r="AB105" s="162"/>
      <c r="AD105" s="583"/>
      <c r="AE105" s="584"/>
      <c r="AF105" s="584"/>
      <c r="AG105" s="584"/>
      <c r="AH105" s="590"/>
      <c r="AI105" s="590"/>
      <c r="AJ105" s="590"/>
      <c r="AK105" s="590"/>
      <c r="AL105" s="591"/>
      <c r="AM105" s="591"/>
      <c r="AN105" s="591"/>
      <c r="AO105" s="591"/>
      <c r="AP105" s="591"/>
      <c r="AQ105" s="591"/>
      <c r="AR105" s="591"/>
      <c r="AS105" s="591"/>
    </row>
    <row r="106" spans="1:45" s="2" customFormat="1" outlineLevel="1" x14ac:dyDescent="0.2">
      <c r="A106" s="114" t="str">
        <f>'Утв. ИП 2014-2019'!B110</f>
        <v>2.5.4</v>
      </c>
      <c r="B106" s="7" t="str">
        <f>'Утв. ИП 2014-2019'!C110</f>
        <v>Автоподъемник АПТЛ-17</v>
      </c>
      <c r="C106" s="872"/>
      <c r="D106" s="871"/>
      <c r="E106" s="8" t="str">
        <f>'Утв. ИП 2014-2019'!E110</f>
        <v>1 шт.</v>
      </c>
      <c r="F106" s="8"/>
      <c r="G106" s="8"/>
      <c r="H106" s="8"/>
      <c r="I106" s="8">
        <f>'Утв. ИП 2014-2019'!F110</f>
        <v>2014</v>
      </c>
      <c r="J106" s="8">
        <f>'Утв. ИП 2014-2019'!G110</f>
        <v>2014</v>
      </c>
      <c r="K106" s="8"/>
      <c r="L106" s="8"/>
      <c r="M106" s="8"/>
      <c r="N106" s="8"/>
      <c r="O106" s="5">
        <f>('Утв. ИП 2014-2019'!H110-'Утв. ИП 2014-2019'!I110)*100/'Утв. ИП 2014-2019'!H110</f>
        <v>0</v>
      </c>
      <c r="P106" s="5">
        <f t="shared" si="3"/>
        <v>0</v>
      </c>
      <c r="Q106" s="5">
        <f>'Утв. ИП 2014-2019'!H110</f>
        <v>2.0750000000000002</v>
      </c>
      <c r="R106" s="48"/>
      <c r="S106" s="5">
        <f>'Утв. ИП 2014-2019'!I110</f>
        <v>2.0750000000000002</v>
      </c>
      <c r="T106" s="8"/>
      <c r="U106" s="874"/>
      <c r="V106" s="8"/>
      <c r="W106" s="8"/>
      <c r="X106" s="115"/>
      <c r="Y106" s="8"/>
      <c r="Z106" s="8"/>
      <c r="AA106" s="8"/>
      <c r="AB106" s="162"/>
      <c r="AD106" s="583"/>
      <c r="AE106" s="584"/>
      <c r="AF106" s="584"/>
      <c r="AG106" s="584"/>
      <c r="AH106" s="590"/>
      <c r="AI106" s="590"/>
      <c r="AJ106" s="590"/>
      <c r="AK106" s="590"/>
      <c r="AL106" s="591"/>
      <c r="AM106" s="591"/>
      <c r="AN106" s="591"/>
      <c r="AO106" s="591"/>
      <c r="AP106" s="591"/>
      <c r="AQ106" s="591"/>
      <c r="AR106" s="591"/>
      <c r="AS106" s="591"/>
    </row>
    <row r="107" spans="1:45" s="2" customFormat="1" ht="12.75" customHeight="1" outlineLevel="1" x14ac:dyDescent="0.2">
      <c r="A107" s="114" t="str">
        <f>'Утв. ИП 2014-2019'!B111</f>
        <v>2.5.5</v>
      </c>
      <c r="B107" s="7" t="str">
        <f>'Утв. ИП 2014-2019'!C111</f>
        <v>Автомобиль Газель полноприводная</v>
      </c>
      <c r="C107" s="872"/>
      <c r="D107" s="871"/>
      <c r="E107" s="8" t="str">
        <f>'Утв. ИП 2014-2019'!E111</f>
        <v>3 шт.</v>
      </c>
      <c r="F107" s="8"/>
      <c r="G107" s="8"/>
      <c r="H107" s="8"/>
      <c r="I107" s="8">
        <f>'Утв. ИП 2014-2019'!F111</f>
        <v>2014</v>
      </c>
      <c r="J107" s="8">
        <f>'Утв. ИП 2014-2019'!G111</f>
        <v>2016</v>
      </c>
      <c r="K107" s="8"/>
      <c r="L107" s="8"/>
      <c r="M107" s="8"/>
      <c r="N107" s="8"/>
      <c r="O107" s="5">
        <f>('Утв. ИП 2014-2019'!H111-'Утв. ИП 2014-2019'!I111)*100/'Утв. ИП 2014-2019'!H111</f>
        <v>0</v>
      </c>
      <c r="P107" s="5">
        <f t="shared" si="3"/>
        <v>0</v>
      </c>
      <c r="Q107" s="5">
        <f>'Утв. ИП 2014-2019'!H111</f>
        <v>1.77</v>
      </c>
      <c r="R107" s="48"/>
      <c r="S107" s="5">
        <f>'Утв. ИП 2014-2019'!I111</f>
        <v>1.77</v>
      </c>
      <c r="T107" s="8"/>
      <c r="U107" s="874"/>
      <c r="V107" s="8"/>
      <c r="W107" s="8"/>
      <c r="X107" s="115"/>
      <c r="Y107" s="8"/>
      <c r="Z107" s="8"/>
      <c r="AA107" s="8"/>
      <c r="AB107" s="162"/>
      <c r="AD107" s="583"/>
      <c r="AE107" s="584"/>
      <c r="AF107" s="584"/>
      <c r="AG107" s="584"/>
      <c r="AH107" s="590"/>
      <c r="AI107" s="590"/>
      <c r="AJ107" s="590"/>
      <c r="AK107" s="590"/>
      <c r="AL107" s="591"/>
      <c r="AM107" s="591"/>
      <c r="AN107" s="591"/>
      <c r="AO107" s="591"/>
      <c r="AP107" s="591"/>
      <c r="AQ107" s="591"/>
      <c r="AR107" s="591"/>
      <c r="AS107" s="591"/>
    </row>
    <row r="108" spans="1:45" s="2" customFormat="1" outlineLevel="1" x14ac:dyDescent="0.2">
      <c r="A108" s="114" t="str">
        <f>'Утв. ИП 2014-2019'!B112</f>
        <v>2.5.6</v>
      </c>
      <c r="B108" s="7" t="str">
        <f>'Утв. ИП 2014-2019'!C112</f>
        <v>Автомастерская на базе ГАЗ-3309</v>
      </c>
      <c r="C108" s="872"/>
      <c r="D108" s="871"/>
      <c r="E108" s="8" t="str">
        <f>'Утв. ИП 2014-2019'!E112</f>
        <v>3 шт.</v>
      </c>
      <c r="F108" s="8"/>
      <c r="G108" s="8"/>
      <c r="H108" s="8"/>
      <c r="I108" s="8">
        <f>'Утв. ИП 2014-2019'!F112</f>
        <v>2014</v>
      </c>
      <c r="J108" s="8">
        <f>'Утв. ИП 2014-2019'!G112</f>
        <v>2017</v>
      </c>
      <c r="K108" s="8"/>
      <c r="L108" s="8"/>
      <c r="M108" s="8"/>
      <c r="N108" s="8"/>
      <c r="O108" s="5">
        <f>('Утв. ИП 2014-2019'!H112-'Утв. ИП 2014-2019'!I112)*100/'Утв. ИП 2014-2019'!H112</f>
        <v>0</v>
      </c>
      <c r="P108" s="5">
        <f t="shared" si="3"/>
        <v>0</v>
      </c>
      <c r="Q108" s="5">
        <f>'Утв. ИП 2014-2019'!H112</f>
        <v>3.42</v>
      </c>
      <c r="R108" s="48"/>
      <c r="S108" s="5">
        <f>'Утв. ИП 2014-2019'!I112</f>
        <v>3.42</v>
      </c>
      <c r="T108" s="8"/>
      <c r="U108" s="874"/>
      <c r="V108" s="8"/>
      <c r="W108" s="8"/>
      <c r="X108" s="115"/>
      <c r="Y108" s="8"/>
      <c r="Z108" s="8"/>
      <c r="AA108" s="8"/>
      <c r="AB108" s="162"/>
      <c r="AD108" s="583"/>
      <c r="AE108" s="584"/>
      <c r="AF108" s="584"/>
      <c r="AG108" s="584"/>
      <c r="AH108" s="590"/>
      <c r="AI108" s="590"/>
      <c r="AJ108" s="590"/>
      <c r="AK108" s="590"/>
      <c r="AL108" s="591"/>
      <c r="AM108" s="591"/>
      <c r="AN108" s="591"/>
      <c r="AO108" s="591"/>
      <c r="AP108" s="591"/>
      <c r="AQ108" s="591"/>
      <c r="AR108" s="591"/>
      <c r="AS108" s="591"/>
    </row>
    <row r="109" spans="1:45" s="2" customFormat="1" outlineLevel="1" x14ac:dyDescent="0.2">
      <c r="A109" s="114" t="str">
        <f>'Утв. ИП 2014-2019'!B113</f>
        <v>2.5.7</v>
      </c>
      <c r="B109" s="7" t="str">
        <f>'Утв. ИП 2014-2019'!C113</f>
        <v>Лада "Нива" 21214</v>
      </c>
      <c r="C109" s="872"/>
      <c r="D109" s="871"/>
      <c r="E109" s="8" t="str">
        <f>'Утв. ИП 2014-2019'!E113</f>
        <v>1 шт.</v>
      </c>
      <c r="F109" s="8"/>
      <c r="G109" s="8"/>
      <c r="H109" s="8"/>
      <c r="I109" s="8">
        <f>'Утв. ИП 2014-2019'!F113</f>
        <v>2014</v>
      </c>
      <c r="J109" s="8">
        <f>'Утв. ИП 2014-2019'!G113</f>
        <v>2014</v>
      </c>
      <c r="K109" s="8"/>
      <c r="L109" s="8"/>
      <c r="M109" s="8"/>
      <c r="N109" s="8"/>
      <c r="O109" s="5">
        <f>('Утв. ИП 2014-2019'!H113-'Утв. ИП 2014-2019'!I113)*100/'Утв. ИП 2014-2019'!H113</f>
        <v>0</v>
      </c>
      <c r="P109" s="5">
        <f t="shared" si="3"/>
        <v>0</v>
      </c>
      <c r="Q109" s="5">
        <f>'Утв. ИП 2014-2019'!H113</f>
        <v>0.29899999999999999</v>
      </c>
      <c r="R109" s="48"/>
      <c r="S109" s="5">
        <f>'Утв. ИП 2014-2019'!I113</f>
        <v>0.29899999999999999</v>
      </c>
      <c r="T109" s="8"/>
      <c r="U109" s="874"/>
      <c r="V109" s="8"/>
      <c r="W109" s="8"/>
      <c r="X109" s="115"/>
      <c r="Y109" s="8"/>
      <c r="Z109" s="8"/>
      <c r="AA109" s="8"/>
      <c r="AB109" s="162"/>
      <c r="AD109" s="583"/>
      <c r="AE109" s="584"/>
      <c r="AF109" s="584"/>
      <c r="AG109" s="584"/>
      <c r="AH109" s="590"/>
      <c r="AI109" s="590"/>
      <c r="AJ109" s="590"/>
      <c r="AK109" s="590"/>
      <c r="AL109" s="591"/>
      <c r="AM109" s="591"/>
      <c r="AN109" s="591"/>
      <c r="AO109" s="591"/>
      <c r="AP109" s="591"/>
      <c r="AQ109" s="591"/>
      <c r="AR109" s="591"/>
      <c r="AS109" s="591"/>
    </row>
    <row r="110" spans="1:45" s="2" customFormat="1" outlineLevel="1" x14ac:dyDescent="0.2">
      <c r="A110" s="114" t="str">
        <f>'Утв. ИП 2014-2019'!B114</f>
        <v>2.5.8</v>
      </c>
      <c r="B110" s="7" t="str">
        <f>'Утв. ИП 2014-2019'!C114</f>
        <v xml:space="preserve">УАЗ-39099 </v>
      </c>
      <c r="C110" s="872"/>
      <c r="D110" s="871"/>
      <c r="E110" s="8" t="str">
        <f>'Утв. ИП 2014-2019'!E114</f>
        <v>1 шт.</v>
      </c>
      <c r="F110" s="8"/>
      <c r="G110" s="8"/>
      <c r="H110" s="8"/>
      <c r="I110" s="8">
        <f>'Утв. ИП 2014-2019'!F114</f>
        <v>2019</v>
      </c>
      <c r="J110" s="8">
        <f>'Утв. ИП 2014-2019'!G114</f>
        <v>2019</v>
      </c>
      <c r="K110" s="8"/>
      <c r="L110" s="8"/>
      <c r="M110" s="8"/>
      <c r="N110" s="8"/>
      <c r="O110" s="5">
        <f>('Утв. ИП 2014-2019'!H114-'Утв. ИП 2014-2019'!I114)*100/'Утв. ИП 2014-2019'!H114</f>
        <v>0</v>
      </c>
      <c r="P110" s="5">
        <f t="shared" si="3"/>
        <v>0</v>
      </c>
      <c r="Q110" s="5">
        <f>'Утв. ИП 2014-2019'!H114</f>
        <v>0.4</v>
      </c>
      <c r="R110" s="48"/>
      <c r="S110" s="5">
        <f>'Утв. ИП 2014-2019'!I114</f>
        <v>0.4</v>
      </c>
      <c r="T110" s="8"/>
      <c r="U110" s="874"/>
      <c r="V110" s="8"/>
      <c r="W110" s="8"/>
      <c r="X110" s="115"/>
      <c r="Y110" s="8"/>
      <c r="Z110" s="8"/>
      <c r="AA110" s="8"/>
      <c r="AB110" s="162"/>
      <c r="AD110" s="583"/>
      <c r="AE110" s="584"/>
      <c r="AF110" s="584"/>
      <c r="AG110" s="584"/>
      <c r="AH110" s="590"/>
      <c r="AI110" s="590"/>
      <c r="AJ110" s="590"/>
      <c r="AK110" s="590"/>
      <c r="AL110" s="591"/>
      <c r="AM110" s="591"/>
      <c r="AN110" s="591"/>
      <c r="AO110" s="591"/>
      <c r="AP110" s="591"/>
      <c r="AQ110" s="591"/>
      <c r="AR110" s="591"/>
      <c r="AS110" s="591"/>
    </row>
    <row r="111" spans="1:45" s="2" customFormat="1" ht="25.5" customHeight="1" outlineLevel="1" x14ac:dyDescent="0.2">
      <c r="A111" s="114" t="str">
        <f>'Утв. ИП 2014-2019'!B115</f>
        <v>2.5.9</v>
      </c>
      <c r="B111" s="7" t="str">
        <f>'Утв. ИП 2014-2019'!C115</f>
        <v>Бурильно-крановая установка БМ-302 на базе МТЗ-82</v>
      </c>
      <c r="C111" s="872"/>
      <c r="D111" s="871"/>
      <c r="E111" s="8" t="str">
        <f>'Утв. ИП 2014-2019'!E115</f>
        <v>1 шт.</v>
      </c>
      <c r="F111" s="8"/>
      <c r="G111" s="8"/>
      <c r="H111" s="8"/>
      <c r="I111" s="8">
        <f>'Утв. ИП 2014-2019'!F115</f>
        <v>2019</v>
      </c>
      <c r="J111" s="8">
        <f>'Утв. ИП 2014-2019'!G115</f>
        <v>2019</v>
      </c>
      <c r="K111" s="8"/>
      <c r="L111" s="8"/>
      <c r="M111" s="8"/>
      <c r="N111" s="8"/>
      <c r="O111" s="5">
        <f>('Утв. ИП 2014-2019'!H115-'Утв. ИП 2014-2019'!I115)*100/'Утв. ИП 2014-2019'!H115</f>
        <v>0</v>
      </c>
      <c r="P111" s="5">
        <f t="shared" si="3"/>
        <v>0</v>
      </c>
      <c r="Q111" s="5">
        <f>'Утв. ИП 2014-2019'!H115</f>
        <v>2.5</v>
      </c>
      <c r="R111" s="48"/>
      <c r="S111" s="5">
        <f>'Утв. ИП 2014-2019'!I115</f>
        <v>2.5</v>
      </c>
      <c r="T111" s="8"/>
      <c r="U111" s="874"/>
      <c r="V111" s="8"/>
      <c r="W111" s="8"/>
      <c r="X111" s="115"/>
      <c r="Y111" s="8"/>
      <c r="Z111" s="8"/>
      <c r="AA111" s="8"/>
      <c r="AB111" s="161"/>
      <c r="AD111" s="583"/>
      <c r="AE111" s="584"/>
      <c r="AF111" s="584"/>
      <c r="AG111" s="584"/>
      <c r="AH111" s="590"/>
      <c r="AI111" s="590"/>
      <c r="AJ111" s="590"/>
      <c r="AK111" s="590"/>
      <c r="AL111" s="591"/>
      <c r="AM111" s="591"/>
      <c r="AN111" s="591"/>
      <c r="AO111" s="591"/>
      <c r="AP111" s="591"/>
      <c r="AQ111" s="591"/>
      <c r="AR111" s="591"/>
      <c r="AS111" s="591"/>
    </row>
    <row r="112" spans="1:45" s="2" customFormat="1" outlineLevel="1" x14ac:dyDescent="0.2">
      <c r="A112" s="114" t="str">
        <f>'Утв. ИП 2014-2019'!B116</f>
        <v>2.5.10</v>
      </c>
      <c r="B112" s="7" t="str">
        <f>'Утв. ИП 2014-2019'!C116</f>
        <v>Самосвал КАМАЗ-53605</v>
      </c>
      <c r="C112" s="872"/>
      <c r="D112" s="871"/>
      <c r="E112" s="8" t="str">
        <f>'Утв. ИП 2014-2019'!E116</f>
        <v>2 шт.</v>
      </c>
      <c r="F112" s="8"/>
      <c r="G112" s="8"/>
      <c r="H112" s="8"/>
      <c r="I112" s="8">
        <f>'Утв. ИП 2014-2019'!F116</f>
        <v>2018</v>
      </c>
      <c r="J112" s="8">
        <f>'Утв. ИП 2014-2019'!G116</f>
        <v>2019</v>
      </c>
      <c r="K112" s="8"/>
      <c r="L112" s="8"/>
      <c r="M112" s="8"/>
      <c r="N112" s="8"/>
      <c r="O112" s="5">
        <f>('Утв. ИП 2014-2019'!H116-'Утв. ИП 2014-2019'!I116)*100/'Утв. ИП 2014-2019'!H116</f>
        <v>0</v>
      </c>
      <c r="P112" s="5">
        <f t="shared" si="3"/>
        <v>0</v>
      </c>
      <c r="Q112" s="5">
        <f>'Утв. ИП 2014-2019'!H116</f>
        <v>3</v>
      </c>
      <c r="R112" s="48"/>
      <c r="S112" s="5">
        <f>'Утв. ИП 2014-2019'!I116</f>
        <v>3</v>
      </c>
      <c r="T112" s="8"/>
      <c r="U112" s="874"/>
      <c r="V112" s="8"/>
      <c r="W112" s="8"/>
      <c r="X112" s="115"/>
      <c r="Y112" s="8"/>
      <c r="Z112" s="8"/>
      <c r="AA112" s="8"/>
      <c r="AB112" s="160" t="s">
        <v>2159</v>
      </c>
      <c r="AD112" s="583"/>
      <c r="AE112" s="584"/>
      <c r="AF112" s="584"/>
      <c r="AG112" s="584"/>
      <c r="AH112" s="590"/>
      <c r="AI112" s="590"/>
      <c r="AJ112" s="590"/>
      <c r="AK112" s="590"/>
      <c r="AL112" s="591"/>
      <c r="AM112" s="591"/>
      <c r="AN112" s="591"/>
      <c r="AO112" s="591"/>
      <c r="AP112" s="591"/>
      <c r="AQ112" s="591"/>
      <c r="AR112" s="591"/>
      <c r="AS112" s="591"/>
    </row>
    <row r="113" spans="1:64" s="2" customFormat="1" outlineLevel="1" x14ac:dyDescent="0.2">
      <c r="A113" s="114" t="str">
        <f>'Утв. ИП 2014-2019'!B117</f>
        <v>2.5.11</v>
      </c>
      <c r="B113" s="7" t="str">
        <f>'Утв. ИП 2014-2019'!C117</f>
        <v>Бортовой КАМАЗ-53215</v>
      </c>
      <c r="C113" s="872"/>
      <c r="D113" s="871"/>
      <c r="E113" s="8" t="str">
        <f>'Утв. ИП 2014-2019'!E117</f>
        <v>1 шт.</v>
      </c>
      <c r="F113" s="8"/>
      <c r="G113" s="8"/>
      <c r="H113" s="8"/>
      <c r="I113" s="8">
        <f>'Утв. ИП 2014-2019'!F117</f>
        <v>2019</v>
      </c>
      <c r="J113" s="8">
        <f>'Утв. ИП 2014-2019'!G117</f>
        <v>2019</v>
      </c>
      <c r="K113" s="8"/>
      <c r="L113" s="8"/>
      <c r="M113" s="8"/>
      <c r="N113" s="8"/>
      <c r="O113" s="5">
        <f>('Утв. ИП 2014-2019'!H117-'Утв. ИП 2014-2019'!I117)*100/'Утв. ИП 2014-2019'!H117</f>
        <v>0</v>
      </c>
      <c r="P113" s="5">
        <f t="shared" si="3"/>
        <v>0</v>
      </c>
      <c r="Q113" s="5">
        <f>'Утв. ИП 2014-2019'!H117</f>
        <v>1.8</v>
      </c>
      <c r="R113" s="48"/>
      <c r="S113" s="5">
        <f>'Утв. ИП 2014-2019'!I117</f>
        <v>1.8</v>
      </c>
      <c r="T113" s="8"/>
      <c r="U113" s="874"/>
      <c r="V113" s="8"/>
      <c r="W113" s="8"/>
      <c r="X113" s="115"/>
      <c r="Y113" s="8"/>
      <c r="Z113" s="8"/>
      <c r="AA113" s="8"/>
      <c r="AB113" s="162"/>
      <c r="AD113" s="583"/>
      <c r="AE113" s="584"/>
      <c r="AF113" s="584"/>
      <c r="AG113" s="584"/>
      <c r="AH113" s="590"/>
      <c r="AI113" s="590"/>
      <c r="AJ113" s="590"/>
      <c r="AK113" s="590"/>
      <c r="AL113" s="591"/>
      <c r="AM113" s="591"/>
      <c r="AN113" s="591"/>
      <c r="AO113" s="591"/>
      <c r="AP113" s="591"/>
      <c r="AQ113" s="591"/>
      <c r="AR113" s="591"/>
      <c r="AS113" s="591"/>
    </row>
    <row r="114" spans="1:64" s="2" customFormat="1" ht="25.5" outlineLevel="1" x14ac:dyDescent="0.2">
      <c r="A114" s="114" t="str">
        <f>'Утв. ИП 2014-2019'!B118</f>
        <v>2.5.12</v>
      </c>
      <c r="B114" s="7" t="str">
        <f>'Утв. ИП 2014-2019'!C118</f>
        <v>Бортовой КАМАЗ с манипулятором</v>
      </c>
      <c r="C114" s="872"/>
      <c r="D114" s="871"/>
      <c r="E114" s="8" t="str">
        <f>'Утв. ИП 2014-2019'!E118</f>
        <v>1 шт.</v>
      </c>
      <c r="F114" s="8"/>
      <c r="G114" s="8"/>
      <c r="H114" s="8"/>
      <c r="I114" s="8">
        <f>'Утв. ИП 2014-2019'!F118</f>
        <v>2019</v>
      </c>
      <c r="J114" s="8">
        <f>'Утв. ИП 2014-2019'!G118</f>
        <v>2019</v>
      </c>
      <c r="K114" s="8"/>
      <c r="L114" s="8"/>
      <c r="M114" s="8"/>
      <c r="N114" s="8"/>
      <c r="O114" s="5">
        <f>('Утв. ИП 2014-2019'!H118-'Утв. ИП 2014-2019'!I118)*100/'Утв. ИП 2014-2019'!H118</f>
        <v>0</v>
      </c>
      <c r="P114" s="5">
        <f t="shared" si="3"/>
        <v>0</v>
      </c>
      <c r="Q114" s="5">
        <f>'Утв. ИП 2014-2019'!H118</f>
        <v>3.5</v>
      </c>
      <c r="R114" s="48"/>
      <c r="S114" s="5">
        <f>'Утв. ИП 2014-2019'!I118</f>
        <v>3.5</v>
      </c>
      <c r="T114" s="8"/>
      <c r="U114" s="874"/>
      <c r="V114" s="8"/>
      <c r="W114" s="8"/>
      <c r="X114" s="115"/>
      <c r="Y114" s="8"/>
      <c r="Z114" s="8"/>
      <c r="AA114" s="8"/>
      <c r="AB114" s="162"/>
      <c r="AD114" s="583"/>
      <c r="AE114" s="584"/>
      <c r="AF114" s="584"/>
      <c r="AG114" s="584"/>
      <c r="AH114" s="590"/>
      <c r="AI114" s="590"/>
      <c r="AJ114" s="590"/>
      <c r="AK114" s="590"/>
      <c r="AL114" s="591"/>
      <c r="AM114" s="591"/>
      <c r="AN114" s="591"/>
      <c r="AO114" s="591"/>
      <c r="AP114" s="591"/>
      <c r="AQ114" s="591"/>
      <c r="AR114" s="591"/>
      <c r="AS114" s="591"/>
    </row>
    <row r="115" spans="1:64" s="2" customFormat="1" outlineLevel="1" x14ac:dyDescent="0.2">
      <c r="A115" s="114" t="str">
        <f>'Утв. ИП 2014-2019'!B119</f>
        <v>2.5.13</v>
      </c>
      <c r="B115" s="7" t="str">
        <f>'Утв. ИП 2014-2019'!C119</f>
        <v>Грузопассажирский УАЗ-390994</v>
      </c>
      <c r="C115" s="872"/>
      <c r="D115" s="871"/>
      <c r="E115" s="8" t="str">
        <f>'Утв. ИП 2014-2019'!E119</f>
        <v>2 шт.</v>
      </c>
      <c r="F115" s="8"/>
      <c r="G115" s="8"/>
      <c r="H115" s="8"/>
      <c r="I115" s="8">
        <f>'Утв. ИП 2014-2019'!F119</f>
        <v>2019</v>
      </c>
      <c r="J115" s="8">
        <f>'Утв. ИП 2014-2019'!G119</f>
        <v>2019</v>
      </c>
      <c r="K115" s="8"/>
      <c r="L115" s="8"/>
      <c r="M115" s="8"/>
      <c r="N115" s="8"/>
      <c r="O115" s="5">
        <f>('Утв. ИП 2014-2019'!H119-'Утв. ИП 2014-2019'!I119)*100/'Утв. ИП 2014-2019'!H119</f>
        <v>0</v>
      </c>
      <c r="P115" s="5">
        <f t="shared" si="3"/>
        <v>0</v>
      </c>
      <c r="Q115" s="5">
        <f>'Утв. ИП 2014-2019'!H119</f>
        <v>0.8</v>
      </c>
      <c r="R115" s="48"/>
      <c r="S115" s="5">
        <f>'Утв. ИП 2014-2019'!I119</f>
        <v>0.8</v>
      </c>
      <c r="T115" s="8"/>
      <c r="U115" s="874"/>
      <c r="V115" s="8"/>
      <c r="W115" s="8"/>
      <c r="X115" s="115"/>
      <c r="Y115" s="8"/>
      <c r="Z115" s="8"/>
      <c r="AA115" s="8"/>
      <c r="AB115" s="162"/>
      <c r="AD115" s="583"/>
      <c r="AE115" s="584"/>
      <c r="AF115" s="584"/>
      <c r="AG115" s="584"/>
      <c r="AH115" s="590"/>
      <c r="AI115" s="590"/>
      <c r="AJ115" s="590"/>
      <c r="AK115" s="590"/>
      <c r="AL115" s="591"/>
      <c r="AM115" s="591"/>
      <c r="AN115" s="591"/>
      <c r="AO115" s="591"/>
      <c r="AP115" s="591"/>
      <c r="AQ115" s="591"/>
      <c r="AR115" s="591"/>
      <c r="AS115" s="591"/>
    </row>
    <row r="116" spans="1:64" s="2" customFormat="1" ht="24.75" customHeight="1" outlineLevel="1" x14ac:dyDescent="0.2">
      <c r="A116" s="114" t="str">
        <f>'Утв. ИП 2014-2019'!B120</f>
        <v>2.5.14</v>
      </c>
      <c r="B116" s="7" t="str">
        <f>'Утв. ИП 2014-2019'!C120</f>
        <v>Автокран МАЗ-5337 А2 КС-35715</v>
      </c>
      <c r="C116" s="872"/>
      <c r="D116" s="871"/>
      <c r="E116" s="8" t="str">
        <f>'Утв. ИП 2014-2019'!E120</f>
        <v>1 шт.</v>
      </c>
      <c r="F116" s="8"/>
      <c r="G116" s="8"/>
      <c r="H116" s="8"/>
      <c r="I116" s="8">
        <f>'Утв. ИП 2014-2019'!F120</f>
        <v>2019</v>
      </c>
      <c r="J116" s="8">
        <f>'Утв. ИП 2014-2019'!G120</f>
        <v>2019</v>
      </c>
      <c r="K116" s="8"/>
      <c r="L116" s="8"/>
      <c r="M116" s="8"/>
      <c r="N116" s="8"/>
      <c r="O116" s="5">
        <f>('Утв. ИП 2014-2019'!H120-'Утв. ИП 2014-2019'!I120)*100/'Утв. ИП 2014-2019'!H120</f>
        <v>0</v>
      </c>
      <c r="P116" s="5">
        <f t="shared" si="3"/>
        <v>0</v>
      </c>
      <c r="Q116" s="5">
        <f>'Утв. ИП 2014-2019'!H120</f>
        <v>3.5</v>
      </c>
      <c r="R116" s="48"/>
      <c r="S116" s="5">
        <f>'Утв. ИП 2014-2019'!I120</f>
        <v>3.5</v>
      </c>
      <c r="T116" s="8"/>
      <c r="U116" s="874"/>
      <c r="V116" s="8"/>
      <c r="W116" s="8"/>
      <c r="X116" s="115"/>
      <c r="Y116" s="8"/>
      <c r="Z116" s="8"/>
      <c r="AA116" s="8"/>
      <c r="AB116" s="162"/>
      <c r="AD116" s="583"/>
      <c r="AE116" s="584"/>
      <c r="AF116" s="584"/>
      <c r="AG116" s="584"/>
      <c r="AH116" s="590"/>
      <c r="AI116" s="590"/>
      <c r="AJ116" s="590"/>
      <c r="AK116" s="590"/>
      <c r="AL116" s="591"/>
      <c r="AM116" s="591"/>
      <c r="AN116" s="591"/>
      <c r="AO116" s="591"/>
      <c r="AP116" s="591"/>
      <c r="AQ116" s="591"/>
      <c r="AR116" s="591"/>
      <c r="AS116" s="591"/>
    </row>
    <row r="117" spans="1:64" s="42" customFormat="1" x14ac:dyDescent="0.2">
      <c r="A117" s="39" t="str">
        <f>'Утв. ИП 2014-2019'!B121</f>
        <v>3.</v>
      </c>
      <c r="B117" s="40" t="s">
        <v>427</v>
      </c>
      <c r="C117" s="106"/>
      <c r="D117" s="107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8"/>
      <c r="P117" s="106"/>
      <c r="Q117" s="41">
        <f>'Утв. ИП 2014-2019'!H121</f>
        <v>984.10256753240697</v>
      </c>
      <c r="R117" s="41"/>
      <c r="S117" s="41">
        <f>'Утв. ИП 2014-2019'!I121</f>
        <v>701.05694062545763</v>
      </c>
      <c r="T117" s="106"/>
      <c r="U117" s="106"/>
      <c r="V117" s="106"/>
      <c r="W117" s="106"/>
      <c r="X117" s="330"/>
      <c r="Y117" s="106"/>
      <c r="Z117" s="106"/>
      <c r="AA117" s="106"/>
      <c r="AB117" s="106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</row>
    <row r="118" spans="1:64" s="32" customFormat="1" ht="63.75" x14ac:dyDescent="0.2">
      <c r="A118" s="37" t="s">
        <v>428</v>
      </c>
      <c r="B118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C118" s="34"/>
      <c r="D118" s="38"/>
      <c r="E118" s="34"/>
      <c r="F118" s="34"/>
      <c r="G118" s="34"/>
      <c r="H118" s="34"/>
      <c r="I118" s="34">
        <v>2013</v>
      </c>
      <c r="J118" s="34">
        <v>2019</v>
      </c>
      <c r="K118" s="34"/>
      <c r="L118" s="34"/>
      <c r="M118" s="34"/>
      <c r="N118" s="34"/>
      <c r="O118" s="36"/>
      <c r="P118" s="35"/>
      <c r="Q118" s="36">
        <f>'Утв. ИП 2014-2019'!H122</f>
        <v>530.76680200000021</v>
      </c>
      <c r="R118" s="36"/>
      <c r="S118" s="36">
        <f>'Утв. ИП 2014-2019'!I122</f>
        <v>450.17199200000005</v>
      </c>
      <c r="T118" s="34"/>
      <c r="U118" s="34"/>
      <c r="V118" s="34"/>
      <c r="W118" s="34"/>
      <c r="X118" s="331"/>
      <c r="Y118" s="34"/>
      <c r="Z118" s="34"/>
      <c r="AA118" s="34"/>
      <c r="AB118" s="74"/>
      <c r="AD118" s="589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</row>
    <row r="119" spans="1:64" s="32" customFormat="1" ht="90" customHeight="1" x14ac:dyDescent="0.2">
      <c r="A119" s="37" t="s">
        <v>461</v>
      </c>
      <c r="B119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C119" s="34"/>
      <c r="D119" s="38"/>
      <c r="E119" s="34"/>
      <c r="F119" s="34"/>
      <c r="G119" s="34"/>
      <c r="H119" s="34"/>
      <c r="I119" s="34">
        <v>2013</v>
      </c>
      <c r="J119" s="34">
        <v>2019</v>
      </c>
      <c r="K119" s="34"/>
      <c r="L119" s="34"/>
      <c r="M119" s="34"/>
      <c r="N119" s="34"/>
      <c r="O119" s="36"/>
      <c r="P119" s="35"/>
      <c r="Q119" s="36">
        <f>'Утв. ИП 2014-2019'!H243</f>
        <v>271.72655775440671</v>
      </c>
      <c r="R119" s="36"/>
      <c r="S119" s="36">
        <f>'Утв. ИП 2014-2019'!I243</f>
        <v>117.58238084745756</v>
      </c>
      <c r="T119" s="34"/>
      <c r="U119" s="34"/>
      <c r="V119" s="34"/>
      <c r="W119" s="34"/>
      <c r="X119" s="331"/>
      <c r="Y119" s="34"/>
      <c r="Z119" s="34"/>
      <c r="AA119" s="34"/>
      <c r="AB119" s="74"/>
      <c r="AD119" s="589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89"/>
      <c r="AR119" s="589"/>
      <c r="AS119" s="589"/>
    </row>
    <row r="120" spans="1:64" s="32" customFormat="1" ht="26.25" customHeight="1" x14ac:dyDescent="0.2">
      <c r="A120" s="37" t="s">
        <v>442</v>
      </c>
      <c r="B120" s="38" t="str">
        <f>'Утв. ИП 2014-2019'!C1333</f>
        <v>Выполнение объектов за счет платы за технологическое присоединение</v>
      </c>
      <c r="C120" s="34"/>
      <c r="D120" s="38"/>
      <c r="E120" s="34"/>
      <c r="F120" s="34"/>
      <c r="G120" s="34"/>
      <c r="H120" s="34"/>
      <c r="I120" s="34">
        <v>2013</v>
      </c>
      <c r="J120" s="34">
        <v>2019</v>
      </c>
      <c r="K120" s="34"/>
      <c r="L120" s="34"/>
      <c r="M120" s="34"/>
      <c r="N120" s="34"/>
      <c r="O120" s="36"/>
      <c r="P120" s="35"/>
      <c r="Q120" s="36">
        <f>'Утв. ИП 2014-2019'!H1333</f>
        <v>181.60920777800001</v>
      </c>
      <c r="R120" s="36"/>
      <c r="S120" s="36">
        <f>'Утв. ИП 2014-2019'!I1333</f>
        <v>133.302567778</v>
      </c>
      <c r="T120" s="34"/>
      <c r="U120" s="34"/>
      <c r="V120" s="34"/>
      <c r="W120" s="34"/>
      <c r="X120" s="331"/>
      <c r="Y120" s="34"/>
      <c r="Z120" s="34"/>
      <c r="AA120" s="34"/>
      <c r="AB120" s="74"/>
      <c r="AD120" s="589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  <c r="AO120" s="589"/>
      <c r="AP120" s="589"/>
      <c r="AQ120" s="589"/>
      <c r="AR120" s="589"/>
      <c r="AS120" s="589"/>
    </row>
    <row r="121" spans="1:64" s="21" customFormat="1" ht="15.75" x14ac:dyDescent="0.25">
      <c r="A121" s="21" t="s">
        <v>434</v>
      </c>
      <c r="D121" s="5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90"/>
      <c r="P121" s="89"/>
      <c r="Q121" s="89"/>
      <c r="R121" s="89"/>
      <c r="S121" s="89"/>
      <c r="AB121" s="71"/>
    </row>
    <row r="122" spans="1:64" s="2" customFormat="1" ht="26.25" customHeight="1" x14ac:dyDescent="0.2">
      <c r="A122" s="292"/>
      <c r="B122" s="293"/>
      <c r="C122" s="101"/>
      <c r="D122" s="293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291"/>
      <c r="P122" s="348"/>
      <c r="Q122" s="291"/>
      <c r="R122" s="291"/>
      <c r="S122" s="291"/>
      <c r="T122" s="101"/>
      <c r="U122" s="101"/>
      <c r="V122" s="101"/>
      <c r="W122" s="101"/>
      <c r="X122" s="334"/>
      <c r="Y122" s="101"/>
      <c r="Z122" s="101"/>
      <c r="AA122" s="101"/>
      <c r="AB122" s="101"/>
    </row>
    <row r="123" spans="1:64" s="51" customFormat="1" ht="12.75" customHeight="1" x14ac:dyDescent="0.35">
      <c r="A123" s="851" t="s">
        <v>5</v>
      </c>
      <c r="B123" s="851"/>
      <c r="C123" s="851"/>
      <c r="D123" s="851"/>
      <c r="E123" s="851"/>
      <c r="F123" s="851"/>
      <c r="G123" s="851"/>
      <c r="H123" s="851"/>
      <c r="I123" s="851"/>
      <c r="J123" s="851"/>
      <c r="K123" s="851"/>
      <c r="L123" s="851"/>
      <c r="M123" s="851"/>
      <c r="N123" s="851"/>
      <c r="O123" s="851"/>
      <c r="P123" s="851"/>
      <c r="Q123" s="851"/>
      <c r="R123" s="851"/>
      <c r="S123" s="851"/>
      <c r="T123" s="851"/>
      <c r="U123" s="851"/>
      <c r="V123" s="851"/>
      <c r="W123" s="851"/>
      <c r="X123" s="336"/>
      <c r="Y123" s="336"/>
      <c r="Z123" s="336"/>
      <c r="AA123" s="336"/>
      <c r="AB123" s="336"/>
      <c r="AC123" s="336"/>
      <c r="AD123" s="336"/>
      <c r="AE123" s="336"/>
      <c r="AF123" s="336"/>
      <c r="AG123" s="336"/>
      <c r="AH123" s="336"/>
      <c r="AI123" s="47"/>
      <c r="AJ123" s="47"/>
      <c r="AK123" s="47"/>
      <c r="AL123" s="47"/>
      <c r="AM123" s="83"/>
      <c r="AN123" s="83"/>
      <c r="AO123" s="86"/>
      <c r="AP123" s="86"/>
      <c r="AQ123" s="83"/>
      <c r="AR123" s="83"/>
      <c r="AS123" s="86"/>
      <c r="AT123" s="86"/>
      <c r="AU123" s="83"/>
      <c r="AV123" s="83"/>
      <c r="AW123" s="83"/>
      <c r="AX123" s="83"/>
      <c r="BF123" s="155"/>
      <c r="BG123" s="155"/>
      <c r="BL123" s="155"/>
    </row>
    <row r="124" spans="1:64" ht="24" customHeight="1" x14ac:dyDescent="0.35">
      <c r="A124" s="851"/>
      <c r="B124" s="851"/>
      <c r="C124" s="851"/>
      <c r="D124" s="851"/>
      <c r="E124" s="851"/>
      <c r="F124" s="851"/>
      <c r="G124" s="851"/>
      <c r="H124" s="851"/>
      <c r="I124" s="851"/>
      <c r="J124" s="851"/>
      <c r="K124" s="851"/>
      <c r="L124" s="851"/>
      <c r="M124" s="851"/>
      <c r="N124" s="851"/>
      <c r="O124" s="851"/>
      <c r="P124" s="851"/>
      <c r="Q124" s="851"/>
      <c r="R124" s="851"/>
      <c r="S124" s="851"/>
      <c r="T124" s="851"/>
      <c r="U124" s="851"/>
      <c r="V124" s="851"/>
      <c r="W124" s="851"/>
      <c r="X124" s="336"/>
      <c r="Y124" s="336"/>
      <c r="Z124" s="336"/>
      <c r="AA124" s="336"/>
      <c r="AB124" s="336"/>
      <c r="AC124" s="336"/>
      <c r="AD124" s="336"/>
      <c r="AE124" s="336"/>
      <c r="AF124" s="336"/>
      <c r="AG124" s="336"/>
      <c r="AH124" s="336"/>
      <c r="AI124" s="2"/>
      <c r="AJ124" s="2"/>
      <c r="AK124" s="2"/>
      <c r="AL124" s="47"/>
      <c r="AM124" s="83"/>
      <c r="AN124" s="83"/>
      <c r="AO124" s="86"/>
      <c r="AP124" s="86"/>
      <c r="AQ124" s="83"/>
      <c r="AR124" s="83"/>
      <c r="AS124" s="86"/>
      <c r="AT124" s="86"/>
      <c r="AU124" s="83"/>
      <c r="AV124" s="83"/>
      <c r="AW124" s="83"/>
      <c r="AX124" s="83"/>
      <c r="AY124" s="51"/>
      <c r="BC124" s="51"/>
      <c r="BD124" s="51"/>
      <c r="BF124" s="64"/>
      <c r="BG124" s="64"/>
      <c r="BL124" s="64"/>
    </row>
    <row r="125" spans="1:64" ht="18.75" x14ac:dyDescent="0.2">
      <c r="B125" s="20"/>
    </row>
    <row r="126" spans="1:64" ht="18.75" x14ac:dyDescent="0.2">
      <c r="B126" s="20"/>
    </row>
    <row r="127" spans="1:64" ht="18.75" x14ac:dyDescent="0.2">
      <c r="B127" s="20"/>
    </row>
  </sheetData>
  <mergeCells count="66">
    <mergeCell ref="N8:N9"/>
    <mergeCell ref="Q7:R7"/>
    <mergeCell ref="C92:C101"/>
    <mergeCell ref="D92:D101"/>
    <mergeCell ref="Q8:Q9"/>
    <mergeCell ref="P7:P9"/>
    <mergeCell ref="H7:H9"/>
    <mergeCell ref="O7:O9"/>
    <mergeCell ref="K8:K9"/>
    <mergeCell ref="AC50:AC54"/>
    <mergeCell ref="T8:T9"/>
    <mergeCell ref="X35:AA35"/>
    <mergeCell ref="V34:V35"/>
    <mergeCell ref="V30:V32"/>
    <mergeCell ref="Z8:AA8"/>
    <mergeCell ref="V8:V9"/>
    <mergeCell ref="V17:V18"/>
    <mergeCell ref="V19:V21"/>
    <mergeCell ref="A4:AA4"/>
    <mergeCell ref="I7:J7"/>
    <mergeCell ref="K7:N7"/>
    <mergeCell ref="X8:Y8"/>
    <mergeCell ref="X7:AA7"/>
    <mergeCell ref="U8:U9"/>
    <mergeCell ref="L8:L9"/>
    <mergeCell ref="I8:I9"/>
    <mergeCell ref="C7:C9"/>
    <mergeCell ref="A7:A9"/>
    <mergeCell ref="B7:B9"/>
    <mergeCell ref="G8:G9"/>
    <mergeCell ref="D7:D9"/>
    <mergeCell ref="F8:F9"/>
    <mergeCell ref="E8:E9"/>
    <mergeCell ref="J8:J9"/>
    <mergeCell ref="A123:W124"/>
    <mergeCell ref="S7:T7"/>
    <mergeCell ref="E7:G7"/>
    <mergeCell ref="U7:W7"/>
    <mergeCell ref="AB88:AB90"/>
    <mergeCell ref="AB7:AB8"/>
    <mergeCell ref="W8:W9"/>
    <mergeCell ref="R8:R9"/>
    <mergeCell ref="S8:S9"/>
    <mergeCell ref="X19:AA19"/>
    <mergeCell ref="V62:V63"/>
    <mergeCell ref="U92:U101"/>
    <mergeCell ref="C103:C116"/>
    <mergeCell ref="D103:D116"/>
    <mergeCell ref="U103:U116"/>
    <mergeCell ref="M8:M9"/>
    <mergeCell ref="AD7:AD9"/>
    <mergeCell ref="AE7:AE9"/>
    <mergeCell ref="AF7:AF9"/>
    <mergeCell ref="AG7:AG9"/>
    <mergeCell ref="AH7:AH9"/>
    <mergeCell ref="AI7:AI9"/>
    <mergeCell ref="AJ7:AJ9"/>
    <mergeCell ref="AK7:AK9"/>
    <mergeCell ref="AL7:AL9"/>
    <mergeCell ref="AM7:AM9"/>
    <mergeCell ref="AS7:AS9"/>
    <mergeCell ref="AN7:AN9"/>
    <mergeCell ref="AO7:AO9"/>
    <mergeCell ref="AP7:AP9"/>
    <mergeCell ref="AQ7:AQ9"/>
    <mergeCell ref="AR7:AR9"/>
  </mergeCells>
  <phoneticPr fontId="12" type="noConversion"/>
  <printOptions horizontalCentered="1"/>
  <pageMargins left="0.19685039370078741" right="0.19685039370078741" top="0.27559055118110237" bottom="0.31496062992125984" header="0" footer="0.19685039370078741"/>
  <pageSetup paperSize="8" scale="60" fitToWidth="2" fitToHeight="8" orientation="landscape" r:id="rId1"/>
  <headerFooter alignWithMargins="0"/>
  <rowBreaks count="3" manualBreakCount="3">
    <brk id="32" max="44" man="1"/>
    <brk id="58" max="44" man="1"/>
    <brk id="89" max="4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2"/>
  <sheetViews>
    <sheetView view="pageBreakPreview" topLeftCell="A7" zoomScale="80" zoomScaleNormal="100" zoomScaleSheetLayoutView="80" workbookViewId="0">
      <pane xSplit="3" ySplit="3" topLeftCell="D10" activePane="bottomRight" state="frozen"/>
      <selection activeCell="C33" sqref="C33"/>
      <selection pane="topRight" activeCell="C33" sqref="C33"/>
      <selection pane="bottomLeft" activeCell="C33" sqref="C33"/>
      <selection pane="bottomRight" activeCell="E81" sqref="E81"/>
    </sheetView>
  </sheetViews>
  <sheetFormatPr defaultColWidth="0" defaultRowHeight="12.75" outlineLevelRow="2" outlineLevelCol="1" x14ac:dyDescent="0.2"/>
  <cols>
    <col min="1" max="1" width="6.7109375" style="423" customWidth="1"/>
    <col min="2" max="2" width="8.42578125" style="424" customWidth="1"/>
    <col min="3" max="3" width="43.28515625" style="424" customWidth="1"/>
    <col min="4" max="4" width="11.5703125" style="424" customWidth="1"/>
    <col min="5" max="5" width="12" style="424" customWidth="1"/>
    <col min="6" max="8" width="13.5703125" style="424" customWidth="1"/>
    <col min="9" max="9" width="14.140625" style="424" customWidth="1"/>
    <col min="10" max="10" width="8.42578125" style="424" customWidth="1"/>
    <col min="11" max="11" width="6.140625" style="424" hidden="1" customWidth="1" outlineLevel="1"/>
    <col min="12" max="12" width="6.7109375" style="424" hidden="1" customWidth="1" outlineLevel="1"/>
    <col min="13" max="18" width="6.140625" style="424" hidden="1" customWidth="1" outlineLevel="1"/>
    <col min="19" max="19" width="6.140625" style="424" customWidth="1" collapsed="1"/>
    <col min="20" max="247" width="0.85546875" style="424" customWidth="1"/>
    <col min="248" max="248" width="6.7109375" style="424" customWidth="1"/>
    <col min="249" max="249" width="8.42578125" style="424" customWidth="1"/>
    <col min="250" max="250" width="43.28515625" style="424" customWidth="1"/>
    <col min="251" max="252" width="0" style="424" hidden="1"/>
    <col min="253" max="253" width="6.7109375" style="424" customWidth="1"/>
    <col min="254" max="254" width="8.42578125" style="424" customWidth="1"/>
    <col min="255" max="255" width="43.28515625" style="424" customWidth="1"/>
    <col min="256" max="16384" width="0" style="424" hidden="1"/>
  </cols>
  <sheetData>
    <row r="1" spans="1:16" ht="15.75" x14ac:dyDescent="0.2">
      <c r="E1" s="46"/>
      <c r="G1" s="425" t="s">
        <v>2760</v>
      </c>
    </row>
    <row r="2" spans="1:16" ht="15.75" x14ac:dyDescent="0.2">
      <c r="E2" s="46"/>
      <c r="G2" s="426" t="s">
        <v>2761</v>
      </c>
    </row>
    <row r="3" spans="1:16" ht="15.75" x14ac:dyDescent="0.2">
      <c r="E3" s="46"/>
      <c r="G3" s="426" t="s">
        <v>2762</v>
      </c>
    </row>
    <row r="4" spans="1:16" ht="15.75" x14ac:dyDescent="0.2">
      <c r="D4" s="427"/>
      <c r="F4" s="427"/>
      <c r="G4" s="425" t="s">
        <v>1397</v>
      </c>
      <c r="H4" s="427"/>
      <c r="I4" s="427"/>
    </row>
    <row r="5" spans="1:16" x14ac:dyDescent="0.2">
      <c r="D5" s="427"/>
      <c r="F5" s="427"/>
      <c r="G5" s="427"/>
      <c r="H5" s="427"/>
      <c r="I5" s="427"/>
    </row>
    <row r="6" spans="1:16" s="429" customFormat="1" ht="18.75" x14ac:dyDescent="0.25">
      <c r="A6" s="428"/>
      <c r="B6" s="880" t="s">
        <v>2763</v>
      </c>
      <c r="C6" s="880"/>
      <c r="D6" s="880"/>
      <c r="E6" s="880"/>
      <c r="F6" s="880"/>
      <c r="G6" s="880"/>
      <c r="H6" s="880"/>
      <c r="I6" s="880"/>
    </row>
    <row r="7" spans="1:16" s="429" customFormat="1" ht="18.75" x14ac:dyDescent="0.25">
      <c r="A7" s="428"/>
      <c r="B7" s="430"/>
      <c r="C7" s="430"/>
      <c r="D7" s="430"/>
      <c r="E7" s="430"/>
      <c r="F7" s="430"/>
      <c r="G7" s="430"/>
      <c r="H7" s="430"/>
      <c r="I7" s="430"/>
    </row>
    <row r="8" spans="1:16" ht="13.5" thickBot="1" x14ac:dyDescent="0.25">
      <c r="D8" s="427"/>
      <c r="E8" s="427"/>
      <c r="F8" s="427"/>
      <c r="G8" s="427"/>
      <c r="H8" s="427"/>
      <c r="I8" s="427"/>
    </row>
    <row r="9" spans="1:16" ht="13.5" thickBot="1" x14ac:dyDescent="0.25">
      <c r="A9" s="431" t="s">
        <v>1493</v>
      </c>
      <c r="B9" s="432" t="s">
        <v>1494</v>
      </c>
      <c r="C9" s="433" t="s">
        <v>2764</v>
      </c>
      <c r="D9" s="434">
        <v>2014</v>
      </c>
      <c r="E9" s="434">
        <v>2015</v>
      </c>
      <c r="F9" s="434">
        <v>2016</v>
      </c>
      <c r="G9" s="434">
        <v>2017</v>
      </c>
      <c r="H9" s="434">
        <v>2018</v>
      </c>
      <c r="I9" s="435">
        <v>2019</v>
      </c>
      <c r="L9" s="424">
        <f>D9</f>
        <v>2014</v>
      </c>
      <c r="M9" s="424">
        <f>E9</f>
        <v>2015</v>
      </c>
      <c r="N9" s="424">
        <f>F9</f>
        <v>2016</v>
      </c>
      <c r="O9" s="424">
        <f>G9</f>
        <v>2017</v>
      </c>
      <c r="P9" s="424">
        <f>I9</f>
        <v>2019</v>
      </c>
    </row>
    <row r="10" spans="1:16" x14ac:dyDescent="0.2">
      <c r="A10" s="436">
        <v>1</v>
      </c>
      <c r="B10" s="437">
        <v>2</v>
      </c>
      <c r="C10" s="438">
        <v>3</v>
      </c>
      <c r="D10" s="438">
        <v>4</v>
      </c>
      <c r="E10" s="438">
        <v>5</v>
      </c>
      <c r="F10" s="438">
        <v>6</v>
      </c>
      <c r="G10" s="438">
        <v>7</v>
      </c>
      <c r="H10" s="438">
        <v>8</v>
      </c>
      <c r="I10" s="439">
        <v>9</v>
      </c>
      <c r="K10" s="440"/>
      <c r="L10" s="427"/>
    </row>
    <row r="11" spans="1:16" s="446" customFormat="1" x14ac:dyDescent="0.2">
      <c r="A11" s="441">
        <f t="shared" ref="A11:A74" si="0">A10+1</f>
        <v>2</v>
      </c>
      <c r="B11" s="442" t="s">
        <v>2765</v>
      </c>
      <c r="C11" s="443" t="s">
        <v>2766</v>
      </c>
      <c r="D11" s="444">
        <f t="shared" ref="D11:I11" si="1">D13+D17</f>
        <v>4119.8999999999996</v>
      </c>
      <c r="E11" s="444">
        <f t="shared" si="1"/>
        <v>4377.9040000000005</v>
      </c>
      <c r="F11" s="444">
        <f t="shared" si="1"/>
        <v>4402.1087278048744</v>
      </c>
      <c r="G11" s="444">
        <f t="shared" si="1"/>
        <v>4813.6337856828095</v>
      </c>
      <c r="H11" s="444">
        <f t="shared" si="1"/>
        <v>5099.1608340789699</v>
      </c>
      <c r="I11" s="445">
        <f t="shared" si="1"/>
        <v>4983.1786137179924</v>
      </c>
      <c r="K11" s="447"/>
      <c r="L11" s="448"/>
      <c r="M11" s="449">
        <f>E11/D11</f>
        <v>1.0626238500934491</v>
      </c>
      <c r="N11" s="449">
        <f>F11/E11</f>
        <v>1.0055288393269641</v>
      </c>
      <c r="O11" s="449">
        <f>G11/F11</f>
        <v>1.0934836196295277</v>
      </c>
      <c r="P11" s="449">
        <f>I11/G11</f>
        <v>1.0352217961697585</v>
      </c>
    </row>
    <row r="12" spans="1:16" x14ac:dyDescent="0.2">
      <c r="A12" s="450">
        <f t="shared" si="0"/>
        <v>3</v>
      </c>
      <c r="B12" s="451"/>
      <c r="C12" s="452" t="s">
        <v>2767</v>
      </c>
      <c r="D12" s="453"/>
      <c r="E12" s="453"/>
      <c r="F12" s="454"/>
      <c r="G12" s="454"/>
      <c r="H12" s="455"/>
      <c r="I12" s="456"/>
      <c r="K12" s="440"/>
      <c r="L12" s="427"/>
    </row>
    <row r="13" spans="1:16" ht="25.5" x14ac:dyDescent="0.2">
      <c r="A13" s="450">
        <f t="shared" si="0"/>
        <v>4</v>
      </c>
      <c r="B13" s="451" t="s">
        <v>131</v>
      </c>
      <c r="C13" s="457" t="s">
        <v>2768</v>
      </c>
      <c r="D13" s="453">
        <f t="shared" ref="D13:I13" si="2">D14+D15+D16</f>
        <v>3949.5</v>
      </c>
      <c r="E13" s="453">
        <f t="shared" si="2"/>
        <v>4200.2800000000007</v>
      </c>
      <c r="F13" s="453">
        <f t="shared" si="2"/>
        <v>4216.8272878048747</v>
      </c>
      <c r="G13" s="453">
        <f t="shared" si="2"/>
        <v>4618.8826448828095</v>
      </c>
      <c r="H13" s="453">
        <f t="shared" si="2"/>
        <v>4894.2771134229697</v>
      </c>
      <c r="I13" s="458">
        <f t="shared" si="2"/>
        <v>4727.4530326160721</v>
      </c>
      <c r="K13" s="440"/>
      <c r="L13" s="427"/>
    </row>
    <row r="14" spans="1:16" x14ac:dyDescent="0.2">
      <c r="A14" s="450">
        <f t="shared" si="0"/>
        <v>5</v>
      </c>
      <c r="B14" s="451" t="s">
        <v>2769</v>
      </c>
      <c r="C14" s="457" t="s">
        <v>2770</v>
      </c>
      <c r="D14" s="459">
        <f>1381</f>
        <v>1381</v>
      </c>
      <c r="E14" s="459">
        <f t="shared" ref="E14:H15" si="3">D14*E90</f>
        <v>1477.67</v>
      </c>
      <c r="F14" s="459">
        <f t="shared" si="3"/>
        <v>1330.8606878048749</v>
      </c>
      <c r="G14" s="459">
        <f t="shared" si="3"/>
        <v>1559.7580488828085</v>
      </c>
      <c r="H14" s="459">
        <f t="shared" si="3"/>
        <v>1651.6050416629682</v>
      </c>
      <c r="I14" s="460">
        <f>H14*I90</f>
        <v>1290.2206365504708</v>
      </c>
      <c r="K14" s="440"/>
      <c r="L14" s="427"/>
    </row>
    <row r="15" spans="1:16" x14ac:dyDescent="0.2">
      <c r="A15" s="450">
        <f t="shared" si="0"/>
        <v>6</v>
      </c>
      <c r="B15" s="451" t="s">
        <v>2771</v>
      </c>
      <c r="C15" s="457" t="s">
        <v>2772</v>
      </c>
      <c r="D15" s="453">
        <v>1385.3</v>
      </c>
      <c r="E15" s="453">
        <f t="shared" si="3"/>
        <v>1468.4180000000001</v>
      </c>
      <c r="F15" s="453">
        <f t="shared" si="3"/>
        <v>1556.5230800000002</v>
      </c>
      <c r="G15" s="453">
        <f t="shared" si="3"/>
        <v>1649.9144648000004</v>
      </c>
      <c r="H15" s="453">
        <f t="shared" si="3"/>
        <v>1748.9093326880004</v>
      </c>
      <c r="I15" s="458">
        <f>H15*I91</f>
        <v>1853.8438926492806</v>
      </c>
      <c r="K15" s="440"/>
      <c r="L15" s="427"/>
    </row>
    <row r="16" spans="1:16" x14ac:dyDescent="0.2">
      <c r="A16" s="450">
        <f t="shared" si="0"/>
        <v>7</v>
      </c>
      <c r="B16" s="451" t="s">
        <v>2773</v>
      </c>
      <c r="C16" s="457" t="s">
        <v>2774</v>
      </c>
      <c r="D16" s="453">
        <v>1183.2</v>
      </c>
      <c r="E16" s="453">
        <f>D16*E91</f>
        <v>1254.192</v>
      </c>
      <c r="F16" s="453">
        <f>E16*F91</f>
        <v>1329.44352</v>
      </c>
      <c r="G16" s="453">
        <f>F16*G91</f>
        <v>1409.2101312000002</v>
      </c>
      <c r="H16" s="453">
        <f>G16*H91</f>
        <v>1493.7627390720004</v>
      </c>
      <c r="I16" s="458">
        <f>H16*I91</f>
        <v>1583.3885034163204</v>
      </c>
      <c r="K16" s="440"/>
      <c r="L16" s="427"/>
    </row>
    <row r="17" spans="1:16" x14ac:dyDescent="0.2">
      <c r="A17" s="450">
        <f t="shared" si="0"/>
        <v>8</v>
      </c>
      <c r="B17" s="451" t="s">
        <v>149</v>
      </c>
      <c r="C17" s="452" t="s">
        <v>2775</v>
      </c>
      <c r="D17" s="453">
        <f t="shared" ref="D17:I17" si="4">D18+D19</f>
        <v>170.4</v>
      </c>
      <c r="E17" s="453">
        <f t="shared" si="4"/>
        <v>177.62400000000002</v>
      </c>
      <c r="F17" s="453">
        <f t="shared" si="4"/>
        <v>185.28144</v>
      </c>
      <c r="G17" s="453">
        <f t="shared" si="4"/>
        <v>194.7511408</v>
      </c>
      <c r="H17" s="453">
        <f t="shared" si="4"/>
        <v>204.88372065600001</v>
      </c>
      <c r="I17" s="458">
        <f t="shared" si="4"/>
        <v>255.72558110192003</v>
      </c>
      <c r="K17" s="440"/>
      <c r="L17" s="427"/>
    </row>
    <row r="18" spans="1:16" x14ac:dyDescent="0.2">
      <c r="A18" s="450">
        <f t="shared" si="0"/>
        <v>9</v>
      </c>
      <c r="B18" s="451" t="s">
        <v>2776</v>
      </c>
      <c r="C18" s="452" t="s">
        <v>2777</v>
      </c>
      <c r="D18" s="459">
        <v>50</v>
      </c>
      <c r="E18" s="459">
        <f>D18</f>
        <v>50</v>
      </c>
      <c r="F18" s="459">
        <f>E18</f>
        <v>50</v>
      </c>
      <c r="G18" s="459">
        <f>F18</f>
        <v>50</v>
      </c>
      <c r="H18" s="459">
        <f>G18</f>
        <v>50</v>
      </c>
      <c r="I18" s="460">
        <f>H18</f>
        <v>50</v>
      </c>
      <c r="K18" s="440"/>
      <c r="L18" s="427"/>
    </row>
    <row r="19" spans="1:16" x14ac:dyDescent="0.2">
      <c r="A19" s="450">
        <f t="shared" si="0"/>
        <v>10</v>
      </c>
      <c r="B19" s="451" t="s">
        <v>2778</v>
      </c>
      <c r="C19" s="452" t="s">
        <v>2779</v>
      </c>
      <c r="D19" s="453">
        <v>120.4</v>
      </c>
      <c r="E19" s="453">
        <f>D19*E89</f>
        <v>127.62400000000001</v>
      </c>
      <c r="F19" s="453">
        <f>E19*F89</f>
        <v>135.28144</v>
      </c>
      <c r="G19" s="453">
        <f>F19*G89</f>
        <v>144.7511408</v>
      </c>
      <c r="H19" s="453">
        <f>G19*H89</f>
        <v>154.88372065600001</v>
      </c>
      <c r="I19" s="458">
        <f>H19*I89+40</f>
        <v>205.72558110192003</v>
      </c>
      <c r="K19" s="440"/>
      <c r="L19" s="427"/>
    </row>
    <row r="20" spans="1:16" x14ac:dyDescent="0.2">
      <c r="A20" s="450">
        <f t="shared" si="0"/>
        <v>11</v>
      </c>
      <c r="B20" s="461" t="s">
        <v>2780</v>
      </c>
      <c r="C20" s="462" t="s">
        <v>2781</v>
      </c>
      <c r="D20" s="463">
        <f t="shared" ref="D20:I20" si="5">D21+D27+D28+D29+D30</f>
        <v>3707.2</v>
      </c>
      <c r="E20" s="463">
        <f t="shared" si="5"/>
        <v>3963.4140000000002</v>
      </c>
      <c r="F20" s="463">
        <f t="shared" si="5"/>
        <v>4231.2822600000009</v>
      </c>
      <c r="G20" s="463">
        <f t="shared" si="5"/>
        <v>4518.1162542000011</v>
      </c>
      <c r="H20" s="463">
        <f t="shared" si="5"/>
        <v>4832.2109894700006</v>
      </c>
      <c r="I20" s="464">
        <f t="shared" si="5"/>
        <v>5161.4392328603417</v>
      </c>
      <c r="K20" s="440"/>
      <c r="L20" s="427"/>
      <c r="M20" s="424">
        <f>E20/D20</f>
        <v>1.0691125377643507</v>
      </c>
      <c r="N20" s="424">
        <f>F20/E20</f>
        <v>1.0675852333367144</v>
      </c>
      <c r="O20" s="465">
        <f>G20/F20</f>
        <v>1.0677889057205086</v>
      </c>
      <c r="P20" s="424">
        <f>I20/G20</f>
        <v>1.1423874337147286</v>
      </c>
    </row>
    <row r="21" spans="1:16" x14ac:dyDescent="0.2">
      <c r="A21" s="450">
        <f t="shared" si="0"/>
        <v>12</v>
      </c>
      <c r="B21" s="461" t="s">
        <v>129</v>
      </c>
      <c r="C21" s="462" t="s">
        <v>2782</v>
      </c>
      <c r="D21" s="463">
        <f t="shared" ref="D21:I21" si="6">D23+D24+D25+D26</f>
        <v>1953.9</v>
      </c>
      <c r="E21" s="463">
        <f t="shared" si="6"/>
        <v>2108.018</v>
      </c>
      <c r="F21" s="463">
        <f t="shared" si="6"/>
        <v>2274.3338000000003</v>
      </c>
      <c r="G21" s="463">
        <f t="shared" si="6"/>
        <v>2453.8153256000005</v>
      </c>
      <c r="H21" s="463">
        <f t="shared" si="6"/>
        <v>2647.5074625440011</v>
      </c>
      <c r="I21" s="464">
        <f t="shared" si="6"/>
        <v>2856.5381850972813</v>
      </c>
      <c r="K21" s="440"/>
      <c r="L21" s="427"/>
    </row>
    <row r="22" spans="1:16" x14ac:dyDescent="0.2">
      <c r="A22" s="450">
        <f t="shared" si="0"/>
        <v>13</v>
      </c>
      <c r="B22" s="451"/>
      <c r="C22" s="452" t="s">
        <v>2767</v>
      </c>
      <c r="D22" s="453"/>
      <c r="E22" s="453"/>
      <c r="F22" s="454"/>
      <c r="G22" s="454"/>
      <c r="H22" s="455"/>
      <c r="I22" s="456"/>
      <c r="K22" s="440"/>
      <c r="L22" s="427"/>
    </row>
    <row r="23" spans="1:16" x14ac:dyDescent="0.2">
      <c r="A23" s="450">
        <f t="shared" si="0"/>
        <v>14</v>
      </c>
      <c r="B23" s="451" t="s">
        <v>131</v>
      </c>
      <c r="C23" s="452" t="s">
        <v>2783</v>
      </c>
      <c r="D23" s="453">
        <v>420.3</v>
      </c>
      <c r="E23" s="453">
        <f>D23*E88</f>
        <v>453.92400000000004</v>
      </c>
      <c r="F23" s="453">
        <f>E23*F88</f>
        <v>490.23792000000009</v>
      </c>
      <c r="G23" s="453">
        <f>F23*G88</f>
        <v>529.45695360000013</v>
      </c>
      <c r="H23" s="453">
        <f>G23*H88</f>
        <v>571.81350988800023</v>
      </c>
      <c r="I23" s="458">
        <f>H23*I88</f>
        <v>617.55859067904032</v>
      </c>
      <c r="K23" s="440"/>
      <c r="L23" s="427"/>
    </row>
    <row r="24" spans="1:16" x14ac:dyDescent="0.2">
      <c r="A24" s="450">
        <f t="shared" si="0"/>
        <v>15</v>
      </c>
      <c r="B24" s="451" t="s">
        <v>149</v>
      </c>
      <c r="C24" s="452" t="s">
        <v>2784</v>
      </c>
      <c r="D24" s="453">
        <v>109.7</v>
      </c>
      <c r="E24" s="453">
        <f>D24*E91</f>
        <v>116.28200000000001</v>
      </c>
      <c r="F24" s="453">
        <f>E24*F91</f>
        <v>123.25892000000002</v>
      </c>
      <c r="G24" s="453">
        <f>F24*G91</f>
        <v>130.65445520000003</v>
      </c>
      <c r="H24" s="453">
        <f>G24*H91</f>
        <v>138.49372251200003</v>
      </c>
      <c r="I24" s="458">
        <f>H24*I91</f>
        <v>146.80334586272005</v>
      </c>
      <c r="K24" s="440"/>
      <c r="L24" s="427"/>
    </row>
    <row r="25" spans="1:16" x14ac:dyDescent="0.2">
      <c r="A25" s="450">
        <f t="shared" si="0"/>
        <v>16</v>
      </c>
      <c r="B25" s="451" t="s">
        <v>153</v>
      </c>
      <c r="C25" s="452" t="s">
        <v>2785</v>
      </c>
      <c r="D25" s="453">
        <v>629</v>
      </c>
      <c r="E25" s="453">
        <f>D25*E88</f>
        <v>679.32</v>
      </c>
      <c r="F25" s="453">
        <f>E25*F88</f>
        <v>733.66560000000015</v>
      </c>
      <c r="G25" s="453">
        <f>F25*G88</f>
        <v>792.35884800000019</v>
      </c>
      <c r="H25" s="453">
        <f>G25*H88</f>
        <v>855.74755584000025</v>
      </c>
      <c r="I25" s="458">
        <f>H25*I88</f>
        <v>924.20736030720036</v>
      </c>
      <c r="K25" s="440"/>
      <c r="L25" s="427"/>
    </row>
    <row r="26" spans="1:16" x14ac:dyDescent="0.2">
      <c r="A26" s="450">
        <f t="shared" si="0"/>
        <v>17</v>
      </c>
      <c r="B26" s="451" t="s">
        <v>2786</v>
      </c>
      <c r="C26" s="452" t="s">
        <v>2787</v>
      </c>
      <c r="D26" s="453">
        <f>1844.2-D25-D23</f>
        <v>794.90000000000009</v>
      </c>
      <c r="E26" s="453">
        <f>D26*E88</f>
        <v>858.49200000000019</v>
      </c>
      <c r="F26" s="453">
        <f>E26*F88</f>
        <v>927.17136000000028</v>
      </c>
      <c r="G26" s="453">
        <f>F26*G88</f>
        <v>1001.3450688000004</v>
      </c>
      <c r="H26" s="453">
        <f>G26*H88</f>
        <v>1081.4526743040005</v>
      </c>
      <c r="I26" s="458">
        <f>H26*I88</f>
        <v>1167.9688882483206</v>
      </c>
      <c r="K26" s="440"/>
      <c r="L26" s="427"/>
      <c r="P26" s="466">
        <f>I26*1.08</f>
        <v>1261.4063993081863</v>
      </c>
    </row>
    <row r="27" spans="1:16" x14ac:dyDescent="0.2">
      <c r="A27" s="450">
        <f t="shared" si="0"/>
        <v>18</v>
      </c>
      <c r="B27" s="461" t="s">
        <v>160</v>
      </c>
      <c r="C27" s="462" t="s">
        <v>2788</v>
      </c>
      <c r="D27" s="453">
        <v>923.6</v>
      </c>
      <c r="E27" s="453">
        <f>D27*E91</f>
        <v>979.01600000000008</v>
      </c>
      <c r="F27" s="453">
        <f t="shared" ref="F27:I28" si="7">E27*F91</f>
        <v>1037.7569600000002</v>
      </c>
      <c r="G27" s="453">
        <f t="shared" si="7"/>
        <v>1100.0223776000003</v>
      </c>
      <c r="H27" s="453">
        <f t="shared" si="7"/>
        <v>1166.0237202560004</v>
      </c>
      <c r="I27" s="458">
        <f t="shared" si="7"/>
        <v>1235.9851434713605</v>
      </c>
      <c r="K27" s="440"/>
      <c r="L27" s="427"/>
    </row>
    <row r="28" spans="1:16" x14ac:dyDescent="0.2">
      <c r="A28" s="450">
        <f t="shared" si="0"/>
        <v>19</v>
      </c>
      <c r="B28" s="461" t="s">
        <v>99</v>
      </c>
      <c r="C28" s="462" t="s">
        <v>2789</v>
      </c>
      <c r="D28" s="467">
        <v>310.2</v>
      </c>
      <c r="E28" s="467">
        <f>D28*E92</f>
        <v>325.70999999999998</v>
      </c>
      <c r="F28" s="467">
        <f t="shared" si="7"/>
        <v>335.48129999999998</v>
      </c>
      <c r="G28" s="467">
        <f t="shared" si="7"/>
        <v>345.54573899999997</v>
      </c>
      <c r="H28" s="467">
        <f t="shared" si="7"/>
        <v>362.82302594999999</v>
      </c>
      <c r="I28" s="468">
        <f t="shared" si="7"/>
        <v>373.70771672849997</v>
      </c>
      <c r="K28" s="440"/>
      <c r="L28" s="427"/>
    </row>
    <row r="29" spans="1:16" x14ac:dyDescent="0.2">
      <c r="A29" s="450">
        <f t="shared" si="0"/>
        <v>20</v>
      </c>
      <c r="B29" s="461" t="s">
        <v>1472</v>
      </c>
      <c r="C29" s="462" t="s">
        <v>2790</v>
      </c>
      <c r="D29" s="453">
        <v>100.4</v>
      </c>
      <c r="E29" s="453">
        <f>D29*E91</f>
        <v>106.42400000000001</v>
      </c>
      <c r="F29" s="453">
        <f>E29*F91</f>
        <v>112.80944000000001</v>
      </c>
      <c r="G29" s="453">
        <f>F29*G91</f>
        <v>119.57800640000002</v>
      </c>
      <c r="H29" s="453">
        <f>G29*H91</f>
        <v>126.75268678400003</v>
      </c>
      <c r="I29" s="458">
        <f>H29*I91</f>
        <v>134.35784799104005</v>
      </c>
      <c r="K29" s="440"/>
      <c r="L29" s="427"/>
    </row>
    <row r="30" spans="1:16" x14ac:dyDescent="0.2">
      <c r="A30" s="450">
        <f t="shared" si="0"/>
        <v>21</v>
      </c>
      <c r="B30" s="461" t="s">
        <v>1473</v>
      </c>
      <c r="C30" s="462" t="s">
        <v>2791</v>
      </c>
      <c r="D30" s="463">
        <f t="shared" ref="D30:I30" si="8">D32+D33+D34</f>
        <v>419.1</v>
      </c>
      <c r="E30" s="463">
        <f t="shared" si="8"/>
        <v>444.24600000000009</v>
      </c>
      <c r="F30" s="463">
        <f t="shared" si="8"/>
        <v>470.90076000000005</v>
      </c>
      <c r="G30" s="463">
        <f t="shared" si="8"/>
        <v>499.15480560000009</v>
      </c>
      <c r="H30" s="463">
        <f t="shared" si="8"/>
        <v>529.10409393600014</v>
      </c>
      <c r="I30" s="464">
        <f t="shared" si="8"/>
        <v>560.85033957216012</v>
      </c>
      <c r="K30" s="440"/>
      <c r="L30" s="427"/>
    </row>
    <row r="31" spans="1:16" x14ac:dyDescent="0.2">
      <c r="A31" s="450">
        <f t="shared" si="0"/>
        <v>22</v>
      </c>
      <c r="B31" s="451"/>
      <c r="C31" s="452" t="s">
        <v>2767</v>
      </c>
      <c r="D31" s="453"/>
      <c r="E31" s="453"/>
      <c r="F31" s="454"/>
      <c r="G31" s="454"/>
      <c r="H31" s="455"/>
      <c r="I31" s="456"/>
      <c r="K31" s="440"/>
      <c r="L31" s="427"/>
    </row>
    <row r="32" spans="1:16" x14ac:dyDescent="0.2">
      <c r="A32" s="450">
        <f t="shared" si="0"/>
        <v>23</v>
      </c>
      <c r="B32" s="451" t="s">
        <v>2792</v>
      </c>
      <c r="C32" s="452" t="s">
        <v>2793</v>
      </c>
      <c r="D32" s="453">
        <v>53.8</v>
      </c>
      <c r="E32" s="453">
        <f>D32*E91</f>
        <v>57.027999999999999</v>
      </c>
      <c r="F32" s="453">
        <f>E32*F91</f>
        <v>60.449680000000001</v>
      </c>
      <c r="G32" s="453">
        <f>F32*G91</f>
        <v>64.076660799999999</v>
      </c>
      <c r="H32" s="453">
        <f>G32*H91</f>
        <v>67.921260447999998</v>
      </c>
      <c r="I32" s="458">
        <f>H32*I91</f>
        <v>71.996536074879998</v>
      </c>
      <c r="K32" s="469"/>
      <c r="L32" s="427"/>
    </row>
    <row r="33" spans="1:19" x14ac:dyDescent="0.2">
      <c r="A33" s="450">
        <f t="shared" si="0"/>
        <v>24</v>
      </c>
      <c r="B33" s="451" t="s">
        <v>2794</v>
      </c>
      <c r="C33" s="452" t="s">
        <v>2795</v>
      </c>
      <c r="D33" s="453">
        <v>197.5</v>
      </c>
      <c r="E33" s="453">
        <f>D33*E91</f>
        <v>209.35000000000002</v>
      </c>
      <c r="F33" s="453">
        <f>E33*F91</f>
        <v>221.91100000000003</v>
      </c>
      <c r="G33" s="453">
        <f>F33*G91</f>
        <v>235.22566000000003</v>
      </c>
      <c r="H33" s="453">
        <f>G33*H91</f>
        <v>249.33919960000006</v>
      </c>
      <c r="I33" s="458">
        <f>H33*I91</f>
        <v>264.29955157600006</v>
      </c>
      <c r="K33" s="440"/>
      <c r="L33" s="427"/>
    </row>
    <row r="34" spans="1:19" s="449" customFormat="1" x14ac:dyDescent="0.2">
      <c r="A34" s="441">
        <f t="shared" si="0"/>
        <v>25</v>
      </c>
      <c r="B34" s="470" t="s">
        <v>2796</v>
      </c>
      <c r="C34" s="471" t="s">
        <v>2797</v>
      </c>
      <c r="D34" s="459">
        <v>167.8</v>
      </c>
      <c r="E34" s="459">
        <f>D34*E91</f>
        <v>177.86800000000002</v>
      </c>
      <c r="F34" s="459">
        <f>E34*F91</f>
        <v>188.54008000000005</v>
      </c>
      <c r="G34" s="459">
        <f>F34*G91</f>
        <v>199.85248480000007</v>
      </c>
      <c r="H34" s="459">
        <f>G34*H91</f>
        <v>211.84363388800008</v>
      </c>
      <c r="I34" s="460">
        <f>H34*I91</f>
        <v>224.5542519212801</v>
      </c>
      <c r="L34" s="448"/>
    </row>
    <row r="35" spans="1:19" s="449" customFormat="1" x14ac:dyDescent="0.2">
      <c r="A35" s="441">
        <f t="shared" si="0"/>
        <v>26</v>
      </c>
      <c r="B35" s="442" t="s">
        <v>2798</v>
      </c>
      <c r="C35" s="443" t="s">
        <v>2799</v>
      </c>
      <c r="D35" s="444">
        <f t="shared" ref="D35:I35" si="9">D11-D20</f>
        <v>412.69999999999982</v>
      </c>
      <c r="E35" s="444">
        <f t="shared" si="9"/>
        <v>414.49000000000024</v>
      </c>
      <c r="F35" s="444">
        <f t="shared" si="9"/>
        <v>170.82646780487357</v>
      </c>
      <c r="G35" s="444">
        <f t="shared" si="9"/>
        <v>295.51753148280841</v>
      </c>
      <c r="H35" s="444">
        <f t="shared" si="9"/>
        <v>266.94984460896922</v>
      </c>
      <c r="I35" s="445">
        <f t="shared" si="9"/>
        <v>-178.26061914234924</v>
      </c>
      <c r="K35" s="447"/>
      <c r="L35" s="448"/>
    </row>
    <row r="36" spans="1:19" x14ac:dyDescent="0.2">
      <c r="A36" s="450">
        <f t="shared" si="0"/>
        <v>27</v>
      </c>
      <c r="B36" s="461" t="s">
        <v>2800</v>
      </c>
      <c r="C36" s="462" t="s">
        <v>2801</v>
      </c>
      <c r="D36" s="463">
        <f t="shared" ref="D36:I36" si="10">D37-D41</f>
        <v>-151</v>
      </c>
      <c r="E36" s="463">
        <f t="shared" si="10"/>
        <v>-118.5</v>
      </c>
      <c r="F36" s="463">
        <f t="shared" si="10"/>
        <v>-104.2</v>
      </c>
      <c r="G36" s="463">
        <f t="shared" si="10"/>
        <v>-91.8</v>
      </c>
      <c r="H36" s="463">
        <f t="shared" si="10"/>
        <v>-80.8</v>
      </c>
      <c r="I36" s="464">
        <f t="shared" si="10"/>
        <v>-72.3</v>
      </c>
      <c r="K36" s="440"/>
      <c r="L36" s="427"/>
    </row>
    <row r="37" spans="1:19" x14ac:dyDescent="0.2">
      <c r="A37" s="450">
        <f t="shared" si="0"/>
        <v>28</v>
      </c>
      <c r="B37" s="451" t="s">
        <v>129</v>
      </c>
      <c r="C37" s="471" t="s">
        <v>2802</v>
      </c>
      <c r="D37" s="459">
        <f t="shared" ref="D37:I37" si="11">D39+D40</f>
        <v>0</v>
      </c>
      <c r="E37" s="453">
        <f t="shared" si="11"/>
        <v>0</v>
      </c>
      <c r="F37" s="453">
        <f t="shared" si="11"/>
        <v>0</v>
      </c>
      <c r="G37" s="453">
        <f t="shared" si="11"/>
        <v>0</v>
      </c>
      <c r="H37" s="453">
        <f t="shared" si="11"/>
        <v>0</v>
      </c>
      <c r="I37" s="458">
        <f t="shared" si="11"/>
        <v>0</v>
      </c>
      <c r="K37" s="440"/>
      <c r="L37" s="427"/>
    </row>
    <row r="38" spans="1:19" x14ac:dyDescent="0.2">
      <c r="A38" s="450">
        <f t="shared" si="0"/>
        <v>29</v>
      </c>
      <c r="B38" s="451"/>
      <c r="C38" s="452" t="s">
        <v>440</v>
      </c>
      <c r="D38" s="453"/>
      <c r="E38" s="453"/>
      <c r="F38" s="453"/>
      <c r="G38" s="453"/>
      <c r="H38" s="472"/>
      <c r="I38" s="458"/>
      <c r="K38" s="440"/>
      <c r="L38" s="427"/>
    </row>
    <row r="39" spans="1:19" ht="25.5" x14ac:dyDescent="0.2">
      <c r="A39" s="450">
        <f t="shared" si="0"/>
        <v>30</v>
      </c>
      <c r="B39" s="451" t="s">
        <v>131</v>
      </c>
      <c r="C39" s="457" t="s">
        <v>2803</v>
      </c>
      <c r="D39" s="453">
        <v>0</v>
      </c>
      <c r="E39" s="453">
        <v>0</v>
      </c>
      <c r="F39" s="453">
        <v>0</v>
      </c>
      <c r="G39" s="453">
        <v>0</v>
      </c>
      <c r="H39" s="453">
        <v>0</v>
      </c>
      <c r="I39" s="458">
        <v>0</v>
      </c>
      <c r="K39" s="440"/>
      <c r="L39" s="427"/>
    </row>
    <row r="40" spans="1:19" x14ac:dyDescent="0.2">
      <c r="A40" s="450">
        <f t="shared" si="0"/>
        <v>31</v>
      </c>
      <c r="B40" s="451" t="s">
        <v>149</v>
      </c>
      <c r="C40" s="452" t="s">
        <v>2804</v>
      </c>
      <c r="D40" s="453">
        <v>0</v>
      </c>
      <c r="E40" s="453">
        <v>0</v>
      </c>
      <c r="F40" s="453">
        <v>0</v>
      </c>
      <c r="G40" s="453">
        <v>0</v>
      </c>
      <c r="H40" s="453">
        <v>0</v>
      </c>
      <c r="I40" s="458">
        <v>0</v>
      </c>
      <c r="K40" s="440"/>
      <c r="L40" s="427"/>
    </row>
    <row r="41" spans="1:19" x14ac:dyDescent="0.2">
      <c r="A41" s="450">
        <f t="shared" si="0"/>
        <v>32</v>
      </c>
      <c r="B41" s="451" t="s">
        <v>160</v>
      </c>
      <c r="C41" s="452" t="s">
        <v>2805</v>
      </c>
      <c r="D41" s="453">
        <v>151</v>
      </c>
      <c r="E41" s="453">
        <f>E43</f>
        <v>118.5</v>
      </c>
      <c r="F41" s="453">
        <f>F43</f>
        <v>104.2</v>
      </c>
      <c r="G41" s="453">
        <f>G43</f>
        <v>91.8</v>
      </c>
      <c r="H41" s="453">
        <f>H43</f>
        <v>80.8</v>
      </c>
      <c r="I41" s="458">
        <f>I43</f>
        <v>72.3</v>
      </c>
      <c r="K41" s="440"/>
      <c r="L41" s="427"/>
    </row>
    <row r="42" spans="1:19" x14ac:dyDescent="0.2">
      <c r="A42" s="450">
        <f t="shared" si="0"/>
        <v>33</v>
      </c>
      <c r="B42" s="451"/>
      <c r="C42" s="452" t="s">
        <v>440</v>
      </c>
      <c r="D42" s="453"/>
      <c r="E42" s="453"/>
      <c r="F42" s="454"/>
      <c r="G42" s="454"/>
      <c r="H42" s="455"/>
      <c r="I42" s="456"/>
      <c r="K42" s="440"/>
      <c r="L42" s="427"/>
    </row>
    <row r="43" spans="1:19" x14ac:dyDescent="0.2">
      <c r="A43" s="450">
        <f t="shared" si="0"/>
        <v>34</v>
      </c>
      <c r="B43" s="451" t="s">
        <v>162</v>
      </c>
      <c r="C43" s="452" t="s">
        <v>2806</v>
      </c>
      <c r="D43" s="459">
        <v>151</v>
      </c>
      <c r="E43" s="459">
        <v>118.5</v>
      </c>
      <c r="F43" s="459">
        <v>104.2</v>
      </c>
      <c r="G43" s="459">
        <v>91.8</v>
      </c>
      <c r="H43" s="460">
        <v>80.8</v>
      </c>
      <c r="I43" s="460">
        <v>72.3</v>
      </c>
      <c r="K43" s="440"/>
      <c r="L43" s="427"/>
    </row>
    <row r="44" spans="1:19" x14ac:dyDescent="0.2">
      <c r="A44" s="450">
        <f t="shared" si="0"/>
        <v>35</v>
      </c>
      <c r="B44" s="461" t="s">
        <v>2807</v>
      </c>
      <c r="C44" s="462" t="s">
        <v>2808</v>
      </c>
      <c r="D44" s="463">
        <f t="shared" ref="D44:I44" si="12">D35+D36</f>
        <v>261.69999999999982</v>
      </c>
      <c r="E44" s="463">
        <f t="shared" si="12"/>
        <v>295.99000000000024</v>
      </c>
      <c r="F44" s="463">
        <f t="shared" si="12"/>
        <v>66.62646780487357</v>
      </c>
      <c r="G44" s="463">
        <f t="shared" si="12"/>
        <v>203.7175314828084</v>
      </c>
      <c r="H44" s="463">
        <f t="shared" si="12"/>
        <v>186.1498446089692</v>
      </c>
      <c r="I44" s="464">
        <f t="shared" si="12"/>
        <v>-250.56061914234925</v>
      </c>
      <c r="K44" s="440"/>
      <c r="L44" s="427"/>
    </row>
    <row r="45" spans="1:19" x14ac:dyDescent="0.2">
      <c r="A45" s="450">
        <f t="shared" si="0"/>
        <v>36</v>
      </c>
      <c r="B45" s="461" t="s">
        <v>2809</v>
      </c>
      <c r="C45" s="462" t="s">
        <v>2810</v>
      </c>
      <c r="D45" s="463">
        <f t="shared" ref="D45:I45" si="13">D44*0.2</f>
        <v>52.339999999999968</v>
      </c>
      <c r="E45" s="463">
        <f t="shared" si="13"/>
        <v>59.19800000000005</v>
      </c>
      <c r="F45" s="463">
        <f t="shared" si="13"/>
        <v>13.325293560974714</v>
      </c>
      <c r="G45" s="463">
        <f t="shared" si="13"/>
        <v>40.743506296561684</v>
      </c>
      <c r="H45" s="463">
        <f t="shared" si="13"/>
        <v>37.229968921793841</v>
      </c>
      <c r="I45" s="464">
        <f t="shared" si="13"/>
        <v>-50.112123828469855</v>
      </c>
      <c r="K45" s="440"/>
      <c r="L45" s="427"/>
    </row>
    <row r="46" spans="1:19" s="449" customFormat="1" x14ac:dyDescent="0.2">
      <c r="A46" s="441">
        <f t="shared" si="0"/>
        <v>37</v>
      </c>
      <c r="B46" s="442" t="s">
        <v>2811</v>
      </c>
      <c r="C46" s="443" t="s">
        <v>2812</v>
      </c>
      <c r="D46" s="444">
        <f t="shared" ref="D46:I46" si="14">D44-D45</f>
        <v>209.35999999999984</v>
      </c>
      <c r="E46" s="444">
        <f t="shared" si="14"/>
        <v>236.7920000000002</v>
      </c>
      <c r="F46" s="444">
        <f t="shared" si="14"/>
        <v>53.301174243898856</v>
      </c>
      <c r="G46" s="444">
        <f t="shared" si="14"/>
        <v>162.97402518624671</v>
      </c>
      <c r="H46" s="444">
        <f t="shared" si="14"/>
        <v>148.91987568717536</v>
      </c>
      <c r="I46" s="445">
        <f t="shared" si="14"/>
        <v>-200.44849531387939</v>
      </c>
      <c r="K46" s="447"/>
      <c r="L46" s="473">
        <f>D46/D11</f>
        <v>5.0816767397266892E-2</v>
      </c>
      <c r="M46" s="474">
        <f>E46/E11</f>
        <v>5.4087983656105794E-2</v>
      </c>
      <c r="N46" s="474">
        <f>F46/F11</f>
        <v>1.2108100353640664E-2</v>
      </c>
      <c r="O46" s="474">
        <f>G46/G11</f>
        <v>3.3856756131091723E-2</v>
      </c>
      <c r="P46" s="474">
        <f>I46/I11</f>
        <v>-4.0225027206946339E-2</v>
      </c>
      <c r="Q46" s="447"/>
      <c r="R46" s="447"/>
      <c r="S46" s="447"/>
    </row>
    <row r="47" spans="1:19" x14ac:dyDescent="0.2">
      <c r="A47" s="450">
        <f t="shared" si="0"/>
        <v>38</v>
      </c>
      <c r="B47" s="461" t="s">
        <v>2813</v>
      </c>
      <c r="C47" s="462" t="s">
        <v>2814</v>
      </c>
      <c r="D47" s="463">
        <f t="shared" ref="D47:I47" si="15">D49+D50+D51+D52</f>
        <v>0</v>
      </c>
      <c r="E47" s="463">
        <f t="shared" si="15"/>
        <v>0</v>
      </c>
      <c r="F47" s="463">
        <f t="shared" si="15"/>
        <v>0</v>
      </c>
      <c r="G47" s="463">
        <f t="shared" si="15"/>
        <v>0</v>
      </c>
      <c r="H47" s="463">
        <f t="shared" si="15"/>
        <v>0</v>
      </c>
      <c r="I47" s="464">
        <f t="shared" si="15"/>
        <v>0</v>
      </c>
      <c r="K47" s="440"/>
      <c r="L47" s="427"/>
    </row>
    <row r="48" spans="1:19" x14ac:dyDescent="0.2">
      <c r="A48" s="450">
        <f t="shared" si="0"/>
        <v>39</v>
      </c>
      <c r="B48" s="451"/>
      <c r="C48" s="452" t="s">
        <v>2767</v>
      </c>
      <c r="D48" s="453"/>
      <c r="E48" s="453"/>
      <c r="F48" s="454"/>
      <c r="G48" s="454"/>
      <c r="H48" s="455"/>
      <c r="I48" s="456"/>
      <c r="K48" s="440"/>
      <c r="L48" s="427"/>
      <c r="M48" s="427"/>
      <c r="N48" s="427"/>
      <c r="O48" s="427"/>
    </row>
    <row r="49" spans="1:12" x14ac:dyDescent="0.2">
      <c r="A49" s="450">
        <f t="shared" si="0"/>
        <v>40</v>
      </c>
      <c r="B49" s="451" t="s">
        <v>129</v>
      </c>
      <c r="C49" s="452" t="s">
        <v>2815</v>
      </c>
      <c r="D49" s="453">
        <v>0</v>
      </c>
      <c r="E49" s="453">
        <v>0</v>
      </c>
      <c r="F49" s="453">
        <v>0</v>
      </c>
      <c r="G49" s="453">
        <v>0</v>
      </c>
      <c r="H49" s="453">
        <v>0</v>
      </c>
      <c r="I49" s="458">
        <v>0</v>
      </c>
      <c r="K49" s="440"/>
      <c r="L49" s="427"/>
    </row>
    <row r="50" spans="1:12" x14ac:dyDescent="0.2">
      <c r="A50" s="450">
        <f t="shared" si="0"/>
        <v>41</v>
      </c>
      <c r="B50" s="451" t="s">
        <v>160</v>
      </c>
      <c r="C50" s="452" t="s">
        <v>2816</v>
      </c>
      <c r="D50" s="453">
        <v>0</v>
      </c>
      <c r="E50" s="453">
        <v>0</v>
      </c>
      <c r="F50" s="453">
        <v>0</v>
      </c>
      <c r="G50" s="453">
        <v>0</v>
      </c>
      <c r="H50" s="453">
        <v>0</v>
      </c>
      <c r="I50" s="458">
        <v>0</v>
      </c>
      <c r="K50" s="440"/>
      <c r="L50" s="427"/>
    </row>
    <row r="51" spans="1:12" x14ac:dyDescent="0.2">
      <c r="A51" s="450">
        <f t="shared" si="0"/>
        <v>42</v>
      </c>
      <c r="B51" s="451" t="s">
        <v>99</v>
      </c>
      <c r="C51" s="452" t="s">
        <v>2817</v>
      </c>
      <c r="D51" s="453">
        <v>0</v>
      </c>
      <c r="E51" s="453">
        <v>0</v>
      </c>
      <c r="F51" s="453">
        <v>0</v>
      </c>
      <c r="G51" s="453">
        <v>0</v>
      </c>
      <c r="H51" s="453">
        <v>0</v>
      </c>
      <c r="I51" s="458">
        <v>0</v>
      </c>
      <c r="K51" s="440"/>
      <c r="L51" s="427"/>
    </row>
    <row r="52" spans="1:12" x14ac:dyDescent="0.2">
      <c r="A52" s="450">
        <f t="shared" si="0"/>
        <v>43</v>
      </c>
      <c r="B52" s="451" t="s">
        <v>1472</v>
      </c>
      <c r="C52" s="452" t="s">
        <v>2818</v>
      </c>
      <c r="D52" s="453">
        <v>0</v>
      </c>
      <c r="E52" s="453">
        <v>0</v>
      </c>
      <c r="F52" s="453">
        <v>0</v>
      </c>
      <c r="G52" s="453">
        <v>0</v>
      </c>
      <c r="H52" s="453">
        <v>0</v>
      </c>
      <c r="I52" s="458">
        <v>0</v>
      </c>
      <c r="K52" s="440"/>
      <c r="L52" s="427"/>
    </row>
    <row r="53" spans="1:12" x14ac:dyDescent="0.2">
      <c r="A53" s="450">
        <f t="shared" si="0"/>
        <v>44</v>
      </c>
      <c r="B53" s="461" t="s">
        <v>2819</v>
      </c>
      <c r="C53" s="462" t="s">
        <v>2820</v>
      </c>
      <c r="D53" s="463"/>
      <c r="E53" s="463"/>
      <c r="F53" s="463"/>
      <c r="G53" s="463"/>
      <c r="H53" s="475"/>
      <c r="I53" s="464"/>
      <c r="K53" s="440"/>
      <c r="L53" s="427"/>
    </row>
    <row r="54" spans="1:12" x14ac:dyDescent="0.2">
      <c r="A54" s="450">
        <f t="shared" si="0"/>
        <v>45</v>
      </c>
      <c r="B54" s="451" t="s">
        <v>129</v>
      </c>
      <c r="C54" s="452" t="s">
        <v>2821</v>
      </c>
      <c r="D54" s="459">
        <v>255.4</v>
      </c>
      <c r="E54" s="459">
        <f>E93/365*E11-D93/365*D11</f>
        <v>63.617424657534457</v>
      </c>
      <c r="F54" s="459">
        <f>F93/365*F11-E93/365*E11</f>
        <v>-30.21342652322187</v>
      </c>
      <c r="G54" s="459">
        <f>G93/365*G11-F93/365*F11</f>
        <v>98.089534343507921</v>
      </c>
      <c r="H54" s="459">
        <f>H93/365*H11-G93/365*G11</f>
        <v>40.116524773446372</v>
      </c>
      <c r="I54" s="460">
        <f>I93/365*I11-G93/365*G11</f>
        <v>-41.503209981498685</v>
      </c>
      <c r="K54" s="440"/>
      <c r="L54" s="427"/>
    </row>
    <row r="55" spans="1:12" x14ac:dyDescent="0.2">
      <c r="A55" s="450">
        <f t="shared" si="0"/>
        <v>46</v>
      </c>
      <c r="B55" s="451" t="s">
        <v>160</v>
      </c>
      <c r="C55" s="452" t="s">
        <v>2822</v>
      </c>
      <c r="D55" s="459"/>
      <c r="E55" s="459"/>
      <c r="F55" s="459"/>
      <c r="G55" s="459"/>
      <c r="H55" s="476"/>
      <c r="I55" s="460"/>
      <c r="K55" s="440"/>
      <c r="L55" s="427"/>
    </row>
    <row r="56" spans="1:12" x14ac:dyDescent="0.2">
      <c r="A56" s="450">
        <f t="shared" si="0"/>
        <v>47</v>
      </c>
      <c r="B56" s="451"/>
      <c r="C56" s="452" t="s">
        <v>2823</v>
      </c>
      <c r="D56" s="459">
        <f t="shared" ref="D56:I56" si="16">D54-D55</f>
        <v>255.4</v>
      </c>
      <c r="E56" s="459">
        <f t="shared" si="16"/>
        <v>63.617424657534457</v>
      </c>
      <c r="F56" s="459">
        <f t="shared" si="16"/>
        <v>-30.21342652322187</v>
      </c>
      <c r="G56" s="459">
        <f t="shared" si="16"/>
        <v>98.089534343507921</v>
      </c>
      <c r="H56" s="459">
        <f t="shared" si="16"/>
        <v>40.116524773446372</v>
      </c>
      <c r="I56" s="460">
        <f t="shared" si="16"/>
        <v>-41.503209981498685</v>
      </c>
      <c r="K56" s="440"/>
      <c r="L56" s="427"/>
    </row>
    <row r="57" spans="1:12" x14ac:dyDescent="0.2">
      <c r="A57" s="450">
        <f t="shared" si="0"/>
        <v>48</v>
      </c>
      <c r="B57" s="461" t="s">
        <v>2824</v>
      </c>
      <c r="C57" s="462" t="s">
        <v>2825</v>
      </c>
      <c r="D57" s="444"/>
      <c r="E57" s="444"/>
      <c r="F57" s="444"/>
      <c r="G57" s="444"/>
      <c r="H57" s="444"/>
      <c r="I57" s="445"/>
      <c r="K57" s="440"/>
      <c r="L57" s="427"/>
    </row>
    <row r="58" spans="1:12" x14ac:dyDescent="0.2">
      <c r="A58" s="450">
        <f t="shared" si="0"/>
        <v>49</v>
      </c>
      <c r="B58" s="451" t="s">
        <v>129</v>
      </c>
      <c r="C58" s="452" t="s">
        <v>2826</v>
      </c>
      <c r="D58" s="459">
        <v>309</v>
      </c>
      <c r="E58" s="459">
        <f>E94/365*E20-D94/365*D20</f>
        <v>34.71542465753339</v>
      </c>
      <c r="F58" s="459">
        <f>F94/365*F20-E94/365*E20</f>
        <v>141.45409923287809</v>
      </c>
      <c r="G58" s="459">
        <f>G94/365*G20-F94/365*F20</f>
        <v>144.26977015726061</v>
      </c>
      <c r="H58" s="459">
        <f>H94/365*H20-G94/365*G20</f>
        <v>34.073623136272772</v>
      </c>
      <c r="I58" s="460">
        <f>I94/365*I20-G94/365*G20</f>
        <v>384.63756860387969</v>
      </c>
      <c r="K58" s="440"/>
      <c r="L58" s="427"/>
    </row>
    <row r="59" spans="1:12" x14ac:dyDescent="0.2">
      <c r="A59" s="450">
        <f t="shared" si="0"/>
        <v>50</v>
      </c>
      <c r="B59" s="451" t="s">
        <v>160</v>
      </c>
      <c r="C59" s="452" t="s">
        <v>2827</v>
      </c>
      <c r="D59" s="453"/>
      <c r="E59" s="453"/>
      <c r="F59" s="453"/>
      <c r="G59" s="453"/>
      <c r="H59" s="453"/>
      <c r="I59" s="458"/>
      <c r="K59" s="440"/>
      <c r="L59" s="427"/>
    </row>
    <row r="60" spans="1:12" x14ac:dyDescent="0.2">
      <c r="A60" s="450">
        <f t="shared" si="0"/>
        <v>51</v>
      </c>
      <c r="B60" s="451"/>
      <c r="C60" s="452" t="s">
        <v>2823</v>
      </c>
      <c r="D60" s="453">
        <f t="shared" ref="D60:I60" si="17">D58-D59</f>
        <v>309</v>
      </c>
      <c r="E60" s="453">
        <f t="shared" si="17"/>
        <v>34.71542465753339</v>
      </c>
      <c r="F60" s="453">
        <f t="shared" si="17"/>
        <v>141.45409923287809</v>
      </c>
      <c r="G60" s="453">
        <f t="shared" si="17"/>
        <v>144.26977015726061</v>
      </c>
      <c r="H60" s="453">
        <f t="shared" si="17"/>
        <v>34.073623136272772</v>
      </c>
      <c r="I60" s="458">
        <f t="shared" si="17"/>
        <v>384.63756860387969</v>
      </c>
      <c r="K60" s="440"/>
      <c r="L60" s="427"/>
    </row>
    <row r="61" spans="1:12" x14ac:dyDescent="0.2">
      <c r="A61" s="450">
        <f t="shared" si="0"/>
        <v>52</v>
      </c>
      <c r="B61" s="461" t="s">
        <v>2828</v>
      </c>
      <c r="C61" s="462" t="s">
        <v>2829</v>
      </c>
      <c r="D61" s="463">
        <f t="shared" ref="D61:I61" si="18">D63+D64+D65</f>
        <v>0</v>
      </c>
      <c r="E61" s="463">
        <f t="shared" si="18"/>
        <v>0</v>
      </c>
      <c r="F61" s="463">
        <f t="shared" si="18"/>
        <v>0</v>
      </c>
      <c r="G61" s="463">
        <f t="shared" si="18"/>
        <v>0</v>
      </c>
      <c r="H61" s="463">
        <f t="shared" si="18"/>
        <v>0</v>
      </c>
      <c r="I61" s="464">
        <f t="shared" si="18"/>
        <v>0</v>
      </c>
      <c r="K61" s="440"/>
      <c r="L61" s="427"/>
    </row>
    <row r="62" spans="1:12" x14ac:dyDescent="0.2">
      <c r="A62" s="450">
        <f t="shared" si="0"/>
        <v>53</v>
      </c>
      <c r="B62" s="451"/>
      <c r="C62" s="452" t="s">
        <v>2830</v>
      </c>
      <c r="D62" s="453"/>
      <c r="E62" s="453"/>
      <c r="F62" s="454"/>
      <c r="G62" s="454"/>
      <c r="H62" s="454"/>
      <c r="I62" s="456"/>
      <c r="K62" s="440"/>
      <c r="L62" s="427"/>
    </row>
    <row r="63" spans="1:12" s="449" customFormat="1" x14ac:dyDescent="0.2">
      <c r="A63" s="441">
        <f t="shared" si="0"/>
        <v>54</v>
      </c>
      <c r="B63" s="470" t="s">
        <v>129</v>
      </c>
      <c r="C63" s="471" t="s">
        <v>2831</v>
      </c>
      <c r="D63" s="459">
        <v>0</v>
      </c>
      <c r="E63" s="459">
        <v>0</v>
      </c>
      <c r="F63" s="459">
        <v>0</v>
      </c>
      <c r="G63" s="459">
        <v>0</v>
      </c>
      <c r="H63" s="459">
        <v>0</v>
      </c>
      <c r="I63" s="460">
        <v>0</v>
      </c>
      <c r="K63" s="447"/>
      <c r="L63" s="448"/>
    </row>
    <row r="64" spans="1:12" x14ac:dyDescent="0.2">
      <c r="A64" s="450">
        <f t="shared" si="0"/>
        <v>55</v>
      </c>
      <c r="B64" s="451" t="s">
        <v>131</v>
      </c>
      <c r="C64" s="452" t="s">
        <v>2832</v>
      </c>
      <c r="D64" s="459">
        <v>0</v>
      </c>
      <c r="E64" s="459">
        <v>0</v>
      </c>
      <c r="F64" s="459">
        <v>0</v>
      </c>
      <c r="G64" s="459">
        <v>0</v>
      </c>
      <c r="H64" s="459">
        <v>0</v>
      </c>
      <c r="I64" s="460">
        <v>0</v>
      </c>
      <c r="K64" s="440"/>
      <c r="L64" s="427"/>
    </row>
    <row r="65" spans="1:19" x14ac:dyDescent="0.2">
      <c r="A65" s="450">
        <f t="shared" si="0"/>
        <v>56</v>
      </c>
      <c r="B65" s="451" t="s">
        <v>160</v>
      </c>
      <c r="C65" s="457" t="s">
        <v>2833</v>
      </c>
      <c r="D65" s="459">
        <v>0</v>
      </c>
      <c r="E65" s="459">
        <v>0</v>
      </c>
      <c r="F65" s="459">
        <v>0</v>
      </c>
      <c r="G65" s="459">
        <v>0</v>
      </c>
      <c r="H65" s="459">
        <v>0</v>
      </c>
      <c r="I65" s="460">
        <v>0</v>
      </c>
      <c r="K65" s="440"/>
      <c r="L65" s="427"/>
    </row>
    <row r="66" spans="1:19" x14ac:dyDescent="0.2">
      <c r="A66" s="450">
        <f t="shared" si="0"/>
        <v>57</v>
      </c>
      <c r="B66" s="461" t="s">
        <v>2834</v>
      </c>
      <c r="C66" s="462" t="s">
        <v>2835</v>
      </c>
      <c r="D66" s="444">
        <f>243+D70</f>
        <v>243</v>
      </c>
      <c r="E66" s="444">
        <f>E68+E70</f>
        <v>140.80000000000001</v>
      </c>
      <c r="F66" s="444">
        <f>F68+F70</f>
        <v>140.80000000000001</v>
      </c>
      <c r="G66" s="444">
        <f>G68+G70</f>
        <v>102.3</v>
      </c>
      <c r="H66" s="444">
        <f>H68+H70</f>
        <v>41</v>
      </c>
      <c r="I66" s="445">
        <f>I68+I70</f>
        <v>0</v>
      </c>
      <c r="K66" s="440"/>
      <c r="L66" s="427"/>
    </row>
    <row r="67" spans="1:19" x14ac:dyDescent="0.2">
      <c r="A67" s="450">
        <f t="shared" si="0"/>
        <v>58</v>
      </c>
      <c r="B67" s="451"/>
      <c r="C67" s="452" t="s">
        <v>2836</v>
      </c>
      <c r="D67" s="459"/>
      <c r="E67" s="459"/>
      <c r="F67" s="477"/>
      <c r="G67" s="477"/>
      <c r="H67" s="477"/>
      <c r="I67" s="478"/>
      <c r="K67" s="440"/>
      <c r="L67" s="427"/>
    </row>
    <row r="68" spans="1:19" x14ac:dyDescent="0.2">
      <c r="A68" s="450">
        <f t="shared" si="0"/>
        <v>59</v>
      </c>
      <c r="B68" s="451" t="s">
        <v>129</v>
      </c>
      <c r="C68" s="452" t="s">
        <v>2837</v>
      </c>
      <c r="D68" s="459">
        <f>41+99.8</f>
        <v>140.80000000000001</v>
      </c>
      <c r="E68" s="459">
        <f>41+99.8</f>
        <v>140.80000000000001</v>
      </c>
      <c r="F68" s="459">
        <f>41+99.8</f>
        <v>140.80000000000001</v>
      </c>
      <c r="G68" s="459">
        <f>41+61.3</f>
        <v>102.3</v>
      </c>
      <c r="H68" s="459">
        <v>41</v>
      </c>
      <c r="I68" s="460">
        <v>0</v>
      </c>
      <c r="K68" s="440"/>
      <c r="L68" s="427"/>
    </row>
    <row r="69" spans="1:19" x14ac:dyDescent="0.2">
      <c r="A69" s="450">
        <f t="shared" si="0"/>
        <v>60</v>
      </c>
      <c r="B69" s="451" t="s">
        <v>131</v>
      </c>
      <c r="C69" s="452" t="s">
        <v>2832</v>
      </c>
      <c r="D69" s="459">
        <v>0</v>
      </c>
      <c r="E69" s="459">
        <v>0</v>
      </c>
      <c r="F69" s="459">
        <v>0</v>
      </c>
      <c r="G69" s="459">
        <v>0</v>
      </c>
      <c r="H69" s="459">
        <v>0</v>
      </c>
      <c r="I69" s="460">
        <v>0</v>
      </c>
      <c r="K69" s="440"/>
      <c r="L69" s="427"/>
    </row>
    <row r="70" spans="1:19" x14ac:dyDescent="0.2">
      <c r="A70" s="450">
        <f t="shared" si="0"/>
        <v>61</v>
      </c>
      <c r="B70" s="451" t="s">
        <v>160</v>
      </c>
      <c r="C70" s="452" t="s">
        <v>2838</v>
      </c>
      <c r="D70" s="459">
        <v>0</v>
      </c>
      <c r="E70" s="459">
        <v>0</v>
      </c>
      <c r="F70" s="459">
        <v>0</v>
      </c>
      <c r="G70" s="459">
        <v>0</v>
      </c>
      <c r="H70" s="459">
        <v>0</v>
      </c>
      <c r="I70" s="460">
        <v>0</v>
      </c>
      <c r="K70" s="440"/>
      <c r="L70" s="427"/>
    </row>
    <row r="71" spans="1:19" x14ac:dyDescent="0.2">
      <c r="A71" s="450">
        <f t="shared" si="0"/>
        <v>62</v>
      </c>
      <c r="B71" s="461" t="s">
        <v>2839</v>
      </c>
      <c r="C71" s="462" t="s">
        <v>2840</v>
      </c>
      <c r="D71" s="444">
        <v>0</v>
      </c>
      <c r="E71" s="444">
        <v>0</v>
      </c>
      <c r="F71" s="444">
        <v>0</v>
      </c>
      <c r="G71" s="444">
        <v>0</v>
      </c>
      <c r="H71" s="444">
        <v>0</v>
      </c>
      <c r="I71" s="445">
        <v>0</v>
      </c>
      <c r="K71" s="440"/>
      <c r="L71" s="427"/>
    </row>
    <row r="72" spans="1:19" x14ac:dyDescent="0.2">
      <c r="A72" s="450">
        <f t="shared" si="0"/>
        <v>63</v>
      </c>
      <c r="B72" s="461" t="s">
        <v>2841</v>
      </c>
      <c r="C72" s="462" t="s">
        <v>2842</v>
      </c>
      <c r="D72" s="444">
        <v>0</v>
      </c>
      <c r="E72" s="444">
        <v>0</v>
      </c>
      <c r="F72" s="444">
        <v>0</v>
      </c>
      <c r="G72" s="444">
        <v>0</v>
      </c>
      <c r="H72" s="444">
        <v>0</v>
      </c>
      <c r="I72" s="445">
        <v>0</v>
      </c>
      <c r="K72" s="440"/>
      <c r="L72" s="427"/>
    </row>
    <row r="73" spans="1:19" x14ac:dyDescent="0.2">
      <c r="A73" s="450">
        <f t="shared" si="0"/>
        <v>64</v>
      </c>
      <c r="B73" s="451" t="s">
        <v>129</v>
      </c>
      <c r="C73" s="452" t="s">
        <v>2843</v>
      </c>
      <c r="D73" s="459">
        <v>0</v>
      </c>
      <c r="E73" s="459">
        <v>0</v>
      </c>
      <c r="F73" s="459">
        <v>0</v>
      </c>
      <c r="G73" s="459">
        <v>0</v>
      </c>
      <c r="H73" s="459">
        <v>0</v>
      </c>
      <c r="I73" s="460">
        <v>0</v>
      </c>
      <c r="K73" s="440"/>
      <c r="L73" s="427"/>
    </row>
    <row r="74" spans="1:19" x14ac:dyDescent="0.2">
      <c r="A74" s="450">
        <f t="shared" si="0"/>
        <v>65</v>
      </c>
      <c r="B74" s="451" t="s">
        <v>160</v>
      </c>
      <c r="C74" s="452" t="s">
        <v>2844</v>
      </c>
      <c r="D74" s="459">
        <v>0</v>
      </c>
      <c r="E74" s="459">
        <v>0</v>
      </c>
      <c r="F74" s="459">
        <v>0</v>
      </c>
      <c r="G74" s="459">
        <v>0</v>
      </c>
      <c r="H74" s="459">
        <v>0</v>
      </c>
      <c r="I74" s="460">
        <v>0</v>
      </c>
      <c r="K74" s="440"/>
      <c r="L74" s="427"/>
    </row>
    <row r="75" spans="1:19" x14ac:dyDescent="0.2">
      <c r="A75" s="450">
        <f t="shared" ref="A75:A85" si="19">A74+1</f>
        <v>66</v>
      </c>
      <c r="B75" s="461" t="s">
        <v>2845</v>
      </c>
      <c r="C75" s="462" t="s">
        <v>2846</v>
      </c>
      <c r="D75" s="444">
        <v>0</v>
      </c>
      <c r="E75" s="444">
        <v>0</v>
      </c>
      <c r="F75" s="444">
        <v>0</v>
      </c>
      <c r="G75" s="444">
        <v>0</v>
      </c>
      <c r="H75" s="444">
        <v>0</v>
      </c>
      <c r="I75" s="445">
        <v>0</v>
      </c>
      <c r="K75" s="440"/>
      <c r="L75" s="427"/>
    </row>
    <row r="76" spans="1:19" s="449" customFormat="1" x14ac:dyDescent="0.2">
      <c r="A76" s="441">
        <f t="shared" si="19"/>
        <v>67</v>
      </c>
      <c r="B76" s="442" t="s">
        <v>2847</v>
      </c>
      <c r="C76" s="443" t="s">
        <v>2848</v>
      </c>
      <c r="D76" s="444">
        <f>'У pril_11'!D35</f>
        <v>330.20000000000005</v>
      </c>
      <c r="E76" s="444">
        <f>'У pril_11'!E35</f>
        <v>392.8</v>
      </c>
      <c r="F76" s="444">
        <f>'У pril_11'!F35</f>
        <v>419.65</v>
      </c>
      <c r="G76" s="444">
        <f>'У pril_11'!G35</f>
        <v>452.4</v>
      </c>
      <c r="H76" s="444">
        <f>'У pril_11'!H35</f>
        <v>464.7</v>
      </c>
      <c r="I76" s="444">
        <f>'У pril_11'!I35</f>
        <v>599.4</v>
      </c>
      <c r="J76" s="424"/>
      <c r="K76" s="447"/>
      <c r="L76" s="447"/>
      <c r="M76" s="447"/>
      <c r="N76" s="447"/>
      <c r="O76" s="447"/>
      <c r="P76" s="447"/>
      <c r="Q76" s="447"/>
      <c r="R76" s="447"/>
      <c r="S76" s="447"/>
    </row>
    <row r="77" spans="1:19" x14ac:dyDescent="0.2">
      <c r="A77" s="450">
        <f t="shared" si="19"/>
        <v>68</v>
      </c>
      <c r="B77" s="451"/>
      <c r="C77" s="452" t="s">
        <v>2832</v>
      </c>
      <c r="D77" s="459">
        <v>0</v>
      </c>
      <c r="E77" s="459">
        <v>0</v>
      </c>
      <c r="F77" s="459">
        <v>0</v>
      </c>
      <c r="G77" s="459">
        <v>0</v>
      </c>
      <c r="H77" s="459">
        <v>1</v>
      </c>
      <c r="I77" s="460">
        <v>0</v>
      </c>
      <c r="K77" s="440"/>
      <c r="L77" s="427"/>
      <c r="M77" s="427"/>
    </row>
    <row r="78" spans="1:19" ht="38.25" x14ac:dyDescent="0.2">
      <c r="A78" s="450">
        <f t="shared" si="19"/>
        <v>69</v>
      </c>
      <c r="B78" s="461" t="s">
        <v>2847</v>
      </c>
      <c r="C78" s="479" t="s">
        <v>2849</v>
      </c>
      <c r="D78" s="463">
        <f t="shared" ref="D78:I78" si="20">D11+D37+D55+D58+D61+D71+D73+D75</f>
        <v>4428.8999999999996</v>
      </c>
      <c r="E78" s="463">
        <f t="shared" si="20"/>
        <v>4412.6194246575342</v>
      </c>
      <c r="F78" s="463">
        <f t="shared" si="20"/>
        <v>4543.5628270377529</v>
      </c>
      <c r="G78" s="463">
        <f t="shared" si="20"/>
        <v>4957.9035558400701</v>
      </c>
      <c r="H78" s="463">
        <f t="shared" si="20"/>
        <v>5133.2344572152424</v>
      </c>
      <c r="I78" s="464">
        <f t="shared" si="20"/>
        <v>5367.8161823218725</v>
      </c>
      <c r="K78" s="440"/>
      <c r="L78" s="427"/>
    </row>
    <row r="79" spans="1:19" ht="38.25" x14ac:dyDescent="0.2">
      <c r="A79" s="450">
        <f t="shared" si="19"/>
        <v>70</v>
      </c>
      <c r="B79" s="461" t="s">
        <v>2850</v>
      </c>
      <c r="C79" s="479" t="s">
        <v>2851</v>
      </c>
      <c r="D79" s="463">
        <f t="shared" ref="D79:I79" si="21">D20-D28+D41+D54+D59+D45+D47+D66+D73+D76</f>
        <v>4428.9399999999996</v>
      </c>
      <c r="E79" s="463">
        <f t="shared" si="21"/>
        <v>4412.6194246575342</v>
      </c>
      <c r="F79" s="463">
        <f t="shared" si="21"/>
        <v>4543.5628270377529</v>
      </c>
      <c r="G79" s="463">
        <f t="shared" si="21"/>
        <v>4957.9035558400701</v>
      </c>
      <c r="H79" s="463">
        <f t="shared" si="21"/>
        <v>5133.2344572152406</v>
      </c>
      <c r="I79" s="464">
        <f t="shared" si="21"/>
        <v>5367.8161823218734</v>
      </c>
      <c r="K79" s="440"/>
      <c r="L79" s="427"/>
    </row>
    <row r="80" spans="1:19" ht="25.5" x14ac:dyDescent="0.2">
      <c r="A80" s="450">
        <f t="shared" si="19"/>
        <v>71</v>
      </c>
      <c r="B80" s="461"/>
      <c r="C80" s="479" t="s">
        <v>2852</v>
      </c>
      <c r="D80" s="444">
        <f t="shared" ref="D80:I80" si="22">D78-D79</f>
        <v>-3.999999999996362E-2</v>
      </c>
      <c r="E80" s="444">
        <f t="shared" si="22"/>
        <v>0</v>
      </c>
      <c r="F80" s="444">
        <f t="shared" si="22"/>
        <v>0</v>
      </c>
      <c r="G80" s="444">
        <f t="shared" si="22"/>
        <v>0</v>
      </c>
      <c r="H80" s="444">
        <f t="shared" si="22"/>
        <v>0</v>
      </c>
      <c r="I80" s="445">
        <f t="shared" si="22"/>
        <v>0</v>
      </c>
      <c r="K80" s="440"/>
      <c r="L80" s="427"/>
    </row>
    <row r="81" spans="1:11" x14ac:dyDescent="0.2">
      <c r="A81" s="450">
        <f t="shared" si="19"/>
        <v>72</v>
      </c>
      <c r="B81" s="480"/>
      <c r="C81" s="481"/>
      <c r="D81" s="481"/>
      <c r="E81" s="481"/>
      <c r="F81" s="454"/>
      <c r="G81" s="454"/>
      <c r="H81" s="454"/>
      <c r="I81" s="456"/>
    </row>
    <row r="82" spans="1:11" x14ac:dyDescent="0.2">
      <c r="A82" s="450">
        <f t="shared" si="19"/>
        <v>73</v>
      </c>
      <c r="B82" s="461"/>
      <c r="C82" s="462" t="s">
        <v>2853</v>
      </c>
      <c r="D82" s="482"/>
      <c r="E82" s="482"/>
      <c r="F82" s="454"/>
      <c r="G82" s="454"/>
      <c r="H82" s="454"/>
      <c r="I82" s="456"/>
    </row>
    <row r="83" spans="1:11" x14ac:dyDescent="0.2">
      <c r="A83" s="450">
        <f t="shared" si="19"/>
        <v>74</v>
      </c>
      <c r="B83" s="451" t="s">
        <v>129</v>
      </c>
      <c r="C83" s="452" t="s">
        <v>2854</v>
      </c>
      <c r="D83" s="459">
        <f t="shared" ref="D83:I83" si="23">D46+D45+D28+D43</f>
        <v>722.89999999999986</v>
      </c>
      <c r="E83" s="453">
        <f t="shared" si="23"/>
        <v>740.20000000000027</v>
      </c>
      <c r="F83" s="453">
        <f t="shared" si="23"/>
        <v>506.30776780487355</v>
      </c>
      <c r="G83" s="453">
        <f t="shared" si="23"/>
        <v>641.06327048280832</v>
      </c>
      <c r="H83" s="453">
        <f t="shared" si="23"/>
        <v>629.77287055896909</v>
      </c>
      <c r="I83" s="458">
        <f t="shared" si="23"/>
        <v>195.44709758615073</v>
      </c>
    </row>
    <row r="84" spans="1:11" x14ac:dyDescent="0.2">
      <c r="A84" s="450">
        <f t="shared" si="19"/>
        <v>75</v>
      </c>
      <c r="B84" s="451" t="s">
        <v>160</v>
      </c>
      <c r="C84" s="452" t="s">
        <v>2855</v>
      </c>
      <c r="D84" s="453">
        <v>1132.4000000000001</v>
      </c>
      <c r="E84" s="453">
        <f>D84+E61-E66</f>
        <v>991.60000000000014</v>
      </c>
      <c r="F84" s="453">
        <f>E84+F61-F66</f>
        <v>850.80000000000018</v>
      </c>
      <c r="G84" s="453">
        <f>F84+G61-G66</f>
        <v>748.50000000000023</v>
      </c>
      <c r="H84" s="453">
        <f>G84+H61-H66</f>
        <v>707.50000000000023</v>
      </c>
      <c r="I84" s="458">
        <f>H84+I61-I66</f>
        <v>707.50000000000023</v>
      </c>
    </row>
    <row r="85" spans="1:11" ht="13.5" thickBot="1" x14ac:dyDescent="0.25">
      <c r="A85" s="483">
        <f t="shared" si="19"/>
        <v>76</v>
      </c>
      <c r="B85" s="484" t="s">
        <v>99</v>
      </c>
      <c r="C85" s="485" t="s">
        <v>2856</v>
      </c>
      <c r="D85" s="486"/>
      <c r="E85" s="486"/>
      <c r="F85" s="487"/>
      <c r="G85" s="487"/>
      <c r="H85" s="488"/>
      <c r="I85" s="489"/>
    </row>
    <row r="86" spans="1:11" x14ac:dyDescent="0.2">
      <c r="A86" s="424"/>
      <c r="B86" s="424" t="s">
        <v>434</v>
      </c>
    </row>
    <row r="87" spans="1:11" outlineLevel="1" x14ac:dyDescent="0.2">
      <c r="D87" s="427"/>
      <c r="E87" s="490"/>
      <c r="F87" s="490"/>
      <c r="G87" s="490"/>
      <c r="H87" s="490"/>
      <c r="I87" s="490"/>
      <c r="J87" s="490"/>
    </row>
    <row r="88" spans="1:11" hidden="1" outlineLevel="2" x14ac:dyDescent="0.2">
      <c r="D88" s="491" t="s">
        <v>2857</v>
      </c>
      <c r="E88" s="492">
        <v>1.08</v>
      </c>
      <c r="F88" s="493">
        <v>1.08</v>
      </c>
      <c r="G88" s="493">
        <v>1.08</v>
      </c>
      <c r="H88" s="493">
        <v>1.08</v>
      </c>
      <c r="I88" s="493">
        <v>1.08</v>
      </c>
      <c r="J88" s="491"/>
      <c r="K88" s="491"/>
    </row>
    <row r="89" spans="1:11" hidden="1" outlineLevel="2" x14ac:dyDescent="0.2">
      <c r="D89" s="491" t="s">
        <v>2779</v>
      </c>
      <c r="E89" s="493">
        <v>1.06</v>
      </c>
      <c r="F89" s="493">
        <v>1.06</v>
      </c>
      <c r="G89" s="493">
        <v>1.07</v>
      </c>
      <c r="H89" s="493">
        <v>1.07</v>
      </c>
      <c r="I89" s="493">
        <v>1.07</v>
      </c>
      <c r="J89" s="491"/>
      <c r="K89" s="491"/>
    </row>
    <row r="90" spans="1:11" hidden="1" outlineLevel="2" x14ac:dyDescent="0.2">
      <c r="D90" s="491" t="s">
        <v>2858</v>
      </c>
      <c r="E90" s="493">
        <v>1.07</v>
      </c>
      <c r="F90" s="493">
        <v>0.90064810668476369</v>
      </c>
      <c r="G90" s="493">
        <v>1.1719919772034724</v>
      </c>
      <c r="H90" s="493">
        <v>1.0588854103660155</v>
      </c>
      <c r="I90" s="493">
        <v>0.78119199445611598</v>
      </c>
      <c r="J90" s="491"/>
      <c r="K90" s="491"/>
    </row>
    <row r="91" spans="1:11" hidden="1" outlineLevel="2" x14ac:dyDescent="0.2">
      <c r="D91" s="424" t="s">
        <v>2859</v>
      </c>
      <c r="E91" s="494">
        <v>1.06</v>
      </c>
      <c r="F91" s="424">
        <v>1.06</v>
      </c>
      <c r="G91" s="424">
        <v>1.06</v>
      </c>
      <c r="H91" s="424">
        <v>1.06</v>
      </c>
      <c r="I91" s="424">
        <v>1.06</v>
      </c>
      <c r="J91" s="424">
        <v>1.052</v>
      </c>
    </row>
    <row r="92" spans="1:11" hidden="1" outlineLevel="2" x14ac:dyDescent="0.2">
      <c r="D92" s="424" t="s">
        <v>2860</v>
      </c>
      <c r="E92" s="494">
        <v>1.05</v>
      </c>
      <c r="F92" s="424">
        <v>1.03</v>
      </c>
      <c r="G92" s="424">
        <v>1.03</v>
      </c>
      <c r="H92" s="424">
        <v>1.05</v>
      </c>
      <c r="I92" s="424">
        <v>1.03</v>
      </c>
    </row>
    <row r="93" spans="1:11" hidden="1" outlineLevel="2" x14ac:dyDescent="0.2">
      <c r="C93" s="495" t="s">
        <v>2861</v>
      </c>
      <c r="D93" s="424">
        <v>90</v>
      </c>
      <c r="E93" s="496">
        <v>90</v>
      </c>
      <c r="F93" s="496">
        <v>87</v>
      </c>
      <c r="G93" s="424">
        <v>87</v>
      </c>
      <c r="H93" s="424">
        <v>85</v>
      </c>
      <c r="I93" s="424">
        <v>81</v>
      </c>
    </row>
    <row r="94" spans="1:11" hidden="1" outlineLevel="2" x14ac:dyDescent="0.2">
      <c r="C94" s="495" t="s">
        <v>2862</v>
      </c>
      <c r="D94" s="424">
        <v>60</v>
      </c>
      <c r="E94" s="496">
        <v>59.318337675549323</v>
      </c>
      <c r="F94" s="496">
        <v>67.765244339903745</v>
      </c>
      <c r="G94" s="496">
        <v>75.118107466115802</v>
      </c>
      <c r="H94" s="496">
        <v>72.809158279475014</v>
      </c>
      <c r="I94" s="496">
        <v>92.955672482446602</v>
      </c>
    </row>
    <row r="95" spans="1:11" outlineLevel="1" collapsed="1" x14ac:dyDescent="0.2">
      <c r="D95" s="490"/>
      <c r="E95" s="490"/>
      <c r="F95" s="490"/>
      <c r="G95" s="490"/>
      <c r="H95" s="490"/>
      <c r="I95" s="490"/>
    </row>
    <row r="96" spans="1:11" ht="15.75" outlineLevel="1" x14ac:dyDescent="0.25">
      <c r="B96" s="497"/>
      <c r="C96" s="498" t="s">
        <v>2863</v>
      </c>
      <c r="E96" s="499"/>
      <c r="F96" s="498" t="s">
        <v>2864</v>
      </c>
    </row>
    <row r="97" spans="2:10" outlineLevel="1" x14ac:dyDescent="0.2">
      <c r="B97" s="497"/>
      <c r="C97" s="497"/>
      <c r="D97" s="497"/>
      <c r="E97" s="499"/>
      <c r="F97" s="497"/>
    </row>
    <row r="98" spans="2:10" ht="15.75" outlineLevel="1" x14ac:dyDescent="0.25">
      <c r="B98" s="498" t="s">
        <v>2865</v>
      </c>
      <c r="C98" s="497"/>
      <c r="D98" s="500"/>
      <c r="E98" s="500"/>
      <c r="F98" s="500"/>
      <c r="G98" s="500"/>
      <c r="H98" s="500"/>
      <c r="I98" s="500"/>
      <c r="J98" s="501"/>
    </row>
    <row r="99" spans="2:10" ht="15.75" outlineLevel="1" x14ac:dyDescent="0.25">
      <c r="B99" s="498" t="s">
        <v>2866</v>
      </c>
      <c r="D99" s="502"/>
      <c r="E99" s="502"/>
      <c r="F99" s="502"/>
      <c r="G99" s="503"/>
      <c r="H99" s="503"/>
      <c r="I99" s="503"/>
    </row>
    <row r="100" spans="2:10" outlineLevel="1" x14ac:dyDescent="0.2">
      <c r="D100" s="503"/>
      <c r="E100" s="500"/>
      <c r="F100" s="500"/>
      <c r="G100" s="500"/>
      <c r="H100" s="500"/>
      <c r="I100" s="500"/>
    </row>
    <row r="102" spans="2:10" x14ac:dyDescent="0.2">
      <c r="D102" s="504"/>
      <c r="E102" s="504"/>
      <c r="F102" s="504"/>
      <c r="G102" s="504"/>
      <c r="H102" s="504"/>
      <c r="I102" s="504"/>
    </row>
  </sheetData>
  <mergeCells count="1">
    <mergeCell ref="B6:I6"/>
  </mergeCells>
  <printOptions horizontalCentered="1"/>
  <pageMargins left="0.78740157480314965" right="0.19685039370078741" top="0.19685039370078741" bottom="0.19685039370078741" header="0.31496062992125984" footer="0.31496062992125984"/>
  <pageSetup paperSize="9" scale="6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15</vt:i4>
      </vt:variant>
    </vt:vector>
  </HeadingPairs>
  <TitlesOfParts>
    <vt:vector size="26" baseType="lpstr">
      <vt:lpstr>фин. план</vt:lpstr>
      <vt:lpstr>источники</vt:lpstr>
      <vt:lpstr>Утв. ИП 2014-2019</vt:lpstr>
      <vt:lpstr>У pril_7f </vt:lpstr>
      <vt:lpstr>У pril_8f  </vt:lpstr>
      <vt:lpstr>У pril_9f </vt:lpstr>
      <vt:lpstr>У pril_ 8</vt:lpstr>
      <vt:lpstr>У pril_9</vt:lpstr>
      <vt:lpstr>У pril_10</vt:lpstr>
      <vt:lpstr>У pril_11</vt:lpstr>
      <vt:lpstr>У pril_12</vt:lpstr>
      <vt:lpstr>'У pril_ 8'!Заголовки_для_печати</vt:lpstr>
      <vt:lpstr>'У pril_7f '!Заголовки_для_печати</vt:lpstr>
      <vt:lpstr>'У pril_8f  '!Заголовки_для_печати</vt:lpstr>
      <vt:lpstr>'У pril_9'!Заголовки_для_печати</vt:lpstr>
      <vt:lpstr>'У pril_9f '!Заголовки_для_печати</vt:lpstr>
      <vt:lpstr>'Утв. ИП 2014-2019'!Заголовки_для_печати</vt:lpstr>
      <vt:lpstr>источники!Область_печати</vt:lpstr>
      <vt:lpstr>'У pril_ 8'!Область_печати</vt:lpstr>
      <vt:lpstr>'У pril_12'!Область_печати</vt:lpstr>
      <vt:lpstr>'У pril_7f '!Область_печати</vt:lpstr>
      <vt:lpstr>'У pril_8f  '!Область_печати</vt:lpstr>
      <vt:lpstr>'У pril_9'!Область_печати</vt:lpstr>
      <vt:lpstr>'У pril_9f '!Область_печати</vt:lpstr>
      <vt:lpstr>'Утв. ИП 2014-2019'!Область_печати</vt:lpstr>
      <vt:lpstr>'фин. план'!Область_печати</vt:lpstr>
    </vt:vector>
  </TitlesOfParts>
  <Company>ООО "ЛГЭК"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Sopov_dv</dc:creator>
  <cp:lastModifiedBy>Кадомская С.Н.</cp:lastModifiedBy>
  <cp:lastPrinted>2019-05-13T06:37:14Z</cp:lastPrinted>
  <dcterms:created xsi:type="dcterms:W3CDTF">2011-08-29T09:22:56Z</dcterms:created>
  <dcterms:modified xsi:type="dcterms:W3CDTF">2020-02-11T15:00:50Z</dcterms:modified>
</cp:coreProperties>
</file>